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Docs\Per fer github\PCBcarlights\"/>
    </mc:Choice>
  </mc:AlternateContent>
  <xr:revisionPtr revIDLastSave="0" documentId="8_{DD03438D-8826-4129-A88F-0790E43844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up1_tarda_LLUM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L49" i="1"/>
  <c r="K49" i="1"/>
  <c r="J49" i="1"/>
  <c r="I49" i="1"/>
  <c r="P41" i="1"/>
  <c r="P42" i="1"/>
  <c r="P43" i="1"/>
  <c r="P40" i="1"/>
  <c r="O41" i="1"/>
  <c r="O42" i="1"/>
  <c r="O43" i="1"/>
  <c r="O40" i="1"/>
  <c r="N42" i="1"/>
  <c r="M42" i="1" s="1"/>
  <c r="N41" i="1"/>
  <c r="M41" i="1" s="1"/>
  <c r="N40" i="1"/>
  <c r="M40" i="1" s="1"/>
  <c r="C40" i="1"/>
  <c r="M44" i="1" s="1"/>
  <c r="C41" i="1"/>
  <c r="C42" i="1"/>
  <c r="I42" i="1"/>
  <c r="I43" i="1"/>
  <c r="E42" i="1"/>
  <c r="E41" i="1"/>
  <c r="E40" i="1"/>
  <c r="N44" i="1" s="1"/>
  <c r="G42" i="1"/>
  <c r="O44" i="1" s="1"/>
  <c r="G43" i="1"/>
  <c r="D44" i="1"/>
  <c r="F44" i="1"/>
  <c r="H44" i="1"/>
  <c r="F19" i="1"/>
  <c r="K29" i="1"/>
  <c r="L29" i="1" s="1"/>
  <c r="I29" i="1"/>
  <c r="J29" i="1" s="1"/>
  <c r="G29" i="1"/>
  <c r="H29" i="1" s="1"/>
  <c r="E29" i="1"/>
  <c r="F29" i="1" s="1"/>
  <c r="G2" i="1"/>
  <c r="H2" i="1" s="1"/>
  <c r="G41" i="1"/>
  <c r="G40" i="1"/>
  <c r="I41" i="1"/>
  <c r="I40" i="1"/>
  <c r="P44" i="1" s="1"/>
  <c r="L6" i="1"/>
  <c r="K8" i="1"/>
  <c r="L8" i="1" s="1"/>
  <c r="I8" i="1"/>
  <c r="J8" i="1" s="1"/>
  <c r="G8" i="1"/>
  <c r="H8" i="1" s="1"/>
  <c r="F8" i="1"/>
  <c r="G9" i="1"/>
  <c r="L31" i="1"/>
  <c r="J31" i="1"/>
  <c r="H31" i="1"/>
  <c r="F31" i="1"/>
  <c r="K28" i="1"/>
  <c r="I28" i="1"/>
  <c r="G28" i="1"/>
  <c r="E28" i="1"/>
  <c r="K30" i="1"/>
  <c r="I30" i="1"/>
  <c r="G30" i="1"/>
  <c r="E30" i="1"/>
  <c r="L32" i="1"/>
  <c r="J32" i="1"/>
  <c r="G32" i="1"/>
  <c r="H32" i="1" s="1"/>
  <c r="F32" i="1"/>
  <c r="L24" i="1"/>
  <c r="J24" i="1"/>
  <c r="G24" i="1"/>
  <c r="H24" i="1" s="1"/>
  <c r="K23" i="1"/>
  <c r="L23" i="1" s="1"/>
  <c r="I23" i="1"/>
  <c r="J23" i="1" s="1"/>
  <c r="G23" i="1"/>
  <c r="H23" i="1" s="1"/>
  <c r="E23" i="1"/>
  <c r="F23" i="1" s="1"/>
  <c r="K18" i="1"/>
  <c r="L18" i="1" s="1"/>
  <c r="I18" i="1"/>
  <c r="J18" i="1" s="1"/>
  <c r="G18" i="1"/>
  <c r="H18" i="1" s="1"/>
  <c r="E18" i="1"/>
  <c r="F18" i="1" s="1"/>
  <c r="J20" i="1"/>
  <c r="H20" i="1"/>
  <c r="F20" i="1"/>
  <c r="K17" i="1"/>
  <c r="L17" i="1" s="1"/>
  <c r="I17" i="1"/>
  <c r="J17" i="1" s="1"/>
  <c r="G17" i="1"/>
  <c r="H17" i="1" s="1"/>
  <c r="E17" i="1"/>
  <c r="F17" i="1" s="1"/>
  <c r="K16" i="1"/>
  <c r="L16" i="1" s="1"/>
  <c r="J16" i="1"/>
  <c r="H16" i="1"/>
  <c r="F16" i="1"/>
  <c r="K27" i="1"/>
  <c r="L27" i="1" s="1"/>
  <c r="I27" i="1"/>
  <c r="J27" i="1" s="1"/>
  <c r="G27" i="1"/>
  <c r="H27" i="1" s="1"/>
  <c r="E27" i="1"/>
  <c r="F27" i="1" s="1"/>
  <c r="K26" i="1"/>
  <c r="L26" i="1" s="1"/>
  <c r="I26" i="1"/>
  <c r="J26" i="1" s="1"/>
  <c r="G26" i="1"/>
  <c r="H26" i="1" s="1"/>
  <c r="E26" i="1"/>
  <c r="F26" i="1" s="1"/>
  <c r="K25" i="1"/>
  <c r="L25" i="1" s="1"/>
  <c r="I25" i="1"/>
  <c r="J25" i="1" s="1"/>
  <c r="G25" i="1"/>
  <c r="H25" i="1" s="1"/>
  <c r="E25" i="1"/>
  <c r="F25" i="1" s="1"/>
  <c r="K13" i="1"/>
  <c r="K14" i="1"/>
  <c r="K15" i="1"/>
  <c r="I13" i="1"/>
  <c r="I14" i="1"/>
  <c r="I15" i="1"/>
  <c r="G13" i="1"/>
  <c r="G14" i="1"/>
  <c r="G15" i="1"/>
  <c r="E13" i="1"/>
  <c r="E14" i="1"/>
  <c r="E15" i="1"/>
  <c r="K12" i="1"/>
  <c r="I12" i="1"/>
  <c r="G12" i="1"/>
  <c r="E12" i="1"/>
  <c r="K22" i="1"/>
  <c r="L22" i="1" s="1"/>
  <c r="I22" i="1"/>
  <c r="J22" i="1" s="1"/>
  <c r="G22" i="1"/>
  <c r="H22" i="1" s="1"/>
  <c r="E22" i="1"/>
  <c r="F22" i="1" s="1"/>
  <c r="K11" i="1"/>
  <c r="L11" i="1" s="1"/>
  <c r="I11" i="1"/>
  <c r="J11" i="1" s="1"/>
  <c r="G11" i="1"/>
  <c r="H11" i="1" s="1"/>
  <c r="E11" i="1"/>
  <c r="F11" i="1" s="1"/>
  <c r="L4" i="1"/>
  <c r="J4" i="1"/>
  <c r="H4" i="1"/>
  <c r="F4" i="1"/>
  <c r="K5" i="1"/>
  <c r="L5" i="1" s="1"/>
  <c r="I5" i="1"/>
  <c r="J5" i="1" s="1"/>
  <c r="H5" i="1"/>
  <c r="G5" i="1"/>
  <c r="E5" i="1"/>
  <c r="F5" i="1" s="1"/>
  <c r="E2" i="1"/>
  <c r="F2" i="1" s="1"/>
  <c r="K3" i="1"/>
  <c r="L3" i="1" s="1"/>
  <c r="I3" i="1"/>
  <c r="J3" i="1" s="1"/>
  <c r="G3" i="1"/>
  <c r="H3" i="1" s="1"/>
  <c r="E3" i="1"/>
  <c r="F3" i="1" s="1"/>
  <c r="K2" i="1"/>
  <c r="L2" i="1" s="1"/>
  <c r="I2" i="1"/>
  <c r="J2" i="1" s="1"/>
  <c r="K10" i="1"/>
  <c r="L10" i="1" s="1"/>
  <c r="I10" i="1"/>
  <c r="J10" i="1" s="1"/>
  <c r="G10" i="1"/>
  <c r="H10" i="1" s="1"/>
  <c r="E10" i="1"/>
  <c r="F10" i="1" s="1"/>
  <c r="K9" i="1"/>
  <c r="I9" i="1"/>
  <c r="E9" i="1"/>
  <c r="K7" i="1"/>
  <c r="I7" i="1"/>
  <c r="G7" i="1"/>
  <c r="E7" i="1"/>
  <c r="I6" i="1"/>
  <c r="G6" i="1"/>
  <c r="E6" i="1"/>
  <c r="L19" i="1"/>
  <c r="K19" i="1" s="1"/>
  <c r="J19" i="1"/>
  <c r="I19" i="1" s="1"/>
  <c r="H19" i="1"/>
  <c r="G19" i="1" s="1"/>
  <c r="L21" i="1"/>
  <c r="K21" i="1" s="1"/>
  <c r="J21" i="1"/>
  <c r="I21" i="1" s="1"/>
  <c r="H21" i="1"/>
  <c r="G21" i="1" s="1"/>
  <c r="F21" i="1"/>
  <c r="E21" i="1" s="1"/>
  <c r="K48" i="1" l="1"/>
  <c r="I48" i="1"/>
  <c r="I50" i="1" s="1"/>
  <c r="C48" i="1"/>
  <c r="J48" i="1"/>
  <c r="K50" i="1"/>
  <c r="J50" i="1"/>
  <c r="G44" i="1"/>
  <c r="J44" i="1"/>
  <c r="I44" i="1"/>
  <c r="E44" i="1"/>
  <c r="C44" i="1"/>
  <c r="C50" i="1"/>
  <c r="D48" i="1"/>
  <c r="D50" i="1" s="1"/>
  <c r="E48" i="1"/>
  <c r="E50" i="1" s="1"/>
  <c r="F48" i="1"/>
  <c r="F50" i="1" s="1"/>
  <c r="H33" i="1"/>
  <c r="J33" i="1"/>
  <c r="K33" i="1"/>
  <c r="I33" i="1"/>
  <c r="G33" i="1"/>
  <c r="L20" i="1"/>
  <c r="L33" i="1" s="1"/>
  <c r="E33" i="1"/>
  <c r="F33" i="1"/>
  <c r="L48" i="1" l="1"/>
  <c r="L50" i="1" s="1"/>
</calcChain>
</file>

<file path=xl/sharedStrings.xml><?xml version="1.0" encoding="utf-8"?>
<sst xmlns="http://schemas.openxmlformats.org/spreadsheetml/2006/main" count="170" uniqueCount="89">
  <si>
    <t>Reference</t>
  </si>
  <si>
    <t>Component</t>
  </si>
  <si>
    <t>Qty</t>
  </si>
  <si>
    <t>Value</t>
  </si>
  <si>
    <t>Preu unitari (x10)</t>
  </si>
  <si>
    <t>10x</t>
  </si>
  <si>
    <t>Preu unitari (x50)</t>
  </si>
  <si>
    <t>50x</t>
  </si>
  <si>
    <t>Preu unitari (x1000)</t>
  </si>
  <si>
    <t>1.000x</t>
  </si>
  <si>
    <t>Preu unitari (x20000)</t>
  </si>
  <si>
    <t>20.000x</t>
  </si>
  <si>
    <t>Microchip</t>
  </si>
  <si>
    <t>Capacitat</t>
  </si>
  <si>
    <t>CBR04C108B5GAC</t>
  </si>
  <si>
    <t>100n</t>
  </si>
  <si>
    <t>-</t>
  </si>
  <si>
    <t>04025C102KAT2A</t>
  </si>
  <si>
    <t>1µ</t>
  </si>
  <si>
    <t>CL05A5NNNC</t>
  </si>
  <si>
    <t>220n</t>
  </si>
  <si>
    <t>Capacitat desacoblament</t>
  </si>
  <si>
    <t>04025A101JAT2A</t>
  </si>
  <si>
    <t>100p</t>
  </si>
  <si>
    <t>Conn_01x03</t>
  </si>
  <si>
    <t>Connector 01x06</t>
  </si>
  <si>
    <t>51025-06-0100-01</t>
  </si>
  <si>
    <t>Connectors 01x02</t>
  </si>
  <si>
    <t>B2B-EH-A(LF)(SN)</t>
  </si>
  <si>
    <t>Cristall</t>
  </si>
  <si>
    <t>ECS-80-20-4</t>
  </si>
  <si>
    <t>Diode</t>
  </si>
  <si>
    <t>1N4002</t>
  </si>
  <si>
    <t>1N4007</t>
  </si>
  <si>
    <t>Driver corrent</t>
  </si>
  <si>
    <t>ULN2003</t>
  </si>
  <si>
    <t>Driver motor</t>
  </si>
  <si>
    <t>L298N</t>
  </si>
  <si>
    <t>Dtransil1</t>
  </si>
  <si>
    <t>1.5KE27A</t>
  </si>
  <si>
    <t>EEPROM</t>
  </si>
  <si>
    <t>24C02C/P</t>
  </si>
  <si>
    <t>Ferrita</t>
  </si>
  <si>
    <t>2508056017Y2</t>
  </si>
  <si>
    <t>DB9</t>
  </si>
  <si>
    <t>MHDB9SP</t>
  </si>
  <si>
    <t>LED</t>
  </si>
  <si>
    <t>LTST-C191KFKT</t>
  </si>
  <si>
    <t>Microcontrolador</t>
  </si>
  <si>
    <t>PIC18F458-I/P</t>
  </si>
  <si>
    <t>Potenciòmetre</t>
  </si>
  <si>
    <t>ST-4ETA502</t>
  </si>
  <si>
    <t>Regulador</t>
  </si>
  <si>
    <t>LM1117S-5.0</t>
  </si>
  <si>
    <t>Relè</t>
  </si>
  <si>
    <t>G5LE-1A4-CF-DC24</t>
  </si>
  <si>
    <t>G5NB-1A-DC24</t>
  </si>
  <si>
    <t>Resistència</t>
  </si>
  <si>
    <t>RR0816P-101-D</t>
  </si>
  <si>
    <t>RNCP0603FTD1K00</t>
  </si>
  <si>
    <t>1k</t>
  </si>
  <si>
    <t>RC0603JR-074K7L</t>
  </si>
  <si>
    <t>4.7k</t>
  </si>
  <si>
    <t>RC0805FR-1322KL</t>
  </si>
  <si>
    <t>22k</t>
  </si>
  <si>
    <t>Resistència LDR</t>
  </si>
  <si>
    <t>PDV-P8103</t>
  </si>
  <si>
    <t>Resistència Shunt</t>
  </si>
  <si>
    <t>WSMS2908</t>
  </si>
  <si>
    <t>250µ</t>
  </si>
  <si>
    <t>Botó</t>
  </si>
  <si>
    <t>FSM2JSMA</t>
  </si>
  <si>
    <t>Button Switch</t>
  </si>
  <si>
    <t>PS1023ABLK</t>
  </si>
  <si>
    <t>Transceiver CAN</t>
  </si>
  <si>
    <t>MCP2551-I/P</t>
  </si>
  <si>
    <t>Total</t>
  </si>
  <si>
    <t xml:space="preserve"> </t>
  </si>
  <si>
    <t>PCB</t>
  </si>
  <si>
    <t>Shipment</t>
  </si>
  <si>
    <t>Assembly</t>
  </si>
  <si>
    <t>Stencils</t>
  </si>
  <si>
    <t>Preu total PCB</t>
  </si>
  <si>
    <t>x10</t>
  </si>
  <si>
    <t>x50</t>
  </si>
  <si>
    <t>x1000</t>
  </si>
  <si>
    <t>x20000</t>
  </si>
  <si>
    <t>Components</t>
  </si>
  <si>
    <t>PCB's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</si>
</sst>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\ &quot;€&quot;"/>
    <numFmt numFmtId="165" formatCode="#,##0.0000\ &quot;€&quot;"/>
    <numFmt numFmtId="166" formatCode="#,##0.00\ &quot;€&quot;"/>
    <numFmt numFmtId="167" formatCode="#,##0.0000000\ &quot;€&quot;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center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12" xfId="0" applyBorder="1"/>
    <xf numFmtId="16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19" fillId="33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18" fillId="0" borderId="11" xfId="0" applyFont="1" applyBorder="1" applyAlignment="1">
      <alignment horizontal="left"/>
    </xf>
    <xf numFmtId="0" fontId="18" fillId="0" borderId="10" xfId="0" applyFont="1" applyBorder="1" applyAlignment="1">
      <alignment horizontal="center"/>
    </xf>
    <xf numFmtId="166" fontId="19" fillId="33" borderId="0" xfId="0" applyNumberFormat="1" applyFont="1" applyFill="1" applyAlignment="1">
      <alignment horizontal="left"/>
    </xf>
    <xf numFmtId="166" fontId="19" fillId="0" borderId="0" xfId="0" applyNumberFormat="1" applyFont="1" applyAlignment="1">
      <alignment horizontal="left"/>
    </xf>
    <xf numFmtId="166" fontId="18" fillId="0" borderId="11" xfId="0" applyNumberFormat="1" applyFont="1" applyBorder="1" applyAlignment="1">
      <alignment horizontal="left"/>
    </xf>
    <xf numFmtId="167" fontId="19" fillId="33" borderId="0" xfId="0" applyNumberFormat="1" applyFont="1" applyFill="1" applyAlignment="1">
      <alignment horizontal="left"/>
    </xf>
    <xf numFmtId="167" fontId="19" fillId="0" borderId="0" xfId="0" applyNumberFormat="1" applyFont="1" applyAlignment="1">
      <alignment horizontal="left"/>
    </xf>
    <xf numFmtId="165" fontId="19" fillId="0" borderId="0" xfId="0" applyNumberFormat="1" applyFont="1" applyAlignment="1">
      <alignment horizontal="left"/>
    </xf>
  </cellXfs>
  <cellStyles count="42">
    <cellStyle name="20% - Èmfasi1" xfId="19" builtinId="30" customBuiltin="1"/>
    <cellStyle name="20% - Èmfasi2" xfId="23" builtinId="34" customBuiltin="1"/>
    <cellStyle name="20% - Èmfasi3" xfId="27" builtinId="38" customBuiltin="1"/>
    <cellStyle name="20% - Èmfasi4" xfId="31" builtinId="42" customBuiltin="1"/>
    <cellStyle name="20% - Èmfasi5" xfId="35" builtinId="46" customBuiltin="1"/>
    <cellStyle name="20% - Èmfasi6" xfId="39" builtinId="50" customBuiltin="1"/>
    <cellStyle name="40% - Èmfasi1" xfId="20" builtinId="31" customBuiltin="1"/>
    <cellStyle name="40% - Èmfasi2" xfId="24" builtinId="35" customBuiltin="1"/>
    <cellStyle name="40% - Èmfasi3" xfId="28" builtinId="39" customBuiltin="1"/>
    <cellStyle name="40% - Èmfasi4" xfId="32" builtinId="43" customBuiltin="1"/>
    <cellStyle name="40% - Èmfasi5" xfId="36" builtinId="47" customBuiltin="1"/>
    <cellStyle name="40% - Èmfasi6" xfId="40" builtinId="51" customBuiltin="1"/>
    <cellStyle name="60% - Èmfasi1" xfId="21" builtinId="32" customBuiltin="1"/>
    <cellStyle name="60% - Èmfasi2" xfId="25" builtinId="36" customBuiltin="1"/>
    <cellStyle name="60% - Èmfasi3" xfId="29" builtinId="40" customBuiltin="1"/>
    <cellStyle name="60% - Èmfasi4" xfId="33" builtinId="44" customBuiltin="1"/>
    <cellStyle name="60% - Èmfasi5" xfId="37" builtinId="48" customBuiltin="1"/>
    <cellStyle name="60% - Èmfasi6" xfId="41" builtinId="52" customBuiltin="1"/>
    <cellStyle name="Bé" xfId="6" builtinId="26" customBuiltin="1"/>
    <cellStyle name="Càlcul" xfId="11" builtinId="22" customBuiltin="1"/>
    <cellStyle name="Cel·la de comprovació" xfId="13" builtinId="23" customBuiltin="1"/>
    <cellStyle name="Cel·la enllaçada" xfId="12" builtinId="24" customBuiltin="1"/>
    <cellStyle name="Èmfasi1" xfId="18" builtinId="29" customBuiltin="1"/>
    <cellStyle name="Èmfasi2" xfId="22" builtinId="33" customBuiltin="1"/>
    <cellStyle name="Èmfasi3" xfId="26" builtinId="37" customBuiltin="1"/>
    <cellStyle name="Èmfasi4" xfId="30" builtinId="41" customBuiltin="1"/>
    <cellStyle name="Èmfasi5" xfId="34" builtinId="45" customBuiltin="1"/>
    <cellStyle name="Èmfasi6" xfId="38" builtinId="49" customBuiltin="1"/>
    <cellStyle name="Entrada" xfId="9" builtinId="20" customBuiltin="1"/>
    <cellStyle name="Incorrecte" xfId="7" builtinId="27" customBuiltin="1"/>
    <cellStyle name="Neutral" xfId="8" builtinId="28" customBuiltin="1"/>
    <cellStyle name="Normal" xfId="0" builtinId="0"/>
    <cellStyle name="Nota" xfId="15" builtinId="10" customBuiltin="1"/>
    <cellStyle name="Resultat" xfId="10" builtinId="21" customBuiltin="1"/>
    <cellStyle name="Text d'advertiment" xfId="14" builtinId="11" customBuiltin="1"/>
    <cellStyle name="Text explicatiu" xfId="16" builtinId="53" customBuiltin="1"/>
    <cellStyle name="Títol" xfId="1" builtinId="15" customBuiltin="1"/>
    <cellStyle name="Títol 1" xfId="2" builtinId="16" customBuiltin="1"/>
    <cellStyle name="Títol 2" xfId="3" builtinId="17" customBuiltin="1"/>
    <cellStyle name="Títol 3" xfId="4" builtinId="18" customBuiltin="1"/>
    <cellStyle name="Títol 4" xfId="5" builtinId="19" customBuiltin="1"/>
    <cellStyle name="Total" xfId="17" builtinId="25" customBuiltin="1"/>
  </cellStyles>
  <dxfs count="73">
    <dxf>
      <numFmt numFmtId="164" formatCode="#,##0.000\ &quot;€&quot;"/>
      <alignment horizontal="left" vertical="bottom" textRotation="0" wrapText="0" indent="0" justifyLastLine="0" shrinkToFit="0" readingOrder="0"/>
    </dxf>
    <dxf>
      <numFmt numFmtId="164" formatCode="#,##0.000\ &quot;€&quot;"/>
      <alignment horizontal="left" vertical="bottom" textRotation="0" wrapText="0" indent="0" justifyLastLine="0" shrinkToFit="0" readingOrder="0"/>
    </dxf>
    <dxf>
      <numFmt numFmtId="164" formatCode="#,##0.000\ &quot;€&quot;"/>
      <alignment horizontal="left" vertical="bottom" textRotation="0" wrapText="0" indent="0" justifyLastLine="0" shrinkToFit="0" readingOrder="0"/>
    </dxf>
    <dxf>
      <numFmt numFmtId="164" formatCode="#,##0.000\ &quot;€&quot;"/>
      <alignment horizontal="left" vertical="bottom" textRotation="0" wrapText="0" indent="0" justifyLastLine="0" shrinkToFit="0" readingOrder="0"/>
    </dxf>
    <dxf>
      <numFmt numFmtId="164" formatCode="#,##0.000\ &quot;€&quot;"/>
      <alignment horizontal="left" vertical="bottom" textRotation="0" wrapText="0" indent="0" justifyLastLine="0" shrinkToFit="0" readingOrder="0"/>
    </dxf>
    <dxf>
      <numFmt numFmtId="164" formatCode="#,##0.000\ &quot;€&quot;"/>
      <alignment horizontal="left" vertical="bottom" textRotation="0" wrapText="0" indent="0" justifyLastLine="0" shrinkToFit="0" readingOrder="0"/>
    </dxf>
    <dxf>
      <numFmt numFmtId="164" formatCode="#,##0.000\ &quot;€&quot;"/>
      <alignment horizontal="left" vertical="bottom" textRotation="0" wrapText="0" indent="0" justifyLastLine="0" shrinkToFit="0" readingOrder="0"/>
    </dxf>
    <dxf>
      <numFmt numFmtId="164" formatCode="#,##0.000\ &quot;€&quot;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#,##0.000\ &quot;€&quot;"/>
      <alignment horizontal="left" vertical="bottom" textRotation="0" wrapText="0" indent="0" justifyLastLine="0" shrinkToFit="0" readingOrder="0"/>
    </dxf>
    <dxf>
      <numFmt numFmtId="164" formatCode="#,##0.000\ &quot;€&quot;"/>
      <alignment horizontal="left" vertical="bottom" textRotation="0" wrapText="0" indent="0" justifyLastLine="0" shrinkToFit="0" readingOrder="0"/>
    </dxf>
    <dxf>
      <numFmt numFmtId="164" formatCode="#,##0.000\ &quot;€&quot;"/>
      <alignment horizontal="left" vertical="bottom" textRotation="0" wrapText="0" indent="0" justifyLastLine="0" shrinkToFit="0" readingOrder="0"/>
    </dxf>
    <dxf>
      <numFmt numFmtId="164" formatCode="#,##0.000\ &quot;€&quot;"/>
      <alignment horizontal="left" vertical="bottom" textRotation="0" wrapText="0" indent="0" justifyLastLine="0" shrinkToFit="0" readingOrder="0"/>
    </dxf>
    <dxf>
      <numFmt numFmtId="164" formatCode="#,##0.000\ &quot;€&quot;"/>
      <alignment horizontal="left" vertical="bottom" textRotation="0" wrapText="0" indent="0" justifyLastLine="0" shrinkToFit="0" readingOrder="0"/>
    </dxf>
    <dxf>
      <numFmt numFmtId="164" formatCode="#,##0.000\ &quot;€&quot;"/>
      <alignment horizontal="left" vertical="bottom" textRotation="0" wrapText="0" indent="0" justifyLastLine="0" shrinkToFit="0" readingOrder="0"/>
    </dxf>
    <dxf>
      <numFmt numFmtId="164" formatCode="#,##0.000\ &quot;€&quot;"/>
      <alignment horizontal="left" vertical="bottom" textRotation="0" wrapText="0" indent="0" justifyLastLine="0" shrinkToFit="0" readingOrder="0"/>
    </dxf>
    <dxf>
      <numFmt numFmtId="164" formatCode="#,##0.000\ &quot;€&quot;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numFmt numFmtId="164" formatCode="#,##0.000\ &quot;€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onents" displayName="Components" ref="A1:M33" totalsRowCount="1" headerRowDxfId="72" dataDxfId="71" totalsRowDxfId="70">
  <autoFilter ref="A1:M3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A2:L33">
    <sortCondition ref="A1:A33"/>
  </sortState>
  <tableColumns count="13">
    <tableColumn id="1" xr3:uid="{00000000-0010-0000-0000-000001000000}" name="Reference" totalsRowLabel="Total" dataDxfId="69" totalsRowDxfId="68"/>
    <tableColumn id="13" xr3:uid="{00000000-0010-0000-0000-00000D000000}" name="Component" dataDxfId="67" totalsRowDxfId="66"/>
    <tableColumn id="2" xr3:uid="{00000000-0010-0000-0000-000002000000}" name="Qty" dataDxfId="65" totalsRowDxfId="64"/>
    <tableColumn id="3" xr3:uid="{00000000-0010-0000-0000-000003000000}" name="Value" dataDxfId="63" totalsRowDxfId="62"/>
    <tableColumn id="15" xr3:uid="{00000000-0010-0000-0000-00000F000000}" name="Preu unitari (x10)" totalsRowFunction="sum" dataDxfId="61" totalsRowDxfId="60"/>
    <tableColumn id="6" xr3:uid="{00000000-0010-0000-0000-000006000000}" name="10x" totalsRowFunction="sum" dataDxfId="59" totalsRowDxfId="58"/>
    <tableColumn id="16" xr3:uid="{00000000-0010-0000-0000-000010000000}" name="Preu unitari (x50)" totalsRowFunction="sum" dataDxfId="57" totalsRowDxfId="56"/>
    <tableColumn id="7" xr3:uid="{00000000-0010-0000-0000-000007000000}" name="50x" totalsRowFunction="sum" dataDxfId="55" totalsRowDxfId="54"/>
    <tableColumn id="17" xr3:uid="{00000000-0010-0000-0000-000011000000}" name="Preu unitari (x1000)" totalsRowFunction="sum" dataDxfId="53" totalsRowDxfId="52"/>
    <tableColumn id="8" xr3:uid="{00000000-0010-0000-0000-000008000000}" name="1.000x" totalsRowFunction="sum" dataDxfId="51" totalsRowDxfId="50"/>
    <tableColumn id="18" xr3:uid="{00000000-0010-0000-0000-000012000000}" name="Preu unitari (x20000)" totalsRowFunction="sum" dataDxfId="49" totalsRowDxfId="48"/>
    <tableColumn id="9" xr3:uid="{00000000-0010-0000-0000-000009000000}" name="20.000x" totalsRowFunction="sum" dataDxfId="47" totalsRowDxfId="46"/>
    <tableColumn id="19" xr3:uid="{00000000-0010-0000-0000-000013000000}" name="Microchip" totalsRowFunction="sum" dataDxfId="45" totalsRowDxfId="4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0E6BBE-B5E1-074A-AE25-81AF02D7E1B6}" name="preu_total" displayName="preu_total" ref="B47:F50" totalsRowCount="1" headerRowDxfId="43" dataDxfId="42" totalsRowDxfId="41">
  <autoFilter ref="B47:F49" xr:uid="{3B0E6BBE-B5E1-074A-AE25-81AF02D7E1B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94D8868-B3B3-4D4C-8207-F4C6EAC3362C}" name="Preu total PCB" totalsRowLabel="Total" dataDxfId="40" totalsRowDxfId="39"/>
    <tableColumn id="2" xr3:uid="{05E516A9-EE37-1F4A-9937-B10A6C7B0AA8}" name="x10" totalsRowFunction="custom" dataDxfId="38" totalsRowDxfId="37">
      <calculatedColumnFormula>SUBTOTAL(109,Components[Preu unitari (x10)])</calculatedColumnFormula>
      <totalsRowFormula>SUM(preu_total[x10])</totalsRowFormula>
    </tableColumn>
    <tableColumn id="3" xr3:uid="{913D3586-3B32-1849-814A-9265F57065A5}" name="x50" totalsRowFunction="custom" dataDxfId="36" totalsRowDxfId="35">
      <calculatedColumnFormula>SUBTOTAL(109,Components[Preu unitari (x50)])</calculatedColumnFormula>
      <totalsRowFormula>SUM(preu_total[x50])</totalsRowFormula>
    </tableColumn>
    <tableColumn id="4" xr3:uid="{E614784D-8A11-2243-A370-B95975F6FF34}" name="x1000" totalsRowFunction="custom" dataDxfId="34" totalsRowDxfId="33">
      <calculatedColumnFormula>SUBTOTAL(109,Components[Preu unitari (x1000)])</calculatedColumnFormula>
      <totalsRowFormula>SUM(preu_total[x1000])</totalsRowFormula>
    </tableColumn>
    <tableColumn id="5" xr3:uid="{041F4808-618A-0645-BBE1-C6BA79DC607D}" name="x20000" totalsRowFunction="custom" dataDxfId="32" totalsRowDxfId="31">
      <calculatedColumnFormula>SUBTOTAL(109,Components[Preu unitari (x20000)])</calculatedColumnFormula>
      <totalsRowFormula>SUM(preu_total[x20000])</totalsRow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3CCCF2-3660-E944-8B27-34D9ADED394B}" name="Fabricacio_muntatge" displayName="Fabricacio_muntatge" ref="B39:J44" totalsRowCount="1" headerRowDxfId="30">
  <autoFilter ref="B39:J43" xr:uid="{293CCCF2-3660-E944-8B27-34D9ADED39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589A3AD-A85D-5A49-87B5-DFBC945E8C54}" name=" " totalsRowLabel="Total" dataDxfId="29" totalsRowDxfId="28"/>
    <tableColumn id="2" xr3:uid="{CD566206-8DE3-1C40-8F87-BB75B44D304D}" name="Preu unitari (x10)" totalsRowFunction="custom" dataDxfId="27">
      <totalsRowFormula>SUM(Fabricacio_muntatge[Preu unitari (x10)])</totalsRowFormula>
    </tableColumn>
    <tableColumn id="3" xr3:uid="{98B27140-9829-FB46-9D2C-19B276A4FD0B}" name="10x" totalsRowFunction="custom" dataDxfId="26" totalsRowDxfId="25">
      <totalsRowFormula>SUM(Fabricacio_muntatge[10x])</totalsRowFormula>
    </tableColumn>
    <tableColumn id="4" xr3:uid="{0C1A75F6-E33E-2142-888A-866842984FE6}" name="Preu unitari (x50)" totalsRowFunction="custom" dataDxfId="24" totalsRowDxfId="23">
      <calculatedColumnFormula>66.42/50</calculatedColumnFormula>
      <totalsRowFormula>SUM(Fabricacio_muntatge[Preu unitari (x50)])</totalsRowFormula>
    </tableColumn>
    <tableColumn id="5" xr3:uid="{60D6C4A6-B6A7-404B-BD57-7A8CFFC294E3}" name="50x" totalsRowFunction="custom" dataDxfId="22" totalsRowDxfId="21">
      <totalsRowFormula>SUM(Fabricacio_muntatge[50x])</totalsRowFormula>
    </tableColumn>
    <tableColumn id="6" xr3:uid="{6D07DD5B-212A-3443-BBB8-756D36A41A41}" name="Preu unitari (x1000)" totalsRowFunction="custom" dataDxfId="20" totalsRowDxfId="19">
      <calculatedColumnFormula>H40/1000</calculatedColumnFormula>
      <totalsRowFormula>SUM(Fabricacio_muntatge[Preu unitari (x1000)])</totalsRowFormula>
    </tableColumn>
    <tableColumn id="7" xr3:uid="{1F65690B-0EA3-D848-BF92-D06C80C7025A}" name="1.000x" totalsRowFunction="custom" dataDxfId="18" totalsRowDxfId="17">
      <totalsRowFormula>SUM(Fabricacio_muntatge[1.000x])</totalsRowFormula>
    </tableColumn>
    <tableColumn id="8" xr3:uid="{949DD8C1-CEE2-7C4F-8546-2719412CDB8C}" name="Preu unitari (x20000)" totalsRowFunction="custom" dataDxfId="16" totalsRowDxfId="15">
      <totalsRowFormula>SUM(Fabricacio_muntatge[Preu unitari (x20000)])</totalsRowFormula>
    </tableColumn>
    <tableColumn id="9" xr3:uid="{BF2C98FA-BD40-9443-BD82-112B263F0984}" name="20.000x" totalsRowFunction="custom" dataDxfId="14" totalsRowDxfId="13">
      <totalsRowFormula>SUM(Fabricacio_muntatge[20.000x])</totalsRow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3DF3C8-D64B-C447-A065-290DED42746C}" name="preu_total6" displayName="preu_total6" ref="H47:L50" totalsRowCount="1" headerRowDxfId="12" dataDxfId="11" totalsRowDxfId="10">
  <autoFilter ref="H47:L49" xr:uid="{BA3DF3C8-D64B-C447-A065-290DED4274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490C530-B6EC-8640-9ABC-E6E47166542D}" name="Preu total PCB" totalsRowLabel="Total" dataDxfId="9" totalsRowDxfId="8"/>
    <tableColumn id="2" xr3:uid="{E11B39C8-19AE-D944-B401-BC97E340F0CA}" name="x10" totalsRowFunction="custom" dataDxfId="7" totalsRowDxfId="6">
      <calculatedColumnFormula>SUBTOTAL(109,Components[Preu unitari (x10)])</calculatedColumnFormula>
      <totalsRowFormula>SUM(preu_total6[x10])</totalsRowFormula>
    </tableColumn>
    <tableColumn id="3" xr3:uid="{2CB59363-3646-B645-A51F-657BF2EA10E4}" name="x50" totalsRowFunction="custom" dataDxfId="5" totalsRowDxfId="4">
      <calculatedColumnFormula>SUBTOTAL(109,Components[Preu unitari (x50)])</calculatedColumnFormula>
      <totalsRowFormula>SUM(preu_total6[x50])</totalsRowFormula>
    </tableColumn>
    <tableColumn id="4" xr3:uid="{3D6321E9-C9C1-7441-8E6C-0C95C32FD4E7}" name="x1000" totalsRowFunction="custom" dataDxfId="3" totalsRowDxfId="2">
      <calculatedColumnFormula>SUBTOTAL(109,Components[Preu unitari (x1000)])</calculatedColumnFormula>
      <totalsRowFormula>SUM(preu_total6[x1000])</totalsRowFormula>
    </tableColumn>
    <tableColumn id="5" xr3:uid="{7B272F3C-6E4E-2E44-BBEA-53AD2BC6503C}" name="x20000" totalsRowFunction="custom" dataDxfId="1" totalsRowDxfId="0">
      <calculatedColumnFormula>SUBTOTAL(109,Components[Preu unitari (x20000)])</calculatedColumnFormula>
      <totalsRowFormula>SUM(preu_total6[x20000])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W51"/>
  <sheetViews>
    <sheetView tabSelected="1" topLeftCell="A4" zoomScale="125" workbookViewId="0">
      <selection activeCell="M24" sqref="M24"/>
    </sheetView>
  </sheetViews>
  <sheetFormatPr defaultColWidth="11" defaultRowHeight="15.6" x14ac:dyDescent="0.3"/>
  <cols>
    <col min="1" max="1" width="22.5" bestFit="1" customWidth="1"/>
    <col min="2" max="2" width="18.3984375" bestFit="1" customWidth="1"/>
    <col min="3" max="3" width="17.3984375" customWidth="1"/>
    <col min="4" max="4" width="8.59765625" style="1" bestFit="1" customWidth="1"/>
    <col min="5" max="5" width="16.59765625" bestFit="1" customWidth="1"/>
    <col min="6" max="6" width="10.5" customWidth="1"/>
    <col min="7" max="7" width="16.59765625" bestFit="1" customWidth="1"/>
    <col min="8" max="8" width="13.8984375" customWidth="1"/>
    <col min="9" max="9" width="19.09765625" bestFit="1" customWidth="1"/>
    <col min="10" max="10" width="14.59765625" customWidth="1"/>
    <col min="11" max="11" width="20.3984375" bestFit="1" customWidth="1"/>
    <col min="12" max="12" width="15.59765625" customWidth="1"/>
    <col min="13" max="13" width="16.59765625" customWidth="1"/>
    <col min="14" max="14" width="16.3984375" customWidth="1"/>
    <col min="15" max="15" width="18.5" customWidth="1"/>
    <col min="16" max="16" width="20.5" customWidth="1"/>
    <col min="17" max="17" width="16.3984375" bestFit="1" customWidth="1"/>
    <col min="18" max="18" width="17" customWidth="1"/>
    <col min="19" max="19" width="17.59765625" customWidth="1"/>
    <col min="20" max="20" width="19.5" customWidth="1"/>
    <col min="21" max="21" width="18.59765625" bestFit="1" customWidth="1"/>
    <col min="22" max="22" width="10.5" customWidth="1"/>
    <col min="23" max="23" width="19.5" customWidth="1"/>
    <col min="24" max="24" width="12.09765625" customWidth="1"/>
    <col min="25" max="25" width="11.8984375" bestFit="1" customWidth="1"/>
    <col min="26" max="26" width="16.5" bestFit="1" customWidth="1"/>
    <col min="27" max="28" width="11.3984375" customWidth="1"/>
    <col min="29" max="29" width="14.3984375" customWidth="1"/>
    <col min="30" max="30" width="13.59765625" customWidth="1"/>
  </cols>
  <sheetData>
    <row r="1" spans="1:23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/>
      <c r="Q1"/>
      <c r="R1"/>
      <c r="S1"/>
      <c r="T1"/>
      <c r="U1"/>
      <c r="V1"/>
      <c r="W1"/>
    </row>
    <row r="2" spans="1:23" x14ac:dyDescent="0.3">
      <c r="A2" s="3" t="s">
        <v>13</v>
      </c>
      <c r="B2" s="1" t="s">
        <v>14</v>
      </c>
      <c r="C2" s="1">
        <v>6</v>
      </c>
      <c r="D2" s="1" t="s">
        <v>15</v>
      </c>
      <c r="E2" s="6">
        <f>0.101*Components[[#This Row],[Qty]]</f>
        <v>0.60600000000000009</v>
      </c>
      <c r="F2" s="6">
        <f>Components[[#This Row],[Preu unitari (x10)]]*10</f>
        <v>6.0600000000000005</v>
      </c>
      <c r="G2" s="6">
        <f>Components[[#This Row],[Qty]]*0.0476</f>
        <v>0.28560000000000002</v>
      </c>
      <c r="H2" s="6">
        <f>Components[[#This Row],[Preu unitari (x50)]]*50</f>
        <v>14.280000000000001</v>
      </c>
      <c r="I2" s="6">
        <f>Components[[#This Row],[Qty]]*0.02767</f>
        <v>0.16602</v>
      </c>
      <c r="J2" s="6">
        <f>Components[[#This Row],[Preu unitari (x1000)]]*1000</f>
        <v>166.02</v>
      </c>
      <c r="K2" s="6">
        <f>0.02083*Components[[#This Row],[Qty]]</f>
        <v>0.12498000000000001</v>
      </c>
      <c r="L2" s="6">
        <f>Components[[#This Row],[Preu unitari (x20000)]]*20000</f>
        <v>2499.6000000000004</v>
      </c>
      <c r="M2" s="6" t="s">
        <v>16</v>
      </c>
    </row>
    <row r="3" spans="1:23" x14ac:dyDescent="0.3">
      <c r="A3" s="3" t="s">
        <v>13</v>
      </c>
      <c r="B3" s="1" t="s">
        <v>17</v>
      </c>
      <c r="C3" s="1">
        <v>2</v>
      </c>
      <c r="D3" s="1" t="s">
        <v>18</v>
      </c>
      <c r="E3" s="6">
        <f>0.014*Components[[#This Row],[Qty]]</f>
        <v>2.8000000000000001E-2</v>
      </c>
      <c r="F3" s="6">
        <f>Components[[#This Row],[Preu unitari (x10)]]*10</f>
        <v>0.28000000000000003</v>
      </c>
      <c r="G3" s="6">
        <f>Components[[#This Row],[Qty]]*0.006</f>
        <v>1.2E-2</v>
      </c>
      <c r="H3" s="6">
        <f>Components[[#This Row],[Preu unitari (x50)]]*50</f>
        <v>0.6</v>
      </c>
      <c r="I3" s="6">
        <f>0.00335*Components[[#This Row],[Qty]]</f>
        <v>6.7000000000000002E-3</v>
      </c>
      <c r="J3" s="6">
        <f>Components[[#This Row],[Preu unitari (x1000)]]*1000</f>
        <v>6.7</v>
      </c>
      <c r="K3" s="6">
        <f>Components[[#This Row],[Qty]]*0.00231</f>
        <v>4.62E-3</v>
      </c>
      <c r="L3" s="6">
        <f>Components[[#This Row],[Preu unitari (x20000)]]*20000</f>
        <v>92.4</v>
      </c>
      <c r="M3" s="6" t="s">
        <v>16</v>
      </c>
    </row>
    <row r="4" spans="1:23" x14ac:dyDescent="0.3">
      <c r="A4" s="3" t="s">
        <v>13</v>
      </c>
      <c r="B4" s="1" t="s">
        <v>19</v>
      </c>
      <c r="C4" s="1">
        <v>1</v>
      </c>
      <c r="D4" s="1" t="s">
        <v>20</v>
      </c>
      <c r="E4" s="6">
        <v>8.9999999999999993E-3</v>
      </c>
      <c r="F4" s="6">
        <f>Components[[#This Row],[Preu unitari (x10)]]*10</f>
        <v>0.09</v>
      </c>
      <c r="G4" s="6">
        <v>5.0000000000000001E-3</v>
      </c>
      <c r="H4" s="6">
        <f>Components[[#This Row],[Preu unitari (x50)]]*50</f>
        <v>0.25</v>
      </c>
      <c r="I4" s="6">
        <v>2.3E-3</v>
      </c>
      <c r="J4" s="6">
        <f>Components[[#This Row],[Preu unitari (x1000)]]*1000</f>
        <v>2.2999999999999998</v>
      </c>
      <c r="K4" s="6">
        <v>1.67E-3</v>
      </c>
      <c r="L4" s="6">
        <f>Components[[#This Row],[Preu unitari (x20000)]]*20000</f>
        <v>33.4</v>
      </c>
      <c r="M4" s="6" t="s">
        <v>16</v>
      </c>
    </row>
    <row r="5" spans="1:23" x14ac:dyDescent="0.3">
      <c r="A5" s="3" t="s">
        <v>21</v>
      </c>
      <c r="B5" s="1" t="s">
        <v>22</v>
      </c>
      <c r="C5" s="1">
        <v>2</v>
      </c>
      <c r="D5" s="1" t="s">
        <v>23</v>
      </c>
      <c r="E5" s="6">
        <f>0.022*Components[[#This Row],[Qty]]</f>
        <v>4.3999999999999997E-2</v>
      </c>
      <c r="F5" s="6">
        <f>Components[[#This Row],[Preu unitari (x10)]]*10</f>
        <v>0.43999999999999995</v>
      </c>
      <c r="G5" s="6">
        <f>Components[[#This Row],[Qty]]*0.01</f>
        <v>0.02</v>
      </c>
      <c r="H5" s="6">
        <f>Components[[#This Row],[Qty]]*0.33</f>
        <v>0.66</v>
      </c>
      <c r="I5" s="6">
        <f>0.0562*Components[[#This Row],[Qty]]</f>
        <v>0.1124</v>
      </c>
      <c r="J5" s="6">
        <f>Components[[#This Row],[Preu unitari (x1000)]]*1000</f>
        <v>112.4</v>
      </c>
      <c r="K5" s="6">
        <f>0.00388*Components[[#This Row],[Qty]]</f>
        <v>7.7600000000000004E-3</v>
      </c>
      <c r="L5" s="6">
        <f>Components[[#This Row],[Preu unitari (x20000)]]*20000</f>
        <v>155.20000000000002</v>
      </c>
      <c r="M5" s="6" t="s">
        <v>16</v>
      </c>
    </row>
    <row r="6" spans="1:23" x14ac:dyDescent="0.3">
      <c r="A6" s="3" t="s">
        <v>24</v>
      </c>
      <c r="B6" s="1">
        <v>61300311121</v>
      </c>
      <c r="C6" s="1">
        <v>1</v>
      </c>
      <c r="D6" s="1" t="s">
        <v>16</v>
      </c>
      <c r="E6" s="6">
        <f>1.04/10</f>
        <v>0.10400000000000001</v>
      </c>
      <c r="F6" s="6">
        <v>1.04</v>
      </c>
      <c r="G6" s="6">
        <f>Components[[#This Row],[50x]]/50</f>
        <v>7.2599999999999998E-2</v>
      </c>
      <c r="H6" s="6">
        <v>3.63</v>
      </c>
      <c r="I6" s="6">
        <f>Components[[#This Row],[1.000x]]/1000</f>
        <v>6.0700000000000004E-2</v>
      </c>
      <c r="J6" s="6">
        <v>60.7</v>
      </c>
      <c r="K6" s="6">
        <v>6.0699999999999997E-2</v>
      </c>
      <c r="L6" s="6">
        <f>Components[[#This Row],[Preu unitari (x20000)]]*20000</f>
        <v>1214</v>
      </c>
      <c r="M6" s="6" t="s">
        <v>16</v>
      </c>
    </row>
    <row r="7" spans="1:23" x14ac:dyDescent="0.3">
      <c r="A7" s="3" t="s">
        <v>25</v>
      </c>
      <c r="B7" s="1" t="s">
        <v>26</v>
      </c>
      <c r="C7" s="1">
        <v>1</v>
      </c>
      <c r="D7" s="1" t="s">
        <v>16</v>
      </c>
      <c r="E7" s="6">
        <f>1.57/10</f>
        <v>0.157</v>
      </c>
      <c r="F7" s="6">
        <v>1.57</v>
      </c>
      <c r="G7" s="6">
        <f>Components[[#This Row],[50x]]/50</f>
        <v>0.157</v>
      </c>
      <c r="H7" s="6">
        <v>7.85</v>
      </c>
      <c r="I7" s="6">
        <f>Components[[#This Row],[1.000x]]/1000</f>
        <v>8.3599999999999994E-2</v>
      </c>
      <c r="J7" s="6">
        <v>83.6</v>
      </c>
      <c r="K7" s="6">
        <f>Components[[#This Row],[20.000x]]/20000</f>
        <v>6.7349999999999993E-2</v>
      </c>
      <c r="L7" s="6">
        <v>1347</v>
      </c>
      <c r="M7" s="6" t="s">
        <v>16</v>
      </c>
    </row>
    <row r="8" spans="1:23" x14ac:dyDescent="0.3">
      <c r="A8" s="3" t="s">
        <v>27</v>
      </c>
      <c r="B8" s="1" t="s">
        <v>28</v>
      </c>
      <c r="C8" s="1">
        <v>10</v>
      </c>
      <c r="D8" s="1" t="s">
        <v>16</v>
      </c>
      <c r="E8" s="6">
        <v>1.01</v>
      </c>
      <c r="F8" s="6">
        <f>Components[[#This Row],[Preu unitari (x10)]]*10</f>
        <v>10.1</v>
      </c>
      <c r="G8" s="6">
        <f>0.0616*Components[[#This Row],[Qty]]</f>
        <v>0.61599999999999999</v>
      </c>
      <c r="H8" s="6">
        <f>Components[[#This Row],[Preu unitari (x50)]]*50</f>
        <v>30.8</v>
      </c>
      <c r="I8" s="6">
        <f>0.04492*Components[[#This Row],[Qty]]</f>
        <v>0.44920000000000004</v>
      </c>
      <c r="J8" s="6">
        <f>Components[[#This Row],[Preu unitari (x1000)]]*1000</f>
        <v>449.20000000000005</v>
      </c>
      <c r="K8" s="6">
        <f>0.04492*Components[[#This Row],[Qty]]</f>
        <v>0.44920000000000004</v>
      </c>
      <c r="L8" s="6">
        <f>Components[[#This Row],[Preu unitari (x20000)]]*20000</f>
        <v>8984</v>
      </c>
      <c r="M8" s="6" t="s">
        <v>16</v>
      </c>
    </row>
    <row r="9" spans="1:23" x14ac:dyDescent="0.3">
      <c r="A9" s="3" t="s">
        <v>29</v>
      </c>
      <c r="B9" s="1" t="s">
        <v>30</v>
      </c>
      <c r="C9" s="1">
        <v>1</v>
      </c>
      <c r="E9" s="6">
        <f>Components[[#This Row],[10x]]/10</f>
        <v>0.57499999999999996</v>
      </c>
      <c r="F9" s="6">
        <v>5.75</v>
      </c>
      <c r="G9" s="6">
        <f>Components[[#This Row],[50x]]/50</f>
        <v>0.53759999999999997</v>
      </c>
      <c r="H9" s="6">
        <v>26.88</v>
      </c>
      <c r="I9" s="6">
        <f>Components[[#This Row],[1.000x]]/1000</f>
        <v>0.37508999999999998</v>
      </c>
      <c r="J9" s="6">
        <v>375.09</v>
      </c>
      <c r="K9" s="6">
        <f>Components[[#This Row],[20.000x]]/20000</f>
        <v>0.33757999999999999</v>
      </c>
      <c r="L9" s="6">
        <v>6751.6</v>
      </c>
      <c r="M9" s="6" t="s">
        <v>16</v>
      </c>
    </row>
    <row r="10" spans="1:23" x14ac:dyDescent="0.3">
      <c r="A10" s="3" t="s">
        <v>31</v>
      </c>
      <c r="B10" s="1" t="s">
        <v>32</v>
      </c>
      <c r="C10" s="1">
        <v>8</v>
      </c>
      <c r="D10" s="1" t="s">
        <v>16</v>
      </c>
      <c r="E10" s="6">
        <f>Components[[#This Row],[Qty]]*0.0767</f>
        <v>0.61360000000000003</v>
      </c>
      <c r="F10" s="6">
        <f>Components[[#This Row],[Preu unitari (x10)]]*10</f>
        <v>6.1360000000000001</v>
      </c>
      <c r="G10" s="6">
        <f>0.0678*Components[[#This Row],[Qty]]</f>
        <v>0.54239999999999999</v>
      </c>
      <c r="H10" s="6">
        <f>Components[[#This Row],[Preu unitari (x50)]]*50</f>
        <v>27.12</v>
      </c>
      <c r="I10" s="6">
        <f>Components[[#This Row],[Qty]]*0.0499</f>
        <v>0.3992</v>
      </c>
      <c r="J10" s="6">
        <f>Components[[#This Row],[Preu unitari (x1000)]]*1000</f>
        <v>399.2</v>
      </c>
      <c r="K10" s="6">
        <f>Components[[#This Row],[Qty]]*0.0455</f>
        <v>0.36399999999999999</v>
      </c>
      <c r="L10" s="6">
        <f>Components[[#This Row],[Preu unitari (x20000)]]*20000</f>
        <v>7280</v>
      </c>
      <c r="M10" s="6" t="s">
        <v>16</v>
      </c>
    </row>
    <row r="11" spans="1:23" x14ac:dyDescent="0.3">
      <c r="A11" s="3" t="s">
        <v>31</v>
      </c>
      <c r="B11" s="1" t="s">
        <v>33</v>
      </c>
      <c r="C11" s="1">
        <v>8</v>
      </c>
      <c r="D11" s="1" t="s">
        <v>16</v>
      </c>
      <c r="E11" s="6">
        <f>Components[[#This Row],[Qty]]*0.1193</f>
        <v>0.95440000000000003</v>
      </c>
      <c r="F11" s="6">
        <f>Components[[#This Row],[Preu unitari (x10)]]*10</f>
        <v>9.5440000000000005</v>
      </c>
      <c r="G11" s="6">
        <f>0.0634*Components[[#This Row],[Qty]]</f>
        <v>0.50719999999999998</v>
      </c>
      <c r="H11" s="6">
        <f>Components[[#This Row],[Preu unitari (x50)]]*50</f>
        <v>25.36</v>
      </c>
      <c r="I11" s="6">
        <f>0.0596*Components[[#This Row],[Qty]]</f>
        <v>0.4768</v>
      </c>
      <c r="J11" s="6">
        <f>Components[[#This Row],[Preu unitari (x1000)]]*1000</f>
        <v>476.8</v>
      </c>
      <c r="K11" s="6">
        <f>0.029*Components[[#This Row],[Qty]]</f>
        <v>0.23200000000000001</v>
      </c>
      <c r="L11" s="6">
        <f>Components[[#This Row],[Preu unitari (x20000)]]*20000</f>
        <v>4640</v>
      </c>
      <c r="M11" s="6" t="s">
        <v>16</v>
      </c>
    </row>
    <row r="12" spans="1:23" x14ac:dyDescent="0.3">
      <c r="A12" s="3" t="s">
        <v>34</v>
      </c>
      <c r="B12" s="1" t="s">
        <v>35</v>
      </c>
      <c r="C12" s="1">
        <v>1</v>
      </c>
      <c r="D12" s="1" t="s">
        <v>16</v>
      </c>
      <c r="E12" s="6">
        <f>Components[[#This Row],[10x]]/10</f>
        <v>0.621</v>
      </c>
      <c r="F12" s="6">
        <v>6.21</v>
      </c>
      <c r="G12" s="6">
        <f>Components[[#This Row],[50x]]/50</f>
        <v>0.58360000000000001</v>
      </c>
      <c r="H12" s="6">
        <v>29.18</v>
      </c>
      <c r="I12" s="6">
        <f>Components[[#This Row],[1.000x]]/1000</f>
        <v>0.30119999999999997</v>
      </c>
      <c r="J12" s="6">
        <v>301.2</v>
      </c>
      <c r="K12" s="6">
        <f>Components[[#This Row],[20.000x]]/20000</f>
        <v>0.26639000000000002</v>
      </c>
      <c r="L12" s="6">
        <v>5327.8</v>
      </c>
      <c r="M12" s="6">
        <v>0.25800000000000001</v>
      </c>
    </row>
    <row r="13" spans="1:23" x14ac:dyDescent="0.3">
      <c r="A13" s="3" t="s">
        <v>36</v>
      </c>
      <c r="B13" s="1" t="s">
        <v>37</v>
      </c>
      <c r="C13" s="1">
        <v>1</v>
      </c>
      <c r="D13" s="1" t="s">
        <v>16</v>
      </c>
      <c r="E13" s="6">
        <f>Components[[#This Row],[10x]]/10</f>
        <v>9.9390000000000001</v>
      </c>
      <c r="F13" s="6">
        <v>99.39</v>
      </c>
      <c r="G13" s="6">
        <f>Components[[#This Row],[50x]]/50</f>
        <v>9.5272000000000006</v>
      </c>
      <c r="H13" s="6">
        <v>476.36</v>
      </c>
      <c r="I13" s="6">
        <f>Components[[#This Row],[1.000x]]/1000</f>
        <v>7.2876099999999999</v>
      </c>
      <c r="J13" s="6">
        <v>7287.61</v>
      </c>
      <c r="K13" s="6">
        <f>Components[[#This Row],[20.000x]]/20000</f>
        <v>7.2876100000000008</v>
      </c>
      <c r="L13" s="6">
        <v>145752.20000000001</v>
      </c>
      <c r="M13" s="6" t="s">
        <v>16</v>
      </c>
    </row>
    <row r="14" spans="1:23" x14ac:dyDescent="0.3">
      <c r="A14" s="3" t="s">
        <v>38</v>
      </c>
      <c r="B14" s="1" t="s">
        <v>39</v>
      </c>
      <c r="C14" s="1">
        <v>1</v>
      </c>
      <c r="D14" s="1" t="s">
        <v>16</v>
      </c>
      <c r="E14" s="6">
        <f>Components[[#This Row],[10x]]/10</f>
        <v>0.52</v>
      </c>
      <c r="F14" s="6">
        <v>5.2</v>
      </c>
      <c r="G14" s="6">
        <f>Components[[#This Row],[50x]]/50</f>
        <v>0.52</v>
      </c>
      <c r="H14" s="6">
        <v>26</v>
      </c>
      <c r="I14" s="6">
        <f>Components[[#This Row],[1.000x]]/1000</f>
        <v>0.30469999999999997</v>
      </c>
      <c r="J14" s="6">
        <v>304.7</v>
      </c>
      <c r="K14" s="6">
        <f>Components[[#This Row],[20.000x]]/20000</f>
        <v>0.19167899999999999</v>
      </c>
      <c r="L14" s="6">
        <v>3833.58</v>
      </c>
      <c r="M14" s="6" t="s">
        <v>16</v>
      </c>
    </row>
    <row r="15" spans="1:23" x14ac:dyDescent="0.3">
      <c r="A15" s="3" t="s">
        <v>40</v>
      </c>
      <c r="B15" s="1" t="s">
        <v>41</v>
      </c>
      <c r="C15" s="1">
        <v>1</v>
      </c>
      <c r="D15" s="1" t="s">
        <v>16</v>
      </c>
      <c r="E15" s="6">
        <f>Components[[#This Row],[10x]]/10</f>
        <v>0.41</v>
      </c>
      <c r="F15" s="6">
        <v>4.0999999999999996</v>
      </c>
      <c r="G15" s="6">
        <f>Components[[#This Row],[50x]]/50</f>
        <v>0.39560000000000001</v>
      </c>
      <c r="H15" s="6">
        <v>19.78</v>
      </c>
      <c r="I15" s="6">
        <f>Components[[#This Row],[1.000x]]/1000</f>
        <v>0.38630000000000003</v>
      </c>
      <c r="J15" s="6">
        <v>386.3</v>
      </c>
      <c r="K15" s="6">
        <f>Components[[#This Row],[20.000x]]/20000</f>
        <v>0.38629999999999998</v>
      </c>
      <c r="L15" s="6">
        <v>7726</v>
      </c>
      <c r="M15" s="6">
        <v>0.82338</v>
      </c>
      <c r="Q15" s="1"/>
      <c r="R15" s="1"/>
      <c r="S15" s="1"/>
      <c r="T15" s="5"/>
      <c r="U15" s="5"/>
      <c r="V15" s="5"/>
      <c r="W15" s="5"/>
    </row>
    <row r="16" spans="1:23" x14ac:dyDescent="0.3">
      <c r="A16" s="3" t="s">
        <v>42</v>
      </c>
      <c r="B16" s="1" t="s">
        <v>43</v>
      </c>
      <c r="C16" s="1">
        <v>1</v>
      </c>
      <c r="D16" s="1" t="s">
        <v>16</v>
      </c>
      <c r="E16" s="6">
        <v>4.5999999999999999E-2</v>
      </c>
      <c r="F16" s="6">
        <f>Components[[#This Row],[Preu unitari (x10)]]*10</f>
        <v>0.45999999999999996</v>
      </c>
      <c r="G16" s="6">
        <v>3.6999999999999998E-2</v>
      </c>
      <c r="H16" s="6">
        <f>Components[[#This Row],[Preu unitari (x50)]]*50</f>
        <v>1.8499999999999999</v>
      </c>
      <c r="I16" s="6">
        <v>1.7000000000000001E-2</v>
      </c>
      <c r="J16" s="6">
        <f>Components[[#This Row],[Preu unitari (x1000)]]*1000</f>
        <v>17</v>
      </c>
      <c r="K16" s="6">
        <f>0.01</f>
        <v>0.01</v>
      </c>
      <c r="L16" s="6">
        <f>Components[[#This Row],[Preu unitari (x20000)]]*20000</f>
        <v>200</v>
      </c>
      <c r="M16" s="6" t="s">
        <v>16</v>
      </c>
      <c r="Q16" s="1"/>
      <c r="R16" s="1"/>
      <c r="S16" s="1"/>
      <c r="T16" s="5"/>
      <c r="U16" s="5"/>
      <c r="V16" s="5"/>
      <c r="W16" s="5"/>
    </row>
    <row r="17" spans="1:23" x14ac:dyDescent="0.3">
      <c r="A17" s="3" t="s">
        <v>44</v>
      </c>
      <c r="B17" s="1" t="s">
        <v>45</v>
      </c>
      <c r="C17" s="1">
        <v>2</v>
      </c>
      <c r="D17" s="1" t="s">
        <v>16</v>
      </c>
      <c r="E17" s="6">
        <f>0.344*Components[[#This Row],[Qty]]</f>
        <v>0.68799999999999994</v>
      </c>
      <c r="F17" s="6">
        <f>Components[[#This Row],[Preu unitari (x10)]]*10</f>
        <v>6.879999999999999</v>
      </c>
      <c r="G17" s="6">
        <f>Components[[#This Row],[Qty]]*0.2839</f>
        <v>0.56779999999999997</v>
      </c>
      <c r="H17" s="6">
        <f>Components[[#This Row],[Preu unitari (x50)]]*50</f>
        <v>28.389999999999997</v>
      </c>
      <c r="I17" s="6">
        <f>Components[[#This Row],[Qty]]*0.20368</f>
        <v>0.40736</v>
      </c>
      <c r="J17" s="6">
        <f>Components[[#This Row],[Preu unitari (x1000)]]*1000</f>
        <v>407.36</v>
      </c>
      <c r="K17" s="6">
        <f>0.18518*Components[[#This Row],[Qty]]</f>
        <v>0.37036000000000002</v>
      </c>
      <c r="L17" s="6">
        <f>Components[[#This Row],[Preu unitari (x20000)]]*20000</f>
        <v>7407.2000000000007</v>
      </c>
      <c r="M17" s="6" t="s">
        <v>16</v>
      </c>
      <c r="Q17" s="1"/>
      <c r="R17" s="1"/>
      <c r="S17" s="1"/>
      <c r="T17" s="5"/>
      <c r="U17" s="5"/>
      <c r="V17" s="5"/>
      <c r="W17" s="5"/>
    </row>
    <row r="18" spans="1:23" x14ac:dyDescent="0.3">
      <c r="A18" s="3" t="s">
        <v>46</v>
      </c>
      <c r="B18" s="1" t="s">
        <v>47</v>
      </c>
      <c r="C18" s="1">
        <v>2</v>
      </c>
      <c r="D18" s="1" t="s">
        <v>16</v>
      </c>
      <c r="E18" s="6">
        <f>0.121</f>
        <v>0.121</v>
      </c>
      <c r="F18" s="6">
        <f>Components[[#This Row],[Preu unitari (x10)]]*10</f>
        <v>1.21</v>
      </c>
      <c r="G18" s="6">
        <f>0.0562*Components[[#This Row],[Qty]]</f>
        <v>0.1124</v>
      </c>
      <c r="H18" s="6">
        <f>Components[[#This Row],[Preu unitari (x50)]]*50</f>
        <v>5.62</v>
      </c>
      <c r="I18" s="6">
        <f>0.03977</f>
        <v>3.977E-2</v>
      </c>
      <c r="J18" s="6">
        <f>Components[[#This Row],[Preu unitari (x1000)]]*1000</f>
        <v>39.770000000000003</v>
      </c>
      <c r="K18" s="6">
        <f>0.02766*Components[[#This Row],[Qty]]</f>
        <v>5.5320000000000001E-2</v>
      </c>
      <c r="L18" s="6">
        <f>Components[[#This Row],[Preu unitari (x20000)]]*20000</f>
        <v>1106.4000000000001</v>
      </c>
      <c r="M18" s="6" t="s">
        <v>16</v>
      </c>
      <c r="Q18" s="1"/>
      <c r="R18" s="1"/>
      <c r="S18" s="1"/>
      <c r="T18" s="5"/>
      <c r="U18" s="5"/>
      <c r="V18" s="5"/>
      <c r="W18" s="5"/>
    </row>
    <row r="19" spans="1:23" x14ac:dyDescent="0.3">
      <c r="A19" s="3" t="s">
        <v>48</v>
      </c>
      <c r="B19" s="1" t="s">
        <v>49</v>
      </c>
      <c r="C19" s="1">
        <v>1</v>
      </c>
      <c r="D19" s="1" t="s">
        <v>16</v>
      </c>
      <c r="E19" s="6">
        <v>9.8262</v>
      </c>
      <c r="F19" s="6">
        <f>Components[[#This Row],[Preu unitari (x10)]]*10</f>
        <v>98.262</v>
      </c>
      <c r="G19" s="6">
        <f>Components[[#This Row],[50x]]/50</f>
        <v>9.5800999999999998</v>
      </c>
      <c r="H19" s="6">
        <f>9.5801*25*2</f>
        <v>479.005</v>
      </c>
      <c r="I19" s="6">
        <f>Components[[#This Row],[1.000x]]/1000</f>
        <v>8.7962000000000007</v>
      </c>
      <c r="J19" s="6">
        <f>8.7962*1000</f>
        <v>8796.2000000000007</v>
      </c>
      <c r="K19" s="6">
        <f>Components[[#This Row],[20.000x]]/20000</f>
        <v>8.4771999999999998</v>
      </c>
      <c r="L19" s="6">
        <f>8.4772*5000*4</f>
        <v>169544</v>
      </c>
      <c r="M19" s="6">
        <v>8.27</v>
      </c>
      <c r="Q19" s="1"/>
      <c r="R19" s="1"/>
      <c r="S19" s="1"/>
      <c r="T19" s="5"/>
      <c r="U19" s="5"/>
      <c r="V19" s="5"/>
      <c r="W19" s="5"/>
    </row>
    <row r="20" spans="1:23" x14ac:dyDescent="0.3">
      <c r="A20" s="3" t="s">
        <v>50</v>
      </c>
      <c r="B20" s="1" t="s">
        <v>51</v>
      </c>
      <c r="C20" s="1">
        <v>1</v>
      </c>
      <c r="D20" s="1" t="s">
        <v>16</v>
      </c>
      <c r="E20" s="6">
        <v>1.4550000000000001</v>
      </c>
      <c r="F20" s="6">
        <f>Components[[#This Row],[Preu unitari (x10)]]*10</f>
        <v>14.55</v>
      </c>
      <c r="G20" s="6">
        <v>1.2542</v>
      </c>
      <c r="H20" s="6">
        <f>Components[[#This Row],[Preu unitari (x50)]]*50</f>
        <v>62.71</v>
      </c>
      <c r="I20" s="6">
        <v>0.90288999999999997</v>
      </c>
      <c r="J20" s="6">
        <f>Components[[#This Row],[Preu unitari (x1000)]]*1000</f>
        <v>902.89</v>
      </c>
      <c r="K20" s="6">
        <v>0.70225000000000004</v>
      </c>
      <c r="L20" s="6">
        <f>Components[[#This Row],[Preu unitari (x20000)]]*20000</f>
        <v>14045</v>
      </c>
      <c r="M20" s="6" t="s">
        <v>16</v>
      </c>
      <c r="U20" s="5"/>
      <c r="V20" s="5"/>
      <c r="W20" s="5"/>
    </row>
    <row r="21" spans="1:23" x14ac:dyDescent="0.3">
      <c r="A21" s="3" t="s">
        <v>52</v>
      </c>
      <c r="B21" s="1" t="s">
        <v>53</v>
      </c>
      <c r="C21" s="1">
        <v>1</v>
      </c>
      <c r="D21" s="1" t="s">
        <v>16</v>
      </c>
      <c r="E21" s="6">
        <f>Components[[#This Row],[10x]]/10</f>
        <v>1.3399000000000001</v>
      </c>
      <c r="F21" s="6">
        <f>1.3399*10</f>
        <v>13.399000000000001</v>
      </c>
      <c r="G21" s="6">
        <f>Components[[#This Row],[50x]]/50</f>
        <v>1.2579</v>
      </c>
      <c r="H21" s="6">
        <f>1.2579*25*2</f>
        <v>62.895000000000003</v>
      </c>
      <c r="I21" s="6">
        <f>Components[[#This Row],[1.000x]]/1000</f>
        <v>0.73099999999999998</v>
      </c>
      <c r="J21" s="6">
        <f>0.731*1000</f>
        <v>731</v>
      </c>
      <c r="K21" s="6">
        <f>Components[[#This Row],[20.000x]]/20000</f>
        <v>0.66539999999999999</v>
      </c>
      <c r="L21" s="6">
        <f>5000*0.6654*4</f>
        <v>13308</v>
      </c>
      <c r="M21" s="6" t="s">
        <v>16</v>
      </c>
      <c r="U21" s="5"/>
      <c r="V21" s="5"/>
      <c r="W21" s="5"/>
    </row>
    <row r="22" spans="1:23" x14ac:dyDescent="0.3">
      <c r="A22" s="3" t="s">
        <v>54</v>
      </c>
      <c r="B22" s="1" t="s">
        <v>55</v>
      </c>
      <c r="C22" s="1">
        <v>3</v>
      </c>
      <c r="D22" s="1" t="s">
        <v>16</v>
      </c>
      <c r="E22" s="6">
        <f>1.3781*Components[[#This Row],[Qty]]</f>
        <v>4.1343000000000005</v>
      </c>
      <c r="F22" s="6">
        <f>Components[[#This Row],[Preu unitari (x10)]]*10</f>
        <v>41.343000000000004</v>
      </c>
      <c r="G22" s="6">
        <f>1.2421*Components[[#This Row],[Qty]]</f>
        <v>3.7263000000000002</v>
      </c>
      <c r="H22" s="6">
        <f>Components[[#This Row],[Preu unitari (x50)]]*50</f>
        <v>186.315</v>
      </c>
      <c r="I22" s="6">
        <f>Components[[#This Row],[Qty]]*0.8949</f>
        <v>2.6847000000000003</v>
      </c>
      <c r="J22" s="6">
        <f>Components[[#This Row],[Preu unitari (x1000)]]*1000</f>
        <v>2684.7000000000003</v>
      </c>
      <c r="K22" s="6">
        <f>0.8949*Components[[#This Row],[Qty]]</f>
        <v>2.6847000000000003</v>
      </c>
      <c r="L22" s="6">
        <f>Components[[#This Row],[Preu unitari (x20000)]]*20000</f>
        <v>53694.000000000007</v>
      </c>
      <c r="M22" s="6" t="s">
        <v>16</v>
      </c>
      <c r="U22" s="5"/>
      <c r="V22" s="5"/>
      <c r="W22" s="5"/>
    </row>
    <row r="23" spans="1:23" x14ac:dyDescent="0.3">
      <c r="A23" s="3" t="s">
        <v>54</v>
      </c>
      <c r="B23" s="1" t="s">
        <v>56</v>
      </c>
      <c r="C23" s="1">
        <v>4</v>
      </c>
      <c r="D23" s="1" t="s">
        <v>16</v>
      </c>
      <c r="E23" s="6">
        <f>1.5328*Components[[#This Row],[Qty]]</f>
        <v>6.1311999999999998</v>
      </c>
      <c r="F23" s="6">
        <f>Components[[#This Row],[Preu unitari (x10)]]*10</f>
        <v>61.311999999999998</v>
      </c>
      <c r="G23" s="6">
        <f>Components[[#This Row],[Qty]]*1.3798</f>
        <v>5.5191999999999997</v>
      </c>
      <c r="H23" s="6">
        <f>Components[[#This Row],[Preu unitari (x50)]]*50</f>
        <v>275.95999999999998</v>
      </c>
      <c r="I23" s="6">
        <f>Components[[#This Row],[Qty]]*1.07319</f>
        <v>4.2927600000000004</v>
      </c>
      <c r="J23" s="6">
        <f>Components[[#This Row],[Preu unitari (x1000)]]*1000</f>
        <v>4292.76</v>
      </c>
      <c r="K23" s="6">
        <f>1.03486*Components[[#This Row],[Qty]]</f>
        <v>4.1394399999999996</v>
      </c>
      <c r="L23" s="6">
        <f>Components[[#This Row],[Preu unitari (x20000)]]*20000</f>
        <v>82788.799999999988</v>
      </c>
      <c r="M23" s="6" t="s">
        <v>16</v>
      </c>
      <c r="U23" s="5"/>
      <c r="V23" s="5"/>
      <c r="W23" s="5"/>
    </row>
    <row r="24" spans="1:23" x14ac:dyDescent="0.3">
      <c r="A24" s="3" t="s">
        <v>57</v>
      </c>
      <c r="B24" s="1" t="s">
        <v>58</v>
      </c>
      <c r="C24" s="1">
        <v>1</v>
      </c>
      <c r="D24" s="1">
        <v>100</v>
      </c>
      <c r="E24" s="6">
        <v>0.11600000000000001</v>
      </c>
      <c r="F24" s="6">
        <v>1.1599999999999999</v>
      </c>
      <c r="G24" s="6">
        <f>0.116</f>
        <v>0.11600000000000001</v>
      </c>
      <c r="H24" s="6">
        <f>Components[[#This Row],[Preu unitari (x50)]]*50</f>
        <v>5.8000000000000007</v>
      </c>
      <c r="I24" s="6">
        <v>1.9539999999999998E-2</v>
      </c>
      <c r="J24" s="6">
        <f>Components[[#This Row],[Preu unitari (x1000)]]*1000</f>
        <v>19.54</v>
      </c>
      <c r="K24" s="6">
        <v>1.355E-2</v>
      </c>
      <c r="L24" s="6">
        <f>Components[[#This Row],[Preu unitari (x20000)]]*20000</f>
        <v>271</v>
      </c>
      <c r="M24" s="6" t="s">
        <v>16</v>
      </c>
      <c r="U24" s="5"/>
      <c r="V24" s="5"/>
      <c r="W24" s="5"/>
    </row>
    <row r="25" spans="1:23" x14ac:dyDescent="0.3">
      <c r="A25" s="3" t="s">
        <v>57</v>
      </c>
      <c r="B25" s="1" t="s">
        <v>59</v>
      </c>
      <c r="C25" s="1">
        <v>4</v>
      </c>
      <c r="D25" s="1" t="s">
        <v>60</v>
      </c>
      <c r="E25" s="6">
        <f>0.056*Components[[#This Row],[Qty]]</f>
        <v>0.224</v>
      </c>
      <c r="F25" s="6">
        <f>Components[[#This Row],[Preu unitari (x10)]]*10</f>
        <v>2.2400000000000002</v>
      </c>
      <c r="G25" s="6">
        <f>0.0228*Components[[#This Row],[Qty]]</f>
        <v>9.1200000000000003E-2</v>
      </c>
      <c r="H25" s="6">
        <f>Components[[#This Row],[Preu unitari (x50)]]*50</f>
        <v>4.5600000000000005</v>
      </c>
      <c r="I25" s="6">
        <f>0.00734*Components[[#This Row],[Qty]]</f>
        <v>2.9360000000000001E-2</v>
      </c>
      <c r="J25" s="6">
        <f>Components[[#This Row],[Preu unitari (x1000)]]*1000</f>
        <v>29.36</v>
      </c>
      <c r="K25" s="6">
        <f>0.00514*Components[[#This Row],[Qty]]</f>
        <v>2.0559999999999998E-2</v>
      </c>
      <c r="L25" s="6">
        <f>Components[[#This Row],[Preu unitari (x20000)]]*20000</f>
        <v>411.2</v>
      </c>
      <c r="M25" s="6" t="s">
        <v>16</v>
      </c>
      <c r="U25" s="5"/>
      <c r="V25" s="5"/>
      <c r="W25" s="5"/>
    </row>
    <row r="26" spans="1:23" x14ac:dyDescent="0.3">
      <c r="A26" s="3" t="s">
        <v>57</v>
      </c>
      <c r="B26" s="1" t="s">
        <v>61</v>
      </c>
      <c r="C26" s="1">
        <v>2</v>
      </c>
      <c r="D26" s="1" t="s">
        <v>62</v>
      </c>
      <c r="E26" s="6">
        <f>0.014*Components[[#This Row],[Qty]]</f>
        <v>2.8000000000000001E-2</v>
      </c>
      <c r="F26" s="6">
        <f>Components[[#This Row],[Preu unitari (x10)]]*10</f>
        <v>0.28000000000000003</v>
      </c>
      <c r="G26" s="6">
        <f>0.014</f>
        <v>1.4E-2</v>
      </c>
      <c r="H26" s="6">
        <f>Components[[#This Row],[Preu unitari (x50)]]*50</f>
        <v>0.70000000000000007</v>
      </c>
      <c r="I26" s="6">
        <f>0.00402*Components[[#This Row],[Qty]]</f>
        <v>8.0400000000000003E-3</v>
      </c>
      <c r="J26" s="6">
        <f>Components[[#This Row],[Preu unitari (x1000)]]*1000</f>
        <v>8.0400000000000009</v>
      </c>
      <c r="K26" s="6">
        <f>0.0021*Components[[#This Row],[Qty]]</f>
        <v>4.1999999999999997E-3</v>
      </c>
      <c r="L26" s="6">
        <f>Components[[#This Row],[Preu unitari (x20000)]]*20000</f>
        <v>84</v>
      </c>
      <c r="M26" s="6" t="s">
        <v>16</v>
      </c>
      <c r="Q26" s="1"/>
      <c r="R26" s="1"/>
      <c r="S26" s="1"/>
      <c r="T26" s="5"/>
      <c r="U26" s="5"/>
      <c r="V26" s="5"/>
      <c r="W26" s="5"/>
    </row>
    <row r="27" spans="1:23" x14ac:dyDescent="0.3">
      <c r="A27" s="3" t="s">
        <v>57</v>
      </c>
      <c r="B27" s="1" t="s">
        <v>63</v>
      </c>
      <c r="C27" s="1">
        <v>7</v>
      </c>
      <c r="D27" s="1" t="s">
        <v>64</v>
      </c>
      <c r="E27" s="6">
        <f>0.023*Components[[#This Row],[Qty]]</f>
        <v>0.161</v>
      </c>
      <c r="F27" s="6">
        <f>Components[[#This Row],[Preu unitari (x10)]]*10</f>
        <v>1.61</v>
      </c>
      <c r="G27" s="6">
        <f>0.0122*Components[[#This Row],[Qty]]</f>
        <v>8.5400000000000004E-2</v>
      </c>
      <c r="H27" s="6">
        <f>Components[[#This Row],[Preu unitari (x50)]]*50</f>
        <v>4.2700000000000005</v>
      </c>
      <c r="I27" s="6">
        <f>Components[[#This Row],[Qty]]*0.00531</f>
        <v>3.7169999999999995E-2</v>
      </c>
      <c r="J27" s="6">
        <f>Components[[#This Row],[Preu unitari (x1000)]]*1000</f>
        <v>37.169999999999995</v>
      </c>
      <c r="K27" s="6">
        <f>0.00335*Components[[#This Row],[Qty]]</f>
        <v>2.3450000000000002E-2</v>
      </c>
      <c r="L27" s="6">
        <f>Components[[#This Row],[Preu unitari (x20000)]]*20000</f>
        <v>469.00000000000006</v>
      </c>
      <c r="M27" s="6" t="s">
        <v>16</v>
      </c>
      <c r="Q27" s="1"/>
      <c r="R27" s="1"/>
      <c r="S27" s="1"/>
      <c r="T27" s="5"/>
      <c r="U27" s="5"/>
      <c r="V27" s="5"/>
      <c r="W27" s="5"/>
    </row>
    <row r="28" spans="1:23" x14ac:dyDescent="0.3">
      <c r="A28" s="3" t="s">
        <v>65</v>
      </c>
      <c r="B28" s="1" t="s">
        <v>66</v>
      </c>
      <c r="C28" s="1">
        <v>1</v>
      </c>
      <c r="D28" s="1" t="s">
        <v>16</v>
      </c>
      <c r="E28" s="6">
        <f>Components[[#This Row],[10x]]/10</f>
        <v>0.93599999999999994</v>
      </c>
      <c r="F28" s="6">
        <v>9.36</v>
      </c>
      <c r="G28" s="6">
        <f>Components[[#This Row],[50x]]/50</f>
        <v>0.69819999999999993</v>
      </c>
      <c r="H28" s="6">
        <v>34.909999999999997</v>
      </c>
      <c r="I28" s="6">
        <f>Components[[#This Row],[1.000x]]/1000</f>
        <v>0.47514000000000001</v>
      </c>
      <c r="J28" s="6">
        <v>475.14</v>
      </c>
      <c r="K28" s="6">
        <f>Components[[#This Row],[20.000x]]/20000</f>
        <v>0.43193999999999999</v>
      </c>
      <c r="L28" s="6">
        <v>8638.7999999999993</v>
      </c>
      <c r="M28" s="6" t="s">
        <v>16</v>
      </c>
      <c r="Q28" s="1"/>
      <c r="R28" s="1"/>
      <c r="S28" s="1"/>
      <c r="T28" s="5"/>
      <c r="U28" s="5"/>
      <c r="V28" s="5"/>
      <c r="W28" s="5"/>
    </row>
    <row r="29" spans="1:23" x14ac:dyDescent="0.3">
      <c r="A29" s="3" t="s">
        <v>67</v>
      </c>
      <c r="B29" s="1" t="s">
        <v>68</v>
      </c>
      <c r="C29" s="1">
        <v>2</v>
      </c>
      <c r="D29" s="1" t="s">
        <v>69</v>
      </c>
      <c r="E29" s="6">
        <f>2.427*Components[[#This Row],[Qty]]</f>
        <v>4.8540000000000001</v>
      </c>
      <c r="F29" s="6">
        <f>Components[[#This Row],[Preu unitari (x10)]]*10</f>
        <v>48.54</v>
      </c>
      <c r="G29" s="6">
        <f>1.8532*Components[[#This Row],[Qty]]</f>
        <v>3.7063999999999999</v>
      </c>
      <c r="H29" s="6">
        <f>Components[[#This Row],[Preu unitari (x50)]]*50</f>
        <v>185.32</v>
      </c>
      <c r="I29" s="6">
        <f>1.14719*Components[[#This Row],[Qty]]</f>
        <v>2.2943799999999999</v>
      </c>
      <c r="J29" s="6">
        <f>Components[[#This Row],[Preu unitari (x1000)]]*1000</f>
        <v>2294.3799999999997</v>
      </c>
      <c r="K29" s="6">
        <f>1.11189*Components[[#This Row],[Qty]]</f>
        <v>2.2237800000000001</v>
      </c>
      <c r="L29" s="6">
        <f>Components[[#This Row],[Preu unitari (x20000)]]*20000</f>
        <v>44475.6</v>
      </c>
      <c r="M29" s="6" t="s">
        <v>16</v>
      </c>
      <c r="Q29" s="1"/>
      <c r="R29" s="1"/>
      <c r="S29" s="1"/>
      <c r="T29" s="5"/>
      <c r="U29" s="5"/>
      <c r="V29" s="5"/>
      <c r="W29" s="5"/>
    </row>
    <row r="30" spans="1:23" x14ac:dyDescent="0.3">
      <c r="A30" s="3" t="s">
        <v>70</v>
      </c>
      <c r="B30" s="1" t="s">
        <v>71</v>
      </c>
      <c r="C30" s="1">
        <v>1</v>
      </c>
      <c r="D30" s="1" t="s">
        <v>16</v>
      </c>
      <c r="E30" s="6">
        <f>Components[[#This Row],[10x]]/10</f>
        <v>0.23900000000000002</v>
      </c>
      <c r="F30" s="6">
        <v>2.39</v>
      </c>
      <c r="G30" s="6">
        <f>Components[[#This Row],[50x]]/50</f>
        <v>0.22640000000000002</v>
      </c>
      <c r="H30" s="6">
        <v>11.32</v>
      </c>
      <c r="I30" s="6">
        <f>Components[[#This Row],[1.000x]]/1000</f>
        <v>0.14821000000000001</v>
      </c>
      <c r="J30" s="6">
        <v>148.21</v>
      </c>
      <c r="K30" s="6">
        <f>Components[[#This Row],[20.000x]]/20000</f>
        <v>0.13585999999999998</v>
      </c>
      <c r="L30" s="6">
        <v>2717.2</v>
      </c>
      <c r="M30" s="6" t="s">
        <v>16</v>
      </c>
      <c r="Q30" s="1"/>
      <c r="R30" s="1"/>
      <c r="S30" s="1"/>
      <c r="T30" s="5"/>
      <c r="U30" s="5"/>
      <c r="V30" s="5"/>
      <c r="W30" s="5"/>
    </row>
    <row r="31" spans="1:23" x14ac:dyDescent="0.3">
      <c r="A31" s="3" t="s">
        <v>72</v>
      </c>
      <c r="B31" s="1" t="s">
        <v>73</v>
      </c>
      <c r="C31" s="1">
        <v>1</v>
      </c>
      <c r="D31" s="1" t="s">
        <v>16</v>
      </c>
      <c r="E31" s="6">
        <v>1.05</v>
      </c>
      <c r="F31" s="6">
        <f>Components[[#This Row],[Preu unitari (x10)]]*10</f>
        <v>10.5</v>
      </c>
      <c r="G31" s="6">
        <v>1.05</v>
      </c>
      <c r="H31" s="6">
        <f>Components[[#This Row],[Preu unitari (x50)]]*50</f>
        <v>52.5</v>
      </c>
      <c r="I31" s="6">
        <v>1.05</v>
      </c>
      <c r="J31" s="6">
        <f>Components[[#This Row],[Preu unitari (x1000)]]*1000</f>
        <v>1050</v>
      </c>
      <c r="K31" s="6">
        <v>1.05</v>
      </c>
      <c r="L31" s="6">
        <f>Components[[#This Row],[Preu unitari (x20000)]]*20000</f>
        <v>21000</v>
      </c>
      <c r="M31" s="6" t="s">
        <v>16</v>
      </c>
      <c r="Q31" s="1"/>
      <c r="R31" s="1"/>
      <c r="S31" s="1"/>
      <c r="T31" s="5"/>
      <c r="U31" s="5"/>
      <c r="V31" s="5"/>
      <c r="W31" s="5"/>
    </row>
    <row r="32" spans="1:23" x14ac:dyDescent="0.3">
      <c r="A32" s="3" t="s">
        <v>74</v>
      </c>
      <c r="B32" s="1" t="s">
        <v>75</v>
      </c>
      <c r="C32" s="1">
        <v>1</v>
      </c>
      <c r="D32" s="1" t="s">
        <v>16</v>
      </c>
      <c r="E32" s="6">
        <v>1.52</v>
      </c>
      <c r="F32" s="6">
        <f>Components[[#This Row],[Preu unitari (x10)]]*10</f>
        <v>15.2</v>
      </c>
      <c r="G32" s="6">
        <f>1.28</f>
        <v>1.28</v>
      </c>
      <c r="H32" s="6">
        <f>Components[[#This Row],[Preu unitari (x50)]]*50</f>
        <v>64</v>
      </c>
      <c r="I32" s="6">
        <v>1.1200000000000001</v>
      </c>
      <c r="J32" s="6">
        <f>Components[[#This Row],[Preu unitari (x1000)]]*1000</f>
        <v>1120</v>
      </c>
      <c r="K32" s="6">
        <v>1.1100000000000001</v>
      </c>
      <c r="L32" s="6">
        <f>Components[[#This Row],[Preu unitari (x20000)]]*20000</f>
        <v>22200.000000000004</v>
      </c>
      <c r="M32" s="6">
        <v>1.1100000000000001</v>
      </c>
      <c r="Q32" s="1"/>
      <c r="R32" s="1"/>
      <c r="S32" s="1"/>
      <c r="T32" s="5"/>
      <c r="U32" s="5"/>
      <c r="V32" s="5"/>
      <c r="W32" s="5"/>
    </row>
    <row r="33" spans="1:23" x14ac:dyDescent="0.3">
      <c r="A33" s="1" t="s">
        <v>76</v>
      </c>
      <c r="B33" s="1"/>
      <c r="C33" s="1"/>
      <c r="E33" s="6">
        <f>SUBTOTAL(109,Components[Preu unitari (x10)])</f>
        <v>48.460599999999992</v>
      </c>
      <c r="F33" s="6">
        <f>SUBTOTAL(109,Components[10x])</f>
        <v>484.60600000000005</v>
      </c>
      <c r="G33" s="6">
        <f>SUBTOTAL(109,Components[Preu unitari (x50)])</f>
        <v>43.104300000000002</v>
      </c>
      <c r="H33" s="6">
        <f>SUBTOTAL(109,Components[50x])</f>
        <v>2154.875</v>
      </c>
      <c r="I33" s="6">
        <f>SUBTOTAL(109,Components[Preu unitari (x1000)])</f>
        <v>33.465339999999998</v>
      </c>
      <c r="J33" s="6">
        <f>SUBTOTAL(109,Components[1.000x])</f>
        <v>33465.339999999997</v>
      </c>
      <c r="K33" s="6">
        <f>SUBTOTAL(109,Components[Preu unitari (x20000)])</f>
        <v>31.899849</v>
      </c>
      <c r="L33" s="6">
        <f>SUBTOTAL(109,Components[20.000x])</f>
        <v>637996.97999999986</v>
      </c>
      <c r="M33" s="6">
        <f>SUBTOTAL(109,Components[Microchip])</f>
        <v>10.461379999999998</v>
      </c>
      <c r="R33" s="1"/>
      <c r="S33" s="1"/>
      <c r="T33" s="5"/>
      <c r="U33" s="5"/>
      <c r="V33" s="5"/>
      <c r="W33" s="5"/>
    </row>
    <row r="39" spans="1:23" x14ac:dyDescent="0.3">
      <c r="B39" s="8" t="s">
        <v>77</v>
      </c>
      <c r="C39" s="4" t="s">
        <v>4</v>
      </c>
      <c r="D39" s="4" t="s">
        <v>5</v>
      </c>
      <c r="E39" s="4" t="s">
        <v>6</v>
      </c>
      <c r="F39" s="4" t="s">
        <v>7</v>
      </c>
      <c r="G39" s="4" t="s">
        <v>8</v>
      </c>
      <c r="H39" s="4" t="s">
        <v>9</v>
      </c>
      <c r="I39" s="4" t="s">
        <v>10</v>
      </c>
      <c r="J39" s="4" t="s">
        <v>11</v>
      </c>
      <c r="M39" s="14" t="s">
        <v>4</v>
      </c>
      <c r="N39" s="14" t="s">
        <v>6</v>
      </c>
      <c r="O39" s="14" t="s">
        <v>8</v>
      </c>
      <c r="P39" s="14" t="s">
        <v>10</v>
      </c>
    </row>
    <row r="40" spans="1:23" x14ac:dyDescent="0.3">
      <c r="B40" s="3" t="s">
        <v>78</v>
      </c>
      <c r="C40" s="7">
        <f>D40/10</f>
        <v>1.5740000000000001</v>
      </c>
      <c r="D40" s="7">
        <v>15.74</v>
      </c>
      <c r="E40" s="7">
        <f>46.85/50</f>
        <v>0.93700000000000006</v>
      </c>
      <c r="F40" s="7">
        <v>46.85</v>
      </c>
      <c r="G40" s="7">
        <f>H40/1000</f>
        <v>0.71908000000000005</v>
      </c>
      <c r="H40" s="7">
        <v>719.08</v>
      </c>
      <c r="I40" s="7">
        <f>J40/20000</f>
        <v>0.70822350000000001</v>
      </c>
      <c r="J40" s="7">
        <v>14164.47</v>
      </c>
      <c r="L40" s="11" t="s">
        <v>78</v>
      </c>
      <c r="M40" s="15">
        <f>N40/10</f>
        <v>9.3700000000000006E-2</v>
      </c>
      <c r="N40" s="15">
        <f>46.85/50</f>
        <v>0.93700000000000006</v>
      </c>
      <c r="O40" s="15">
        <f>H40/1000</f>
        <v>0.71908000000000005</v>
      </c>
      <c r="P40" s="15">
        <f>J40/20000</f>
        <v>0.70822350000000001</v>
      </c>
    </row>
    <row r="41" spans="1:23" x14ac:dyDescent="0.3">
      <c r="B41" s="3" t="s">
        <v>79</v>
      </c>
      <c r="C41" s="7">
        <f>D41/10</f>
        <v>3.1</v>
      </c>
      <c r="D41" s="7">
        <v>31</v>
      </c>
      <c r="E41" s="7">
        <f>76.75/50</f>
        <v>1.5349999999999999</v>
      </c>
      <c r="F41" s="7">
        <v>76.75</v>
      </c>
      <c r="G41" s="7">
        <f>H41/1000</f>
        <v>0.46006999999999998</v>
      </c>
      <c r="H41" s="7">
        <v>460.07</v>
      </c>
      <c r="I41" s="7">
        <f>J41/20000</f>
        <v>0.50086000000000008</v>
      </c>
      <c r="J41" s="7">
        <v>10017.200000000001</v>
      </c>
      <c r="L41" s="12" t="s">
        <v>79</v>
      </c>
      <c r="M41" s="16">
        <f>N41/10</f>
        <v>0.1535</v>
      </c>
      <c r="N41" s="16">
        <f>76.75/50</f>
        <v>1.5349999999999999</v>
      </c>
      <c r="O41" s="16">
        <f>H41/1000</f>
        <v>0.46006999999999998</v>
      </c>
      <c r="P41" s="16">
        <f>J41/20000</f>
        <v>0.50086000000000008</v>
      </c>
    </row>
    <row r="42" spans="1:23" x14ac:dyDescent="0.3">
      <c r="B42" s="3" t="s">
        <v>80</v>
      </c>
      <c r="C42" s="7">
        <f>D42/10</f>
        <v>6.008</v>
      </c>
      <c r="D42" s="7">
        <v>60.08</v>
      </c>
      <c r="E42" s="7">
        <f>60.08/50</f>
        <v>1.2016</v>
      </c>
      <c r="F42" s="7">
        <v>60.08</v>
      </c>
      <c r="G42" s="7">
        <f>H42/1000</f>
        <v>6.0069999999999998E-2</v>
      </c>
      <c r="H42" s="7">
        <v>60.07</v>
      </c>
      <c r="I42" s="10">
        <f>60.07/20000</f>
        <v>3.0035000000000001E-3</v>
      </c>
      <c r="J42" s="7">
        <v>60.07</v>
      </c>
      <c r="L42" s="11" t="s">
        <v>80</v>
      </c>
      <c r="M42" s="15">
        <f>N42/10</f>
        <v>0.12016</v>
      </c>
      <c r="N42" s="15">
        <f>60.08/50</f>
        <v>1.2016</v>
      </c>
      <c r="O42" s="15">
        <f>H42/1000</f>
        <v>6.0069999999999998E-2</v>
      </c>
      <c r="P42" s="18">
        <f>60.07/20000</f>
        <v>3.0035000000000001E-3</v>
      </c>
    </row>
    <row r="43" spans="1:23" x14ac:dyDescent="0.3">
      <c r="B43" s="3" t="s">
        <v>81</v>
      </c>
      <c r="C43" s="7"/>
      <c r="D43" s="7"/>
      <c r="E43" s="7"/>
      <c r="F43" s="7"/>
      <c r="G43" s="7">
        <f>H43/1000</f>
        <v>6.3299999999999997E-3</v>
      </c>
      <c r="H43" s="7">
        <v>6.33</v>
      </c>
      <c r="I43" s="10">
        <f>6.33/20000</f>
        <v>3.165E-4</v>
      </c>
      <c r="J43" s="7">
        <v>6.33</v>
      </c>
      <c r="L43" s="12" t="s">
        <v>81</v>
      </c>
      <c r="M43" s="16"/>
      <c r="N43" s="16"/>
      <c r="O43" s="20">
        <f>H43/1000</f>
        <v>6.3299999999999997E-3</v>
      </c>
      <c r="P43" s="19">
        <f>6.33/20000</f>
        <v>3.165E-4</v>
      </c>
    </row>
    <row r="44" spans="1:23" x14ac:dyDescent="0.3">
      <c r="B44" s="3" t="s">
        <v>76</v>
      </c>
      <c r="C44" s="7">
        <f>SUM(Fabricacio_muntatge[Preu unitari (x10)])</f>
        <v>10.682</v>
      </c>
      <c r="D44" s="7">
        <f>SUM(Fabricacio_muntatge[10x])</f>
        <v>106.82</v>
      </c>
      <c r="E44" s="7">
        <f>SUM(Fabricacio_muntatge[Preu unitari (x50)])</f>
        <v>3.6736</v>
      </c>
      <c r="F44" s="7">
        <f>SUM(Fabricacio_muntatge[50x])</f>
        <v>183.68</v>
      </c>
      <c r="G44" s="7">
        <f>SUM(Fabricacio_muntatge[Preu unitari (x1000)])</f>
        <v>1.2455499999999999</v>
      </c>
      <c r="H44" s="7">
        <f>SUM(Fabricacio_muntatge[1.000x])</f>
        <v>1245.55</v>
      </c>
      <c r="I44" s="7">
        <f>SUM(Fabricacio_muntatge[Preu unitari (x20000)])</f>
        <v>1.2124035000000002</v>
      </c>
      <c r="J44" s="7">
        <f>SUM(Fabricacio_muntatge[20.000x])</f>
        <v>24248.07</v>
      </c>
      <c r="L44" s="13" t="s">
        <v>76</v>
      </c>
      <c r="M44" s="17">
        <f>SUM(Fabricacio_muntatge[Preu unitari (x10)])</f>
        <v>10.682</v>
      </c>
      <c r="N44" s="17">
        <f>SUM(Fabricacio_muntatge[Preu unitari (x50)])</f>
        <v>3.6736</v>
      </c>
      <c r="O44" s="17">
        <f>SUM(Fabricacio_muntatge[Preu unitari (x1000)])</f>
        <v>1.2455499999999999</v>
      </c>
      <c r="P44" s="17">
        <f>SUM(Fabricacio_muntatge[Preu unitari (x20000)])</f>
        <v>1.2124035000000002</v>
      </c>
    </row>
    <row r="45" spans="1:23" x14ac:dyDescent="0.3">
      <c r="C45" s="1"/>
      <c r="E45" s="1"/>
      <c r="F45" s="5"/>
      <c r="G45" s="5"/>
      <c r="H45" s="5"/>
      <c r="I45" s="5"/>
    </row>
    <row r="46" spans="1:23" x14ac:dyDescent="0.3">
      <c r="C46" s="1"/>
      <c r="E46" s="1"/>
      <c r="F46" s="5"/>
      <c r="G46" s="5"/>
      <c r="H46" s="5"/>
      <c r="I46" s="5"/>
    </row>
    <row r="47" spans="1:23" x14ac:dyDescent="0.3">
      <c r="B47" s="3" t="s">
        <v>82</v>
      </c>
      <c r="C47" s="3" t="s">
        <v>83</v>
      </c>
      <c r="D47" s="3" t="s">
        <v>84</v>
      </c>
      <c r="E47" s="3" t="s">
        <v>85</v>
      </c>
      <c r="F47" s="3" t="s">
        <v>86</v>
      </c>
      <c r="G47" s="5"/>
      <c r="H47" s="3" t="s">
        <v>82</v>
      </c>
      <c r="I47" s="1" t="s">
        <v>83</v>
      </c>
      <c r="J47" s="1" t="s">
        <v>84</v>
      </c>
      <c r="K47" s="1" t="s">
        <v>85</v>
      </c>
      <c r="L47" s="1" t="s">
        <v>86</v>
      </c>
    </row>
    <row r="48" spans="1:23" x14ac:dyDescent="0.3">
      <c r="B48" s="3" t="s">
        <v>87</v>
      </c>
      <c r="C48" s="9">
        <f>SUBTOTAL(109,Components[Preu unitari (x10)])</f>
        <v>48.460599999999992</v>
      </c>
      <c r="D48" s="9">
        <f>SUBTOTAL(109,Components[Preu unitari (x50)])</f>
        <v>43.104300000000002</v>
      </c>
      <c r="E48" s="9">
        <f>SUBTOTAL(109,Components[Preu unitari (x1000)])</f>
        <v>33.465339999999998</v>
      </c>
      <c r="F48" s="9">
        <f>SUBTOTAL(109,Components[Preu unitari (x20000)])</f>
        <v>31.899849</v>
      </c>
      <c r="G48" s="5"/>
      <c r="H48" s="3" t="s">
        <v>87</v>
      </c>
      <c r="I48" s="9">
        <f>SUBTOTAL(109,Components[10x])</f>
        <v>484.60600000000005</v>
      </c>
      <c r="J48" s="9">
        <f>SUBTOTAL(109,Components[50x])</f>
        <v>2154.875</v>
      </c>
      <c r="K48" s="9">
        <f>SUBTOTAL(109,Components[1.000x])</f>
        <v>33465.339999999997</v>
      </c>
      <c r="L48" s="9">
        <f>SUBTOTAL(109,Components[20.000x])</f>
        <v>637996.97999999986</v>
      </c>
    </row>
    <row r="49" spans="2:12" x14ac:dyDescent="0.3">
      <c r="B49" s="3" t="s">
        <v>88</v>
      </c>
      <c r="C49" s="9">
        <v>10.68</v>
      </c>
      <c r="D49" s="9">
        <v>3.67</v>
      </c>
      <c r="E49" s="9">
        <v>1.25</v>
      </c>
      <c r="F49" s="9">
        <v>1.21</v>
      </c>
      <c r="G49" s="5"/>
      <c r="H49" s="3" t="s">
        <v>88</v>
      </c>
      <c r="I49" s="7">
        <f>SUM(Fabricacio_muntatge[10x])</f>
        <v>106.82</v>
      </c>
      <c r="J49" s="7">
        <f>SUM(Fabricacio_muntatge[50x])</f>
        <v>183.68</v>
      </c>
      <c r="K49" s="7">
        <f>SUM(Fabricacio_muntatge[1.000x])</f>
        <v>1245.55</v>
      </c>
      <c r="L49" s="7">
        <f>SUM(Fabricacio_muntatge[20.000x])</f>
        <v>24248.07</v>
      </c>
    </row>
    <row r="50" spans="2:12" x14ac:dyDescent="0.3">
      <c r="B50" s="3" t="s">
        <v>76</v>
      </c>
      <c r="C50" s="9">
        <f>SUM(preu_total[x10])</f>
        <v>59.140599999999992</v>
      </c>
      <c r="D50" s="9">
        <f>SUM(preu_total[x50])</f>
        <v>46.774300000000004</v>
      </c>
      <c r="E50" s="9">
        <f>SUM(preu_total[x1000])</f>
        <v>34.715339999999998</v>
      </c>
      <c r="F50" s="9">
        <f>SUM(preu_total[x20000])</f>
        <v>33.109848999999997</v>
      </c>
      <c r="G50" s="5"/>
      <c r="H50" s="3" t="s">
        <v>76</v>
      </c>
      <c r="I50" s="9">
        <f>SUM(preu_total6[x10])</f>
        <v>591.42600000000004</v>
      </c>
      <c r="J50" s="9">
        <f>SUM(preu_total6[x50])</f>
        <v>2338.5549999999998</v>
      </c>
      <c r="K50" s="9">
        <f>SUM(preu_total6[x1000])</f>
        <v>34710.89</v>
      </c>
      <c r="L50" s="9">
        <f>SUM(preu_total6[x20000])</f>
        <v>662245.04999999981</v>
      </c>
    </row>
    <row r="51" spans="2:12" x14ac:dyDescent="0.3">
      <c r="C51" s="1"/>
      <c r="E51" s="1"/>
      <c r="F51" s="5"/>
      <c r="G51" s="5"/>
      <c r="H51" s="5"/>
      <c r="I51" s="5"/>
    </row>
  </sheetData>
  <pageMargins left="0.75" right="0.75" top="1" bottom="1" header="0.5" footer="0.5"/>
  <ignoredErrors>
    <ignoredError sqref="G5 I5 K5 F21 H21 J21 L21 L19 J19 H19 G8 I8 J8:K8 E29 G29 I29 K29" formula="1"/>
    <ignoredError sqref="E40:E42 I48:L49 C49:F49" calculatedColumn="1"/>
  </ignoredErrors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Grup1_tarda_LLUMS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Hernández Roca</dc:creator>
  <cp:keywords/>
  <dc:description/>
  <cp:lastModifiedBy>SERGI MARSOL TORRENT</cp:lastModifiedBy>
  <cp:revision/>
  <dcterms:created xsi:type="dcterms:W3CDTF">2023-04-20T13:54:39Z</dcterms:created>
  <dcterms:modified xsi:type="dcterms:W3CDTF">2024-01-22T19:32:23Z</dcterms:modified>
  <cp:category/>
  <cp:contentStatus/>
</cp:coreProperties>
</file>