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5/"/>
    </mc:Choice>
  </mc:AlternateContent>
  <xr:revisionPtr revIDLastSave="0" documentId="8_{9A313694-4193-F84F-8B19-934BA1B29587}" xr6:coauthVersionLast="47" xr6:coauthVersionMax="47" xr10:uidLastSave="{00000000-0000-0000-0000-000000000000}"/>
  <bookViews>
    <workbookView xWindow="0" yWindow="500" windowWidth="28800" windowHeight="17500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Variables!$B$19</definedName>
    <definedName name="Tarifa_impuesto_a_la_renta">Variables!$B$20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5" l="1"/>
  <c r="H14" i="2"/>
  <c r="H16" i="2" s="1"/>
  <c r="E25" i="6"/>
  <c r="K25" i="6" s="1"/>
  <c r="AC17" i="6"/>
  <c r="W17" i="6"/>
  <c r="Q17" i="6"/>
  <c r="AC9" i="6"/>
  <c r="W9" i="6"/>
  <c r="AC8" i="6"/>
  <c r="W8" i="6"/>
  <c r="AC16" i="6"/>
  <c r="W16" i="6"/>
  <c r="Q16" i="6"/>
  <c r="K16" i="6"/>
  <c r="E16" i="6"/>
  <c r="Q9" i="6"/>
  <c r="Q8" i="6"/>
  <c r="K8" i="6"/>
  <c r="K9" i="6"/>
  <c r="K17" i="6"/>
  <c r="E8" i="6"/>
  <c r="E17" i="6"/>
  <c r="E9" i="6"/>
  <c r="AC29" i="6"/>
  <c r="AC24" i="6"/>
  <c r="Q29" i="6"/>
  <c r="W29" i="6" s="1"/>
  <c r="Q24" i="6"/>
  <c r="K24" i="6"/>
  <c r="K19" i="6"/>
  <c r="AC19" i="6" s="1"/>
  <c r="K18" i="6"/>
  <c r="AC18" i="6" s="1"/>
  <c r="K7" i="6"/>
  <c r="Q7" i="6" s="1"/>
  <c r="W7" i="6" s="1"/>
  <c r="AC7" i="6" s="1"/>
  <c r="K6" i="6"/>
  <c r="Q6" i="6" s="1"/>
  <c r="W6" i="6" s="1"/>
  <c r="AC6" i="6" s="1"/>
  <c r="AC34" i="6"/>
  <c r="AC11" i="6"/>
  <c r="AC12" i="6" s="1"/>
  <c r="W34" i="6"/>
  <c r="W24" i="6"/>
  <c r="W11" i="6"/>
  <c r="W12" i="6" s="1"/>
  <c r="Q34" i="6"/>
  <c r="Q11" i="6"/>
  <c r="Q12" i="6" s="1"/>
  <c r="K29" i="6"/>
  <c r="E24" i="6"/>
  <c r="E26" i="6"/>
  <c r="K26" i="6" s="1"/>
  <c r="Q26" i="6" s="1"/>
  <c r="W26" i="6" s="1"/>
  <c r="AC26" i="6" s="1"/>
  <c r="E27" i="6"/>
  <c r="K27" i="6" s="1"/>
  <c r="Q27" i="6" s="1"/>
  <c r="W27" i="6" s="1"/>
  <c r="AC27" i="6" s="1"/>
  <c r="K11" i="6"/>
  <c r="K12" i="6" s="1"/>
  <c r="E12" i="6"/>
  <c r="E28" i="6"/>
  <c r="K28" i="6" s="1"/>
  <c r="Q28" i="6" s="1"/>
  <c r="W28" i="6" s="1"/>
  <c r="AC28" i="6" s="1"/>
  <c r="E34" i="6"/>
  <c r="K34" i="6"/>
  <c r="AA24" i="5"/>
  <c r="AC20" i="5"/>
  <c r="AC15" i="5"/>
  <c r="AC14" i="5"/>
  <c r="AC13" i="5"/>
  <c r="AA13" i="5"/>
  <c r="AA12" i="5"/>
  <c r="H10" i="2"/>
  <c r="H8" i="2"/>
  <c r="A1" i="6"/>
  <c r="F20" i="2"/>
  <c r="B5" i="2"/>
  <c r="K30" i="6" l="1"/>
  <c r="Q25" i="6"/>
  <c r="W25" i="6" s="1"/>
  <c r="AC25" i="6" s="1"/>
  <c r="AC30" i="6" s="1"/>
  <c r="E10" i="6"/>
  <c r="E13" i="6" s="1"/>
  <c r="G9" i="5" s="1"/>
  <c r="E23" i="6"/>
  <c r="F9" i="2"/>
  <c r="K23" i="6"/>
  <c r="E30" i="6"/>
  <c r="AA16" i="5"/>
  <c r="AA25" i="5" s="1"/>
  <c r="AC16" i="5"/>
  <c r="AC21" i="5" s="1"/>
  <c r="H9" i="2"/>
  <c r="H12" i="2" s="1"/>
  <c r="H17" i="2" s="1"/>
  <c r="A1" i="5"/>
  <c r="C20" i="5"/>
  <c r="C9" i="5"/>
  <c r="C13" i="5" s="1"/>
  <c r="W30" i="6" l="1"/>
  <c r="Q30" i="6"/>
  <c r="E46" i="6"/>
  <c r="E48" i="6" s="1"/>
  <c r="E31" i="6"/>
  <c r="E35" i="6" s="1"/>
  <c r="E37" i="6" s="1"/>
  <c r="E41" i="6" s="1"/>
  <c r="K31" i="6"/>
  <c r="K35" i="6" s="1"/>
  <c r="AC23" i="5"/>
  <c r="F8" i="2"/>
  <c r="F12" i="2" s="1"/>
  <c r="F21" i="2" s="1"/>
  <c r="H19" i="2" s="1"/>
  <c r="C23" i="5"/>
  <c r="B6" i="5"/>
  <c r="C24" i="5" s="1"/>
  <c r="E47" i="6" l="1"/>
  <c r="E42" i="6"/>
  <c r="E43" i="6" s="1"/>
  <c r="E50" i="6" s="1"/>
  <c r="K16" i="5"/>
  <c r="E49" i="6"/>
  <c r="K20" i="5" l="1"/>
  <c r="E52" i="6"/>
  <c r="E51" i="6"/>
  <c r="E53" i="6"/>
  <c r="G20" i="5"/>
  <c r="G13" i="5" l="1"/>
  <c r="G23" i="5" s="1"/>
  <c r="G25" i="5" l="1"/>
  <c r="K10" i="6"/>
  <c r="K13" i="6"/>
  <c r="K9" i="5" s="1"/>
  <c r="K13" i="5" s="1"/>
  <c r="K25" i="5" s="1"/>
  <c r="K46" i="6" l="1"/>
  <c r="K48" i="6" s="1"/>
  <c r="F6" i="5"/>
  <c r="G26" i="5"/>
  <c r="K26" i="5" s="1"/>
  <c r="K49" i="6"/>
  <c r="K23" i="5"/>
  <c r="K37" i="6"/>
  <c r="K47" i="6"/>
  <c r="J6" i="5" l="1"/>
  <c r="G24" i="5"/>
  <c r="K41" i="6"/>
  <c r="K42" i="6"/>
  <c r="K24" i="5"/>
  <c r="K43" i="6" l="1"/>
  <c r="K50" i="6" s="1"/>
  <c r="K53" i="6" l="1"/>
  <c r="K52" i="6"/>
  <c r="K51" i="6"/>
  <c r="W23" i="6"/>
  <c r="W31" i="6" s="1"/>
  <c r="W35" i="6" s="1"/>
  <c r="AC23" i="6"/>
  <c r="Q23" i="6"/>
  <c r="Q31" i="6" l="1"/>
  <c r="Q35" i="6" s="1"/>
  <c r="O16" i="5" s="1"/>
  <c r="AC31" i="6"/>
  <c r="AC35" i="6" s="1"/>
  <c r="S16" i="5"/>
  <c r="O20" i="5" l="1"/>
  <c r="W16" i="5"/>
  <c r="S20" i="5"/>
  <c r="W20" i="5" l="1"/>
  <c r="Q10" i="6"/>
  <c r="Q13" i="6" s="1"/>
  <c r="Q46" i="6" l="1"/>
  <c r="O9" i="5"/>
  <c r="O13" i="5" s="1"/>
  <c r="O25" i="5" s="1"/>
  <c r="Q37" i="6"/>
  <c r="N6" i="5" l="1"/>
  <c r="O26" i="5"/>
  <c r="Q41" i="6"/>
  <c r="Q42" i="6"/>
  <c r="O23" i="5"/>
  <c r="Q47" i="6"/>
  <c r="Q48" i="6"/>
  <c r="O24" i="5" l="1"/>
  <c r="Q49" i="6"/>
  <c r="Q43" i="6"/>
  <c r="Q50" i="6" s="1"/>
  <c r="Q53" i="6" l="1"/>
  <c r="Q52" i="6"/>
  <c r="Q51" i="6"/>
  <c r="W10" i="6" l="1"/>
  <c r="W13" i="6" s="1"/>
  <c r="AC10" i="6"/>
  <c r="AC13" i="6" s="1"/>
  <c r="W9" i="5" l="1"/>
  <c r="W13" i="5" s="1"/>
  <c r="AC37" i="6"/>
  <c r="AC46" i="6"/>
  <c r="W46" i="6"/>
  <c r="S9" i="5"/>
  <c r="S13" i="5" s="1"/>
  <c r="W37" i="6"/>
  <c r="W41" i="6" l="1"/>
  <c r="W42" i="6"/>
  <c r="W47" i="6"/>
  <c r="W48" i="6"/>
  <c r="AC42" i="6"/>
  <c r="AC41" i="6"/>
  <c r="AC43" i="6" s="1"/>
  <c r="S25" i="5"/>
  <c r="S23" i="5"/>
  <c r="AC47" i="6"/>
  <c r="AC48" i="6"/>
  <c r="W23" i="5"/>
  <c r="W25" i="5"/>
  <c r="W43" i="6" l="1"/>
  <c r="S26" i="5"/>
  <c r="W26" i="5" s="1"/>
  <c r="R6" i="5"/>
  <c r="W50" i="6"/>
  <c r="W49" i="6"/>
  <c r="AC49" i="6"/>
  <c r="AC50" i="6"/>
  <c r="V6" i="5" l="1"/>
  <c r="W24" i="5" s="1"/>
  <c r="S24" i="5"/>
  <c r="AC51" i="6"/>
  <c r="AC53" i="6"/>
  <c r="AC52" i="6"/>
  <c r="W51" i="6"/>
  <c r="W52" i="6"/>
  <c r="W53" i="6"/>
</calcChain>
</file>

<file path=xl/sharedStrings.xml><?xml version="1.0" encoding="utf-8"?>
<sst xmlns="http://schemas.openxmlformats.org/spreadsheetml/2006/main" count="470" uniqueCount="144">
  <si>
    <t>Arquitectura Empresarial</t>
  </si>
  <si>
    <t>Modelo financiero</t>
  </si>
  <si>
    <t>Patrimonio inicial</t>
  </si>
  <si>
    <t>Activos</t>
  </si>
  <si>
    <t>Pasivo inicial</t>
  </si>
  <si>
    <t>Activo inicial</t>
  </si>
  <si>
    <t>Cuentas por cobrar</t>
  </si>
  <si>
    <t>Caja</t>
  </si>
  <si>
    <t>Valor arriendo diario</t>
  </si>
  <si>
    <t>Inventarios</t>
  </si>
  <si>
    <t>Número de días al año arrendada</t>
  </si>
  <si>
    <t>Mobiliario</t>
  </si>
  <si>
    <t>Pago servicios públicos por mes</t>
  </si>
  <si>
    <t>Equipos de cómputo</t>
  </si>
  <si>
    <t>Pasivos</t>
  </si>
  <si>
    <t>Nómina</t>
  </si>
  <si>
    <t>Cuentas por pagar</t>
  </si>
  <si>
    <t>Deuda a largo plazo</t>
  </si>
  <si>
    <t>Arriendo de local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</si>
  <si>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</si>
  <si>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</si>
  <si>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</si>
  <si>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</si>
  <si>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</si>
  <si>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</si>
  <si>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</si>
  <si>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</si>
  <si>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</si>
  <si>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</si>
  <si>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</si>
  <si>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</si>
  <si>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</si>
  <si>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</si>
  <si>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</si>
  <si>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</si>
  <si>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</si>
  <si>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</si>
  <si>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</si>
  <si>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</si>
  <si>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</si>
  <si>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</si>
  <si>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</si>
  <si>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</si>
  <si>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</si>
  <si>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</si>
  <si>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</si>
  <si>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</si>
  <si>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</si>
  <si>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</si>
  <si>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</si>
  <si>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</si>
  <si>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</si>
  <si>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</si>
  <si>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</si>
  <si>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</si>
  <si>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</si>
  <si>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</si>
  <si>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</si>
  <si>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</si>
  <si>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</si>
  <si>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</si>
  <si>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</si>
  <si>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</si>
  <si>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</si>
  <si>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</si>
  <si>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</si>
  <si>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</si>
  <si>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</si>
  <si>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</si>
  <si>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</si>
  <si>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</si>
  <si>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</si>
  <si>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</si>
  <si>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</si>
  <si>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</si>
  <si>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</si>
  <si>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</si>
  <si>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</si>
  <si>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</si>
  <si>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</si>
  <si>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</si>
  <si>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</si>
  <si>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</si>
  <si>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</si>
  <si>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</si>
  <si>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</si>
  <si>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</si>
  <si>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</si>
  <si>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</si>
  <si>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</si>
  <si>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</si>
  <si>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</si>
  <si>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</si>
  <si>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</si>
  <si>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</si>
  <si>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</si>
  <si>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</si>
  <si>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</si>
  <si>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</si>
  <si>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Activo Corriente</t>
  </si>
  <si>
    <t>Pasivo Corriente</t>
  </si>
  <si>
    <t>Deudas a corto plazo</t>
  </si>
  <si>
    <t>Activo no corriente</t>
  </si>
  <si>
    <t>Pasivo no corriente</t>
  </si>
  <si>
    <t>Total activos:</t>
  </si>
  <si>
    <t>Total activo corriente</t>
  </si>
  <si>
    <t>Total activo no corriente</t>
  </si>
  <si>
    <t>Total pasivo corriente</t>
  </si>
  <si>
    <t>Otros pasivos</t>
  </si>
  <si>
    <t>Total pasivo no corriente</t>
  </si>
  <si>
    <t>Patrimonio</t>
  </si>
  <si>
    <t>Total pasivos:</t>
  </si>
  <si>
    <t>-</t>
  </si>
  <si>
    <t>Total pasivo + patrimonio</t>
  </si>
  <si>
    <t>Salario 4 empleados mensual</t>
  </si>
  <si>
    <t>1. Los ingresos, los costos y los gastos aumentan con la inflación anual</t>
  </si>
  <si>
    <t>2. Todo está expresado en pesos colombianos 2022</t>
  </si>
  <si>
    <t>3. Los intereses bancarios adicionale</t>
  </si>
  <si>
    <t>Monturas</t>
  </si>
  <si>
    <t>Salario Vendedores</t>
  </si>
  <si>
    <t>Salario Supervisor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</si>
  <si>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</si>
  <si>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</si>
  <si>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</si>
  <si>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</si>
  <si>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</si>
  <si>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</si>
  <si>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</si>
  <si>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</si>
  <si>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Ingresos</t>
  </si>
  <si>
    <t>Egresos</t>
  </si>
  <si>
    <t>Maquinaria</t>
  </si>
  <si>
    <t>Examenes visuales</t>
  </si>
  <si>
    <t>Arreglo de gafas</t>
  </si>
  <si>
    <t>Venta de monturas</t>
  </si>
  <si>
    <t>Venta de monturas con lentes</t>
  </si>
  <si>
    <t>Arreglo de maquinarias</t>
  </si>
  <si>
    <t>Arreglo de equipos de computo</t>
  </si>
  <si>
    <t>Arriendo del local</t>
  </si>
  <si>
    <t>Monturas compradas mensualmente</t>
  </si>
  <si>
    <t xml:space="preserve">Número de vendedores </t>
  </si>
  <si>
    <t>Pago por instalación y modificación lentes</t>
  </si>
  <si>
    <t>4. La óptica va a tener un crecimiento del 5 al 10% en los próximos 5 años.</t>
  </si>
  <si>
    <t>Mantenimiento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</si>
</sst>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([$$-409]* #,##0_);_([$$-409]* \(#,##0\);_([$$-409]* &quot;-&quot;??_);_(@_)"/>
    <numFmt numFmtId="166" formatCode="_-[$$-240A]\ * #,##0_-;\-[$$-240A]\ * #,##0_-;_-[$$-240A]\ * &quot;-&quot;??_-;_-@_-"/>
    <numFmt numFmtId="167" formatCode="0.0%"/>
    <numFmt numFmtId="168" formatCode="_-&quot;$&quot;\ * #,##0_-;\-&quot;$&quot;\ * #,##0_-;_-&quot;$&quot;\ * &quot;-&quot;??_-;_-@_-"/>
  </numFmts>
  <fonts count="6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164" fontId="2" fillId="0" borderId="1" xfId="2" applyFont="1" applyBorder="1"/>
    <xf numFmtId="164" fontId="0" fillId="0" borderId="1" xfId="2" applyFont="1" applyBorder="1"/>
    <xf numFmtId="0" fontId="5" fillId="6" borderId="1" xfId="0" applyFont="1" applyFill="1" applyBorder="1"/>
    <xf numFmtId="164" fontId="5" fillId="6" borderId="1" xfId="2" applyFont="1" applyFill="1" applyBorder="1"/>
    <xf numFmtId="164" fontId="4" fillId="6" borderId="1" xfId="2" applyFont="1" applyFill="1" applyBorder="1"/>
    <xf numFmtId="166" fontId="2" fillId="3" borderId="0" xfId="0" applyNumberFormat="1" applyFont="1" applyFill="1" applyAlignment="1">
      <alignment horizontal="right"/>
    </xf>
    <xf numFmtId="167" fontId="2" fillId="3" borderId="0" xfId="1" applyNumberFormat="1" applyFont="1" applyFill="1" applyBorder="1" applyAlignment="1">
      <alignment horizontal="right"/>
    </xf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5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7" fontId="0" fillId="3" borderId="1" xfId="4" applyNumberFormat="1" applyFont="1" applyFill="1" applyBorder="1" applyAlignment="1">
      <alignment horizontal="center" vertical="center" wrapText="1"/>
    </xf>
    <xf numFmtId="165" fontId="3" fillId="3" borderId="1" xfId="3" applyNumberFormat="1" applyFill="1" applyBorder="1" applyAlignment="1">
      <alignment vertical="center" wrapText="1"/>
    </xf>
    <xf numFmtId="165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5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8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8" fontId="0" fillId="3" borderId="1" xfId="5" applyNumberFormat="1" applyFont="1" applyFill="1" applyBorder="1" applyAlignment="1">
      <alignment vertical="center" wrapText="1"/>
    </xf>
    <xf numFmtId="44" fontId="0" fillId="0" borderId="1" xfId="0" applyNumberFormat="1" applyBorder="1"/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8" fontId="3" fillId="3" borderId="1" xfId="2" applyNumberFormat="1" applyFill="1" applyBorder="1"/>
    <xf numFmtId="0" fontId="0" fillId="3" borderId="2" xfId="3" applyFont="1" applyFill="1" applyBorder="1"/>
    <xf numFmtId="0" fontId="0" fillId="3" borderId="1" xfId="3" applyFont="1" applyFill="1" applyBorder="1"/>
    <xf numFmtId="0" fontId="0" fillId="3" borderId="4" xfId="3" applyFont="1" applyFill="1" applyBorder="1" applyAlignment="1">
      <alignment horizontal="left" vertical="center" wrapText="1"/>
    </xf>
    <xf numFmtId="168" fontId="0" fillId="3" borderId="2" xfId="5" applyNumberFormat="1" applyFont="1" applyFill="1" applyBorder="1"/>
    <xf numFmtId="168" fontId="0" fillId="3" borderId="1" xfId="2" applyNumberFormat="1" applyFont="1" applyFill="1" applyBorder="1"/>
    <xf numFmtId="168" fontId="0" fillId="3" borderId="4" xfId="5" applyNumberFormat="1" applyFont="1" applyFill="1" applyBorder="1" applyAlignment="1">
      <alignment vertical="center" wrapText="1"/>
    </xf>
    <xf numFmtId="165" fontId="0" fillId="3" borderId="1" xfId="3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7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6">
    <cellStyle name="Moneda" xfId="2" builtinId="4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</xdr:col>
      <xdr:colOff>0</xdr:colOff>
      <xdr:row>54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46A4EB-BFBC-2AA0-BF37-EF271DE7C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46800"/>
          <a:ext cx="3403600" cy="5130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6</xdr:col>
      <xdr:colOff>1062566</xdr:colOff>
      <xdr:row>54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3B0B8A-2CFC-5C37-DBF0-AFD0B3966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4533" y="6146800"/>
          <a:ext cx="3365500" cy="5130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10</xdr:col>
      <xdr:colOff>1062567</xdr:colOff>
      <xdr:row>54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A4667A-3AEB-0F26-E01D-9F47F4179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6146800"/>
          <a:ext cx="3365500" cy="513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14</xdr:col>
      <xdr:colOff>1062567</xdr:colOff>
      <xdr:row>54</xdr:row>
      <xdr:rowOff>101600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C12833-67DE-DCE9-BFAA-BE0AFBBD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5867" y="6146800"/>
          <a:ext cx="3365500" cy="51308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18</xdr:col>
      <xdr:colOff>1087966</xdr:colOff>
      <xdr:row>54</xdr:row>
      <xdr:rowOff>101600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7CD320-72D2-F2BE-50D0-3A161AF11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96533" y="6146800"/>
          <a:ext cx="3390900" cy="513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0</xdr:rowOff>
    </xdr:from>
    <xdr:to>
      <xdr:col>22</xdr:col>
      <xdr:colOff>1087967</xdr:colOff>
      <xdr:row>54</xdr:row>
      <xdr:rowOff>101600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1D93D2-CDDE-3BFF-48C5-FA7587E6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71067" y="6146800"/>
          <a:ext cx="3390900" cy="513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H26"/>
  <sheetViews>
    <sheetView showGridLines="0" tabSelected="1" zoomScale="93" workbookViewId="0">
      <selection activeCell="G30" sqref="G30"/>
    </sheetView>
  </sheetViews>
  <sheetFormatPr baseColWidth="10" defaultColWidth="11" defaultRowHeight="14" x14ac:dyDescent="0.15"/>
  <cols>
    <col min="1" max="1" width="36.5" customWidth="1"/>
    <col min="2" max="2" width="17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8" ht="16" x14ac:dyDescent="0.2">
      <c r="A1" s="1" t="s">
        <v>0</v>
      </c>
      <c r="B1" s="1"/>
      <c r="C1" s="1"/>
      <c r="D1" s="1"/>
    </row>
    <row r="2" spans="1:8" ht="16" x14ac:dyDescent="0.2">
      <c r="A2" s="2" t="s">
        <v>1</v>
      </c>
      <c r="B2" s="2"/>
      <c r="C2" s="2"/>
      <c r="D2" s="2"/>
    </row>
    <row r="3" spans="1:8" ht="16" x14ac:dyDescent="0.2">
      <c r="A3" s="2"/>
      <c r="B3" s="2"/>
      <c r="C3" s="2"/>
      <c r="D3" s="2"/>
      <c r="E3" s="2"/>
      <c r="F3" s="2"/>
      <c r="G3" s="6"/>
    </row>
    <row r="4" spans="1:8" x14ac:dyDescent="0.15">
      <c r="G4"/>
    </row>
    <row r="5" spans="1:8" ht="16" x14ac:dyDescent="0.2">
      <c r="A5" s="14" t="s">
        <v>2</v>
      </c>
      <c r="B5" s="19">
        <f>B7-B6</f>
        <v>500000000</v>
      </c>
      <c r="C5" s="2"/>
      <c r="D5" s="79"/>
      <c r="E5" s="81" t="s">
        <v>3</v>
      </c>
      <c r="F5" s="81"/>
      <c r="G5" s="72" t="s">
        <v>14</v>
      </c>
      <c r="H5" s="72"/>
    </row>
    <row r="6" spans="1:8" ht="16" x14ac:dyDescent="0.2">
      <c r="A6" s="14" t="s">
        <v>4</v>
      </c>
      <c r="B6" s="19">
        <v>0</v>
      </c>
      <c r="C6" s="2"/>
      <c r="D6" s="79"/>
      <c r="E6" s="80" t="s">
        <v>99</v>
      </c>
      <c r="F6" s="80"/>
      <c r="G6" s="23" t="s">
        <v>100</v>
      </c>
      <c r="H6" s="24"/>
    </row>
    <row r="7" spans="1:8" ht="16" x14ac:dyDescent="0.2">
      <c r="A7" s="14" t="s">
        <v>5</v>
      </c>
      <c r="B7" s="19">
        <v>500000000</v>
      </c>
      <c r="C7" s="2"/>
      <c r="D7" s="79"/>
      <c r="E7" s="22" t="s">
        <v>6</v>
      </c>
      <c r="F7" s="28">
        <v>0</v>
      </c>
      <c r="G7" s="22" t="s">
        <v>4</v>
      </c>
      <c r="H7" s="29">
        <v>500000000</v>
      </c>
    </row>
    <row r="8" spans="1:8" ht="16" x14ac:dyDescent="0.2">
      <c r="A8" s="14" t="s">
        <v>8</v>
      </c>
      <c r="B8" s="19">
        <v>120000</v>
      </c>
      <c r="C8" s="2"/>
      <c r="D8" s="78"/>
      <c r="E8" s="22" t="s">
        <v>7</v>
      </c>
      <c r="F8" s="28">
        <f>'Ingresos &amp; egresos'!E10</f>
        <v>167100000</v>
      </c>
      <c r="G8" s="22" t="s">
        <v>15</v>
      </c>
      <c r="H8" s="29">
        <f>SUM('Ingresos &amp; egresos'!E24:E27)</f>
        <v>145200000</v>
      </c>
    </row>
    <row r="9" spans="1:8" ht="16" x14ac:dyDescent="0.2">
      <c r="A9" s="14" t="s">
        <v>10</v>
      </c>
      <c r="B9" s="21">
        <v>313</v>
      </c>
      <c r="C9" s="2"/>
      <c r="D9" s="78"/>
      <c r="E9" s="22" t="s">
        <v>9</v>
      </c>
      <c r="F9" s="28">
        <f>'Ingresos &amp; egresos'!E16</f>
        <v>99000000</v>
      </c>
      <c r="G9" s="22" t="s">
        <v>16</v>
      </c>
      <c r="H9" s="29">
        <f>SUM('Ingresos &amp; egresos'!E28)</f>
        <v>2160000</v>
      </c>
    </row>
    <row r="10" spans="1:8" ht="16" x14ac:dyDescent="0.2">
      <c r="A10" s="14" t="s">
        <v>12</v>
      </c>
      <c r="B10" s="19">
        <v>180000</v>
      </c>
      <c r="C10" s="2"/>
      <c r="D10" s="78"/>
      <c r="E10" s="25"/>
      <c r="F10" s="28">
        <v>0</v>
      </c>
      <c r="G10" s="22" t="s">
        <v>18</v>
      </c>
      <c r="H10" s="29">
        <f>'Ingresos &amp; egresos'!E29</f>
        <v>18000000</v>
      </c>
    </row>
    <row r="11" spans="1:8" ht="16" x14ac:dyDescent="0.2">
      <c r="A11" s="14" t="s">
        <v>114</v>
      </c>
      <c r="B11" s="19">
        <v>8000000</v>
      </c>
      <c r="C11" s="2"/>
      <c r="D11" s="78"/>
      <c r="E11" s="25"/>
      <c r="F11" s="28">
        <v>0</v>
      </c>
      <c r="G11" s="27"/>
      <c r="H11" s="29">
        <v>0</v>
      </c>
    </row>
    <row r="12" spans="1:8" ht="16" x14ac:dyDescent="0.2">
      <c r="A12" s="63" t="s">
        <v>19</v>
      </c>
      <c r="B12" s="35">
        <v>0</v>
      </c>
      <c r="C12" s="2"/>
      <c r="D12" s="78"/>
      <c r="E12" s="25" t="s">
        <v>105</v>
      </c>
      <c r="F12" s="28">
        <f>SUM(F7:F11)</f>
        <v>266100000</v>
      </c>
      <c r="G12" s="26" t="s">
        <v>107</v>
      </c>
      <c r="H12" s="29">
        <f>SUM(H7:H10)</f>
        <v>665360000</v>
      </c>
    </row>
    <row r="13" spans="1:8" ht="16" x14ac:dyDescent="0.2">
      <c r="A13" s="14" t="s">
        <v>139</v>
      </c>
      <c r="B13" s="62">
        <v>55</v>
      </c>
      <c r="C13" s="2"/>
      <c r="D13" s="78"/>
      <c r="E13" s="73" t="s">
        <v>102</v>
      </c>
      <c r="F13" s="73"/>
      <c r="G13" s="74" t="s">
        <v>103</v>
      </c>
      <c r="H13" s="75"/>
    </row>
    <row r="14" spans="1:8" ht="16" x14ac:dyDescent="0.2">
      <c r="A14" s="14" t="s">
        <v>140</v>
      </c>
      <c r="B14" s="20">
        <v>3</v>
      </c>
      <c r="C14" s="2"/>
      <c r="D14" s="78"/>
      <c r="E14" s="22" t="s">
        <v>11</v>
      </c>
      <c r="F14" s="28">
        <v>20000000</v>
      </c>
      <c r="G14" s="22" t="s">
        <v>143</v>
      </c>
      <c r="H14" s="29">
        <f>SUM('Ingresos &amp; egresos'!Q18:Q19)</f>
        <v>20000000</v>
      </c>
    </row>
    <row r="15" spans="1:8" ht="16" x14ac:dyDescent="0.2">
      <c r="C15" s="2"/>
      <c r="D15" s="78"/>
      <c r="E15" s="22" t="s">
        <v>13</v>
      </c>
      <c r="F15" s="28">
        <v>4000000</v>
      </c>
      <c r="G15" s="27" t="s">
        <v>108</v>
      </c>
      <c r="H15" s="29">
        <v>0</v>
      </c>
    </row>
    <row r="16" spans="1:8" ht="16" x14ac:dyDescent="0.2">
      <c r="C16" s="2"/>
      <c r="D16" s="78"/>
      <c r="E16" s="22" t="s">
        <v>2</v>
      </c>
      <c r="F16" s="28">
        <v>500000000</v>
      </c>
      <c r="G16" s="26" t="s">
        <v>109</v>
      </c>
      <c r="H16" s="29">
        <f>SUM(H14:H15)</f>
        <v>20000000</v>
      </c>
    </row>
    <row r="17" spans="1:8" ht="16" x14ac:dyDescent="0.2">
      <c r="C17" s="2"/>
      <c r="D17" s="78"/>
      <c r="E17" s="22" t="s">
        <v>131</v>
      </c>
      <c r="F17" s="28">
        <v>300000000</v>
      </c>
      <c r="G17" s="27" t="s">
        <v>111</v>
      </c>
      <c r="H17" s="29">
        <f>H12+H16</f>
        <v>685360000</v>
      </c>
    </row>
    <row r="18" spans="1:8" ht="16" x14ac:dyDescent="0.2">
      <c r="A18" s="6"/>
      <c r="B18" s="33"/>
      <c r="C18" s="2"/>
      <c r="D18" s="78"/>
      <c r="E18" s="25"/>
      <c r="F18" s="25"/>
      <c r="G18" s="76" t="s">
        <v>110</v>
      </c>
      <c r="H18" s="77"/>
    </row>
    <row r="19" spans="1:8" ht="16" x14ac:dyDescent="0.2">
      <c r="A19" s="4"/>
      <c r="B19" s="34"/>
      <c r="C19" s="2"/>
      <c r="D19" s="2"/>
      <c r="E19" s="25"/>
      <c r="F19" s="25"/>
      <c r="G19" s="27" t="s">
        <v>110</v>
      </c>
      <c r="H19" s="61">
        <f>F21-H17</f>
        <v>404740000</v>
      </c>
    </row>
    <row r="20" spans="1:8" ht="16" x14ac:dyDescent="0.2">
      <c r="A20" s="6"/>
      <c r="B20" s="34"/>
      <c r="E20" s="25" t="s">
        <v>106</v>
      </c>
      <c r="F20" s="28">
        <f>SUM(F14:F19)</f>
        <v>824000000</v>
      </c>
      <c r="G20" s="27" t="s">
        <v>112</v>
      </c>
      <c r="H20" s="25"/>
    </row>
    <row r="21" spans="1:8" ht="16" x14ac:dyDescent="0.2">
      <c r="E21" s="30" t="s">
        <v>104</v>
      </c>
      <c r="F21" s="31">
        <f>SUM(F12,F20)</f>
        <v>1090100000</v>
      </c>
      <c r="G21" s="30" t="s">
        <v>113</v>
      </c>
      <c r="H21" s="32">
        <v>0</v>
      </c>
    </row>
    <row r="22" spans="1:8" ht="16" x14ac:dyDescent="0.2">
      <c r="A22" s="6" t="s">
        <v>20</v>
      </c>
    </row>
    <row r="23" spans="1:8" x14ac:dyDescent="0.15">
      <c r="A23" t="s">
        <v>115</v>
      </c>
    </row>
    <row r="24" spans="1:8" x14ac:dyDescent="0.15">
      <c r="A24" t="s">
        <v>116</v>
      </c>
    </row>
    <row r="25" spans="1:8" x14ac:dyDescent="0.15">
      <c r="A25" t="s">
        <v>117</v>
      </c>
    </row>
    <row r="26" spans="1:8" x14ac:dyDescent="0.15">
      <c r="A26" t="s">
        <v>142</v>
      </c>
    </row>
  </sheetData>
  <mergeCells count="9">
    <mergeCell ref="G5:H5"/>
    <mergeCell ref="E13:F13"/>
    <mergeCell ref="G13:H13"/>
    <mergeCell ref="G18:H18"/>
    <mergeCell ref="D8:D13"/>
    <mergeCell ref="D14:D18"/>
    <mergeCell ref="D5:D7"/>
    <mergeCell ref="E6:F6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56"/>
  <sheetViews>
    <sheetView showGridLines="0" topLeftCell="A12" zoomScale="65" zoomScaleNormal="121" workbookViewId="0">
      <selection activeCell="I67" sqref="I67"/>
    </sheetView>
  </sheetViews>
  <sheetFormatPr baseColWidth="10" defaultColWidth="11" defaultRowHeight="14" x14ac:dyDescent="0.15"/>
  <cols>
    <col min="1" max="1" width="9" style="36" customWidth="1"/>
    <col min="2" max="2" width="23.33203125" style="36" customWidth="1"/>
    <col min="3" max="3" width="12.33203125" style="36" customWidth="1"/>
    <col min="4" max="4" width="34.6640625" style="36" bestFit="1" customWidth="1"/>
    <col min="5" max="5" width="15.5" style="36" customWidth="1"/>
    <col min="6" max="6" width="3.5" style="37" customWidth="1"/>
    <col min="7" max="7" width="9" style="36" customWidth="1"/>
    <col min="8" max="8" width="23.33203125" style="36" customWidth="1"/>
    <col min="9" max="9" width="12.33203125" style="36" customWidth="1"/>
    <col min="10" max="10" width="34.6640625" style="36" bestFit="1" customWidth="1"/>
    <col min="11" max="11" width="15.5" style="36" customWidth="1"/>
    <col min="12" max="12" width="3.5" style="37" customWidth="1"/>
    <col min="13" max="13" width="9" style="36" customWidth="1"/>
    <col min="14" max="14" width="23.33203125" style="36" customWidth="1"/>
    <col min="15" max="15" width="12.33203125" style="36" customWidth="1"/>
    <col min="16" max="16" width="34.6640625" style="36" bestFit="1" customWidth="1"/>
    <col min="17" max="17" width="15.5" style="36" customWidth="1"/>
    <col min="18" max="18" width="3.5" style="37" customWidth="1"/>
    <col min="19" max="19" width="9" style="36" customWidth="1"/>
    <col min="20" max="20" width="23.33203125" style="36" customWidth="1"/>
    <col min="21" max="21" width="12.33203125" style="36" customWidth="1"/>
    <col min="22" max="22" width="34.6640625" style="36" bestFit="1" customWidth="1"/>
    <col min="23" max="23" width="15.5" style="36" customWidth="1"/>
    <col min="24" max="24" width="3.5" style="37" customWidth="1"/>
    <col min="25" max="25" width="9" style="36" customWidth="1"/>
    <col min="26" max="26" width="23.33203125" style="36" customWidth="1"/>
    <col min="27" max="27" width="12.33203125" style="36" customWidth="1"/>
    <col min="28" max="28" width="34.6640625" style="36" bestFit="1" customWidth="1"/>
    <col min="29" max="29" width="15.5" style="36" customWidth="1"/>
    <col min="30" max="16384" width="11" style="36"/>
  </cols>
  <sheetData>
    <row r="1" spans="1:29" ht="16" x14ac:dyDescent="0.2">
      <c r="A1" s="59" t="str">
        <f>Variables!A1</f>
        <v>Arquitectura Empresarial</v>
      </c>
      <c r="B1" s="59"/>
      <c r="C1" s="59"/>
      <c r="G1" s="59"/>
      <c r="H1" s="59"/>
      <c r="I1" s="59"/>
      <c r="M1" s="59"/>
      <c r="N1" s="59"/>
      <c r="O1" s="59"/>
      <c r="S1" s="59"/>
      <c r="T1" s="59"/>
      <c r="U1" s="59"/>
      <c r="Y1" s="59"/>
      <c r="Z1" s="59"/>
      <c r="AA1" s="59"/>
    </row>
    <row r="2" spans="1:29" ht="16" x14ac:dyDescent="0.2">
      <c r="A2" s="57" t="s">
        <v>1</v>
      </c>
      <c r="B2" s="57"/>
      <c r="C2" s="57"/>
      <c r="G2" s="57"/>
      <c r="H2" s="57"/>
      <c r="I2" s="57"/>
      <c r="M2" s="57"/>
      <c r="N2" s="57"/>
      <c r="O2" s="57"/>
      <c r="S2" s="57"/>
      <c r="T2" s="57"/>
      <c r="U2" s="57"/>
      <c r="Y2" s="57"/>
      <c r="Z2" s="57"/>
      <c r="AA2" s="57"/>
    </row>
    <row r="3" spans="1:29" ht="16" x14ac:dyDescent="0.2">
      <c r="A3" s="57"/>
      <c r="B3" s="57"/>
      <c r="C3" s="57"/>
      <c r="D3" s="57"/>
      <c r="E3" s="57"/>
      <c r="F3" s="58"/>
      <c r="G3" s="57"/>
      <c r="H3" s="57"/>
      <c r="I3" s="57"/>
      <c r="J3" s="57"/>
      <c r="K3" s="57"/>
      <c r="L3" s="58"/>
      <c r="M3" s="57"/>
      <c r="N3" s="57"/>
      <c r="O3" s="57"/>
      <c r="P3" s="57"/>
      <c r="Q3" s="57"/>
      <c r="R3" s="58"/>
      <c r="S3" s="57"/>
      <c r="T3" s="57"/>
      <c r="U3" s="57"/>
      <c r="V3" s="57"/>
      <c r="W3" s="57"/>
      <c r="X3" s="58"/>
      <c r="Y3" s="57"/>
      <c r="Z3" s="57"/>
      <c r="AA3" s="57"/>
      <c r="AB3" s="57"/>
      <c r="AC3" s="57"/>
    </row>
    <row r="4" spans="1:29" x14ac:dyDescent="0.15">
      <c r="F4" s="36"/>
      <c r="L4" s="36"/>
      <c r="R4" s="36"/>
      <c r="X4" s="36"/>
    </row>
    <row r="5" spans="1:29" ht="14.25" customHeight="1" x14ac:dyDescent="0.15">
      <c r="A5" s="96" t="s">
        <v>21</v>
      </c>
      <c r="B5" s="99" t="s">
        <v>22</v>
      </c>
      <c r="C5" s="96" t="s">
        <v>23</v>
      </c>
      <c r="D5" s="96"/>
      <c r="E5" s="52" t="s">
        <v>24</v>
      </c>
      <c r="F5" s="36"/>
      <c r="G5" s="96" t="s">
        <v>25</v>
      </c>
      <c r="H5" s="99" t="s">
        <v>22</v>
      </c>
      <c r="I5" s="96" t="s">
        <v>23</v>
      </c>
      <c r="J5" s="96"/>
      <c r="K5" s="52" t="s">
        <v>24</v>
      </c>
      <c r="L5" s="36"/>
      <c r="M5" s="96" t="s">
        <v>26</v>
      </c>
      <c r="N5" s="99" t="s">
        <v>22</v>
      </c>
      <c r="O5" s="96" t="s">
        <v>23</v>
      </c>
      <c r="P5" s="96"/>
      <c r="Q5" s="52" t="s">
        <v>24</v>
      </c>
      <c r="R5" s="36"/>
      <c r="S5" s="96" t="s">
        <v>27</v>
      </c>
      <c r="T5" s="99" t="s">
        <v>22</v>
      </c>
      <c r="U5" s="96" t="s">
        <v>23</v>
      </c>
      <c r="V5" s="96"/>
      <c r="W5" s="52" t="s">
        <v>24</v>
      </c>
      <c r="X5" s="36"/>
      <c r="Y5" s="96" t="s">
        <v>28</v>
      </c>
      <c r="Z5" s="99" t="s">
        <v>22</v>
      </c>
      <c r="AA5" s="96" t="s">
        <v>23</v>
      </c>
      <c r="AB5" s="96"/>
      <c r="AC5" s="52" t="s">
        <v>24</v>
      </c>
    </row>
    <row r="6" spans="1:29" ht="14.25" customHeight="1" x14ac:dyDescent="0.15">
      <c r="A6" s="96"/>
      <c r="B6" s="100"/>
      <c r="C6" s="97" t="s">
        <v>133</v>
      </c>
      <c r="D6" s="97"/>
      <c r="E6" s="46">
        <v>50000000</v>
      </c>
      <c r="F6" s="36"/>
      <c r="G6" s="96"/>
      <c r="H6" s="100"/>
      <c r="I6" s="97" t="s">
        <v>133</v>
      </c>
      <c r="J6" s="97"/>
      <c r="K6" s="46">
        <f>E6*1.015</f>
        <v>50749999.999999993</v>
      </c>
      <c r="L6" s="36"/>
      <c r="M6" s="96"/>
      <c r="N6" s="100"/>
      <c r="O6" s="97" t="s">
        <v>133</v>
      </c>
      <c r="P6" s="97"/>
      <c r="Q6" s="46">
        <f>K6*1.02</f>
        <v>51764999.999999993</v>
      </c>
      <c r="R6" s="36"/>
      <c r="S6" s="96"/>
      <c r="T6" s="100"/>
      <c r="U6" s="97" t="s">
        <v>133</v>
      </c>
      <c r="V6" s="97"/>
      <c r="W6" s="46">
        <f>Q6*1.015</f>
        <v>52541474.999999985</v>
      </c>
      <c r="X6" s="36"/>
      <c r="Y6" s="96"/>
      <c r="Z6" s="100"/>
      <c r="AA6" s="97" t="s">
        <v>133</v>
      </c>
      <c r="AB6" s="97"/>
      <c r="AC6" s="46">
        <f>W6*1.02</f>
        <v>53592304.499999985</v>
      </c>
    </row>
    <row r="7" spans="1:29" ht="14.25" customHeight="1" x14ac:dyDescent="0.15">
      <c r="A7" s="96"/>
      <c r="B7" s="100"/>
      <c r="C7" s="97" t="s">
        <v>132</v>
      </c>
      <c r="D7" s="97"/>
      <c r="E7" s="46">
        <v>51100000</v>
      </c>
      <c r="F7" s="36"/>
      <c r="G7" s="96"/>
      <c r="H7" s="100"/>
      <c r="I7" s="97" t="s">
        <v>132</v>
      </c>
      <c r="J7" s="97"/>
      <c r="K7" s="46">
        <f>E7*1.015</f>
        <v>51866499.999999993</v>
      </c>
      <c r="L7" s="36"/>
      <c r="M7" s="96"/>
      <c r="N7" s="100"/>
      <c r="O7" s="97" t="s">
        <v>132</v>
      </c>
      <c r="P7" s="97"/>
      <c r="Q7" s="46">
        <f>K7*1.02</f>
        <v>52903829.999999993</v>
      </c>
      <c r="R7" s="36"/>
      <c r="S7" s="96"/>
      <c r="T7" s="100"/>
      <c r="U7" s="97" t="s">
        <v>132</v>
      </c>
      <c r="V7" s="97"/>
      <c r="W7" s="46">
        <f>Q7*1.015</f>
        <v>53697387.449999988</v>
      </c>
      <c r="X7" s="36"/>
      <c r="Y7" s="96"/>
      <c r="Z7" s="100"/>
      <c r="AA7" s="97" t="s">
        <v>132</v>
      </c>
      <c r="AB7" s="97"/>
      <c r="AC7" s="46">
        <f>W7*1.02</f>
        <v>54771335.198999986</v>
      </c>
    </row>
    <row r="8" spans="1:29" ht="14.25" customHeight="1" x14ac:dyDescent="0.15">
      <c r="A8" s="96"/>
      <c r="B8" s="100"/>
      <c r="C8" s="97" t="s">
        <v>135</v>
      </c>
      <c r="D8" s="97"/>
      <c r="E8" s="46">
        <f>(Variables!B13-50)*750000*12</f>
        <v>45000000</v>
      </c>
      <c r="F8" s="36"/>
      <c r="G8" s="96"/>
      <c r="H8" s="100"/>
      <c r="I8" s="97" t="s">
        <v>135</v>
      </c>
      <c r="J8" s="97"/>
      <c r="K8" s="46">
        <f>(Variables!B13-40)*750000*12</f>
        <v>135000000</v>
      </c>
      <c r="L8" s="36"/>
      <c r="M8" s="96"/>
      <c r="N8" s="100"/>
      <c r="O8" s="97" t="s">
        <v>135</v>
      </c>
      <c r="P8" s="97"/>
      <c r="Q8" s="46">
        <f>(Variables!B13-30)*750000*12</f>
        <v>225000000</v>
      </c>
      <c r="R8" s="36"/>
      <c r="S8" s="96"/>
      <c r="T8" s="100"/>
      <c r="U8" s="97" t="s">
        <v>135</v>
      </c>
      <c r="V8" s="97"/>
      <c r="W8" s="46">
        <f>(Variables!B13-25)*750000*12</f>
        <v>270000000</v>
      </c>
      <c r="X8" s="36"/>
      <c r="Y8" s="96"/>
      <c r="Z8" s="100"/>
      <c r="AA8" s="97" t="s">
        <v>135</v>
      </c>
      <c r="AB8" s="97"/>
      <c r="AC8" s="46">
        <f>(Variables!B13-15)*750000*12</f>
        <v>360000000</v>
      </c>
    </row>
    <row r="9" spans="1:29" ht="16.5" customHeight="1" x14ac:dyDescent="0.15">
      <c r="A9" s="96"/>
      <c r="B9" s="101"/>
      <c r="C9" s="97" t="s">
        <v>134</v>
      </c>
      <c r="D9" s="97"/>
      <c r="E9" s="46">
        <f>(Variables!B13-50)*350000*12</f>
        <v>21000000</v>
      </c>
      <c r="F9" s="36"/>
      <c r="G9" s="96"/>
      <c r="H9" s="101"/>
      <c r="I9" s="97" t="s">
        <v>134</v>
      </c>
      <c r="J9" s="97"/>
      <c r="K9" s="46">
        <f>(Variables!B13-40)*350000*12</f>
        <v>63000000</v>
      </c>
      <c r="L9" s="36"/>
      <c r="M9" s="96"/>
      <c r="N9" s="101"/>
      <c r="O9" s="97" t="s">
        <v>134</v>
      </c>
      <c r="P9" s="97"/>
      <c r="Q9" s="46">
        <f>(Variables!B13-40)*350000*12</f>
        <v>63000000</v>
      </c>
      <c r="R9" s="36"/>
      <c r="S9" s="96"/>
      <c r="T9" s="101"/>
      <c r="U9" s="97" t="s">
        <v>134</v>
      </c>
      <c r="V9" s="97"/>
      <c r="W9" s="46">
        <f>(Variables!B13-40)*350000*12</f>
        <v>63000000</v>
      </c>
      <c r="X9" s="36"/>
      <c r="Y9" s="96"/>
      <c r="Z9" s="101"/>
      <c r="AA9" s="97" t="s">
        <v>134</v>
      </c>
      <c r="AB9" s="97"/>
      <c r="AC9" s="46">
        <f>(Variables!B13-40)*350000*12</f>
        <v>63000000</v>
      </c>
    </row>
    <row r="10" spans="1:29" ht="16.5" customHeight="1" x14ac:dyDescent="0.15">
      <c r="A10" s="96"/>
      <c r="B10" s="88" t="s">
        <v>29</v>
      </c>
      <c r="C10" s="89"/>
      <c r="D10" s="90"/>
      <c r="E10" s="49">
        <f>SUM(E6:E9)</f>
        <v>167100000</v>
      </c>
      <c r="F10" s="36"/>
      <c r="G10" s="96"/>
      <c r="H10" s="88" t="s">
        <v>29</v>
      </c>
      <c r="I10" s="89"/>
      <c r="J10" s="90"/>
      <c r="K10" s="49">
        <f>SUM(K6:K9)</f>
        <v>300616500</v>
      </c>
      <c r="L10" s="36"/>
      <c r="M10" s="96"/>
      <c r="N10" s="88" t="s">
        <v>29</v>
      </c>
      <c r="O10" s="89"/>
      <c r="P10" s="90"/>
      <c r="Q10" s="49">
        <f>SUM(Q6:Q9)</f>
        <v>392668830</v>
      </c>
      <c r="R10" s="36"/>
      <c r="S10" s="96"/>
      <c r="T10" s="88" t="s">
        <v>29</v>
      </c>
      <c r="U10" s="89"/>
      <c r="V10" s="90"/>
      <c r="W10" s="49">
        <f>SUM(W6:W9)</f>
        <v>439238862.44999999</v>
      </c>
      <c r="X10" s="36"/>
      <c r="Y10" s="96"/>
      <c r="Z10" s="88" t="s">
        <v>29</v>
      </c>
      <c r="AA10" s="89"/>
      <c r="AB10" s="90"/>
      <c r="AC10" s="49">
        <f>SUM(AC6:AC9)</f>
        <v>531363639.699</v>
      </c>
    </row>
    <row r="11" spans="1:29" ht="16.5" customHeight="1" x14ac:dyDescent="0.15">
      <c r="A11" s="96"/>
      <c r="B11" s="56" t="s">
        <v>30</v>
      </c>
      <c r="C11" s="97" t="s">
        <v>112</v>
      </c>
      <c r="D11" s="97"/>
      <c r="E11" s="46">
        <v>0</v>
      </c>
      <c r="F11" s="36"/>
      <c r="G11" s="96"/>
      <c r="H11" s="56" t="s">
        <v>30</v>
      </c>
      <c r="I11" s="97"/>
      <c r="J11" s="97"/>
      <c r="K11" s="46">
        <f>Balance!G10*Interés_bancario_por_ahorros</f>
        <v>0</v>
      </c>
      <c r="L11" s="36"/>
      <c r="M11" s="96"/>
      <c r="N11" s="56" t="s">
        <v>30</v>
      </c>
      <c r="O11" s="97"/>
      <c r="P11" s="97"/>
      <c r="Q11" s="46">
        <f>Balance!M10*Interés_bancario_por_ahorros</f>
        <v>0</v>
      </c>
      <c r="R11" s="36"/>
      <c r="S11" s="96"/>
      <c r="T11" s="56" t="s">
        <v>30</v>
      </c>
      <c r="U11" s="97"/>
      <c r="V11" s="97"/>
      <c r="W11" s="46">
        <f>Balance!S10*Interés_bancario_por_ahorros</f>
        <v>0</v>
      </c>
      <c r="X11" s="36"/>
      <c r="Y11" s="96"/>
      <c r="Z11" s="56" t="s">
        <v>30</v>
      </c>
      <c r="AA11" s="97"/>
      <c r="AB11" s="97"/>
      <c r="AC11" s="46">
        <f>Balance!Y10*Interés_bancario_por_ahorros</f>
        <v>0</v>
      </c>
    </row>
    <row r="12" spans="1:29" ht="16.5" customHeight="1" x14ac:dyDescent="0.15">
      <c r="A12" s="96"/>
      <c r="B12" s="88" t="s">
        <v>31</v>
      </c>
      <c r="C12" s="89"/>
      <c r="D12" s="90"/>
      <c r="E12" s="49">
        <f>SUM(E11:E11)</f>
        <v>0</v>
      </c>
      <c r="F12" s="36"/>
      <c r="G12" s="96"/>
      <c r="H12" s="88" t="s">
        <v>31</v>
      </c>
      <c r="I12" s="89"/>
      <c r="J12" s="90"/>
      <c r="K12" s="49">
        <f>SUM(K11:K11)</f>
        <v>0</v>
      </c>
      <c r="L12" s="36"/>
      <c r="M12" s="96"/>
      <c r="N12" s="88" t="s">
        <v>31</v>
      </c>
      <c r="O12" s="89"/>
      <c r="P12" s="90"/>
      <c r="Q12" s="49">
        <f>SUM(Q11:Q11)</f>
        <v>0</v>
      </c>
      <c r="R12" s="36"/>
      <c r="S12" s="96"/>
      <c r="T12" s="88" t="s">
        <v>31</v>
      </c>
      <c r="U12" s="89"/>
      <c r="V12" s="90"/>
      <c r="W12" s="49">
        <f>SUM(W11:W11)</f>
        <v>0</v>
      </c>
      <c r="X12" s="36"/>
      <c r="Y12" s="96"/>
      <c r="Z12" s="88" t="s">
        <v>31</v>
      </c>
      <c r="AA12" s="89"/>
      <c r="AB12" s="90"/>
      <c r="AC12" s="49">
        <f>SUM(AC11:AC11)</f>
        <v>0</v>
      </c>
    </row>
    <row r="13" spans="1:29" s="37" customFormat="1" ht="16.5" customHeight="1" x14ac:dyDescent="0.15">
      <c r="A13" s="95" t="s">
        <v>32</v>
      </c>
      <c r="B13" s="95"/>
      <c r="C13" s="95"/>
      <c r="D13" s="95"/>
      <c r="E13" s="49">
        <f>E10+E12</f>
        <v>167100000</v>
      </c>
      <c r="G13" s="95" t="s">
        <v>32</v>
      </c>
      <c r="H13" s="95"/>
      <c r="I13" s="95"/>
      <c r="J13" s="95"/>
      <c r="K13" s="49">
        <f>K10+K12</f>
        <v>300616500</v>
      </c>
      <c r="M13" s="95" t="s">
        <v>32</v>
      </c>
      <c r="N13" s="95"/>
      <c r="O13" s="95"/>
      <c r="P13" s="95"/>
      <c r="Q13" s="49">
        <f>Q10+Q12</f>
        <v>392668830</v>
      </c>
      <c r="S13" s="95" t="s">
        <v>32</v>
      </c>
      <c r="T13" s="95"/>
      <c r="U13" s="95"/>
      <c r="V13" s="95"/>
      <c r="W13" s="49">
        <f>W10+W12</f>
        <v>439238862.44999999</v>
      </c>
      <c r="Y13" s="95" t="s">
        <v>32</v>
      </c>
      <c r="Z13" s="95"/>
      <c r="AA13" s="95"/>
      <c r="AB13" s="95"/>
      <c r="AC13" s="49">
        <f>AC10+AC12</f>
        <v>531363639.699</v>
      </c>
    </row>
    <row r="14" spans="1:29" s="37" customFormat="1" ht="16.5" customHeight="1" x14ac:dyDescent="0.15">
      <c r="A14" s="44"/>
      <c r="B14" s="44"/>
      <c r="C14" s="44"/>
      <c r="D14" s="48"/>
      <c r="E14" s="47"/>
      <c r="G14" s="44"/>
      <c r="H14" s="44"/>
      <c r="I14" s="44"/>
      <c r="J14" s="48"/>
      <c r="K14" s="47"/>
      <c r="M14" s="44"/>
      <c r="N14" s="44"/>
      <c r="O14" s="44"/>
      <c r="P14" s="48"/>
      <c r="Q14" s="47"/>
      <c r="S14" s="44"/>
      <c r="T14" s="44"/>
      <c r="U14" s="44"/>
      <c r="V14" s="48"/>
      <c r="W14" s="47"/>
      <c r="Y14" s="44"/>
      <c r="Z14" s="44"/>
      <c r="AA14" s="44"/>
      <c r="AB14" s="48"/>
      <c r="AC14" s="47"/>
    </row>
    <row r="15" spans="1:29" s="37" customFormat="1" ht="16.5" customHeight="1" x14ac:dyDescent="0.15">
      <c r="A15" s="99" t="s">
        <v>33</v>
      </c>
      <c r="B15" s="99" t="s">
        <v>34</v>
      </c>
      <c r="C15" s="96" t="s">
        <v>23</v>
      </c>
      <c r="D15" s="96"/>
      <c r="E15" s="52" t="s">
        <v>24</v>
      </c>
      <c r="G15" s="99" t="s">
        <v>35</v>
      </c>
      <c r="H15" s="99" t="s">
        <v>34</v>
      </c>
      <c r="I15" s="96" t="s">
        <v>23</v>
      </c>
      <c r="J15" s="96"/>
      <c r="K15" s="52" t="s">
        <v>24</v>
      </c>
      <c r="M15" s="99" t="s">
        <v>36</v>
      </c>
      <c r="N15" s="99" t="s">
        <v>34</v>
      </c>
      <c r="O15" s="96" t="s">
        <v>23</v>
      </c>
      <c r="P15" s="96"/>
      <c r="Q15" s="52" t="s">
        <v>24</v>
      </c>
      <c r="S15" s="99" t="s">
        <v>37</v>
      </c>
      <c r="T15" s="99" t="s">
        <v>34</v>
      </c>
      <c r="U15" s="96" t="s">
        <v>23</v>
      </c>
      <c r="V15" s="96"/>
      <c r="W15" s="52" t="s">
        <v>24</v>
      </c>
      <c r="Y15" s="99" t="s">
        <v>38</v>
      </c>
      <c r="Z15" s="99" t="s">
        <v>34</v>
      </c>
      <c r="AA15" s="96" t="s">
        <v>23</v>
      </c>
      <c r="AB15" s="96"/>
      <c r="AC15" s="52" t="s">
        <v>24</v>
      </c>
    </row>
    <row r="16" spans="1:29" s="37" customFormat="1" ht="16.5" customHeight="1" x14ac:dyDescent="0.15">
      <c r="A16" s="100"/>
      <c r="B16" s="100"/>
      <c r="C16" s="99" t="s">
        <v>39</v>
      </c>
      <c r="D16" s="55" t="s">
        <v>118</v>
      </c>
      <c r="E16" s="54">
        <f>(Variables!$B$13)*150000*12</f>
        <v>99000000</v>
      </c>
      <c r="G16" s="100"/>
      <c r="H16" s="100"/>
      <c r="I16" s="99" t="s">
        <v>39</v>
      </c>
      <c r="J16" s="65" t="s">
        <v>118</v>
      </c>
      <c r="K16" s="68">
        <f>(Variables!$B$13-40)*150000*12*1.01</f>
        <v>27270000</v>
      </c>
      <c r="M16" s="100"/>
      <c r="N16" s="100"/>
      <c r="O16" s="99" t="s">
        <v>39</v>
      </c>
      <c r="P16" s="65" t="s">
        <v>118</v>
      </c>
      <c r="Q16" s="68">
        <f>(Variables!$B$13-35)*150000*12*1.02</f>
        <v>36720000</v>
      </c>
      <c r="S16" s="100"/>
      <c r="T16" s="100"/>
      <c r="U16" s="99" t="s">
        <v>39</v>
      </c>
      <c r="V16" s="65" t="s">
        <v>118</v>
      </c>
      <c r="W16" s="68">
        <f>(Variables!$B$13-15)*150000*12*1.02</f>
        <v>73440000</v>
      </c>
      <c r="Y16" s="100"/>
      <c r="Z16" s="100"/>
      <c r="AA16" s="99" t="s">
        <v>39</v>
      </c>
      <c r="AB16" s="65" t="s">
        <v>118</v>
      </c>
      <c r="AC16" s="68">
        <f>(Variables!$B$13)*150000*12*1.02</f>
        <v>100980000</v>
      </c>
    </row>
    <row r="17" spans="1:29" s="37" customFormat="1" ht="16.5" customHeight="1" x14ac:dyDescent="0.15">
      <c r="A17" s="100"/>
      <c r="B17" s="100"/>
      <c r="C17" s="100"/>
      <c r="D17" s="55" t="s">
        <v>141</v>
      </c>
      <c r="E17" s="64">
        <f>(Variables!$B$13-50)*300000*12</f>
        <v>18000000</v>
      </c>
      <c r="G17" s="100"/>
      <c r="H17" s="100"/>
      <c r="I17" s="100"/>
      <c r="J17" s="66" t="s">
        <v>141</v>
      </c>
      <c r="K17" s="69">
        <f>(Variables!$B$13-40)*300000*12*1.01</f>
        <v>54540000</v>
      </c>
      <c r="M17" s="100"/>
      <c r="N17" s="100"/>
      <c r="O17" s="100"/>
      <c r="P17" s="66" t="s">
        <v>141</v>
      </c>
      <c r="Q17" s="69">
        <f>(Variables!$B$13-30)*300000*12*1.02</f>
        <v>91800000</v>
      </c>
      <c r="S17" s="100"/>
      <c r="T17" s="100"/>
      <c r="U17" s="100"/>
      <c r="V17" s="66" t="s">
        <v>141</v>
      </c>
      <c r="W17" s="69">
        <f>(Variables!$B$13-25)*300000*12*1.02</f>
        <v>110160000</v>
      </c>
      <c r="Y17" s="100"/>
      <c r="Z17" s="100"/>
      <c r="AA17" s="100"/>
      <c r="AB17" s="66" t="s">
        <v>141</v>
      </c>
      <c r="AC17" s="69">
        <f>(Variables!$B$13-15)*300000*12*1.02</f>
        <v>146880000</v>
      </c>
    </row>
    <row r="18" spans="1:29" s="37" customFormat="1" ht="16.5" customHeight="1" x14ac:dyDescent="0.15">
      <c r="A18" s="100"/>
      <c r="B18" s="100"/>
      <c r="C18" s="100"/>
      <c r="D18" s="51"/>
      <c r="E18" s="60">
        <v>0</v>
      </c>
      <c r="G18" s="100"/>
      <c r="H18" s="100"/>
      <c r="I18" s="100"/>
      <c r="J18" s="67"/>
      <c r="K18" s="70">
        <f>E18*1.01</f>
        <v>0</v>
      </c>
      <c r="M18" s="100"/>
      <c r="N18" s="100"/>
      <c r="O18" s="100"/>
      <c r="P18" s="67" t="s">
        <v>136</v>
      </c>
      <c r="Q18" s="70">
        <v>10000000</v>
      </c>
      <c r="S18" s="100"/>
      <c r="T18" s="100"/>
      <c r="U18" s="100"/>
      <c r="V18" s="67"/>
      <c r="W18" s="70">
        <v>0</v>
      </c>
      <c r="Y18" s="100"/>
      <c r="Z18" s="100"/>
      <c r="AA18" s="100"/>
      <c r="AB18" s="67"/>
      <c r="AC18" s="70">
        <f>W18*1.01</f>
        <v>0</v>
      </c>
    </row>
    <row r="19" spans="1:29" s="37" customFormat="1" ht="16.5" customHeight="1" x14ac:dyDescent="0.15">
      <c r="A19" s="100"/>
      <c r="B19" s="100"/>
      <c r="C19" s="100"/>
      <c r="D19" s="51"/>
      <c r="E19" s="60">
        <v>0</v>
      </c>
      <c r="G19" s="100"/>
      <c r="H19" s="100"/>
      <c r="I19" s="100"/>
      <c r="J19" s="51"/>
      <c r="K19" s="60">
        <f>E19*1.01</f>
        <v>0</v>
      </c>
      <c r="M19" s="100"/>
      <c r="N19" s="100"/>
      <c r="O19" s="100"/>
      <c r="P19" s="51" t="s">
        <v>137</v>
      </c>
      <c r="Q19" s="60">
        <v>10000000</v>
      </c>
      <c r="S19" s="100"/>
      <c r="T19" s="100"/>
      <c r="U19" s="100"/>
      <c r="V19" s="51"/>
      <c r="W19" s="60">
        <v>0</v>
      </c>
      <c r="Y19" s="100"/>
      <c r="Z19" s="100"/>
      <c r="AA19" s="100"/>
      <c r="AB19" s="51"/>
      <c r="AC19" s="60">
        <f>W19*1.01</f>
        <v>0</v>
      </c>
    </row>
    <row r="20" spans="1:29" s="37" customFormat="1" ht="16.5" customHeight="1" x14ac:dyDescent="0.15">
      <c r="A20" s="100"/>
      <c r="B20" s="100"/>
      <c r="C20" s="100"/>
      <c r="D20" s="51"/>
      <c r="E20" s="46">
        <v>0</v>
      </c>
      <c r="G20" s="100"/>
      <c r="H20" s="100"/>
      <c r="I20" s="100"/>
      <c r="J20" s="51"/>
      <c r="K20" s="46">
        <v>0</v>
      </c>
      <c r="M20" s="100"/>
      <c r="N20" s="100"/>
      <c r="O20" s="100"/>
      <c r="P20" s="51"/>
      <c r="Q20" s="46">
        <v>0</v>
      </c>
      <c r="S20" s="100"/>
      <c r="T20" s="100"/>
      <c r="U20" s="100"/>
      <c r="V20" s="51"/>
      <c r="W20" s="46">
        <v>0</v>
      </c>
      <c r="Y20" s="100"/>
      <c r="Z20" s="100"/>
      <c r="AA20" s="100"/>
      <c r="AB20" s="51"/>
      <c r="AC20" s="46">
        <v>0</v>
      </c>
    </row>
    <row r="21" spans="1:29" s="37" customFormat="1" ht="16.5" customHeight="1" x14ac:dyDescent="0.15">
      <c r="A21" s="100"/>
      <c r="B21" s="100"/>
      <c r="C21" s="100"/>
      <c r="D21" s="51"/>
      <c r="E21" s="46">
        <v>0</v>
      </c>
      <c r="G21" s="100"/>
      <c r="H21" s="100"/>
      <c r="I21" s="100"/>
      <c r="J21" s="51"/>
      <c r="K21" s="46">
        <v>0</v>
      </c>
      <c r="M21" s="100"/>
      <c r="N21" s="100"/>
      <c r="O21" s="100"/>
      <c r="P21" s="51"/>
      <c r="Q21" s="46">
        <v>0</v>
      </c>
      <c r="S21" s="100"/>
      <c r="T21" s="100"/>
      <c r="U21" s="100"/>
      <c r="V21" s="51"/>
      <c r="W21" s="46">
        <v>0</v>
      </c>
      <c r="Y21" s="100"/>
      <c r="Z21" s="100"/>
      <c r="AA21" s="100"/>
      <c r="AB21" s="51"/>
      <c r="AC21" s="46">
        <v>0</v>
      </c>
    </row>
    <row r="22" spans="1:29" s="37" customFormat="1" ht="16.5" customHeight="1" x14ac:dyDescent="0.15">
      <c r="A22" s="100"/>
      <c r="B22" s="100"/>
      <c r="C22" s="101"/>
      <c r="D22" s="51"/>
      <c r="E22" s="46">
        <v>0</v>
      </c>
      <c r="G22" s="100"/>
      <c r="H22" s="100"/>
      <c r="I22" s="101"/>
      <c r="J22" s="51"/>
      <c r="K22" s="46">
        <v>0</v>
      </c>
      <c r="M22" s="100"/>
      <c r="N22" s="100"/>
      <c r="O22" s="101"/>
      <c r="P22" s="51"/>
      <c r="Q22" s="46">
        <v>0</v>
      </c>
      <c r="S22" s="100"/>
      <c r="T22" s="100"/>
      <c r="U22" s="101"/>
      <c r="V22" s="51"/>
      <c r="W22" s="46">
        <v>0</v>
      </c>
      <c r="Y22" s="100"/>
      <c r="Z22" s="100"/>
      <c r="AA22" s="101"/>
      <c r="AB22" s="51"/>
      <c r="AC22" s="46">
        <v>0</v>
      </c>
    </row>
    <row r="23" spans="1:29" s="37" customFormat="1" ht="16.5" customHeight="1" x14ac:dyDescent="0.15">
      <c r="A23" s="100"/>
      <c r="B23" s="100"/>
      <c r="C23" s="88" t="s">
        <v>41</v>
      </c>
      <c r="D23" s="90"/>
      <c r="E23" s="49">
        <f>SUM(E16:E22)</f>
        <v>117000000</v>
      </c>
      <c r="G23" s="100"/>
      <c r="H23" s="100"/>
      <c r="I23" s="88" t="s">
        <v>41</v>
      </c>
      <c r="J23" s="90"/>
      <c r="K23" s="49">
        <f>SUM(K16:K22)</f>
        <v>81810000</v>
      </c>
      <c r="M23" s="100"/>
      <c r="N23" s="100"/>
      <c r="O23" s="88" t="s">
        <v>41</v>
      </c>
      <c r="P23" s="90"/>
      <c r="Q23" s="49">
        <f>SUM(Q16:Q22)</f>
        <v>148520000</v>
      </c>
      <c r="S23" s="100"/>
      <c r="T23" s="100"/>
      <c r="U23" s="88" t="s">
        <v>41</v>
      </c>
      <c r="V23" s="90"/>
      <c r="W23" s="49">
        <f>SUM(W16:W22)</f>
        <v>183600000</v>
      </c>
      <c r="Y23" s="100"/>
      <c r="Z23" s="100"/>
      <c r="AA23" s="88" t="s">
        <v>41</v>
      </c>
      <c r="AB23" s="90"/>
      <c r="AC23" s="49">
        <f>SUM(AC16:AC22)</f>
        <v>247860000</v>
      </c>
    </row>
    <row r="24" spans="1:29" s="37" customFormat="1" ht="16.5" customHeight="1" x14ac:dyDescent="0.15">
      <c r="A24" s="100"/>
      <c r="B24" s="100"/>
      <c r="C24" s="96" t="s">
        <v>42</v>
      </c>
      <c r="D24" s="55" t="s">
        <v>122</v>
      </c>
      <c r="E24" s="54">
        <f>1400000*12</f>
        <v>16800000</v>
      </c>
      <c r="G24" s="100"/>
      <c r="H24" s="100"/>
      <c r="I24" s="96" t="s">
        <v>42</v>
      </c>
      <c r="J24" s="55" t="s">
        <v>122</v>
      </c>
      <c r="K24" s="54">
        <f t="shared" ref="K24:K29" si="0">E24</f>
        <v>16800000</v>
      </c>
      <c r="M24" s="100"/>
      <c r="N24" s="100"/>
      <c r="O24" s="96" t="s">
        <v>42</v>
      </c>
      <c r="P24" s="55" t="s">
        <v>122</v>
      </c>
      <c r="Q24" s="54">
        <f>K24*1.02</f>
        <v>17136000</v>
      </c>
      <c r="S24" s="100"/>
      <c r="T24" s="100"/>
      <c r="U24" s="96" t="s">
        <v>42</v>
      </c>
      <c r="V24" s="55" t="s">
        <v>122</v>
      </c>
      <c r="W24" s="54">
        <f t="shared" ref="W24:W29" si="1">Q24</f>
        <v>17136000</v>
      </c>
      <c r="Y24" s="100"/>
      <c r="Z24" s="100"/>
      <c r="AA24" s="96" t="s">
        <v>42</v>
      </c>
      <c r="AB24" s="55" t="s">
        <v>122</v>
      </c>
      <c r="AC24" s="54">
        <f t="shared" ref="AC24:AC29" si="2">W24*1.01</f>
        <v>17307360</v>
      </c>
    </row>
    <row r="25" spans="1:29" s="37" customFormat="1" ht="16.5" customHeight="1" x14ac:dyDescent="0.15">
      <c r="A25" s="100"/>
      <c r="B25" s="100"/>
      <c r="C25" s="96"/>
      <c r="D25" s="51" t="s">
        <v>119</v>
      </c>
      <c r="E25" s="46">
        <f>Variables!B14*1800000*12</f>
        <v>64800000</v>
      </c>
      <c r="G25" s="100"/>
      <c r="H25" s="100"/>
      <c r="I25" s="96"/>
      <c r="J25" s="51" t="s">
        <v>119</v>
      </c>
      <c r="K25" s="46">
        <f t="shared" si="0"/>
        <v>64800000</v>
      </c>
      <c r="M25" s="100"/>
      <c r="N25" s="100"/>
      <c r="O25" s="96"/>
      <c r="P25" s="51" t="s">
        <v>119</v>
      </c>
      <c r="Q25" s="71">
        <f>K25*1.01</f>
        <v>65448000</v>
      </c>
      <c r="S25" s="100"/>
      <c r="T25" s="100"/>
      <c r="U25" s="96"/>
      <c r="V25" s="51" t="s">
        <v>119</v>
      </c>
      <c r="W25" s="71">
        <f t="shared" si="1"/>
        <v>65448000</v>
      </c>
      <c r="Y25" s="100"/>
      <c r="Z25" s="100"/>
      <c r="AA25" s="96"/>
      <c r="AB25" s="51" t="s">
        <v>119</v>
      </c>
      <c r="AC25" s="71">
        <f t="shared" si="2"/>
        <v>66102480</v>
      </c>
    </row>
    <row r="26" spans="1:29" s="37" customFormat="1" ht="16.5" customHeight="1" x14ac:dyDescent="0.15">
      <c r="A26" s="100"/>
      <c r="B26" s="100"/>
      <c r="C26" s="96"/>
      <c r="D26" s="51" t="s">
        <v>120</v>
      </c>
      <c r="E26" s="46">
        <f>2300000*12</f>
        <v>27600000</v>
      </c>
      <c r="G26" s="100"/>
      <c r="H26" s="100"/>
      <c r="I26" s="96"/>
      <c r="J26" s="51" t="s">
        <v>120</v>
      </c>
      <c r="K26" s="46">
        <f t="shared" si="0"/>
        <v>27600000</v>
      </c>
      <c r="M26" s="100"/>
      <c r="N26" s="100"/>
      <c r="O26" s="96"/>
      <c r="P26" s="51" t="s">
        <v>120</v>
      </c>
      <c r="Q26" s="71">
        <f>K26*1.02</f>
        <v>28152000</v>
      </c>
      <c r="S26" s="100"/>
      <c r="T26" s="100"/>
      <c r="U26" s="96"/>
      <c r="V26" s="51" t="s">
        <v>120</v>
      </c>
      <c r="W26" s="71">
        <f t="shared" si="1"/>
        <v>28152000</v>
      </c>
      <c r="Y26" s="100"/>
      <c r="Z26" s="100"/>
      <c r="AA26" s="96"/>
      <c r="AB26" s="51" t="s">
        <v>120</v>
      </c>
      <c r="AC26" s="71">
        <f t="shared" si="2"/>
        <v>28433520</v>
      </c>
    </row>
    <row r="27" spans="1:29" s="37" customFormat="1" ht="16.5" customHeight="1" x14ac:dyDescent="0.15">
      <c r="A27" s="100"/>
      <c r="B27" s="100"/>
      <c r="C27" s="96"/>
      <c r="D27" s="55" t="s">
        <v>121</v>
      </c>
      <c r="E27" s="54">
        <f>3000000*12</f>
        <v>36000000</v>
      </c>
      <c r="G27" s="100"/>
      <c r="H27" s="100"/>
      <c r="I27" s="96"/>
      <c r="J27" s="55" t="s">
        <v>121</v>
      </c>
      <c r="K27" s="54">
        <f t="shared" si="0"/>
        <v>36000000</v>
      </c>
      <c r="M27" s="100"/>
      <c r="N27" s="100"/>
      <c r="O27" s="96"/>
      <c r="P27" s="55" t="s">
        <v>121</v>
      </c>
      <c r="Q27" s="54">
        <f>K27*1.02</f>
        <v>36720000</v>
      </c>
      <c r="S27" s="100"/>
      <c r="T27" s="100"/>
      <c r="U27" s="96"/>
      <c r="V27" s="55" t="s">
        <v>121</v>
      </c>
      <c r="W27" s="54">
        <f t="shared" si="1"/>
        <v>36720000</v>
      </c>
      <c r="Y27" s="100"/>
      <c r="Z27" s="100"/>
      <c r="AA27" s="96"/>
      <c r="AB27" s="55" t="s">
        <v>121</v>
      </c>
      <c r="AC27" s="54">
        <f t="shared" si="2"/>
        <v>37087200</v>
      </c>
    </row>
    <row r="28" spans="1:29" s="37" customFormat="1" ht="16.5" customHeight="1" x14ac:dyDescent="0.15">
      <c r="A28" s="100"/>
      <c r="B28" s="100"/>
      <c r="C28" s="96"/>
      <c r="D28" s="51" t="s">
        <v>40</v>
      </c>
      <c r="E28" s="46">
        <f>Variables!B10*12</f>
        <v>2160000</v>
      </c>
      <c r="G28" s="100"/>
      <c r="H28" s="100"/>
      <c r="I28" s="96"/>
      <c r="J28" s="51" t="s">
        <v>40</v>
      </c>
      <c r="K28" s="46">
        <f t="shared" si="0"/>
        <v>2160000</v>
      </c>
      <c r="M28" s="100"/>
      <c r="N28" s="100"/>
      <c r="O28" s="96"/>
      <c r="P28" s="51" t="s">
        <v>40</v>
      </c>
      <c r="Q28" s="71">
        <f>K28*1.02</f>
        <v>2203200</v>
      </c>
      <c r="S28" s="100"/>
      <c r="T28" s="100"/>
      <c r="U28" s="96"/>
      <c r="V28" s="51" t="s">
        <v>40</v>
      </c>
      <c r="W28" s="71">
        <f t="shared" si="1"/>
        <v>2203200</v>
      </c>
      <c r="Y28" s="100"/>
      <c r="Z28" s="100"/>
      <c r="AA28" s="96"/>
      <c r="AB28" s="51" t="s">
        <v>40</v>
      </c>
      <c r="AC28" s="71">
        <f t="shared" si="2"/>
        <v>2225232</v>
      </c>
    </row>
    <row r="29" spans="1:29" s="37" customFormat="1" ht="16.5" customHeight="1" x14ac:dyDescent="0.15">
      <c r="A29" s="100"/>
      <c r="B29" s="100"/>
      <c r="C29" s="96"/>
      <c r="D29" s="51" t="s">
        <v>138</v>
      </c>
      <c r="E29" s="46">
        <v>18000000</v>
      </c>
      <c r="G29" s="100"/>
      <c r="H29" s="100"/>
      <c r="I29" s="96"/>
      <c r="J29" s="51" t="s">
        <v>138</v>
      </c>
      <c r="K29" s="46">
        <f t="shared" si="0"/>
        <v>18000000</v>
      </c>
      <c r="M29" s="100"/>
      <c r="N29" s="100"/>
      <c r="O29" s="96"/>
      <c r="P29" s="51" t="s">
        <v>138</v>
      </c>
      <c r="Q29" s="71">
        <f>K29*1.02</f>
        <v>18360000</v>
      </c>
      <c r="S29" s="100"/>
      <c r="T29" s="100"/>
      <c r="U29" s="96"/>
      <c r="V29" s="51" t="s">
        <v>138</v>
      </c>
      <c r="W29" s="71">
        <f t="shared" si="1"/>
        <v>18360000</v>
      </c>
      <c r="Y29" s="100"/>
      <c r="Z29" s="100"/>
      <c r="AA29" s="96"/>
      <c r="AB29" s="51" t="s">
        <v>138</v>
      </c>
      <c r="AC29" s="71">
        <f t="shared" si="2"/>
        <v>18543600</v>
      </c>
    </row>
    <row r="30" spans="1:29" s="37" customFormat="1" ht="16.5" customHeight="1" x14ac:dyDescent="0.15">
      <c r="A30" s="100"/>
      <c r="B30" s="101"/>
      <c r="C30" s="88" t="s">
        <v>43</v>
      </c>
      <c r="D30" s="90"/>
      <c r="E30" s="49">
        <f>SUM(E24:E29)</f>
        <v>165360000</v>
      </c>
      <c r="G30" s="100"/>
      <c r="H30" s="101"/>
      <c r="I30" s="88" t="s">
        <v>43</v>
      </c>
      <c r="J30" s="90"/>
      <c r="K30" s="49">
        <f>SUM(K24:K29)</f>
        <v>165360000</v>
      </c>
      <c r="M30" s="100"/>
      <c r="N30" s="101"/>
      <c r="O30" s="88" t="s">
        <v>43</v>
      </c>
      <c r="P30" s="90"/>
      <c r="Q30" s="49">
        <f>SUM(Q24:Q29)</f>
        <v>168019200</v>
      </c>
      <c r="S30" s="100"/>
      <c r="T30" s="101"/>
      <c r="U30" s="88" t="s">
        <v>43</v>
      </c>
      <c r="V30" s="90"/>
      <c r="W30" s="49">
        <f>SUM(W24:W29)</f>
        <v>168019200</v>
      </c>
      <c r="Y30" s="100"/>
      <c r="Z30" s="101"/>
      <c r="AA30" s="88" t="s">
        <v>43</v>
      </c>
      <c r="AB30" s="90"/>
      <c r="AC30" s="49">
        <f>SUM(AC24:AC29)</f>
        <v>169699392</v>
      </c>
    </row>
    <row r="31" spans="1:29" s="37" customFormat="1" ht="16.5" customHeight="1" x14ac:dyDescent="0.15">
      <c r="A31" s="100"/>
      <c r="B31" s="88" t="s">
        <v>44</v>
      </c>
      <c r="C31" s="89"/>
      <c r="D31" s="90"/>
      <c r="E31" s="49">
        <f>E23+E30</f>
        <v>282360000</v>
      </c>
      <c r="G31" s="100"/>
      <c r="H31" s="88" t="s">
        <v>44</v>
      </c>
      <c r="I31" s="89"/>
      <c r="J31" s="90"/>
      <c r="K31" s="49">
        <f>K23+K30</f>
        <v>247170000</v>
      </c>
      <c r="M31" s="100"/>
      <c r="N31" s="88" t="s">
        <v>44</v>
      </c>
      <c r="O31" s="89"/>
      <c r="P31" s="90"/>
      <c r="Q31" s="49">
        <f>Q23+Q30</f>
        <v>316539200</v>
      </c>
      <c r="S31" s="100"/>
      <c r="T31" s="88" t="s">
        <v>44</v>
      </c>
      <c r="U31" s="89"/>
      <c r="V31" s="90"/>
      <c r="W31" s="49">
        <f>W23+W30</f>
        <v>351619200</v>
      </c>
      <c r="Y31" s="100"/>
      <c r="Z31" s="88" t="s">
        <v>44</v>
      </c>
      <c r="AA31" s="89"/>
      <c r="AB31" s="90"/>
      <c r="AC31" s="49">
        <f>AC23+AC30</f>
        <v>417559392</v>
      </c>
    </row>
    <row r="32" spans="1:29" s="37" customFormat="1" ht="16.5" customHeight="1" x14ac:dyDescent="0.15">
      <c r="A32" s="100"/>
      <c r="B32" s="91" t="s">
        <v>45</v>
      </c>
      <c r="C32" s="92"/>
      <c r="D32" s="51" t="s">
        <v>112</v>
      </c>
      <c r="E32" s="46">
        <v>0</v>
      </c>
      <c r="G32" s="100"/>
      <c r="H32" s="91" t="s">
        <v>45</v>
      </c>
      <c r="I32" s="92"/>
      <c r="J32" s="51"/>
      <c r="K32" s="46">
        <v>0</v>
      </c>
      <c r="M32" s="100"/>
      <c r="N32" s="91" t="s">
        <v>45</v>
      </c>
      <c r="O32" s="92"/>
      <c r="P32" s="51"/>
      <c r="Q32" s="46">
        <v>0</v>
      </c>
      <c r="S32" s="100"/>
      <c r="T32" s="91" t="s">
        <v>45</v>
      </c>
      <c r="U32" s="92"/>
      <c r="V32" s="51"/>
      <c r="W32" s="46">
        <v>0</v>
      </c>
      <c r="Y32" s="100"/>
      <c r="Z32" s="91" t="s">
        <v>45</v>
      </c>
      <c r="AA32" s="92"/>
      <c r="AB32" s="51"/>
      <c r="AC32" s="46">
        <v>0</v>
      </c>
    </row>
    <row r="33" spans="1:29" s="37" customFormat="1" ht="16.5" customHeight="1" x14ac:dyDescent="0.15">
      <c r="A33" s="100"/>
      <c r="B33" s="93"/>
      <c r="C33" s="94"/>
      <c r="D33" s="51" t="s">
        <v>112</v>
      </c>
      <c r="E33" s="46">
        <v>0</v>
      </c>
      <c r="G33" s="100"/>
      <c r="H33" s="93"/>
      <c r="I33" s="94"/>
      <c r="J33" s="51"/>
      <c r="K33" s="46">
        <v>0</v>
      </c>
      <c r="M33" s="100"/>
      <c r="N33" s="93"/>
      <c r="O33" s="94"/>
      <c r="P33" s="51"/>
      <c r="Q33" s="46">
        <v>0</v>
      </c>
      <c r="S33" s="100"/>
      <c r="T33" s="93"/>
      <c r="U33" s="94"/>
      <c r="V33" s="51"/>
      <c r="W33" s="46">
        <v>0</v>
      </c>
      <c r="Y33" s="100"/>
      <c r="Z33" s="93"/>
      <c r="AA33" s="94"/>
      <c r="AB33" s="51"/>
      <c r="AC33" s="46">
        <v>0</v>
      </c>
    </row>
    <row r="34" spans="1:29" s="37" customFormat="1" ht="16.5" customHeight="1" x14ac:dyDescent="0.15">
      <c r="A34" s="101"/>
      <c r="B34" s="88" t="s">
        <v>46</v>
      </c>
      <c r="C34" s="89"/>
      <c r="D34" s="90"/>
      <c r="E34" s="49">
        <f>SUM(E32:E33)</f>
        <v>0</v>
      </c>
      <c r="G34" s="101"/>
      <c r="H34" s="88" t="s">
        <v>46</v>
      </c>
      <c r="I34" s="89"/>
      <c r="J34" s="90"/>
      <c r="K34" s="49">
        <f>SUM(K32:K33)</f>
        <v>0</v>
      </c>
      <c r="M34" s="101"/>
      <c r="N34" s="88" t="s">
        <v>46</v>
      </c>
      <c r="O34" s="89"/>
      <c r="P34" s="90"/>
      <c r="Q34" s="49">
        <f>SUM(Q32:Q33)</f>
        <v>0</v>
      </c>
      <c r="S34" s="101"/>
      <c r="T34" s="88" t="s">
        <v>46</v>
      </c>
      <c r="U34" s="89"/>
      <c r="V34" s="90"/>
      <c r="W34" s="49">
        <f>SUM(W32:W33)</f>
        <v>0</v>
      </c>
      <c r="Y34" s="101"/>
      <c r="Z34" s="88" t="s">
        <v>46</v>
      </c>
      <c r="AA34" s="89"/>
      <c r="AB34" s="90"/>
      <c r="AC34" s="49">
        <f>SUM(AC32:AC33)</f>
        <v>0</v>
      </c>
    </row>
    <row r="35" spans="1:29" s="37" customFormat="1" ht="16.5" customHeight="1" x14ac:dyDescent="0.15">
      <c r="A35" s="95" t="s">
        <v>47</v>
      </c>
      <c r="B35" s="95"/>
      <c r="C35" s="95"/>
      <c r="D35" s="95"/>
      <c r="E35" s="49">
        <f>E31+E34</f>
        <v>282360000</v>
      </c>
      <c r="G35" s="95" t="s">
        <v>47</v>
      </c>
      <c r="H35" s="95"/>
      <c r="I35" s="95"/>
      <c r="J35" s="95"/>
      <c r="K35" s="49">
        <f>K31+K34</f>
        <v>247170000</v>
      </c>
      <c r="M35" s="95" t="s">
        <v>47</v>
      </c>
      <c r="N35" s="95"/>
      <c r="O35" s="95"/>
      <c r="P35" s="95"/>
      <c r="Q35" s="49">
        <f>Q31+Q34</f>
        <v>316539200</v>
      </c>
      <c r="S35" s="95" t="s">
        <v>47</v>
      </c>
      <c r="T35" s="95"/>
      <c r="U35" s="95"/>
      <c r="V35" s="95"/>
      <c r="W35" s="49">
        <f>W31+W34</f>
        <v>351619200</v>
      </c>
      <c r="Y35" s="95" t="s">
        <v>47</v>
      </c>
      <c r="Z35" s="95"/>
      <c r="AA35" s="95"/>
      <c r="AB35" s="95"/>
      <c r="AC35" s="49">
        <f>AC31+AC34</f>
        <v>417559392</v>
      </c>
    </row>
    <row r="36" spans="1:29" s="37" customFormat="1" ht="16.5" customHeight="1" x14ac:dyDescent="0.15">
      <c r="A36" s="53"/>
      <c r="B36" s="53"/>
      <c r="C36" s="53"/>
      <c r="D36" s="53"/>
      <c r="E36" s="47"/>
      <c r="G36" s="53"/>
      <c r="H36" s="53"/>
      <c r="I36" s="53"/>
      <c r="J36" s="53"/>
      <c r="K36" s="47"/>
      <c r="M36" s="53"/>
      <c r="N36" s="53"/>
      <c r="O36" s="53"/>
      <c r="P36" s="53"/>
      <c r="Q36" s="47"/>
      <c r="S36" s="53"/>
      <c r="T36" s="53"/>
      <c r="U36" s="53"/>
      <c r="V36" s="53"/>
      <c r="W36" s="47"/>
      <c r="Y36" s="53"/>
      <c r="Z36" s="53"/>
      <c r="AA36" s="53"/>
      <c r="AB36" s="53"/>
      <c r="AC36" s="47"/>
    </row>
    <row r="37" spans="1:29" s="37" customFormat="1" ht="16.5" customHeight="1" x14ac:dyDescent="0.15">
      <c r="A37" s="98" t="s">
        <v>123</v>
      </c>
      <c r="B37" s="98"/>
      <c r="C37" s="98"/>
      <c r="D37" s="98"/>
      <c r="E37" s="46">
        <f>E13-E35</f>
        <v>-115260000</v>
      </c>
      <c r="G37" s="98" t="s">
        <v>124</v>
      </c>
      <c r="H37" s="98"/>
      <c r="I37" s="98"/>
      <c r="J37" s="98"/>
      <c r="K37" s="46">
        <f>K13-K35</f>
        <v>53446500</v>
      </c>
      <c r="M37" s="98" t="s">
        <v>125</v>
      </c>
      <c r="N37" s="98"/>
      <c r="O37" s="98"/>
      <c r="P37" s="98"/>
      <c r="Q37" s="46">
        <f>Q13-Q35</f>
        <v>76129630</v>
      </c>
      <c r="S37" s="98" t="s">
        <v>126</v>
      </c>
      <c r="T37" s="98"/>
      <c r="U37" s="98"/>
      <c r="V37" s="98"/>
      <c r="W37" s="46">
        <f>W13-W35</f>
        <v>87619662.449999988</v>
      </c>
      <c r="Y37" s="98" t="s">
        <v>127</v>
      </c>
      <c r="Z37" s="98"/>
      <c r="AA37" s="98"/>
      <c r="AB37" s="98"/>
      <c r="AC37" s="46">
        <f>AC13-AC35</f>
        <v>113804247.699</v>
      </c>
    </row>
    <row r="38" spans="1:29" s="37" customFormat="1" ht="16.5" customHeight="1" x14ac:dyDescent="0.15">
      <c r="A38" s="44"/>
      <c r="B38" s="44"/>
      <c r="C38" s="44"/>
      <c r="D38" s="48"/>
      <c r="E38" s="47"/>
      <c r="G38" s="44"/>
      <c r="H38" s="44"/>
      <c r="I38" s="44"/>
      <c r="J38" s="48"/>
      <c r="K38" s="47"/>
      <c r="M38" s="44"/>
      <c r="N38" s="44"/>
      <c r="O38" s="44"/>
      <c r="P38" s="48"/>
      <c r="Q38" s="47"/>
      <c r="S38" s="44"/>
      <c r="T38" s="44"/>
      <c r="U38" s="44"/>
      <c r="V38" s="48"/>
      <c r="W38" s="47"/>
      <c r="Y38" s="44"/>
      <c r="Z38" s="44"/>
      <c r="AA38" s="44"/>
      <c r="AB38" s="48"/>
      <c r="AC38" s="47"/>
    </row>
    <row r="39" spans="1:29" s="37" customFormat="1" ht="16.5" customHeight="1" x14ac:dyDescent="0.15">
      <c r="A39" s="96" t="s">
        <v>48</v>
      </c>
      <c r="B39" s="97" t="s">
        <v>49</v>
      </c>
      <c r="C39" s="97"/>
      <c r="D39" s="97"/>
      <c r="E39" s="49">
        <v>0</v>
      </c>
      <c r="G39" s="96" t="s">
        <v>48</v>
      </c>
      <c r="H39" s="97" t="s">
        <v>49</v>
      </c>
      <c r="I39" s="97"/>
      <c r="J39" s="97"/>
      <c r="K39" s="49">
        <v>0</v>
      </c>
      <c r="M39" s="96" t="s">
        <v>48</v>
      </c>
      <c r="N39" s="97" t="s">
        <v>49</v>
      </c>
      <c r="O39" s="97"/>
      <c r="P39" s="97"/>
      <c r="Q39" s="49">
        <v>0</v>
      </c>
      <c r="S39" s="96" t="s">
        <v>48</v>
      </c>
      <c r="T39" s="97" t="s">
        <v>49</v>
      </c>
      <c r="U39" s="97"/>
      <c r="V39" s="97"/>
      <c r="W39" s="49">
        <v>0</v>
      </c>
      <c r="Y39" s="96" t="s">
        <v>48</v>
      </c>
      <c r="Z39" s="97" t="s">
        <v>49</v>
      </c>
      <c r="AA39" s="97"/>
      <c r="AB39" s="97"/>
      <c r="AC39" s="49">
        <v>0</v>
      </c>
    </row>
    <row r="40" spans="1:29" s="37" customFormat="1" ht="16.5" customHeight="1" x14ac:dyDescent="0.15">
      <c r="A40" s="96"/>
      <c r="B40" s="97" t="s">
        <v>50</v>
      </c>
      <c r="C40" s="97"/>
      <c r="D40" s="97"/>
      <c r="E40" s="49">
        <v>0</v>
      </c>
      <c r="G40" s="96"/>
      <c r="H40" s="97" t="s">
        <v>50</v>
      </c>
      <c r="I40" s="97"/>
      <c r="J40" s="97"/>
      <c r="K40" s="49">
        <v>0</v>
      </c>
      <c r="M40" s="96"/>
      <c r="N40" s="97" t="s">
        <v>50</v>
      </c>
      <c r="O40" s="97"/>
      <c r="P40" s="97"/>
      <c r="Q40" s="49">
        <v>0</v>
      </c>
      <c r="S40" s="96"/>
      <c r="T40" s="97" t="s">
        <v>50</v>
      </c>
      <c r="U40" s="97"/>
      <c r="V40" s="97"/>
      <c r="W40" s="49">
        <v>0</v>
      </c>
      <c r="Y40" s="96"/>
      <c r="Z40" s="97" t="s">
        <v>50</v>
      </c>
      <c r="AA40" s="97"/>
      <c r="AB40" s="97"/>
      <c r="AC40" s="49">
        <v>0</v>
      </c>
    </row>
    <row r="41" spans="1:29" s="37" customFormat="1" ht="16.5" customHeight="1" x14ac:dyDescent="0.15">
      <c r="A41" s="96"/>
      <c r="B41" s="97" t="s">
        <v>51</v>
      </c>
      <c r="C41" s="97"/>
      <c r="D41" s="97"/>
      <c r="E41" s="49">
        <f>E37*0.04</f>
        <v>-4610400</v>
      </c>
      <c r="G41" s="96"/>
      <c r="H41" s="97" t="s">
        <v>51</v>
      </c>
      <c r="I41" s="97"/>
      <c r="J41" s="97"/>
      <c r="K41" s="49">
        <f>K37*0.04</f>
        <v>2137860</v>
      </c>
      <c r="M41" s="96"/>
      <c r="N41" s="97" t="s">
        <v>51</v>
      </c>
      <c r="O41" s="97"/>
      <c r="P41" s="97"/>
      <c r="Q41" s="49">
        <f>Q37*0.04</f>
        <v>3045185.2</v>
      </c>
      <c r="S41" s="96"/>
      <c r="T41" s="97" t="s">
        <v>51</v>
      </c>
      <c r="U41" s="97"/>
      <c r="V41" s="97"/>
      <c r="W41" s="49">
        <f>W37*0.04</f>
        <v>3504786.4979999997</v>
      </c>
      <c r="Y41" s="96"/>
      <c r="Z41" s="97" t="s">
        <v>51</v>
      </c>
      <c r="AA41" s="97"/>
      <c r="AB41" s="97"/>
      <c r="AC41" s="49">
        <f>AC37*0.04</f>
        <v>4552169.9079600004</v>
      </c>
    </row>
    <row r="42" spans="1:29" s="37" customFormat="1" ht="16.5" customHeight="1" x14ac:dyDescent="0.15">
      <c r="A42" s="96"/>
      <c r="B42" s="97" t="s">
        <v>52</v>
      </c>
      <c r="C42" s="97"/>
      <c r="D42" s="97"/>
      <c r="E42" s="49">
        <f>E37*0.054</f>
        <v>-6224040</v>
      </c>
      <c r="G42" s="96"/>
      <c r="H42" s="97" t="s">
        <v>52</v>
      </c>
      <c r="I42" s="97"/>
      <c r="J42" s="97"/>
      <c r="K42" s="49">
        <f>K37*0.054</f>
        <v>2886111</v>
      </c>
      <c r="M42" s="96"/>
      <c r="N42" s="97" t="s">
        <v>52</v>
      </c>
      <c r="O42" s="97"/>
      <c r="P42" s="97"/>
      <c r="Q42" s="49">
        <f>Q37*0.054</f>
        <v>4111000.02</v>
      </c>
      <c r="S42" s="96"/>
      <c r="T42" s="97" t="s">
        <v>52</v>
      </c>
      <c r="U42" s="97"/>
      <c r="V42" s="97"/>
      <c r="W42" s="49">
        <f>W37*0.054</f>
        <v>4731461.7722999994</v>
      </c>
      <c r="Y42" s="96"/>
      <c r="Z42" s="97" t="s">
        <v>52</v>
      </c>
      <c r="AA42" s="97"/>
      <c r="AB42" s="97"/>
      <c r="AC42" s="49">
        <f>AC37*0.054</f>
        <v>6145429.3757459996</v>
      </c>
    </row>
    <row r="43" spans="1:29" s="37" customFormat="1" ht="16.5" customHeight="1" x14ac:dyDescent="0.15">
      <c r="A43" s="44"/>
      <c r="B43" s="50"/>
      <c r="C43" s="50"/>
      <c r="D43" s="50"/>
      <c r="E43" s="49">
        <f>E39+E40+E41+(MAX(E42,0))</f>
        <v>-4610400</v>
      </c>
      <c r="G43" s="44"/>
      <c r="H43" s="50"/>
      <c r="I43" s="50"/>
      <c r="J43" s="50"/>
      <c r="K43" s="49">
        <f>K39+K40+K41+(MAX(K42,0))</f>
        <v>5023971</v>
      </c>
      <c r="M43" s="44"/>
      <c r="N43" s="50"/>
      <c r="O43" s="50"/>
      <c r="P43" s="50"/>
      <c r="Q43" s="49">
        <f>Q39+Q40+Q41+(MAX(Q42,0))</f>
        <v>7156185.2200000007</v>
      </c>
      <c r="S43" s="44"/>
      <c r="T43" s="50"/>
      <c r="U43" s="50"/>
      <c r="V43" s="50"/>
      <c r="W43" s="49">
        <f>W39+W40+W41+(MAX(W42,0))</f>
        <v>8236248.270299999</v>
      </c>
      <c r="Y43" s="44"/>
      <c r="Z43" s="50"/>
      <c r="AA43" s="50"/>
      <c r="AB43" s="50"/>
      <c r="AC43" s="49">
        <f>AC39+AC40+AC41+(MAX(AC42,0))</f>
        <v>10697599.283706</v>
      </c>
    </row>
    <row r="44" spans="1:29" s="37" customFormat="1" ht="16.5" customHeight="1" x14ac:dyDescent="0.15">
      <c r="A44" s="44"/>
      <c r="B44" s="44"/>
      <c r="C44" s="44"/>
      <c r="D44" s="48"/>
      <c r="E44" s="47"/>
      <c r="G44" s="44"/>
      <c r="H44" s="44"/>
      <c r="I44" s="44"/>
      <c r="J44" s="48"/>
      <c r="K44" s="47"/>
      <c r="M44" s="44"/>
      <c r="N44" s="44"/>
      <c r="O44" s="44"/>
      <c r="P44" s="48"/>
      <c r="Q44" s="47"/>
      <c r="S44" s="44"/>
      <c r="T44" s="44"/>
      <c r="U44" s="44"/>
      <c r="V44" s="48"/>
      <c r="W44" s="47"/>
      <c r="Y44" s="44"/>
      <c r="Z44" s="44"/>
      <c r="AA44" s="44"/>
      <c r="AB44" s="48"/>
      <c r="AC44" s="47"/>
    </row>
    <row r="45" spans="1:29" s="37" customFormat="1" ht="16.5" customHeight="1" x14ac:dyDescent="0.15">
      <c r="A45" s="85" t="s">
        <v>53</v>
      </c>
      <c r="B45" s="86"/>
      <c r="C45" s="86"/>
      <c r="D45" s="86"/>
      <c r="E45" s="87"/>
      <c r="F45" s="44"/>
      <c r="G45" s="85" t="s">
        <v>53</v>
      </c>
      <c r="H45" s="86"/>
      <c r="I45" s="86"/>
      <c r="J45" s="86"/>
      <c r="K45" s="87"/>
      <c r="L45" s="44"/>
      <c r="M45" s="85" t="s">
        <v>53</v>
      </c>
      <c r="N45" s="86"/>
      <c r="O45" s="86"/>
      <c r="P45" s="86"/>
      <c r="Q45" s="87"/>
      <c r="R45" s="44"/>
      <c r="S45" s="85" t="s">
        <v>53</v>
      </c>
      <c r="T45" s="86"/>
      <c r="U45" s="86"/>
      <c r="V45" s="86"/>
      <c r="W45" s="87"/>
      <c r="X45" s="44"/>
      <c r="Y45" s="85" t="s">
        <v>53</v>
      </c>
      <c r="Z45" s="86"/>
      <c r="AA45" s="86"/>
      <c r="AB45" s="86"/>
      <c r="AC45" s="87"/>
    </row>
    <row r="46" spans="1:29" s="37" customFormat="1" ht="16.5" customHeight="1" x14ac:dyDescent="0.15">
      <c r="A46" s="43" t="s">
        <v>54</v>
      </c>
      <c r="B46" s="82" t="s">
        <v>55</v>
      </c>
      <c r="C46" s="83"/>
      <c r="D46" s="84"/>
      <c r="E46" s="46">
        <f>E13-E23</f>
        <v>50100000</v>
      </c>
      <c r="F46" s="44"/>
      <c r="G46" s="43" t="s">
        <v>54</v>
      </c>
      <c r="H46" s="82" t="s">
        <v>55</v>
      </c>
      <c r="I46" s="83"/>
      <c r="J46" s="84"/>
      <c r="K46" s="46">
        <f>K13-K23</f>
        <v>218806500</v>
      </c>
      <c r="L46" s="44"/>
      <c r="M46" s="43" t="s">
        <v>54</v>
      </c>
      <c r="N46" s="82" t="s">
        <v>55</v>
      </c>
      <c r="O46" s="83"/>
      <c r="P46" s="84"/>
      <c r="Q46" s="46">
        <f>Q13-Q23</f>
        <v>244148830</v>
      </c>
      <c r="R46" s="44"/>
      <c r="S46" s="43" t="s">
        <v>54</v>
      </c>
      <c r="T46" s="82" t="s">
        <v>55</v>
      </c>
      <c r="U46" s="83"/>
      <c r="V46" s="84"/>
      <c r="W46" s="46">
        <f>W13-W23</f>
        <v>255638862.44999999</v>
      </c>
      <c r="X46" s="44"/>
      <c r="Y46" s="43" t="s">
        <v>54</v>
      </c>
      <c r="Z46" s="82" t="s">
        <v>55</v>
      </c>
      <c r="AA46" s="83"/>
      <c r="AB46" s="84"/>
      <c r="AC46" s="46">
        <f>AC13-AC23</f>
        <v>283503639.699</v>
      </c>
    </row>
    <row r="47" spans="1:29" s="37" customFormat="1" ht="16.5" customHeight="1" x14ac:dyDescent="0.15">
      <c r="A47" s="43" t="s">
        <v>56</v>
      </c>
      <c r="B47" s="82" t="s">
        <v>57</v>
      </c>
      <c r="C47" s="83"/>
      <c r="D47" s="84"/>
      <c r="E47" s="45">
        <f>E46/E13</f>
        <v>0.29982046678635549</v>
      </c>
      <c r="F47" s="44"/>
      <c r="G47" s="43" t="s">
        <v>56</v>
      </c>
      <c r="H47" s="82" t="s">
        <v>57</v>
      </c>
      <c r="I47" s="83"/>
      <c r="J47" s="84"/>
      <c r="K47" s="45">
        <f>K46/K13</f>
        <v>0.72785924924280598</v>
      </c>
      <c r="L47" s="44"/>
      <c r="M47" s="43" t="s">
        <v>56</v>
      </c>
      <c r="N47" s="82" t="s">
        <v>57</v>
      </c>
      <c r="O47" s="83"/>
      <c r="P47" s="84"/>
      <c r="Q47" s="45">
        <f>Q46/Q13</f>
        <v>0.62176778839308433</v>
      </c>
      <c r="R47" s="44"/>
      <c r="S47" s="43" t="s">
        <v>56</v>
      </c>
      <c r="T47" s="82" t="s">
        <v>57</v>
      </c>
      <c r="U47" s="83"/>
      <c r="V47" s="84"/>
      <c r="W47" s="45">
        <f>W46/W13</f>
        <v>0.58200419931899861</v>
      </c>
      <c r="X47" s="44"/>
      <c r="Y47" s="43" t="s">
        <v>56</v>
      </c>
      <c r="Z47" s="82" t="s">
        <v>57</v>
      </c>
      <c r="AA47" s="83"/>
      <c r="AB47" s="84"/>
      <c r="AC47" s="45">
        <f>AC46/AC13</f>
        <v>0.53353978051564743</v>
      </c>
    </row>
    <row r="48" spans="1:29" s="37" customFormat="1" ht="16.5" customHeight="1" x14ac:dyDescent="0.15">
      <c r="A48" s="43" t="s">
        <v>58</v>
      </c>
      <c r="B48" s="82" t="s">
        <v>59</v>
      </c>
      <c r="C48" s="83"/>
      <c r="D48" s="84"/>
      <c r="E48" s="46">
        <f>E46-E30</f>
        <v>-115260000</v>
      </c>
      <c r="F48" s="44"/>
      <c r="G48" s="43" t="s">
        <v>58</v>
      </c>
      <c r="H48" s="82" t="s">
        <v>59</v>
      </c>
      <c r="I48" s="83"/>
      <c r="J48" s="84"/>
      <c r="K48" s="46">
        <f>K46-K30</f>
        <v>53446500</v>
      </c>
      <c r="L48" s="44"/>
      <c r="M48" s="43" t="s">
        <v>58</v>
      </c>
      <c r="N48" s="82" t="s">
        <v>59</v>
      </c>
      <c r="O48" s="83"/>
      <c r="P48" s="84"/>
      <c r="Q48" s="46">
        <f>Q46-Q30</f>
        <v>76129630</v>
      </c>
      <c r="R48" s="44"/>
      <c r="S48" s="43" t="s">
        <v>58</v>
      </c>
      <c r="T48" s="82" t="s">
        <v>59</v>
      </c>
      <c r="U48" s="83"/>
      <c r="V48" s="84"/>
      <c r="W48" s="46">
        <f>W46-W30</f>
        <v>87619662.449999988</v>
      </c>
      <c r="X48" s="44"/>
      <c r="Y48" s="43" t="s">
        <v>58</v>
      </c>
      <c r="Z48" s="82" t="s">
        <v>59</v>
      </c>
      <c r="AA48" s="83"/>
      <c r="AB48" s="84"/>
      <c r="AC48" s="46">
        <f>AC46-AC30</f>
        <v>113804247.699</v>
      </c>
    </row>
    <row r="49" spans="1:29" s="37" customFormat="1" ht="16.5" customHeight="1" x14ac:dyDescent="0.15">
      <c r="A49" s="43" t="s">
        <v>60</v>
      </c>
      <c r="B49" s="82" t="s">
        <v>61</v>
      </c>
      <c r="C49" s="83"/>
      <c r="D49" s="84"/>
      <c r="E49" s="45">
        <f>E48/E13</f>
        <v>-0.6897666068222621</v>
      </c>
      <c r="F49" s="44"/>
      <c r="G49" s="43" t="s">
        <v>60</v>
      </c>
      <c r="H49" s="82" t="s">
        <v>61</v>
      </c>
      <c r="I49" s="83"/>
      <c r="J49" s="84"/>
      <c r="K49" s="45">
        <f>K48/K13</f>
        <v>0.1777896422851041</v>
      </c>
      <c r="L49" s="44"/>
      <c r="M49" s="43" t="s">
        <v>60</v>
      </c>
      <c r="N49" s="82" t="s">
        <v>61</v>
      </c>
      <c r="O49" s="83"/>
      <c r="P49" s="84"/>
      <c r="Q49" s="45">
        <f>Q48/Q13</f>
        <v>0.19387744629488415</v>
      </c>
      <c r="R49" s="44"/>
      <c r="S49" s="43" t="s">
        <v>60</v>
      </c>
      <c r="T49" s="82" t="s">
        <v>61</v>
      </c>
      <c r="U49" s="83"/>
      <c r="V49" s="84"/>
      <c r="W49" s="45">
        <f>W48/W13</f>
        <v>0.19948066972323977</v>
      </c>
      <c r="X49" s="44"/>
      <c r="Y49" s="43" t="s">
        <v>60</v>
      </c>
      <c r="Z49" s="82" t="s">
        <v>61</v>
      </c>
      <c r="AA49" s="83"/>
      <c r="AB49" s="84"/>
      <c r="AC49" s="45">
        <f>AC48/AC13</f>
        <v>0.21417394642107307</v>
      </c>
    </row>
    <row r="50" spans="1:29" s="37" customFormat="1" ht="16.5" customHeight="1" x14ac:dyDescent="0.15">
      <c r="A50" s="43" t="s">
        <v>62</v>
      </c>
      <c r="B50" s="82" t="s">
        <v>63</v>
      </c>
      <c r="C50" s="83"/>
      <c r="D50" s="84"/>
      <c r="E50" s="46">
        <f>E48-E43</f>
        <v>-110649600</v>
      </c>
      <c r="F50" s="44"/>
      <c r="G50" s="43" t="s">
        <v>62</v>
      </c>
      <c r="H50" s="82" t="s">
        <v>63</v>
      </c>
      <c r="I50" s="83"/>
      <c r="J50" s="84"/>
      <c r="K50" s="46">
        <f>K48-K43</f>
        <v>48422529</v>
      </c>
      <c r="L50" s="44"/>
      <c r="M50" s="43" t="s">
        <v>62</v>
      </c>
      <c r="N50" s="82" t="s">
        <v>63</v>
      </c>
      <c r="O50" s="83"/>
      <c r="P50" s="84"/>
      <c r="Q50" s="46">
        <f>Q48-Q43</f>
        <v>68973444.780000001</v>
      </c>
      <c r="R50" s="44"/>
      <c r="S50" s="43" t="s">
        <v>62</v>
      </c>
      <c r="T50" s="82" t="s">
        <v>63</v>
      </c>
      <c r="U50" s="83"/>
      <c r="V50" s="84"/>
      <c r="W50" s="46">
        <f>W48-W43</f>
        <v>79383414.179699987</v>
      </c>
      <c r="X50" s="44"/>
      <c r="Y50" s="43" t="s">
        <v>62</v>
      </c>
      <c r="Z50" s="82" t="s">
        <v>63</v>
      </c>
      <c r="AA50" s="83"/>
      <c r="AB50" s="84"/>
      <c r="AC50" s="46">
        <f>AC48-AC43</f>
        <v>103106648.41529401</v>
      </c>
    </row>
    <row r="51" spans="1:29" s="37" customFormat="1" ht="16.5" customHeight="1" x14ac:dyDescent="0.15">
      <c r="A51" s="43" t="s">
        <v>64</v>
      </c>
      <c r="B51" s="82" t="s">
        <v>65</v>
      </c>
      <c r="C51" s="83"/>
      <c r="D51" s="84"/>
      <c r="E51" s="45">
        <f>E50/E13</f>
        <v>-0.66217594254937162</v>
      </c>
      <c r="F51" s="44"/>
      <c r="G51" s="43" t="s">
        <v>64</v>
      </c>
      <c r="H51" s="82" t="s">
        <v>65</v>
      </c>
      <c r="I51" s="83"/>
      <c r="J51" s="84"/>
      <c r="K51" s="45">
        <f>K50/K13</f>
        <v>0.16107741591030433</v>
      </c>
      <c r="L51" s="44"/>
      <c r="M51" s="43" t="s">
        <v>64</v>
      </c>
      <c r="N51" s="82" t="s">
        <v>65</v>
      </c>
      <c r="O51" s="83"/>
      <c r="P51" s="84"/>
      <c r="Q51" s="45">
        <f>Q50/Q13</f>
        <v>0.17565296634316505</v>
      </c>
      <c r="R51" s="44"/>
      <c r="S51" s="43" t="s">
        <v>64</v>
      </c>
      <c r="T51" s="82" t="s">
        <v>65</v>
      </c>
      <c r="U51" s="83"/>
      <c r="V51" s="84"/>
      <c r="W51" s="45">
        <f>W50/W13</f>
        <v>0.18072948676925521</v>
      </c>
      <c r="X51" s="44"/>
      <c r="Y51" s="43" t="s">
        <v>64</v>
      </c>
      <c r="Z51" s="82" t="s">
        <v>65</v>
      </c>
      <c r="AA51" s="83"/>
      <c r="AB51" s="84"/>
      <c r="AC51" s="45">
        <f>AC50/AC13</f>
        <v>0.19404159545749222</v>
      </c>
    </row>
    <row r="52" spans="1:29" s="37" customFormat="1" ht="16.5" customHeight="1" x14ac:dyDescent="0.15">
      <c r="A52" s="43" t="s">
        <v>66</v>
      </c>
      <c r="B52" s="42" t="s">
        <v>67</v>
      </c>
      <c r="C52" s="41"/>
      <c r="D52" s="40"/>
      <c r="E52" s="45">
        <f>E50/Variables!$B$7</f>
        <v>-0.2212992</v>
      </c>
      <c r="F52" s="44"/>
      <c r="G52" s="43" t="s">
        <v>66</v>
      </c>
      <c r="H52" s="42" t="s">
        <v>67</v>
      </c>
      <c r="I52" s="41"/>
      <c r="J52" s="40"/>
      <c r="K52" s="45">
        <f>K50/Variables!$B$7</f>
        <v>9.6845057999999998E-2</v>
      </c>
      <c r="L52" s="44"/>
      <c r="M52" s="43" t="s">
        <v>66</v>
      </c>
      <c r="N52" s="42" t="s">
        <v>67</v>
      </c>
      <c r="O52" s="41"/>
      <c r="P52" s="40"/>
      <c r="Q52" s="45">
        <f>Q50/Variables!$B$7</f>
        <v>0.13794688956000001</v>
      </c>
      <c r="R52" s="44"/>
      <c r="S52" s="43" t="s">
        <v>66</v>
      </c>
      <c r="T52" s="42" t="s">
        <v>67</v>
      </c>
      <c r="U52" s="41"/>
      <c r="V52" s="40"/>
      <c r="W52" s="45">
        <f>W50/Variables!$B$7</f>
        <v>0.15876682835939998</v>
      </c>
      <c r="X52" s="44"/>
      <c r="Y52" s="43" t="s">
        <v>66</v>
      </c>
      <c r="Z52" s="42" t="s">
        <v>67</v>
      </c>
      <c r="AA52" s="41"/>
      <c r="AB52" s="40"/>
      <c r="AC52" s="45">
        <f>AC50/Variables!$B$7</f>
        <v>0.20621329683058801</v>
      </c>
    </row>
    <row r="53" spans="1:29" s="37" customFormat="1" ht="16.5" customHeight="1" x14ac:dyDescent="0.15">
      <c r="A53" s="43" t="s">
        <v>68</v>
      </c>
      <c r="B53" s="82" t="s">
        <v>69</v>
      </c>
      <c r="C53" s="83"/>
      <c r="D53" s="84"/>
      <c r="E53" s="45">
        <f>E50/Balance!$B$6</f>
        <v>-0.2212992</v>
      </c>
      <c r="F53" s="44"/>
      <c r="G53" s="43" t="s">
        <v>68</v>
      </c>
      <c r="H53" s="82" t="s">
        <v>69</v>
      </c>
      <c r="I53" s="83"/>
      <c r="J53" s="84"/>
      <c r="K53" s="45">
        <f>K50/Balance!$B$6</f>
        <v>9.6845057999999998E-2</v>
      </c>
      <c r="L53" s="44"/>
      <c r="M53" s="43" t="s">
        <v>68</v>
      </c>
      <c r="N53" s="82" t="s">
        <v>69</v>
      </c>
      <c r="O53" s="83"/>
      <c r="P53" s="84"/>
      <c r="Q53" s="45">
        <f>Q50/Balance!$B$6</f>
        <v>0.13794688956000001</v>
      </c>
      <c r="R53" s="44"/>
      <c r="S53" s="43" t="s">
        <v>68</v>
      </c>
      <c r="T53" s="82" t="s">
        <v>69</v>
      </c>
      <c r="U53" s="83"/>
      <c r="V53" s="84"/>
      <c r="W53" s="45">
        <f>W50/Balance!$B$6</f>
        <v>0.15876682835939998</v>
      </c>
      <c r="X53" s="44"/>
      <c r="Y53" s="43" t="s">
        <v>68</v>
      </c>
      <c r="Z53" s="82" t="s">
        <v>69</v>
      </c>
      <c r="AA53" s="83"/>
      <c r="AB53" s="84"/>
      <c r="AC53" s="45">
        <f>AC50/Balance!$B$6</f>
        <v>0.20621329683058801</v>
      </c>
    </row>
    <row r="54" spans="1:29" s="37" customFormat="1" ht="16.5" customHeight="1" x14ac:dyDescent="0.15">
      <c r="A54" s="43"/>
      <c r="B54" s="82"/>
      <c r="C54" s="83"/>
      <c r="D54" s="84"/>
      <c r="E54" s="39"/>
      <c r="F54" s="44"/>
      <c r="G54" s="43"/>
      <c r="H54" s="82"/>
      <c r="I54" s="83"/>
      <c r="J54" s="84"/>
      <c r="K54" s="39"/>
      <c r="L54" s="44"/>
      <c r="M54" s="43"/>
      <c r="N54" s="82"/>
      <c r="O54" s="83"/>
      <c r="P54" s="84"/>
      <c r="Q54" s="39"/>
      <c r="R54" s="44"/>
      <c r="S54" s="43"/>
      <c r="T54" s="82"/>
      <c r="U54" s="83"/>
      <c r="V54" s="84"/>
      <c r="W54" s="39"/>
      <c r="X54" s="44"/>
      <c r="Y54" s="43"/>
      <c r="Z54" s="82"/>
      <c r="AA54" s="83"/>
      <c r="AB54" s="84"/>
      <c r="AC54" s="39"/>
    </row>
    <row r="56" spans="1:29" x14ac:dyDescent="0.15">
      <c r="E56" s="38"/>
    </row>
  </sheetData>
  <mergeCells count="185">
    <mergeCell ref="S13:V13"/>
    <mergeCell ref="M13:P13"/>
    <mergeCell ref="M5:M12"/>
    <mergeCell ref="N5:N9"/>
    <mergeCell ref="H51:J51"/>
    <mergeCell ref="H53:J53"/>
    <mergeCell ref="N41:P41"/>
    <mergeCell ref="N42:P42"/>
    <mergeCell ref="Z50:AB50"/>
    <mergeCell ref="Z51:AB51"/>
    <mergeCell ref="Z53:AB53"/>
    <mergeCell ref="N50:P50"/>
    <mergeCell ref="N39:P39"/>
    <mergeCell ref="G35:J35"/>
    <mergeCell ref="G39:G42"/>
    <mergeCell ref="H39:J39"/>
    <mergeCell ref="H40:J40"/>
    <mergeCell ref="H41:J41"/>
    <mergeCell ref="H15:H30"/>
    <mergeCell ref="I15:J15"/>
    <mergeCell ref="I16:I22"/>
    <mergeCell ref="I23:J23"/>
    <mergeCell ref="I30:J30"/>
    <mergeCell ref="H34:J34"/>
    <mergeCell ref="H5:H9"/>
    <mergeCell ref="I5:J5"/>
    <mergeCell ref="I9:J9"/>
    <mergeCell ref="H10:J10"/>
    <mergeCell ref="I11:J11"/>
    <mergeCell ref="H12:J12"/>
    <mergeCell ref="G13:J13"/>
    <mergeCell ref="G15:G34"/>
    <mergeCell ref="B50:D50"/>
    <mergeCell ref="H50:J50"/>
    <mergeCell ref="C24:C29"/>
    <mergeCell ref="I24:I29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54:D54"/>
    <mergeCell ref="A15:A34"/>
    <mergeCell ref="B15:B30"/>
    <mergeCell ref="C15:D15"/>
    <mergeCell ref="C16:C22"/>
    <mergeCell ref="C23:D23"/>
    <mergeCell ref="C30:D30"/>
    <mergeCell ref="B31:D31"/>
    <mergeCell ref="B32:C33"/>
    <mergeCell ref="B34:D34"/>
    <mergeCell ref="A35:D35"/>
    <mergeCell ref="A39:A42"/>
    <mergeCell ref="B39:D39"/>
    <mergeCell ref="B40:D40"/>
    <mergeCell ref="B41:D41"/>
    <mergeCell ref="A37:D37"/>
    <mergeCell ref="B49:D49"/>
    <mergeCell ref="B51:D51"/>
    <mergeCell ref="B53:D53"/>
    <mergeCell ref="B42:D42"/>
    <mergeCell ref="A45:E45"/>
    <mergeCell ref="B46:D46"/>
    <mergeCell ref="B47:D47"/>
    <mergeCell ref="B48:D48"/>
    <mergeCell ref="M37:P37"/>
    <mergeCell ref="N15:N30"/>
    <mergeCell ref="O15:P15"/>
    <mergeCell ref="O16:O22"/>
    <mergeCell ref="G37:J37"/>
    <mergeCell ref="H42:J42"/>
    <mergeCell ref="O24:O29"/>
    <mergeCell ref="H54:J54"/>
    <mergeCell ref="G45:K45"/>
    <mergeCell ref="H46:J46"/>
    <mergeCell ref="H47:J47"/>
    <mergeCell ref="H48:J48"/>
    <mergeCell ref="H49:J49"/>
    <mergeCell ref="O23:P23"/>
    <mergeCell ref="O30:P30"/>
    <mergeCell ref="N31:P31"/>
    <mergeCell ref="N32:O33"/>
    <mergeCell ref="N34:P34"/>
    <mergeCell ref="N51:P51"/>
    <mergeCell ref="N53:P53"/>
    <mergeCell ref="N54:P54"/>
    <mergeCell ref="M45:Q45"/>
    <mergeCell ref="N46:P46"/>
    <mergeCell ref="N47:P47"/>
    <mergeCell ref="N48:P48"/>
    <mergeCell ref="N49:P49"/>
    <mergeCell ref="H31:J31"/>
    <mergeCell ref="H32:I33"/>
    <mergeCell ref="M35:P35"/>
    <mergeCell ref="M39:M42"/>
    <mergeCell ref="M15:M34"/>
    <mergeCell ref="S35:V35"/>
    <mergeCell ref="S39:S42"/>
    <mergeCell ref="T39:V39"/>
    <mergeCell ref="T40:V40"/>
    <mergeCell ref="S37:V37"/>
    <mergeCell ref="S15:S34"/>
    <mergeCell ref="T15:T30"/>
    <mergeCell ref="U15:V15"/>
    <mergeCell ref="U16:U22"/>
    <mergeCell ref="U23:V23"/>
    <mergeCell ref="U30:V30"/>
    <mergeCell ref="T31:V31"/>
    <mergeCell ref="T32:U33"/>
    <mergeCell ref="T34:V34"/>
    <mergeCell ref="U24:U29"/>
    <mergeCell ref="N40:P40"/>
    <mergeCell ref="T54:V54"/>
    <mergeCell ref="S45:W45"/>
    <mergeCell ref="T46:V46"/>
    <mergeCell ref="T47:V47"/>
    <mergeCell ref="T48:V48"/>
    <mergeCell ref="T49:V49"/>
    <mergeCell ref="T50:V50"/>
    <mergeCell ref="T51:V51"/>
    <mergeCell ref="T41:V41"/>
    <mergeCell ref="T42:V42"/>
    <mergeCell ref="T53:V53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30"/>
    <mergeCell ref="AA15:AB15"/>
    <mergeCell ref="AA16:AA22"/>
    <mergeCell ref="AA23:AB23"/>
    <mergeCell ref="AA30:AB30"/>
    <mergeCell ref="Z34:AB3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34"/>
    <mergeCell ref="AA6:AB6"/>
    <mergeCell ref="AA7:AB7"/>
    <mergeCell ref="AA8:AB8"/>
    <mergeCell ref="AA24:AA29"/>
    <mergeCell ref="Z54:AB54"/>
    <mergeCell ref="Y45:AC45"/>
    <mergeCell ref="Z46:AB46"/>
    <mergeCell ref="Z47:AB47"/>
    <mergeCell ref="Z48:AB48"/>
    <mergeCell ref="Z49:AB49"/>
    <mergeCell ref="Z31:AB31"/>
    <mergeCell ref="Z32:AA33"/>
    <mergeCell ref="Y35:AB35"/>
    <mergeCell ref="Y39:Y42"/>
    <mergeCell ref="Z39:AB39"/>
    <mergeCell ref="Z40:AB40"/>
    <mergeCell ref="Z41:AB41"/>
    <mergeCell ref="Z42:AB42"/>
    <mergeCell ref="Y37:AB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topLeftCell="I1" zoomScale="75" zoomScaleNormal="135" workbookViewId="0">
      <selection activeCell="Z9" sqref="Z9:AC25"/>
    </sheetView>
  </sheetViews>
  <sheetFormatPr baseColWidth="10" defaultColWidth="11" defaultRowHeight="14" x14ac:dyDescent="0.15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6" x14ac:dyDescent="0.2">
      <c r="A1" s="1" t="str">
        <f>Variables!A1</f>
        <v>Arquitectura Empresarial</v>
      </c>
      <c r="E1" s="1"/>
      <c r="I1" s="1"/>
      <c r="M1" s="1"/>
      <c r="Q1" s="1"/>
      <c r="U1" s="1"/>
    </row>
    <row r="2" spans="1:29" ht="16" x14ac:dyDescent="0.2">
      <c r="A2" s="2" t="s">
        <v>1</v>
      </c>
      <c r="E2" s="2"/>
      <c r="I2" s="2"/>
      <c r="M2" s="2"/>
      <c r="Q2" s="2"/>
      <c r="U2" s="2"/>
    </row>
    <row r="3" spans="1:29" ht="16" x14ac:dyDescent="0.2">
      <c r="A3" s="2" t="s">
        <v>70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6" x14ac:dyDescent="0.2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ht="15" x14ac:dyDescent="0.15">
      <c r="A5" s="10" t="s">
        <v>71</v>
      </c>
      <c r="B5" s="102" t="s">
        <v>72</v>
      </c>
      <c r="C5" s="102"/>
      <c r="D5" s="7"/>
      <c r="E5" s="10" t="s">
        <v>71</v>
      </c>
      <c r="F5" s="102" t="s">
        <v>73</v>
      </c>
      <c r="G5" s="102"/>
      <c r="H5" s="7"/>
      <c r="I5" s="10" t="s">
        <v>71</v>
      </c>
      <c r="J5" s="102" t="s">
        <v>74</v>
      </c>
      <c r="K5" s="102"/>
      <c r="L5" s="7"/>
      <c r="M5" s="10" t="s">
        <v>71</v>
      </c>
      <c r="N5" s="102" t="s">
        <v>75</v>
      </c>
      <c r="O5" s="102"/>
      <c r="P5" s="7"/>
      <c r="Q5" s="10" t="s">
        <v>71</v>
      </c>
      <c r="R5" s="102" t="s">
        <v>76</v>
      </c>
      <c r="S5" s="102"/>
      <c r="T5" s="7"/>
      <c r="U5" s="10" t="s">
        <v>71</v>
      </c>
      <c r="V5" s="102" t="s">
        <v>77</v>
      </c>
      <c r="W5" s="102"/>
    </row>
    <row r="6" spans="1:29" s="4" customFormat="1" ht="15" x14ac:dyDescent="0.15">
      <c r="A6" s="10" t="s">
        <v>78</v>
      </c>
      <c r="B6" s="103">
        <f>C13-C20</f>
        <v>500000000</v>
      </c>
      <c r="C6" s="103"/>
      <c r="D6" s="3"/>
      <c r="E6" s="10" t="s">
        <v>78</v>
      </c>
      <c r="F6" s="103">
        <f>B6+G25</f>
        <v>718100000</v>
      </c>
      <c r="G6" s="103"/>
      <c r="H6" s="3"/>
      <c r="I6" s="10" t="s">
        <v>78</v>
      </c>
      <c r="J6" s="103">
        <f>F6+K25</f>
        <v>771546500</v>
      </c>
      <c r="K6" s="103"/>
      <c r="L6" s="3"/>
      <c r="M6" s="10" t="s">
        <v>78</v>
      </c>
      <c r="N6" s="103">
        <f>J6+O25</f>
        <v>847676130</v>
      </c>
      <c r="O6" s="103"/>
      <c r="P6" s="3"/>
      <c r="Q6" s="10" t="s">
        <v>78</v>
      </c>
      <c r="R6" s="103">
        <f>N6+S25</f>
        <v>935295792.45000005</v>
      </c>
      <c r="S6" s="103"/>
      <c r="T6" s="3"/>
      <c r="U6" s="10" t="s">
        <v>78</v>
      </c>
      <c r="V6" s="103">
        <f>R6+W25</f>
        <v>1049100040.149</v>
      </c>
      <c r="W6" s="103"/>
    </row>
    <row r="7" spans="1:29" s="4" customForma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ht="15" x14ac:dyDescent="0.15">
      <c r="A8" s="104" t="s">
        <v>79</v>
      </c>
      <c r="B8" s="10" t="s">
        <v>80</v>
      </c>
      <c r="C8" s="10" t="s">
        <v>24</v>
      </c>
      <c r="D8" s="3"/>
      <c r="E8" s="104" t="s">
        <v>81</v>
      </c>
      <c r="F8" s="10" t="s">
        <v>80</v>
      </c>
      <c r="G8" s="10" t="s">
        <v>24</v>
      </c>
      <c r="H8" s="3"/>
      <c r="I8" s="104" t="s">
        <v>82</v>
      </c>
      <c r="J8" s="10" t="s">
        <v>80</v>
      </c>
      <c r="K8" s="10" t="s">
        <v>24</v>
      </c>
      <c r="L8" s="3"/>
      <c r="M8" s="104" t="s">
        <v>83</v>
      </c>
      <c r="N8" s="10" t="s">
        <v>80</v>
      </c>
      <c r="O8" s="10" t="s">
        <v>24</v>
      </c>
      <c r="P8" s="3"/>
      <c r="Q8" s="104" t="s">
        <v>84</v>
      </c>
      <c r="R8" s="10" t="s">
        <v>80</v>
      </c>
      <c r="S8" s="10" t="s">
        <v>24</v>
      </c>
      <c r="T8" s="3"/>
      <c r="U8" s="104" t="s">
        <v>85</v>
      </c>
      <c r="V8" s="10" t="s">
        <v>80</v>
      </c>
      <c r="W8" s="10" t="s">
        <v>24</v>
      </c>
    </row>
    <row r="9" spans="1:29" ht="16.5" customHeight="1" x14ac:dyDescent="0.2">
      <c r="A9" s="105"/>
      <c r="B9" s="12" t="s">
        <v>128</v>
      </c>
      <c r="C9" s="5">
        <f>Variables!B7</f>
        <v>500000000</v>
      </c>
      <c r="D9" s="8"/>
      <c r="E9" s="105"/>
      <c r="F9" s="22" t="s">
        <v>7</v>
      </c>
      <c r="G9" s="5">
        <f>'Ingresos &amp; egresos'!E13</f>
        <v>167100000</v>
      </c>
      <c r="H9" s="8"/>
      <c r="I9" s="105"/>
      <c r="J9" s="12" t="s">
        <v>129</v>
      </c>
      <c r="K9" s="5">
        <f>'Ingresos &amp; egresos'!K13</f>
        <v>300616500</v>
      </c>
      <c r="L9" s="8"/>
      <c r="M9" s="105"/>
      <c r="N9" s="12" t="s">
        <v>129</v>
      </c>
      <c r="O9" s="5">
        <f>'Ingresos &amp; egresos'!Q13</f>
        <v>392668830</v>
      </c>
      <c r="P9" s="8"/>
      <c r="Q9" s="105"/>
      <c r="R9" s="12" t="s">
        <v>129</v>
      </c>
      <c r="S9" s="5">
        <f>'Ingresos &amp; egresos'!W13</f>
        <v>439238862.44999999</v>
      </c>
      <c r="T9" s="8"/>
      <c r="U9" s="105"/>
      <c r="V9" s="12" t="s">
        <v>129</v>
      </c>
      <c r="W9" s="5">
        <f>'Ingresos &amp; egresos'!AC13</f>
        <v>531363639.699</v>
      </c>
      <c r="Z9" s="81" t="s">
        <v>3</v>
      </c>
      <c r="AA9" s="81"/>
      <c r="AB9" s="72" t="s">
        <v>14</v>
      </c>
      <c r="AC9" s="72"/>
    </row>
    <row r="10" spans="1:29" ht="16.5" customHeight="1" x14ac:dyDescent="0.2">
      <c r="A10" s="105"/>
      <c r="B10" s="12"/>
      <c r="C10" s="5">
        <v>0</v>
      </c>
      <c r="D10" s="8"/>
      <c r="E10" s="105"/>
      <c r="F10" s="22" t="s">
        <v>9</v>
      </c>
      <c r="G10" s="5"/>
      <c r="H10" s="8"/>
      <c r="I10" s="105"/>
      <c r="J10" s="12"/>
      <c r="K10" s="5">
        <v>0</v>
      </c>
      <c r="L10" s="8"/>
      <c r="M10" s="105"/>
      <c r="N10" s="12"/>
      <c r="O10" s="5">
        <v>0</v>
      </c>
      <c r="P10" s="8"/>
      <c r="Q10" s="105"/>
      <c r="R10" s="12"/>
      <c r="S10" s="5">
        <v>0</v>
      </c>
      <c r="T10" s="8"/>
      <c r="U10" s="105"/>
      <c r="V10" s="12"/>
      <c r="W10" s="5">
        <v>0</v>
      </c>
      <c r="Z10" s="80" t="s">
        <v>99</v>
      </c>
      <c r="AA10" s="80"/>
      <c r="AB10" s="23" t="s">
        <v>100</v>
      </c>
      <c r="AC10" s="24"/>
    </row>
    <row r="11" spans="1:29" ht="16.5" customHeight="1" x14ac:dyDescent="0.2">
      <c r="A11" s="105"/>
      <c r="B11" s="12"/>
      <c r="C11" s="5">
        <v>0</v>
      </c>
      <c r="D11" s="8"/>
      <c r="E11" s="105"/>
      <c r="F11" s="22" t="s">
        <v>9</v>
      </c>
      <c r="G11" s="5">
        <v>0</v>
      </c>
      <c r="H11" s="8"/>
      <c r="I11" s="105"/>
      <c r="J11" s="12"/>
      <c r="K11" s="5">
        <v>0</v>
      </c>
      <c r="L11" s="8"/>
      <c r="M11" s="105"/>
      <c r="N11" s="12"/>
      <c r="O11" s="5">
        <v>0</v>
      </c>
      <c r="P11" s="8"/>
      <c r="Q11" s="105"/>
      <c r="R11" s="12"/>
      <c r="S11" s="5">
        <v>0</v>
      </c>
      <c r="T11" s="8"/>
      <c r="U11" s="105"/>
      <c r="V11" s="12"/>
      <c r="W11" s="5">
        <v>0</v>
      </c>
      <c r="Z11" s="22" t="s">
        <v>6</v>
      </c>
      <c r="AA11" s="28">
        <v>0</v>
      </c>
      <c r="AB11" s="22" t="s">
        <v>4</v>
      </c>
      <c r="AC11" s="29">
        <v>500000000</v>
      </c>
    </row>
    <row r="12" spans="1:29" ht="16.5" customHeight="1" x14ac:dyDescent="0.2">
      <c r="A12" s="106"/>
      <c r="B12" s="12"/>
      <c r="C12" s="5">
        <v>0</v>
      </c>
      <c r="D12" s="8"/>
      <c r="E12" s="106"/>
      <c r="F12" s="12"/>
      <c r="G12" s="5">
        <v>0</v>
      </c>
      <c r="H12" s="8"/>
      <c r="I12" s="106"/>
      <c r="J12" s="12"/>
      <c r="K12" s="5">
        <v>0</v>
      </c>
      <c r="L12" s="8"/>
      <c r="M12" s="106"/>
      <c r="N12" s="12"/>
      <c r="O12" s="5">
        <v>0</v>
      </c>
      <c r="P12" s="8"/>
      <c r="Q12" s="106"/>
      <c r="R12" s="12"/>
      <c r="S12" s="5">
        <v>0</v>
      </c>
      <c r="T12" s="8"/>
      <c r="U12" s="106"/>
      <c r="V12" s="12"/>
      <c r="W12" s="5">
        <v>0</v>
      </c>
      <c r="Z12" s="22" t="s">
        <v>7</v>
      </c>
      <c r="AA12" s="28">
        <f>'Ingresos &amp; egresos'!Z14</f>
        <v>0</v>
      </c>
      <c r="AB12" s="22" t="s">
        <v>101</v>
      </c>
      <c r="AC12" s="25"/>
    </row>
    <row r="13" spans="1:29" s="4" customFormat="1" ht="16.5" customHeight="1" x14ac:dyDescent="0.2">
      <c r="A13" s="3"/>
      <c r="B13" s="7"/>
      <c r="C13" s="9">
        <f>SUM(C9:C12)</f>
        <v>500000000</v>
      </c>
      <c r="D13" s="8"/>
      <c r="E13" s="3"/>
      <c r="F13" s="7"/>
      <c r="G13" s="9">
        <f>SUM(G9:G12)</f>
        <v>167100000</v>
      </c>
      <c r="H13" s="8"/>
      <c r="I13" s="3"/>
      <c r="J13" s="7"/>
      <c r="K13" s="9">
        <f>SUM(K9:K12)</f>
        <v>300616500</v>
      </c>
      <c r="L13" s="8"/>
      <c r="M13" s="3"/>
      <c r="N13" s="7"/>
      <c r="O13" s="9">
        <f>SUM(O9:O12)</f>
        <v>392668830</v>
      </c>
      <c r="P13" s="8"/>
      <c r="Q13" s="3"/>
      <c r="R13" s="7"/>
      <c r="S13" s="9">
        <f>SUM(S9:S12)</f>
        <v>439238862.44999999</v>
      </c>
      <c r="T13" s="8"/>
      <c r="U13" s="3"/>
      <c r="V13" s="7"/>
      <c r="W13" s="9">
        <f>SUM(W9:W12)</f>
        <v>531363639.699</v>
      </c>
      <c r="Z13" s="22" t="s">
        <v>9</v>
      </c>
      <c r="AA13" s="28">
        <f>'Ingresos &amp; egresos'!Z20</f>
        <v>0</v>
      </c>
      <c r="AB13" s="22" t="s">
        <v>15</v>
      </c>
      <c r="AC13" s="29">
        <f>SUM('Ingresos &amp; egresos'!Z28:Z31)</f>
        <v>0</v>
      </c>
    </row>
    <row r="14" spans="1:29" s="4" customFormat="1" ht="16.5" customHeight="1" x14ac:dyDescent="0.2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Z14" s="25"/>
      <c r="AA14" s="28">
        <v>0</v>
      </c>
      <c r="AB14" s="22" t="s">
        <v>16</v>
      </c>
      <c r="AC14" s="29">
        <f>SUM('Ingresos &amp; egresos'!Z32)</f>
        <v>0</v>
      </c>
    </row>
    <row r="15" spans="1:29" s="4" customFormat="1" ht="16.5" customHeight="1" x14ac:dyDescent="0.2">
      <c r="A15" s="104" t="s">
        <v>86</v>
      </c>
      <c r="B15" s="10" t="s">
        <v>80</v>
      </c>
      <c r="C15" s="10" t="s">
        <v>24</v>
      </c>
      <c r="D15" s="3"/>
      <c r="E15" s="104" t="s">
        <v>87</v>
      </c>
      <c r="F15" s="10" t="s">
        <v>80</v>
      </c>
      <c r="G15" s="10" t="s">
        <v>24</v>
      </c>
      <c r="H15" s="3"/>
      <c r="I15" s="104" t="s">
        <v>88</v>
      </c>
      <c r="J15" s="10" t="s">
        <v>80</v>
      </c>
      <c r="K15" s="10" t="s">
        <v>24</v>
      </c>
      <c r="L15" s="3"/>
      <c r="M15" s="104" t="s">
        <v>89</v>
      </c>
      <c r="N15" s="10" t="s">
        <v>80</v>
      </c>
      <c r="O15" s="10" t="s">
        <v>24</v>
      </c>
      <c r="P15" s="3"/>
      <c r="Q15" s="104" t="s">
        <v>90</v>
      </c>
      <c r="R15" s="10" t="s">
        <v>80</v>
      </c>
      <c r="S15" s="10" t="s">
        <v>24</v>
      </c>
      <c r="T15" s="3"/>
      <c r="U15" s="104" t="s">
        <v>91</v>
      </c>
      <c r="V15" s="10" t="s">
        <v>80</v>
      </c>
      <c r="W15" s="10" t="s">
        <v>24</v>
      </c>
      <c r="Z15" s="25"/>
      <c r="AA15" s="28">
        <v>0</v>
      </c>
      <c r="AB15" s="22" t="s">
        <v>18</v>
      </c>
      <c r="AC15" s="29">
        <f>'Ingresos &amp; egresos'!Z33</f>
        <v>0</v>
      </c>
    </row>
    <row r="16" spans="1:29" s="4" customFormat="1" ht="16.5" customHeight="1" x14ac:dyDescent="0.2">
      <c r="A16" s="105"/>
      <c r="B16" s="12"/>
      <c r="C16" s="5">
        <v>0</v>
      </c>
      <c r="D16" s="8"/>
      <c r="E16" s="105"/>
      <c r="F16" s="12" t="s">
        <v>7</v>
      </c>
      <c r="G16" s="5">
        <f>'Ingresos &amp; egresos'!E8+'Ingresos &amp; egresos'!E9-'Ingresos &amp; egresos'!E16-'Ingresos &amp; egresos'!E17</f>
        <v>-51000000</v>
      </c>
      <c r="H16" s="8"/>
      <c r="I16" s="105"/>
      <c r="J16" s="12" t="s">
        <v>130</v>
      </c>
      <c r="K16" s="5">
        <f>'Ingresos &amp; egresos'!K35</f>
        <v>247170000</v>
      </c>
      <c r="L16" s="8"/>
      <c r="M16" s="105"/>
      <c r="N16" s="12" t="s">
        <v>130</v>
      </c>
      <c r="O16" s="5">
        <f>'Ingresos &amp; egresos'!Q35</f>
        <v>316539200</v>
      </c>
      <c r="P16" s="8"/>
      <c r="Q16" s="105"/>
      <c r="R16" s="12" t="s">
        <v>130</v>
      </c>
      <c r="S16" s="5">
        <f>'Ingresos &amp; egresos'!W35</f>
        <v>351619200</v>
      </c>
      <c r="T16" s="8"/>
      <c r="U16" s="105"/>
      <c r="V16" s="12" t="s">
        <v>130</v>
      </c>
      <c r="W16" s="5">
        <f>'Ingresos &amp; egresos'!AC35</f>
        <v>417559392</v>
      </c>
      <c r="Z16" s="25" t="s">
        <v>105</v>
      </c>
      <c r="AA16" s="28">
        <f>SUM(AA11:AA15)</f>
        <v>0</v>
      </c>
      <c r="AB16" s="26" t="s">
        <v>107</v>
      </c>
      <c r="AC16" s="29">
        <f>SUM(AC11:AC15)</f>
        <v>500000000</v>
      </c>
    </row>
    <row r="17" spans="1:29" s="4" customFormat="1" ht="16.5" customHeight="1" x14ac:dyDescent="0.2">
      <c r="A17" s="105"/>
      <c r="B17" s="12"/>
      <c r="C17" s="5">
        <v>0</v>
      </c>
      <c r="D17" s="8"/>
      <c r="E17" s="105"/>
      <c r="F17" s="12" t="s">
        <v>15</v>
      </c>
      <c r="G17" s="5">
        <v>0</v>
      </c>
      <c r="H17" s="8"/>
      <c r="I17" s="105"/>
      <c r="J17" s="12"/>
      <c r="K17" s="5">
        <v>0</v>
      </c>
      <c r="L17" s="8"/>
      <c r="M17" s="105"/>
      <c r="N17" s="12"/>
      <c r="O17" s="5">
        <v>0</v>
      </c>
      <c r="P17" s="8"/>
      <c r="Q17" s="105"/>
      <c r="R17" s="12"/>
      <c r="S17" s="5">
        <v>0</v>
      </c>
      <c r="T17" s="8"/>
      <c r="U17" s="105"/>
      <c r="V17" s="12"/>
      <c r="W17" s="5">
        <v>0</v>
      </c>
      <c r="Z17" s="73" t="s">
        <v>102</v>
      </c>
      <c r="AA17" s="73"/>
      <c r="AB17" s="74" t="s">
        <v>103</v>
      </c>
      <c r="AC17" s="75"/>
    </row>
    <row r="18" spans="1:29" s="4" customFormat="1" ht="16.5" customHeight="1" x14ac:dyDescent="0.2">
      <c r="A18" s="105"/>
      <c r="B18" s="12"/>
      <c r="C18" s="5">
        <v>0</v>
      </c>
      <c r="D18" s="8"/>
      <c r="E18" s="105"/>
      <c r="F18" s="12" t="s">
        <v>16</v>
      </c>
      <c r="G18" s="5">
        <v>0</v>
      </c>
      <c r="H18" s="8"/>
      <c r="I18" s="105"/>
      <c r="J18" s="12"/>
      <c r="K18" s="5">
        <v>0</v>
      </c>
      <c r="L18" s="8"/>
      <c r="M18" s="105"/>
      <c r="N18" s="12"/>
      <c r="O18" s="5">
        <v>0</v>
      </c>
      <c r="P18" s="8"/>
      <c r="Q18" s="105"/>
      <c r="R18" s="12"/>
      <c r="S18" s="5">
        <v>0</v>
      </c>
      <c r="T18" s="8"/>
      <c r="U18" s="105"/>
      <c r="V18" s="12"/>
      <c r="W18" s="5">
        <v>0</v>
      </c>
      <c r="Z18" s="22" t="s">
        <v>11</v>
      </c>
      <c r="AA18" s="28">
        <v>20000000</v>
      </c>
      <c r="AB18" s="22" t="s">
        <v>17</v>
      </c>
      <c r="AC18" s="29">
        <v>1000000000</v>
      </c>
    </row>
    <row r="19" spans="1:29" s="4" customFormat="1" ht="16.5" customHeight="1" x14ac:dyDescent="0.2">
      <c r="A19" s="106"/>
      <c r="B19" s="12"/>
      <c r="C19" s="5">
        <v>0</v>
      </c>
      <c r="D19" s="8"/>
      <c r="E19" s="106"/>
      <c r="F19" s="12"/>
      <c r="G19" s="5">
        <v>0</v>
      </c>
      <c r="H19" s="8"/>
      <c r="I19" s="106"/>
      <c r="J19" s="12"/>
      <c r="K19" s="5">
        <v>0</v>
      </c>
      <c r="L19" s="8"/>
      <c r="M19" s="106"/>
      <c r="N19" s="12"/>
      <c r="O19" s="5">
        <v>0</v>
      </c>
      <c r="P19" s="8"/>
      <c r="Q19" s="106"/>
      <c r="R19" s="12"/>
      <c r="S19" s="5">
        <v>0</v>
      </c>
      <c r="T19" s="8"/>
      <c r="U19" s="106"/>
      <c r="V19" s="12"/>
      <c r="W19" s="5">
        <v>0</v>
      </c>
      <c r="Z19" s="22" t="s">
        <v>13</v>
      </c>
      <c r="AA19" s="28">
        <v>4000000</v>
      </c>
      <c r="AB19" s="27" t="s">
        <v>108</v>
      </c>
      <c r="AC19" s="29">
        <v>0</v>
      </c>
    </row>
    <row r="20" spans="1:29" s="4" customFormat="1" ht="16.5" customHeight="1" x14ac:dyDescent="0.2">
      <c r="A20" s="3"/>
      <c r="B20" s="7"/>
      <c r="C20" s="9">
        <f>SUM(C16:C19)</f>
        <v>0</v>
      </c>
      <c r="D20" s="8"/>
      <c r="E20" s="3"/>
      <c r="F20" s="7"/>
      <c r="G20" s="9">
        <f>SUM(G16:G19)</f>
        <v>-51000000</v>
      </c>
      <c r="H20" s="8"/>
      <c r="I20" s="3"/>
      <c r="J20" s="7"/>
      <c r="K20" s="9">
        <f>SUM(K16:K19)</f>
        <v>247170000</v>
      </c>
      <c r="L20" s="8"/>
      <c r="M20" s="3"/>
      <c r="N20" s="7"/>
      <c r="O20" s="9">
        <f>SUM(O16:O19)</f>
        <v>316539200</v>
      </c>
      <c r="P20" s="8"/>
      <c r="Q20" s="3"/>
      <c r="R20" s="7"/>
      <c r="S20" s="9">
        <f>SUM(S16:S19)</f>
        <v>351619200</v>
      </c>
      <c r="T20" s="8"/>
      <c r="U20" s="3"/>
      <c r="V20" s="7"/>
      <c r="W20" s="9">
        <f>SUM(W16:W19)</f>
        <v>417559392</v>
      </c>
      <c r="Z20" s="22" t="s">
        <v>2</v>
      </c>
      <c r="AA20" s="28">
        <v>500000000</v>
      </c>
      <c r="AB20" s="26" t="s">
        <v>109</v>
      </c>
      <c r="AC20" s="29">
        <f>SUM(AC18:AC19)</f>
        <v>1000000000</v>
      </c>
    </row>
    <row r="21" spans="1:29" s="4" customFormat="1" ht="16.5" customHeight="1" x14ac:dyDescent="0.2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22" t="s">
        <v>131</v>
      </c>
      <c r="AA21" s="28">
        <v>300000000</v>
      </c>
      <c r="AB21" s="27" t="s">
        <v>111</v>
      </c>
      <c r="AC21" s="29">
        <f>AC16+AC20</f>
        <v>1500000000</v>
      </c>
    </row>
    <row r="22" spans="1:29" s="4" customFormat="1" ht="16.5" customHeight="1" x14ac:dyDescent="0.2">
      <c r="A22" s="107" t="s">
        <v>92</v>
      </c>
      <c r="B22" s="107"/>
      <c r="C22" s="107"/>
      <c r="D22" s="16"/>
      <c r="E22" s="107" t="s">
        <v>92</v>
      </c>
      <c r="F22" s="107"/>
      <c r="G22" s="107"/>
      <c r="H22" s="16"/>
      <c r="I22" s="107" t="s">
        <v>92</v>
      </c>
      <c r="J22" s="107"/>
      <c r="K22" s="107"/>
      <c r="L22" s="16"/>
      <c r="M22" s="107" t="s">
        <v>92</v>
      </c>
      <c r="N22" s="107"/>
      <c r="O22" s="107"/>
      <c r="P22" s="16"/>
      <c r="Q22" s="107" t="s">
        <v>92</v>
      </c>
      <c r="R22" s="107"/>
      <c r="S22" s="107"/>
      <c r="T22" s="16"/>
      <c r="U22" s="107" t="s">
        <v>92</v>
      </c>
      <c r="V22" s="107"/>
      <c r="W22" s="107"/>
      <c r="Z22" s="25"/>
      <c r="AA22" s="25"/>
      <c r="AB22" s="76" t="s">
        <v>110</v>
      </c>
      <c r="AC22" s="77"/>
    </row>
    <row r="23" spans="1:29" s="4" customFormat="1" ht="30" x14ac:dyDescent="0.15">
      <c r="A23" s="11" t="s">
        <v>93</v>
      </c>
      <c r="B23" s="13" t="s">
        <v>94</v>
      </c>
      <c r="C23" s="17">
        <f>C20/C13</f>
        <v>0</v>
      </c>
      <c r="D23" s="7"/>
      <c r="E23" s="11" t="s">
        <v>93</v>
      </c>
      <c r="F23" s="13" t="s">
        <v>94</v>
      </c>
      <c r="G23" s="17">
        <f>G20/G13</f>
        <v>-0.30520646319569122</v>
      </c>
      <c r="H23" s="7"/>
      <c r="I23" s="11" t="s">
        <v>93</v>
      </c>
      <c r="J23" s="13" t="s">
        <v>94</v>
      </c>
      <c r="K23" s="17">
        <f>K20/K13</f>
        <v>0.82221035771489592</v>
      </c>
      <c r="L23" s="7"/>
      <c r="M23" s="11" t="s">
        <v>93</v>
      </c>
      <c r="N23" s="13" t="s">
        <v>94</v>
      </c>
      <c r="O23" s="17">
        <f>O20/O13</f>
        <v>0.80612255370511587</v>
      </c>
      <c r="P23" s="7"/>
      <c r="Q23" s="11" t="s">
        <v>93</v>
      </c>
      <c r="R23" s="13" t="s">
        <v>94</v>
      </c>
      <c r="S23" s="17">
        <f>S20/S13</f>
        <v>0.80051933027676025</v>
      </c>
      <c r="T23" s="7"/>
      <c r="U23" s="11" t="s">
        <v>93</v>
      </c>
      <c r="V23" s="13" t="s">
        <v>94</v>
      </c>
      <c r="W23" s="17">
        <f>W20/W13</f>
        <v>0.78582605357892699</v>
      </c>
      <c r="Z23" s="25"/>
      <c r="AA23" s="25"/>
      <c r="AB23" s="27" t="s">
        <v>110</v>
      </c>
      <c r="AC23" s="61">
        <f>AA25-AC21</f>
        <v>-676000000</v>
      </c>
    </row>
    <row r="24" spans="1:29" s="4" customFormat="1" ht="30" customHeight="1" x14ac:dyDescent="0.2">
      <c r="A24" s="11" t="s">
        <v>95</v>
      </c>
      <c r="B24" s="13" t="s">
        <v>96</v>
      </c>
      <c r="C24" s="11">
        <f>C16/B6</f>
        <v>0</v>
      </c>
      <c r="D24" s="7"/>
      <c r="E24" s="11" t="s">
        <v>95</v>
      </c>
      <c r="F24" s="13" t="s">
        <v>96</v>
      </c>
      <c r="G24" s="18">
        <f>G16/F6</f>
        <v>-7.1020749199275868E-2</v>
      </c>
      <c r="H24" s="7"/>
      <c r="I24" s="11" t="s">
        <v>95</v>
      </c>
      <c r="J24" s="13" t="s">
        <v>96</v>
      </c>
      <c r="K24" s="18">
        <f>K16/J6</f>
        <v>0.32035658252613419</v>
      </c>
      <c r="L24" s="7"/>
      <c r="M24" s="11" t="s">
        <v>95</v>
      </c>
      <c r="N24" s="13" t="s">
        <v>96</v>
      </c>
      <c r="O24" s="18">
        <f>O16/N6</f>
        <v>0.37341997585799663</v>
      </c>
      <c r="P24" s="7"/>
      <c r="Q24" s="11" t="s">
        <v>95</v>
      </c>
      <c r="R24" s="13" t="s">
        <v>96</v>
      </c>
      <c r="S24" s="18">
        <f>S16/R6</f>
        <v>0.37594438341151548</v>
      </c>
      <c r="T24" s="7"/>
      <c r="U24" s="11" t="s">
        <v>95</v>
      </c>
      <c r="V24" s="13" t="s">
        <v>96</v>
      </c>
      <c r="W24" s="18">
        <f>W16/V6</f>
        <v>0.3980167534267709</v>
      </c>
      <c r="Z24" s="25" t="s">
        <v>106</v>
      </c>
      <c r="AA24" s="28">
        <f>SUM(AA18:AA23)</f>
        <v>824000000</v>
      </c>
      <c r="AB24" s="27" t="s">
        <v>112</v>
      </c>
      <c r="AC24" s="25"/>
    </row>
    <row r="25" spans="1:29" s="4" customFormat="1" ht="30" customHeight="1" x14ac:dyDescent="0.2">
      <c r="A25" s="11"/>
      <c r="B25" s="13" t="s">
        <v>97</v>
      </c>
      <c r="C25" s="5">
        <v>0</v>
      </c>
      <c r="D25" s="7"/>
      <c r="E25" s="11"/>
      <c r="F25" s="13" t="s">
        <v>97</v>
      </c>
      <c r="G25" s="5">
        <f>G13-G20</f>
        <v>218100000</v>
      </c>
      <c r="H25" s="7"/>
      <c r="I25" s="11"/>
      <c r="J25" s="13" t="s">
        <v>97</v>
      </c>
      <c r="K25" s="5">
        <f>K13-K20</f>
        <v>53446500</v>
      </c>
      <c r="L25" s="7"/>
      <c r="M25" s="11"/>
      <c r="N25" s="13" t="s">
        <v>97</v>
      </c>
      <c r="O25" s="5">
        <f>O13-O20</f>
        <v>76129630</v>
      </c>
      <c r="P25" s="7"/>
      <c r="Q25" s="11"/>
      <c r="R25" s="13" t="s">
        <v>97</v>
      </c>
      <c r="S25" s="5">
        <f>S13-S20</f>
        <v>87619662.449999988</v>
      </c>
      <c r="T25" s="7"/>
      <c r="U25" s="11"/>
      <c r="V25" s="13" t="s">
        <v>97</v>
      </c>
      <c r="W25" s="5">
        <f>W13-W20</f>
        <v>113804247.699</v>
      </c>
      <c r="Z25" s="30" t="s">
        <v>104</v>
      </c>
      <c r="AA25" s="31">
        <f>SUM(AA16,AA24)</f>
        <v>824000000</v>
      </c>
      <c r="AB25" s="30" t="s">
        <v>113</v>
      </c>
      <c r="AC25" s="32">
        <v>0</v>
      </c>
    </row>
    <row r="26" spans="1:29" s="4" customFormat="1" ht="30" x14ac:dyDescent="0.15">
      <c r="A26" s="11"/>
      <c r="B26" s="13" t="s">
        <v>98</v>
      </c>
      <c r="C26" s="5">
        <v>0</v>
      </c>
      <c r="D26" s="7"/>
      <c r="E26" s="11"/>
      <c r="F26" s="13" t="s">
        <v>98</v>
      </c>
      <c r="G26" s="5">
        <f>G25+C26</f>
        <v>218100000</v>
      </c>
      <c r="H26" s="7"/>
      <c r="I26" s="11"/>
      <c r="J26" s="13" t="s">
        <v>98</v>
      </c>
      <c r="K26" s="5">
        <f>G26+K25</f>
        <v>271546500</v>
      </c>
      <c r="L26" s="7"/>
      <c r="M26" s="11"/>
      <c r="N26" s="13" t="s">
        <v>98</v>
      </c>
      <c r="O26" s="5">
        <f>K26+O25</f>
        <v>347676130</v>
      </c>
      <c r="P26" s="7"/>
      <c r="Q26" s="11"/>
      <c r="R26" s="13" t="s">
        <v>98</v>
      </c>
      <c r="S26" s="5">
        <f>O26+S25</f>
        <v>435295792.44999999</v>
      </c>
      <c r="T26" s="7"/>
      <c r="U26" s="11"/>
      <c r="V26" s="13" t="s">
        <v>98</v>
      </c>
      <c r="W26" s="5">
        <f>S26+W25</f>
        <v>549100040.14899993</v>
      </c>
    </row>
    <row r="29" spans="1:29" x14ac:dyDescent="0.15"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Variables</vt:lpstr>
      <vt:lpstr>Ingresos &amp; egresos</vt:lpstr>
      <vt:lpstr>Balance</vt:lpstr>
      <vt:lpstr>Interés_bancario_por_ahorros</vt:lpstr>
      <vt:lpstr>Tarifa_impuesto_a_la_renta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Juan Diego Yepes Parra</cp:lastModifiedBy>
  <cp:revision/>
  <dcterms:created xsi:type="dcterms:W3CDTF">2021-01-29T14:57:31Z</dcterms:created>
  <dcterms:modified xsi:type="dcterms:W3CDTF">2022-09-13T21:44:29Z</dcterms:modified>
  <cp:category/>
  <cp:contentStatus/>
</cp:coreProperties>
</file>