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h\Documents\GitHub\p3\arquiemp\HT-6\"/>
    </mc:Choice>
  </mc:AlternateContent>
  <xr:revisionPtr revIDLastSave="0" documentId="13_ncr:1_{C16A3F54-F13C-4166-A99C-EA10955F1433}" xr6:coauthVersionLast="47" xr6:coauthVersionMax="47" xr10:uidLastSave="{00000000-0000-0000-0000-000000000000}"/>
  <bookViews>
    <workbookView xWindow="-110" yWindow="-110" windowWidth="19420" windowHeight="10300" activeTab="1" xr2:uid="{6D2ADF59-F33A-44E3-88FB-8431094B32CC}"/>
  </bookViews>
  <sheets>
    <sheet name="Variables" sheetId="2" r:id="rId1"/>
    <sheet name="Ingresos &amp; egresos" sheetId="6" r:id="rId2"/>
    <sheet name="Balance" sheetId="5" r:id="rId3"/>
  </sheets>
  <definedNames>
    <definedName name="Interés_bancario_por_ahorros">Variables!#REF!</definedName>
    <definedName name="Tarifa_impuesto_a_la_renta">Variables!#REF!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0" i="6" l="1"/>
  <c r="K49" i="6"/>
  <c r="B26" i="2"/>
  <c r="B25" i="2"/>
  <c r="K19" i="6"/>
  <c r="K36" i="6"/>
  <c r="AC37" i="6"/>
  <c r="AC36" i="6"/>
  <c r="AC34" i="6"/>
  <c r="AC33" i="6"/>
  <c r="W37" i="6"/>
  <c r="Q37" i="6"/>
  <c r="W9" i="6"/>
  <c r="AC9" i="6"/>
  <c r="AC7" i="6"/>
  <c r="W7" i="6"/>
  <c r="W36" i="6"/>
  <c r="W34" i="6"/>
  <c r="Q36" i="6"/>
  <c r="Q34" i="6"/>
  <c r="K35" i="6"/>
  <c r="K34" i="6"/>
  <c r="K37" i="6"/>
  <c r="Q9" i="6"/>
  <c r="Q7" i="6"/>
  <c r="K7" i="6"/>
  <c r="B42" i="2"/>
  <c r="K28" i="6" s="1"/>
  <c r="B43" i="2"/>
  <c r="K29" i="6" s="1"/>
  <c r="B44" i="2"/>
  <c r="W30" i="6" s="1"/>
  <c r="B45" i="2"/>
  <c r="Q31" i="6" s="1"/>
  <c r="K9" i="6"/>
  <c r="K11" i="6"/>
  <c r="K12" i="6" s="1"/>
  <c r="E32" i="6"/>
  <c r="E31" i="6"/>
  <c r="E11" i="6"/>
  <c r="E12" i="6" s="1"/>
  <c r="B41" i="2"/>
  <c r="Q27" i="6" s="1"/>
  <c r="B13" i="2"/>
  <c r="E34" i="6"/>
  <c r="B66" i="2"/>
  <c r="E18" i="6" s="1"/>
  <c r="B65" i="2"/>
  <c r="E8" i="6" s="1"/>
  <c r="E33" i="6"/>
  <c r="E29" i="6"/>
  <c r="E9" i="6"/>
  <c r="B50" i="2"/>
  <c r="W35" i="6" s="1"/>
  <c r="B40" i="2"/>
  <c r="E24" i="6" s="1"/>
  <c r="B39" i="2"/>
  <c r="E26" i="6" s="1"/>
  <c r="B36" i="2"/>
  <c r="E25" i="6" s="1"/>
  <c r="B12" i="2"/>
  <c r="K16" i="6" s="1"/>
  <c r="B51" i="2"/>
  <c r="E27" i="6" s="1"/>
  <c r="B48" i="2"/>
  <c r="E28" i="6" s="1"/>
  <c r="E7" i="6"/>
  <c r="AC44" i="6"/>
  <c r="AC12" i="6"/>
  <c r="W44" i="6"/>
  <c r="W12" i="6"/>
  <c r="Q44" i="6"/>
  <c r="Q12" i="6"/>
  <c r="E44" i="6"/>
  <c r="K44" i="6"/>
  <c r="A1" i="6"/>
  <c r="B5" i="2"/>
  <c r="K30" i="6" l="1"/>
  <c r="Q6" i="6"/>
  <c r="Q28" i="6"/>
  <c r="AC6" i="6"/>
  <c r="Q30" i="6"/>
  <c r="AC28" i="6"/>
  <c r="AC29" i="6"/>
  <c r="K27" i="6"/>
  <c r="AC35" i="6"/>
  <c r="Q18" i="6"/>
  <c r="K33" i="6"/>
  <c r="W16" i="6"/>
  <c r="W31" i="6"/>
  <c r="W6" i="6"/>
  <c r="K31" i="6"/>
  <c r="Q35" i="6"/>
  <c r="AC16" i="6"/>
  <c r="Q29" i="6"/>
  <c r="AC27" i="6"/>
  <c r="Q16" i="6"/>
  <c r="W18" i="6"/>
  <c r="K24" i="6"/>
  <c r="Q25" i="6"/>
  <c r="W25" i="6"/>
  <c r="W27" i="6"/>
  <c r="AC30" i="6"/>
  <c r="Q17" i="6"/>
  <c r="AC18" i="6"/>
  <c r="K25" i="6"/>
  <c r="Q26" i="6"/>
  <c r="W26" i="6"/>
  <c r="W8" i="6"/>
  <c r="AC24" i="6"/>
  <c r="W17" i="6"/>
  <c r="W28" i="6"/>
  <c r="AC31" i="6"/>
  <c r="Q24" i="6"/>
  <c r="W24" i="6"/>
  <c r="Q8" i="6"/>
  <c r="K18" i="6"/>
  <c r="K26" i="6"/>
  <c r="Q32" i="6"/>
  <c r="W32" i="6"/>
  <c r="AC8" i="6"/>
  <c r="AC25" i="6"/>
  <c r="AC17" i="6"/>
  <c r="W29" i="6"/>
  <c r="K6" i="6"/>
  <c r="K32" i="6"/>
  <c r="Q33" i="6"/>
  <c r="W33" i="6"/>
  <c r="AC26" i="6"/>
  <c r="K8" i="6"/>
  <c r="K17" i="6"/>
  <c r="E17" i="6"/>
  <c r="E30" i="6"/>
  <c r="E40" i="6" s="1"/>
  <c r="E16" i="6"/>
  <c r="E6" i="6"/>
  <c r="A1" i="5"/>
  <c r="C20" i="5"/>
  <c r="C9" i="5"/>
  <c r="C13" i="5" s="1"/>
  <c r="K40" i="6" l="1"/>
  <c r="E23" i="6"/>
  <c r="E41" i="6" s="1"/>
  <c r="E45" i="6" s="1"/>
  <c r="K23" i="6"/>
  <c r="E10" i="6"/>
  <c r="E13" i="6" s="1"/>
  <c r="C23" i="5"/>
  <c r="B6" i="5"/>
  <c r="Q10" i="6" l="1"/>
  <c r="C24" i="5"/>
  <c r="Q40" i="6"/>
  <c r="K41" i="6"/>
  <c r="K45" i="6" s="1"/>
  <c r="E56" i="6"/>
  <c r="E58" i="6" s="1"/>
  <c r="E59" i="6" s="1"/>
  <c r="E47" i="6"/>
  <c r="AC40" i="6" l="1"/>
  <c r="E51" i="6"/>
  <c r="G9" i="5"/>
  <c r="E52" i="6"/>
  <c r="W40" i="6"/>
  <c r="E57" i="6"/>
  <c r="K20" i="5"/>
  <c r="G20" i="5"/>
  <c r="E53" i="6" l="1"/>
  <c r="E60" i="6" s="1"/>
  <c r="E61" i="6" s="1"/>
  <c r="G13" i="5"/>
  <c r="G23" i="5" s="1"/>
  <c r="E62" i="6" l="1"/>
  <c r="E63" i="6"/>
  <c r="G25" i="5"/>
  <c r="F6" i="5" s="1"/>
  <c r="K10" i="6"/>
  <c r="K13" i="6" s="1"/>
  <c r="K56" i="6" l="1"/>
  <c r="K58" i="6" s="1"/>
  <c r="K59" i="6" s="1"/>
  <c r="G26" i="5"/>
  <c r="K47" i="6"/>
  <c r="K9" i="5" s="1"/>
  <c r="K13" i="5" s="1"/>
  <c r="K25" i="5" l="1"/>
  <c r="J6" i="5" s="1"/>
  <c r="K24" i="5" s="1"/>
  <c r="K23" i="5"/>
  <c r="K52" i="6"/>
  <c r="K51" i="6"/>
  <c r="K57" i="6"/>
  <c r="G24" i="5"/>
  <c r="K26" i="5" l="1"/>
  <c r="K53" i="6"/>
  <c r="K60" i="6" s="1"/>
  <c r="K62" i="6" l="1"/>
  <c r="K63" i="6"/>
  <c r="K61" i="6"/>
  <c r="W23" i="6"/>
  <c r="W41" i="6" s="1"/>
  <c r="W45" i="6" s="1"/>
  <c r="AC23" i="6"/>
  <c r="Q23" i="6"/>
  <c r="Q41" i="6" l="1"/>
  <c r="Q45" i="6" s="1"/>
  <c r="AC41" i="6"/>
  <c r="AC45" i="6" s="1"/>
  <c r="O20" i="5" l="1"/>
  <c r="S20" i="5"/>
  <c r="W20" i="5" l="1"/>
  <c r="Q13" i="6"/>
  <c r="Q56" i="6" l="1"/>
  <c r="Q47" i="6"/>
  <c r="Q52" i="6" l="1"/>
  <c r="Q51" i="6"/>
  <c r="O9" i="5"/>
  <c r="O13" i="5" s="1"/>
  <c r="O25" i="5" s="1"/>
  <c r="N6" i="5" s="1"/>
  <c r="Q57" i="6"/>
  <c r="Q58" i="6"/>
  <c r="Q53" i="6" l="1"/>
  <c r="Q60" i="6" s="1"/>
  <c r="O23" i="5"/>
  <c r="O26" i="5"/>
  <c r="O24" i="5"/>
  <c r="Q59" i="6"/>
  <c r="Q63" i="6" l="1"/>
  <c r="Q62" i="6"/>
  <c r="Q61" i="6"/>
  <c r="W10" i="6" l="1"/>
  <c r="W13" i="6" s="1"/>
  <c r="AC10" i="6"/>
  <c r="AC13" i="6" s="1"/>
  <c r="AC47" i="6" l="1"/>
  <c r="AC56" i="6"/>
  <c r="W56" i="6"/>
  <c r="W47" i="6"/>
  <c r="AC52" i="6" l="1"/>
  <c r="AC51" i="6"/>
  <c r="W9" i="5"/>
  <c r="W13" i="5" s="1"/>
  <c r="W23" i="5" s="1"/>
  <c r="S9" i="5"/>
  <c r="S13" i="5" s="1"/>
  <c r="S23" i="5" s="1"/>
  <c r="W51" i="6"/>
  <c r="W52" i="6"/>
  <c r="W57" i="6"/>
  <c r="W58" i="6"/>
  <c r="AC57" i="6"/>
  <c r="AC58" i="6"/>
  <c r="W25" i="5" l="1"/>
  <c r="W53" i="6"/>
  <c r="W60" i="6" s="1"/>
  <c r="S25" i="5"/>
  <c r="R6" i="5" s="1"/>
  <c r="AC53" i="6"/>
  <c r="AC60" i="6" s="1"/>
  <c r="W59" i="6"/>
  <c r="AC59" i="6"/>
  <c r="V6" i="5" l="1"/>
  <c r="W24" i="5" s="1"/>
  <c r="S26" i="5"/>
  <c r="W26" i="5" s="1"/>
  <c r="W63" i="6"/>
  <c r="W62" i="6"/>
  <c r="AC63" i="6"/>
  <c r="AC62" i="6"/>
  <c r="S24" i="5"/>
  <c r="AC61" i="6"/>
  <c r="W61" i="6"/>
</calcChain>
</file>

<file path=xl/sharedStrings.xml><?xml version="1.0" encoding="utf-8"?>
<sst xmlns="http://schemas.openxmlformats.org/spreadsheetml/2006/main" count="502" uniqueCount="181">
  <si>
    <t>Arquitectura Empresarial</t>
  </si>
  <si>
    <t>Modelo financiero</t>
  </si>
  <si>
    <t>Patrimonio inicial</t>
  </si>
  <si>
    <t>Pasivo inicial</t>
  </si>
  <si>
    <t>Activo inicial</t>
  </si>
  <si>
    <t>Caja</t>
  </si>
  <si>
    <t>Interés bancario por ahorros</t>
  </si>
  <si>
    <t>Hipótesis:</t>
  </si>
  <si>
    <t>Ingresos año 1</t>
  </si>
  <si>
    <t>Ingresos operacionales</t>
  </si>
  <si>
    <t>Rubro</t>
  </si>
  <si>
    <t>Valor</t>
  </si>
  <si>
    <t>Ingresos año 2</t>
  </si>
  <si>
    <t>Ingresos año 3</t>
  </si>
  <si>
    <t>Ingresos año 4</t>
  </si>
  <si>
    <t>Ingresos año 5</t>
  </si>
  <si>
    <t>Total ingresos operacionales</t>
  </si>
  <si>
    <t>Ingresos no operacionales</t>
  </si>
  <si>
    <t>Total ingresos no operacionales</t>
  </si>
  <si>
    <t>Total ingresos</t>
  </si>
  <si>
    <t>Egresos año 1</t>
  </si>
  <si>
    <t>Egresos operacionales</t>
  </si>
  <si>
    <t>Egresos año 2</t>
  </si>
  <si>
    <t>Egresos año 3</t>
  </si>
  <si>
    <t>Egresos año 4</t>
  </si>
  <si>
    <t>Egresos año 5</t>
  </si>
  <si>
    <t>Costos directos</t>
  </si>
  <si>
    <t>Servicios públicos</t>
  </si>
  <si>
    <t>Total costos</t>
  </si>
  <si>
    <t>Gastos operativos</t>
  </si>
  <si>
    <t>Total gastos</t>
  </si>
  <si>
    <t>Total egresos operacionales</t>
  </si>
  <si>
    <t>Egresos no operacionales</t>
  </si>
  <si>
    <t>Total egresos no operacionales</t>
  </si>
  <si>
    <t>Total egresos</t>
  </si>
  <si>
    <t>ITDA</t>
  </si>
  <si>
    <t>Amortización de deuda</t>
  </si>
  <si>
    <t>Intereses de deuda</t>
  </si>
  <si>
    <t>Depreciación de activos</t>
  </si>
  <si>
    <t>Pago de impuestos (renta)</t>
  </si>
  <si>
    <t>Indicadores financieros del modelo de ingresos &amp; egresos</t>
  </si>
  <si>
    <t>I1</t>
  </si>
  <si>
    <t>Utilidad bruta</t>
  </si>
  <si>
    <t>I2</t>
  </si>
  <si>
    <t>Margen bruto</t>
  </si>
  <si>
    <t>I3</t>
  </si>
  <si>
    <t>EBITDA</t>
  </si>
  <si>
    <t>I4</t>
  </si>
  <si>
    <t>%EBITDA</t>
  </si>
  <si>
    <t>I9</t>
  </si>
  <si>
    <t>Utilidad neta</t>
  </si>
  <si>
    <t>I10</t>
  </si>
  <si>
    <t>Margen neto</t>
  </si>
  <si>
    <t>I24</t>
  </si>
  <si>
    <t>ROA</t>
  </si>
  <si>
    <t>I25</t>
  </si>
  <si>
    <t>ROE</t>
  </si>
  <si>
    <t>Actividad práctica #2</t>
  </si>
  <si>
    <t>Fecha</t>
  </si>
  <si>
    <t>Enero 2023</t>
  </si>
  <si>
    <t>Diciembre 2023</t>
  </si>
  <si>
    <t>Diciembre 2024</t>
  </si>
  <si>
    <t>Diciembre 2025</t>
  </si>
  <si>
    <t>Diciembre 2026</t>
  </si>
  <si>
    <t>Diciembre 2027</t>
  </si>
  <si>
    <t>Patrimonio:</t>
  </si>
  <si>
    <t>Activo 
año 0</t>
  </si>
  <si>
    <t>Cuenta</t>
  </si>
  <si>
    <t>Activo
año 1</t>
  </si>
  <si>
    <t>Activo
año 2</t>
  </si>
  <si>
    <t>Activo
año 3</t>
  </si>
  <si>
    <t>Activo
año 4</t>
  </si>
  <si>
    <t>Activo
año 5</t>
  </si>
  <si>
    <t>Pasivo 
año 0</t>
  </si>
  <si>
    <t>Pasivo
año 1</t>
  </si>
  <si>
    <t>Pasivo
año 2</t>
  </si>
  <si>
    <t>Pasivo
año 3</t>
  </si>
  <si>
    <t>Pasivo
año 4</t>
  </si>
  <si>
    <t>Pasivo
año 5</t>
  </si>
  <si>
    <t>Indicadores financieros del balance</t>
  </si>
  <si>
    <t>I21</t>
  </si>
  <si>
    <t>Razón de endeudamiento</t>
  </si>
  <si>
    <t>I22</t>
  </si>
  <si>
    <t>Apalancamiento financiero</t>
  </si>
  <si>
    <t>Aumento en el patrimonio</t>
  </si>
  <si>
    <t>Aumento acumulado de patrimonio</t>
  </si>
  <si>
    <t>-</t>
  </si>
  <si>
    <t>1. Los ingresos, los costos y los gastos aumentan con la inflación anual</t>
  </si>
  <si>
    <t>Monturas</t>
  </si>
  <si>
    <t>Salario Vendedores</t>
  </si>
  <si>
    <t>Salario Optómetra</t>
  </si>
  <si>
    <t>Salario Bodeguero</t>
  </si>
  <si>
    <t>Patrimonio año 1</t>
  </si>
  <si>
    <t>Patrimonio año 2</t>
  </si>
  <si>
    <t>Patrimonio año 3</t>
  </si>
  <si>
    <t>Patrimonio año 4</t>
  </si>
  <si>
    <t>Patrimonio año 5</t>
  </si>
  <si>
    <t>Capital Inicial</t>
  </si>
  <si>
    <t>Examenes visuales</t>
  </si>
  <si>
    <t>Arreglo de gafas</t>
  </si>
  <si>
    <t>Venta de monturas</t>
  </si>
  <si>
    <t>Venta de monturas con lentes</t>
  </si>
  <si>
    <t>Arriendo del local</t>
  </si>
  <si>
    <t xml:space="preserve">Número de vendedores </t>
  </si>
  <si>
    <t>Precio promedio por montura</t>
  </si>
  <si>
    <t>Precio promedio por montura con lentes formulados</t>
  </si>
  <si>
    <t>Salario  vendedores</t>
  </si>
  <si>
    <t>ARRIENDO</t>
  </si>
  <si>
    <t>FONDOS INICIALES</t>
  </si>
  <si>
    <t>COSTOS</t>
  </si>
  <si>
    <t>GASTOS</t>
  </si>
  <si>
    <t>PRECIOS, VENTAS Y OTROS</t>
  </si>
  <si>
    <t>Pagos a los laboratorios por montura modificada</t>
  </si>
  <si>
    <t>Precio promedio de areglo de gafas</t>
  </si>
  <si>
    <t>Precio promedio de un exámen visual</t>
  </si>
  <si>
    <t>Número de monturas vendidas al año</t>
  </si>
  <si>
    <t>Número de monturas con lentes formulados vendidas al año</t>
  </si>
  <si>
    <t>Número de arreglos de gafas vendidos al año</t>
  </si>
  <si>
    <t>Pagos a los laboratorios por arreglo de montura</t>
  </si>
  <si>
    <t>Número de examenes visuales hechos en un año</t>
  </si>
  <si>
    <t>Número de equipos de cómputo</t>
  </si>
  <si>
    <t>Precio del arriendo annual de maquinarias</t>
  </si>
  <si>
    <t>Precio del arriendo annual de equipos de cómputo</t>
  </si>
  <si>
    <t>Pago servicios públicos por año</t>
  </si>
  <si>
    <t>Monturas compradas anualmente</t>
  </si>
  <si>
    <t>SALARIOS ANUALES</t>
  </si>
  <si>
    <t>2. Todo está expresado en pesos colombianos 2022 en tiempo de años</t>
  </si>
  <si>
    <t>Pago a los laboratorios por modificacion de montura</t>
  </si>
  <si>
    <t>Pago a los laboratorios por arreglo de montura</t>
  </si>
  <si>
    <t>Costo de compra de la montura al proveedor</t>
  </si>
  <si>
    <t>IVA</t>
  </si>
  <si>
    <t>Inflación</t>
  </si>
  <si>
    <t>Depreciación</t>
  </si>
  <si>
    <t>*Nota: No pagamos porque estamos en deuda</t>
  </si>
  <si>
    <t>Aumento en el salario (cada 2 años)</t>
  </si>
  <si>
    <t>Costo promedio de arreglar maquinaria</t>
  </si>
  <si>
    <t>Arriendo maquinarias</t>
  </si>
  <si>
    <t>Arriendo equipos de cómputo</t>
  </si>
  <si>
    <t>Arreglo maquinarias</t>
  </si>
  <si>
    <t>Arreglo equipos de cómputo</t>
  </si>
  <si>
    <t>Costo promedio de arreglar un equipo de cómputo</t>
  </si>
  <si>
    <t>3. La óptica va a tener un crecimiento del 5 al 10% en los próximos 5 años. Lo que se ve expresado en el aumento del margen neto</t>
  </si>
  <si>
    <t>4. El IVA de los productos está incluido en los precios de venta</t>
  </si>
  <si>
    <t>5. La depreciación se calcula sobre el patrimonio de cada año</t>
  </si>
  <si>
    <t>6. La óptica vende todo lo que compra, es un negocio cíclico</t>
  </si>
  <si>
    <t xml:space="preserve">7. El arriendo del local incluye el mobiliario y todos los demás detalles </t>
  </si>
  <si>
    <t>8. El balance solo muestra caja porque el negocio no tiene deudas y vende todo lo que compra</t>
  </si>
  <si>
    <t>9. Los salarios son pagos inmediatos, luego en el balance no se cuentan en forma de pasivo</t>
  </si>
  <si>
    <t>Salario asesor comercial</t>
  </si>
  <si>
    <t>Salario director logístico</t>
  </si>
  <si>
    <t>Salario empleado de recursos humanos</t>
  </si>
  <si>
    <t>Salario asesor de imagen de la marca</t>
  </si>
  <si>
    <t>Salario gerente general</t>
  </si>
  <si>
    <t>Licencia software contable por equipo (microsoft 365 Business standard)</t>
  </si>
  <si>
    <t>Valor arriendo de un local annual</t>
  </si>
  <si>
    <t>Remodelaciones de local nuevo</t>
  </si>
  <si>
    <t xml:space="preserve">Costos de distriución por local </t>
  </si>
  <si>
    <t>Ganancia por kilogramo de material reciclado</t>
  </si>
  <si>
    <t>Pagos por material reciclado</t>
  </si>
  <si>
    <t>Material reciclado anualmente (kg)</t>
  </si>
  <si>
    <t>Aumento anual en el material reciclado (multiplicador)</t>
  </si>
  <si>
    <t>Sedes abiertas en el segundo año</t>
  </si>
  <si>
    <t>Sedes nuevas abiertas con respecto al año anterior (multiplicador)</t>
  </si>
  <si>
    <t>Inversión tecnológica para apertura de portal web (canal digital)</t>
  </si>
  <si>
    <t xml:space="preserve">Mantenimiento del servidor </t>
  </si>
  <si>
    <t>Licencia software contable</t>
  </si>
  <si>
    <t>Inversión anual en publicidad (a partir del año 2)</t>
  </si>
  <si>
    <t>Costos de distribucón</t>
  </si>
  <si>
    <t>Inversión en nuevas sedes</t>
  </si>
  <si>
    <t>Creación del canal digital</t>
  </si>
  <si>
    <t>Salario de asesor de imagen de la marca</t>
  </si>
  <si>
    <t>Número de lentes vendidos por el canal digital</t>
  </si>
  <si>
    <t>Costo anual de envío de lentes</t>
  </si>
  <si>
    <t>Aumento de ventas anual enpor el canal digital (multiplicador)</t>
  </si>
  <si>
    <t>Aumento de ventas proyectado anual</t>
  </si>
  <si>
    <t>Mantenimiento del canal digital</t>
  </si>
  <si>
    <t>Bono por mejor empleado en ventas (por sede)</t>
  </si>
  <si>
    <t xml:space="preserve"> </t>
  </si>
  <si>
    <t>Préstamo</t>
  </si>
  <si>
    <t>Amortización de la deuda</t>
  </si>
  <si>
    <t>Intereses por deuda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</si>
</sst>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[$$-409]* #,##0_);_([$$-409]* \(#,##0\);_([$$-409]* &quot;-&quot;??_);_(@_)"/>
    <numFmt numFmtId="167" formatCode="_-[$$-240A]\ * #,##0_-;\-[$$-240A]\ * #,##0_-;_-[$$-240A]\ * &quot;-&quot;??_-;_-@_-"/>
    <numFmt numFmtId="168" formatCode="0.0%"/>
    <numFmt numFmtId="169" formatCode="_-&quot;$&quot;\ * #,##0_-;\-&quot;$&quot;\ * #,##0_-;_-&quot;$&quot;\ * &quot;-&quot;??_-;_-@_-"/>
    <numFmt numFmtId="170" formatCode="_-* #,##0_-;\-* #,##0_-;_-* &quot;-&quot;??_-;_-@_-"/>
  </numFmts>
  <fonts count="9" x14ac:knownFonts="1"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2"/>
      <color rgb="FF000000"/>
      <name val="Arial"/>
      <family val="2"/>
    </font>
    <font>
      <sz val="11"/>
      <color rgb="FFFFFF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166" fontId="0" fillId="3" borderId="1" xfId="0" applyNumberFormat="1" applyFill="1" applyBorder="1" applyAlignment="1">
      <alignment vertical="center" wrapText="1"/>
    </xf>
    <xf numFmtId="0" fontId="2" fillId="3" borderId="0" xfId="0" applyFont="1" applyFill="1"/>
    <xf numFmtId="0" fontId="0" fillId="3" borderId="0" xfId="0" applyFill="1" applyAlignment="1">
      <alignment vertical="center" wrapText="1"/>
    </xf>
    <xf numFmtId="166" fontId="0" fillId="3" borderId="0" xfId="0" applyNumberFormat="1" applyFill="1" applyAlignment="1">
      <alignment vertical="center" wrapText="1"/>
    </xf>
    <xf numFmtId="166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2" fillId="2" borderId="1" xfId="0" applyFont="1" applyFill="1" applyBorder="1"/>
    <xf numFmtId="0" fontId="1" fillId="3" borderId="0" xfId="0" applyFont="1" applyFill="1"/>
    <xf numFmtId="0" fontId="0" fillId="3" borderId="0" xfId="0" applyFill="1" applyAlignment="1">
      <alignment horizontal="center" vertical="center"/>
    </xf>
    <xf numFmtId="168" fontId="0" fillId="3" borderId="1" xfId="1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9" fontId="2" fillId="0" borderId="1" xfId="1" applyFont="1" applyBorder="1" applyAlignment="1">
      <alignment horizontal="right"/>
    </xf>
    <xf numFmtId="0" fontId="3" fillId="0" borderId="0" xfId="3"/>
    <xf numFmtId="0" fontId="3" fillId="3" borderId="0" xfId="3" applyFill="1"/>
    <xf numFmtId="166" fontId="3" fillId="0" borderId="0" xfId="3" applyNumberFormat="1"/>
    <xf numFmtId="0" fontId="3" fillId="3" borderId="1" xfId="3" applyFill="1" applyBorder="1" applyAlignment="1">
      <alignment vertical="center" wrapText="1"/>
    </xf>
    <xf numFmtId="0" fontId="3" fillId="3" borderId="7" xfId="3" applyFill="1" applyBorder="1" applyAlignment="1">
      <alignment vertical="center" wrapText="1"/>
    </xf>
    <xf numFmtId="0" fontId="3" fillId="3" borderId="6" xfId="3" applyFill="1" applyBorder="1" applyAlignment="1">
      <alignment vertical="center" wrapText="1"/>
    </xf>
    <xf numFmtId="0" fontId="3" fillId="3" borderId="5" xfId="3" applyFill="1" applyBorder="1" applyAlignment="1">
      <alignment vertical="center" wrapText="1"/>
    </xf>
    <xf numFmtId="0" fontId="3" fillId="3" borderId="1" xfId="3" applyFill="1" applyBorder="1" applyAlignment="1">
      <alignment horizontal="center" vertical="center" wrapText="1"/>
    </xf>
    <xf numFmtId="0" fontId="3" fillId="3" borderId="0" xfId="3" applyFill="1" applyAlignment="1">
      <alignment horizontal="center" vertical="center" wrapText="1"/>
    </xf>
    <xf numFmtId="168" fontId="0" fillId="3" borderId="1" xfId="4" applyNumberFormat="1" applyFont="1" applyFill="1" applyBorder="1" applyAlignment="1">
      <alignment horizontal="center" vertical="center" wrapText="1"/>
    </xf>
    <xf numFmtId="166" fontId="3" fillId="3" borderId="1" xfId="3" applyNumberFormat="1" applyFill="1" applyBorder="1" applyAlignment="1">
      <alignment vertical="center" wrapText="1"/>
    </xf>
    <xf numFmtId="166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166" fontId="3" fillId="2" borderId="1" xfId="3" applyNumberFormat="1" applyFill="1" applyBorder="1" applyAlignment="1">
      <alignment vertical="center" wrapText="1"/>
    </xf>
    <xf numFmtId="0" fontId="3" fillId="3" borderId="0" xfId="3" applyFill="1" applyAlignment="1">
      <alignment horizontal="left" vertical="center" wrapText="1"/>
    </xf>
    <xf numFmtId="0" fontId="3" fillId="3" borderId="1" xfId="3" applyFill="1" applyBorder="1" applyAlignment="1">
      <alignment horizontal="left" vertical="center" wrapText="1"/>
    </xf>
    <xf numFmtId="0" fontId="3" fillId="2" borderId="1" xfId="3" applyFill="1" applyBorder="1" applyAlignment="1">
      <alignment horizontal="center" vertical="center" wrapText="1"/>
    </xf>
    <xf numFmtId="0" fontId="3" fillId="3" borderId="0" xfId="3" applyFill="1" applyAlignment="1">
      <alignment horizontal="right" vertical="center" wrapText="1"/>
    </xf>
    <xf numFmtId="169" fontId="0" fillId="3" borderId="1" xfId="5" applyNumberFormat="1" applyFont="1" applyFill="1" applyBorder="1"/>
    <xf numFmtId="0" fontId="3" fillId="3" borderId="1" xfId="3" applyFill="1" applyBorder="1"/>
    <xf numFmtId="0" fontId="3" fillId="2" borderId="2" xfId="3" applyFill="1" applyBorder="1" applyAlignment="1">
      <alignment horizontal="center" vertical="center" wrapText="1"/>
    </xf>
    <xf numFmtId="0" fontId="2" fillId="0" borderId="0" xfId="3" applyFont="1"/>
    <xf numFmtId="0" fontId="2" fillId="3" borderId="0" xfId="3" applyFont="1" applyFill="1"/>
    <xf numFmtId="0" fontId="1" fillId="0" borderId="0" xfId="3" applyFont="1"/>
    <xf numFmtId="169" fontId="0" fillId="3" borderId="1" xfId="5" applyNumberFormat="1" applyFont="1" applyFill="1" applyBorder="1" applyAlignment="1">
      <alignment vertical="center" wrapText="1"/>
    </xf>
    <xf numFmtId="1" fontId="2" fillId="0" borderId="7" xfId="1" applyNumberFormat="1" applyFont="1" applyBorder="1" applyAlignment="1">
      <alignment horizontal="right"/>
    </xf>
    <xf numFmtId="0" fontId="2" fillId="2" borderId="2" xfId="0" applyFont="1" applyFill="1" applyBorder="1"/>
    <xf numFmtId="169" fontId="3" fillId="3" borderId="1" xfId="2" applyNumberFormat="1" applyFill="1" applyBorder="1"/>
    <xf numFmtId="0" fontId="0" fillId="3" borderId="1" xfId="3" applyFont="1" applyFill="1" applyBorder="1"/>
    <xf numFmtId="169" fontId="0" fillId="3" borderId="2" xfId="5" applyNumberFormat="1" applyFont="1" applyFill="1" applyBorder="1"/>
    <xf numFmtId="169" fontId="0" fillId="3" borderId="1" xfId="2" applyNumberFormat="1" applyFont="1" applyFill="1" applyBorder="1"/>
    <xf numFmtId="169" fontId="0" fillId="3" borderId="4" xfId="5" applyNumberFormat="1" applyFont="1" applyFill="1" applyBorder="1" applyAlignment="1">
      <alignment vertical="center" wrapText="1"/>
    </xf>
    <xf numFmtId="166" fontId="0" fillId="3" borderId="1" xfId="3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1" fontId="2" fillId="0" borderId="0" xfId="1" applyNumberFormat="1" applyFont="1" applyBorder="1" applyAlignment="1">
      <alignment horizontal="right"/>
    </xf>
    <xf numFmtId="0" fontId="4" fillId="6" borderId="0" xfId="0" applyFont="1" applyFill="1"/>
    <xf numFmtId="167" fontId="2" fillId="0" borderId="0" xfId="0" applyNumberFormat="1" applyFont="1" applyAlignment="1">
      <alignment horizontal="right"/>
    </xf>
    <xf numFmtId="0" fontId="6" fillId="7" borderId="2" xfId="0" applyFont="1" applyFill="1" applyBorder="1"/>
    <xf numFmtId="9" fontId="6" fillId="0" borderId="7" xfId="0" applyNumberFormat="1" applyFont="1" applyBorder="1" applyAlignment="1">
      <alignment horizontal="right"/>
    </xf>
    <xf numFmtId="0" fontId="5" fillId="4" borderId="2" xfId="0" applyFont="1" applyFill="1" applyBorder="1"/>
    <xf numFmtId="9" fontId="5" fillId="4" borderId="7" xfId="1" applyFont="1" applyFill="1" applyBorder="1" applyAlignment="1">
      <alignment horizontal="right"/>
    </xf>
    <xf numFmtId="164" fontId="2" fillId="0" borderId="7" xfId="6" applyFont="1" applyBorder="1" applyAlignment="1">
      <alignment horizontal="right"/>
    </xf>
    <xf numFmtId="0" fontId="2" fillId="0" borderId="7" xfId="1" applyNumberFormat="1" applyFont="1" applyBorder="1" applyAlignment="1">
      <alignment horizontal="right"/>
    </xf>
    <xf numFmtId="169" fontId="2" fillId="0" borderId="7" xfId="2" applyNumberFormat="1" applyFont="1" applyBorder="1" applyAlignment="1">
      <alignment horizontal="right"/>
    </xf>
    <xf numFmtId="164" fontId="2" fillId="0" borderId="0" xfId="6" applyFont="1" applyBorder="1" applyAlignment="1">
      <alignment horizontal="right"/>
    </xf>
    <xf numFmtId="170" fontId="2" fillId="0" borderId="1" xfId="7" applyNumberFormat="1" applyFont="1" applyBorder="1"/>
    <xf numFmtId="166" fontId="3" fillId="3" borderId="2" xfId="3" applyNumberFormat="1" applyFill="1" applyBorder="1" applyAlignment="1">
      <alignment vertical="center" wrapText="1"/>
    </xf>
    <xf numFmtId="166" fontId="3" fillId="2" borderId="4" xfId="3" applyNumberFormat="1" applyFill="1" applyBorder="1" applyAlignment="1">
      <alignment vertical="center" wrapText="1"/>
    </xf>
    <xf numFmtId="169" fontId="2" fillId="0" borderId="9" xfId="2" applyNumberFormat="1" applyFont="1" applyBorder="1" applyAlignment="1">
      <alignment horizontal="right"/>
    </xf>
    <xf numFmtId="0" fontId="8" fillId="8" borderId="1" xfId="0" applyFont="1" applyFill="1" applyBorder="1"/>
    <xf numFmtId="0" fontId="8" fillId="8" borderId="4" xfId="0" applyFont="1" applyFill="1" applyBorder="1"/>
    <xf numFmtId="0" fontId="8" fillId="8" borderId="4" xfId="0" applyFont="1" applyFill="1" applyBorder="1" applyAlignment="1">
      <alignment horizontal="left" vertical="center" wrapText="1"/>
    </xf>
    <xf numFmtId="9" fontId="2" fillId="0" borderId="9" xfId="1" applyFont="1" applyBorder="1" applyAlignment="1">
      <alignment horizontal="right"/>
    </xf>
    <xf numFmtId="9" fontId="2" fillId="0" borderId="7" xfId="1" applyFont="1" applyBorder="1" applyAlignment="1">
      <alignment horizontal="right"/>
    </xf>
    <xf numFmtId="164" fontId="3" fillId="3" borderId="1" xfId="6" applyFill="1" applyBorder="1" applyAlignment="1">
      <alignment vertical="center" wrapText="1"/>
    </xf>
    <xf numFmtId="164" fontId="3" fillId="3" borderId="1" xfId="6" applyFill="1" applyBorder="1"/>
    <xf numFmtId="0" fontId="3" fillId="3" borderId="7" xfId="3" applyFill="1" applyBorder="1"/>
    <xf numFmtId="0" fontId="3" fillId="3" borderId="7" xfId="3" applyFill="1" applyBorder="1" applyAlignment="1">
      <alignment horizontal="left" vertical="center" wrapText="1"/>
    </xf>
    <xf numFmtId="0" fontId="3" fillId="3" borderId="9" xfId="3" applyFill="1" applyBorder="1" applyAlignment="1">
      <alignment horizontal="left" vertical="center" wrapText="1"/>
    </xf>
    <xf numFmtId="0" fontId="7" fillId="3" borderId="0" xfId="0" applyFont="1" applyFill="1" applyAlignment="1">
      <alignment vertical="center" wrapText="1"/>
    </xf>
    <xf numFmtId="44" fontId="2" fillId="3" borderId="0" xfId="2" applyFont="1" applyFill="1" applyBorder="1"/>
    <xf numFmtId="44" fontId="0" fillId="3" borderId="0" xfId="2" applyFont="1" applyFill="1" applyBorder="1"/>
    <xf numFmtId="165" fontId="0" fillId="3" borderId="0" xfId="0" applyNumberFormat="1" applyFill="1"/>
    <xf numFmtId="0" fontId="5" fillId="3" borderId="0" xfId="0" applyFont="1" applyFill="1"/>
    <xf numFmtId="44" fontId="5" fillId="3" borderId="0" xfId="2" applyFont="1" applyFill="1" applyBorder="1"/>
    <xf numFmtId="44" fontId="4" fillId="3" borderId="0" xfId="2" applyFont="1" applyFill="1" applyBorder="1"/>
    <xf numFmtId="167" fontId="2" fillId="0" borderId="7" xfId="0" applyNumberFormat="1" applyFont="1" applyBorder="1" applyAlignment="1">
      <alignment horizontal="right"/>
    </xf>
    <xf numFmtId="170" fontId="2" fillId="0" borderId="7" xfId="7" applyNumberFormat="1" applyFont="1" applyBorder="1" applyAlignment="1">
      <alignment horizontal="right"/>
    </xf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0" fontId="3" fillId="3" borderId="5" xfId="3" applyFill="1" applyBorder="1" applyAlignment="1">
      <alignment vertical="center" wrapText="1"/>
    </xf>
    <xf numFmtId="0" fontId="3" fillId="3" borderId="6" xfId="3" applyFill="1" applyBorder="1" applyAlignment="1">
      <alignment vertical="center" wrapText="1"/>
    </xf>
    <xf numFmtId="0" fontId="3" fillId="3" borderId="7" xfId="3" applyFill="1" applyBorder="1" applyAlignment="1">
      <alignment vertical="center" wrapText="1"/>
    </xf>
    <xf numFmtId="0" fontId="3" fillId="2" borderId="5" xfId="3" applyFill="1" applyBorder="1" applyAlignment="1">
      <alignment horizontal="center" vertical="center"/>
    </xf>
    <xf numFmtId="0" fontId="3" fillId="2" borderId="6" xfId="3" applyFill="1" applyBorder="1" applyAlignment="1">
      <alignment horizontal="center" vertical="center"/>
    </xf>
    <xf numFmtId="0" fontId="3" fillId="2" borderId="7" xfId="3" applyFill="1" applyBorder="1" applyAlignment="1">
      <alignment horizontal="center" vertical="center"/>
    </xf>
    <xf numFmtId="0" fontId="3" fillId="2" borderId="5" xfId="3" applyFill="1" applyBorder="1" applyAlignment="1">
      <alignment horizontal="right" vertical="center" wrapText="1"/>
    </xf>
    <xf numFmtId="0" fontId="3" fillId="2" borderId="6" xfId="3" applyFill="1" applyBorder="1" applyAlignment="1">
      <alignment horizontal="right" vertical="center" wrapText="1"/>
    </xf>
    <xf numFmtId="0" fontId="3" fillId="2" borderId="7" xfId="3" applyFill="1" applyBorder="1" applyAlignment="1">
      <alignment horizontal="right" vertical="center" wrapText="1"/>
    </xf>
    <xf numFmtId="0" fontId="3" fillId="2" borderId="8" xfId="3" applyFill="1" applyBorder="1" applyAlignment="1">
      <alignment horizontal="center" vertical="center" wrapText="1"/>
    </xf>
    <xf numFmtId="0" fontId="3" fillId="2" borderId="9" xfId="3" applyFill="1" applyBorder="1" applyAlignment="1">
      <alignment horizontal="center" vertical="center" wrapText="1"/>
    </xf>
    <xf numFmtId="0" fontId="3" fillId="2" borderId="10" xfId="3" applyFill="1" applyBorder="1" applyAlignment="1">
      <alignment horizontal="center" vertical="center" wrapText="1"/>
    </xf>
    <xf numFmtId="0" fontId="3" fillId="2" borderId="11" xfId="3" applyFill="1" applyBorder="1" applyAlignment="1">
      <alignment horizontal="center" vertical="center" wrapText="1"/>
    </xf>
    <xf numFmtId="0" fontId="3" fillId="2" borderId="1" xfId="3" applyFill="1" applyBorder="1" applyAlignment="1">
      <alignment horizontal="right" vertical="center" wrapText="1"/>
    </xf>
    <xf numFmtId="0" fontId="3" fillId="2" borderId="1" xfId="3" applyFill="1" applyBorder="1" applyAlignment="1">
      <alignment horizontal="center" vertical="center" wrapText="1"/>
    </xf>
    <xf numFmtId="0" fontId="3" fillId="3" borderId="1" xfId="3" applyFill="1" applyBorder="1" applyAlignment="1">
      <alignment horizontal="left" vertical="center" wrapText="1"/>
    </xf>
    <xf numFmtId="0" fontId="3" fillId="5" borderId="1" xfId="3" applyFill="1" applyBorder="1" applyAlignment="1">
      <alignment horizontal="center" vertical="center" wrapText="1"/>
    </xf>
    <xf numFmtId="0" fontId="3" fillId="2" borderId="2" xfId="3" applyFill="1" applyBorder="1" applyAlignment="1">
      <alignment horizontal="center" vertical="center" wrapText="1"/>
    </xf>
    <xf numFmtId="0" fontId="3" fillId="2" borderId="3" xfId="3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0" fontId="0" fillId="3" borderId="1" xfId="3" applyFont="1" applyFill="1" applyBorder="1" applyAlignment="1">
      <alignment horizontal="left" vertical="center" wrapText="1"/>
    </xf>
    <xf numFmtId="0" fontId="3" fillId="2" borderId="11" xfId="3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166" fontId="0" fillId="3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8">
    <cellStyle name="Millares" xfId="7" builtinId="3"/>
    <cellStyle name="Moneda" xfId="2" builtinId="4"/>
    <cellStyle name="Moneda [0]" xfId="6" builtinId="7"/>
    <cellStyle name="Moneda 2" xfId="5" xr:uid="{96F655C8-9E35-9949-A8F1-8C74954098B2}"/>
    <cellStyle name="Normal" xfId="0" builtinId="0"/>
    <cellStyle name="Normal 2" xfId="3" xr:uid="{C6DB141B-B403-9842-9E02-C412D7060F45}"/>
    <cellStyle name="Porcentaje" xfId="1" builtinId="5"/>
    <cellStyle name="Porcentaje 2" xfId="4" xr:uid="{1E459AB6-4E8A-0042-8C71-67C952286A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777-88E5-4EE3-ABB1-5261070B52BB}">
  <dimension ref="A1:G82"/>
  <sheetViews>
    <sheetView showGridLines="0" topLeftCell="A17" zoomScale="75" zoomScaleNormal="85" workbookViewId="0">
      <selection activeCell="B26" sqref="B26"/>
    </sheetView>
  </sheetViews>
  <sheetFormatPr baseColWidth="10" defaultColWidth="11" defaultRowHeight="14" x14ac:dyDescent="0.3"/>
  <cols>
    <col min="1" max="1" width="67.83203125" customWidth="1"/>
    <col min="2" max="2" width="18.58203125" bestFit="1" customWidth="1"/>
    <col min="3" max="3" width="12.33203125" customWidth="1"/>
    <col min="4" max="4" width="2.5" bestFit="1" customWidth="1"/>
    <col min="5" max="5" width="25.5" customWidth="1"/>
    <col min="6" max="6" width="20.33203125" bestFit="1" customWidth="1"/>
    <col min="7" max="7" width="25.5" style="4" customWidth="1"/>
    <col min="8" max="8" width="18.1640625" bestFit="1" customWidth="1"/>
    <col min="11" max="11" width="22" customWidth="1"/>
    <col min="12" max="12" width="16.5" customWidth="1"/>
  </cols>
  <sheetData>
    <row r="1" spans="1:7" ht="15.5" x14ac:dyDescent="0.35">
      <c r="A1" s="1" t="s">
        <v>0</v>
      </c>
      <c r="B1" s="1"/>
      <c r="C1" s="1"/>
      <c r="D1" s="1"/>
    </row>
    <row r="2" spans="1:7" ht="15.5" x14ac:dyDescent="0.35">
      <c r="A2" s="2" t="s">
        <v>1</v>
      </c>
      <c r="B2" s="2"/>
      <c r="C2" s="2"/>
      <c r="D2" s="2"/>
    </row>
    <row r="3" spans="1:7" ht="15.5" x14ac:dyDescent="0.35">
      <c r="A3" s="2"/>
      <c r="B3" s="2"/>
      <c r="C3" s="2"/>
      <c r="D3" s="2"/>
      <c r="E3" s="2"/>
      <c r="F3" s="2"/>
      <c r="G3" s="6"/>
    </row>
    <row r="4" spans="1:7" x14ac:dyDescent="0.3">
      <c r="A4" s="60" t="s">
        <v>108</v>
      </c>
      <c r="B4" s="60"/>
      <c r="G4"/>
    </row>
    <row r="5" spans="1:7" ht="15.5" x14ac:dyDescent="0.35">
      <c r="A5" s="14" t="s">
        <v>2</v>
      </c>
      <c r="B5" s="19">
        <f>B7-B6</f>
        <v>500000000</v>
      </c>
      <c r="C5" s="2"/>
      <c r="D5" s="94"/>
    </row>
    <row r="6" spans="1:7" ht="15.5" x14ac:dyDescent="0.35">
      <c r="A6" s="14" t="s">
        <v>3</v>
      </c>
      <c r="B6" s="19">
        <v>0</v>
      </c>
      <c r="C6" s="2"/>
      <c r="D6" s="94"/>
    </row>
    <row r="7" spans="1:7" ht="15.5" x14ac:dyDescent="0.35">
      <c r="A7" s="14" t="s">
        <v>4</v>
      </c>
      <c r="B7" s="19">
        <v>500000000</v>
      </c>
      <c r="C7" s="2"/>
      <c r="D7" s="94"/>
    </row>
    <row r="8" spans="1:7" ht="15.5" x14ac:dyDescent="0.35">
      <c r="A8" s="6"/>
      <c r="B8" s="61"/>
      <c r="C8" s="2"/>
      <c r="D8" s="58"/>
    </row>
    <row r="9" spans="1:7" ht="15.5" x14ac:dyDescent="0.35">
      <c r="C9" s="2"/>
      <c r="D9" s="57"/>
    </row>
    <row r="10" spans="1:7" ht="15.5" x14ac:dyDescent="0.35">
      <c r="A10" s="60" t="s">
        <v>109</v>
      </c>
      <c r="B10" s="60"/>
      <c r="C10" s="2"/>
      <c r="D10" s="57"/>
    </row>
    <row r="11" spans="1:7" ht="15.5" x14ac:dyDescent="0.35">
      <c r="A11" s="50" t="s">
        <v>6</v>
      </c>
      <c r="B11" s="23">
        <v>0</v>
      </c>
      <c r="C11" s="2"/>
      <c r="D11" s="57"/>
    </row>
    <row r="12" spans="1:7" ht="15.5" x14ac:dyDescent="0.35">
      <c r="A12" s="14" t="s">
        <v>124</v>
      </c>
      <c r="B12" s="49">
        <f>55*12</f>
        <v>660</v>
      </c>
      <c r="C12" s="2"/>
      <c r="D12" s="57"/>
    </row>
    <row r="13" spans="1:7" ht="15.5" x14ac:dyDescent="0.35">
      <c r="A13" s="50" t="s">
        <v>112</v>
      </c>
      <c r="B13" s="66">
        <f>450000</f>
        <v>450000</v>
      </c>
      <c r="C13" s="2"/>
      <c r="D13" s="57"/>
    </row>
    <row r="14" spans="1:7" ht="15.5" x14ac:dyDescent="0.35">
      <c r="A14" s="14" t="s">
        <v>118</v>
      </c>
      <c r="B14" s="66">
        <v>15000</v>
      </c>
      <c r="C14" s="2"/>
      <c r="D14" s="57"/>
    </row>
    <row r="15" spans="1:7" ht="15.5" x14ac:dyDescent="0.35">
      <c r="A15" s="14" t="s">
        <v>129</v>
      </c>
      <c r="B15" s="66">
        <v>150000</v>
      </c>
      <c r="C15" s="2"/>
      <c r="D15" s="57"/>
    </row>
    <row r="16" spans="1:7" ht="15.5" x14ac:dyDescent="0.35">
      <c r="A16" s="6"/>
      <c r="B16" s="69"/>
      <c r="C16" s="2"/>
      <c r="D16" s="57"/>
    </row>
    <row r="17" spans="1:4" ht="15.5" x14ac:dyDescent="0.35">
      <c r="A17" s="6"/>
      <c r="B17" s="59"/>
      <c r="C17" s="2"/>
      <c r="D17" s="93"/>
    </row>
    <row r="18" spans="1:4" ht="15.5" x14ac:dyDescent="0.35">
      <c r="A18" s="60" t="s">
        <v>110</v>
      </c>
      <c r="B18" s="60"/>
      <c r="C18" s="2"/>
      <c r="D18" s="93"/>
    </row>
    <row r="19" spans="1:4" ht="15.5" x14ac:dyDescent="0.35">
      <c r="A19" s="50" t="s">
        <v>120</v>
      </c>
      <c r="B19" s="67">
        <v>3</v>
      </c>
      <c r="C19" s="2"/>
      <c r="D19" s="93"/>
    </row>
    <row r="20" spans="1:4" ht="15.5" x14ac:dyDescent="0.35">
      <c r="A20" s="50" t="s">
        <v>135</v>
      </c>
      <c r="B20" s="68">
        <v>7500000</v>
      </c>
      <c r="C20" s="2"/>
      <c r="D20" s="93"/>
    </row>
    <row r="21" spans="1:4" ht="15.5" x14ac:dyDescent="0.35">
      <c r="A21" s="50" t="s">
        <v>140</v>
      </c>
      <c r="B21" s="73">
        <v>1000000</v>
      </c>
      <c r="C21" s="2"/>
      <c r="D21" s="93"/>
    </row>
    <row r="22" spans="1:4" ht="15.5" x14ac:dyDescent="0.35">
      <c r="A22" s="50" t="s">
        <v>131</v>
      </c>
      <c r="B22" s="77">
        <v>0.15</v>
      </c>
      <c r="C22" s="2"/>
      <c r="D22" s="93"/>
    </row>
    <row r="23" spans="1:4" ht="15.5" x14ac:dyDescent="0.35">
      <c r="A23" s="50" t="s">
        <v>130</v>
      </c>
      <c r="B23" s="23">
        <v>0.19</v>
      </c>
      <c r="C23" s="2"/>
      <c r="D23" s="93"/>
    </row>
    <row r="24" spans="1:4" ht="15.5" x14ac:dyDescent="0.35">
      <c r="A24" s="50" t="s">
        <v>132</v>
      </c>
      <c r="B24" s="78">
        <v>0.04</v>
      </c>
      <c r="C24" s="2"/>
      <c r="D24" s="57"/>
    </row>
    <row r="25" spans="1:4" ht="15.5" x14ac:dyDescent="0.35">
      <c r="A25" s="50" t="s">
        <v>179</v>
      </c>
      <c r="B25" s="78">
        <f>1/6</f>
        <v>0.16666666666666666</v>
      </c>
      <c r="C25" s="2"/>
      <c r="D25" s="57"/>
    </row>
    <row r="26" spans="1:4" ht="15.5" x14ac:dyDescent="0.35">
      <c r="A26" s="50" t="s">
        <v>180</v>
      </c>
      <c r="B26" s="78">
        <f>1/6</f>
        <v>0.16666666666666666</v>
      </c>
      <c r="C26" s="2"/>
      <c r="D26" s="57"/>
    </row>
    <row r="27" spans="1:4" ht="15.5" x14ac:dyDescent="0.35">
      <c r="A27" s="50" t="s">
        <v>153</v>
      </c>
      <c r="B27" s="68">
        <v>600000</v>
      </c>
      <c r="C27" s="2"/>
      <c r="D27" s="57"/>
    </row>
    <row r="28" spans="1:4" ht="15.5" x14ac:dyDescent="0.35">
      <c r="A28" s="50" t="s">
        <v>166</v>
      </c>
      <c r="B28" s="68">
        <v>150000000</v>
      </c>
      <c r="C28" s="2"/>
      <c r="D28" s="57"/>
    </row>
    <row r="29" spans="1:4" ht="15.5" x14ac:dyDescent="0.35">
      <c r="A29" s="50" t="s">
        <v>156</v>
      </c>
      <c r="B29" s="68">
        <v>5000000</v>
      </c>
      <c r="C29" s="2"/>
      <c r="D29" s="57"/>
    </row>
    <row r="30" spans="1:4" ht="15.5" x14ac:dyDescent="0.35">
      <c r="A30" s="50" t="s">
        <v>161</v>
      </c>
      <c r="B30" s="92">
        <v>4</v>
      </c>
      <c r="C30" s="2"/>
      <c r="D30" s="57"/>
    </row>
    <row r="31" spans="1:4" ht="15.5" x14ac:dyDescent="0.35">
      <c r="A31" s="50" t="s">
        <v>162</v>
      </c>
      <c r="B31" s="92">
        <v>2</v>
      </c>
      <c r="C31" s="2"/>
      <c r="D31" s="57"/>
    </row>
    <row r="32" spans="1:4" ht="15.5" x14ac:dyDescent="0.35">
      <c r="A32" s="50" t="s">
        <v>163</v>
      </c>
      <c r="B32" s="68">
        <v>250000000</v>
      </c>
      <c r="C32" s="2"/>
      <c r="D32" s="57"/>
    </row>
    <row r="33" spans="1:4" ht="15.5" x14ac:dyDescent="0.35">
      <c r="A33" s="50" t="s">
        <v>164</v>
      </c>
      <c r="B33" s="68">
        <v>10000000</v>
      </c>
      <c r="C33" s="2"/>
      <c r="D33" s="57"/>
    </row>
    <row r="34" spans="1:4" ht="15.5" x14ac:dyDescent="0.35">
      <c r="A34" s="50" t="s">
        <v>172</v>
      </c>
      <c r="B34" s="68">
        <v>50000000</v>
      </c>
      <c r="C34" s="2"/>
      <c r="D34" s="57"/>
    </row>
    <row r="35" spans="1:4" ht="15.5" x14ac:dyDescent="0.35">
      <c r="A35" s="64" t="s">
        <v>125</v>
      </c>
      <c r="B35" s="65"/>
      <c r="C35" s="2"/>
      <c r="D35" s="2"/>
    </row>
    <row r="36" spans="1:4" ht="15.5" x14ac:dyDescent="0.35">
      <c r="A36" s="14" t="s">
        <v>106</v>
      </c>
      <c r="B36" s="19">
        <f>1800000*12</f>
        <v>21600000</v>
      </c>
    </row>
    <row r="37" spans="1:4" ht="15.5" x14ac:dyDescent="0.35">
      <c r="A37" s="14" t="s">
        <v>176</v>
      </c>
      <c r="B37" s="19">
        <v>1000000</v>
      </c>
    </row>
    <row r="38" spans="1:4" ht="15.5" x14ac:dyDescent="0.35">
      <c r="A38" s="14" t="s">
        <v>103</v>
      </c>
      <c r="B38" s="20">
        <v>3</v>
      </c>
    </row>
    <row r="39" spans="1:4" ht="15.5" x14ac:dyDescent="0.35">
      <c r="A39" s="14" t="s">
        <v>90</v>
      </c>
      <c r="B39" s="19">
        <f>3000000*12</f>
        <v>36000000</v>
      </c>
    </row>
    <row r="40" spans="1:4" ht="15.5" x14ac:dyDescent="0.35">
      <c r="A40" s="14" t="s">
        <v>91</v>
      </c>
      <c r="B40" s="19">
        <f>1400000*12</f>
        <v>16800000</v>
      </c>
    </row>
    <row r="41" spans="1:4" ht="15.5" x14ac:dyDescent="0.35">
      <c r="A41" s="14" t="s">
        <v>148</v>
      </c>
      <c r="B41" s="19">
        <f>5000000*12</f>
        <v>60000000</v>
      </c>
    </row>
    <row r="42" spans="1:4" ht="15.5" x14ac:dyDescent="0.35">
      <c r="A42" s="14" t="s">
        <v>150</v>
      </c>
      <c r="B42" s="19">
        <f>7000000*12</f>
        <v>84000000</v>
      </c>
    </row>
    <row r="43" spans="1:4" ht="15.5" x14ac:dyDescent="0.35">
      <c r="A43" s="14" t="s">
        <v>149</v>
      </c>
      <c r="B43" s="19">
        <f>10000000*12</f>
        <v>120000000</v>
      </c>
    </row>
    <row r="44" spans="1:4" ht="15.5" x14ac:dyDescent="0.35">
      <c r="A44" s="14" t="s">
        <v>151</v>
      </c>
      <c r="B44" s="19">
        <f>9000000*12</f>
        <v>108000000</v>
      </c>
    </row>
    <row r="45" spans="1:4" ht="15.5" x14ac:dyDescent="0.35">
      <c r="A45" s="14" t="s">
        <v>152</v>
      </c>
      <c r="B45" s="19">
        <f>16000000*12</f>
        <v>192000000</v>
      </c>
    </row>
    <row r="46" spans="1:4" ht="15.5" x14ac:dyDescent="0.35">
      <c r="A46" s="14" t="s">
        <v>134</v>
      </c>
      <c r="B46" s="19">
        <v>3000000</v>
      </c>
    </row>
    <row r="47" spans="1:4" ht="15.5" x14ac:dyDescent="0.35">
      <c r="A47" s="64" t="s">
        <v>107</v>
      </c>
      <c r="B47" s="65"/>
    </row>
    <row r="48" spans="1:4" ht="15.5" x14ac:dyDescent="0.35">
      <c r="A48" s="14" t="s">
        <v>154</v>
      </c>
      <c r="B48" s="19">
        <f>120000*365</f>
        <v>43800000</v>
      </c>
    </row>
    <row r="49" spans="1:2" ht="15.5" x14ac:dyDescent="0.35">
      <c r="A49" s="14" t="s">
        <v>121</v>
      </c>
      <c r="B49" s="19">
        <v>60000000</v>
      </c>
    </row>
    <row r="50" spans="1:2" ht="15.5" x14ac:dyDescent="0.35">
      <c r="A50" s="14" t="s">
        <v>122</v>
      </c>
      <c r="B50" s="19">
        <f>3000000*12</f>
        <v>36000000</v>
      </c>
    </row>
    <row r="51" spans="1:2" ht="15.5" x14ac:dyDescent="0.35">
      <c r="A51" s="14" t="s">
        <v>123</v>
      </c>
      <c r="B51" s="19">
        <f>180000*12</f>
        <v>2160000</v>
      </c>
    </row>
    <row r="52" spans="1:2" ht="15.5" x14ac:dyDescent="0.35">
      <c r="A52" s="14" t="s">
        <v>155</v>
      </c>
      <c r="B52" s="19">
        <v>150000000</v>
      </c>
    </row>
    <row r="55" spans="1:2" x14ac:dyDescent="0.3">
      <c r="A55" s="60" t="s">
        <v>111</v>
      </c>
      <c r="B55" s="60"/>
    </row>
    <row r="56" spans="1:2" ht="15.5" x14ac:dyDescent="0.35">
      <c r="A56" s="14" t="s">
        <v>104</v>
      </c>
      <c r="B56" s="19">
        <v>300000</v>
      </c>
    </row>
    <row r="57" spans="1:2" ht="15.5" x14ac:dyDescent="0.35">
      <c r="A57" s="14" t="s">
        <v>105</v>
      </c>
      <c r="B57" s="19">
        <v>750000</v>
      </c>
    </row>
    <row r="58" spans="1:2" ht="15.5" x14ac:dyDescent="0.35">
      <c r="A58" s="14" t="s">
        <v>113</v>
      </c>
      <c r="B58" s="19">
        <v>23000</v>
      </c>
    </row>
    <row r="59" spans="1:2" ht="15.5" x14ac:dyDescent="0.35">
      <c r="A59" s="14" t="s">
        <v>114</v>
      </c>
      <c r="B59" s="19">
        <v>14000</v>
      </c>
    </row>
    <row r="60" spans="1:2" ht="15.5" x14ac:dyDescent="0.35">
      <c r="A60" s="50" t="s">
        <v>157</v>
      </c>
      <c r="B60" s="91">
        <v>30000</v>
      </c>
    </row>
    <row r="61" spans="1:2" ht="15.5" x14ac:dyDescent="0.35">
      <c r="A61" s="50" t="s">
        <v>159</v>
      </c>
      <c r="B61" s="92">
        <v>50</v>
      </c>
    </row>
    <row r="62" spans="1:2" ht="15.5" x14ac:dyDescent="0.35">
      <c r="A62" s="50" t="s">
        <v>160</v>
      </c>
      <c r="B62" s="92">
        <v>2</v>
      </c>
    </row>
    <row r="63" spans="1:2" ht="15.5" x14ac:dyDescent="0.35">
      <c r="A63" s="62" t="s">
        <v>6</v>
      </c>
      <c r="B63" s="63">
        <v>0</v>
      </c>
    </row>
    <row r="64" spans="1:2" ht="15.5" x14ac:dyDescent="0.35">
      <c r="A64" s="14" t="s">
        <v>115</v>
      </c>
      <c r="B64" s="70">
        <v>600</v>
      </c>
    </row>
    <row r="65" spans="1:7" ht="15.5" x14ac:dyDescent="0.35">
      <c r="A65" s="14" t="s">
        <v>116</v>
      </c>
      <c r="B65" s="70">
        <f>2*365</f>
        <v>730</v>
      </c>
    </row>
    <row r="66" spans="1:7" ht="15.5" x14ac:dyDescent="0.35">
      <c r="A66" s="14" t="s">
        <v>117</v>
      </c>
      <c r="B66" s="21">
        <f>1*365</f>
        <v>365</v>
      </c>
    </row>
    <row r="67" spans="1:7" ht="15.5" x14ac:dyDescent="0.35">
      <c r="A67" s="14" t="s">
        <v>119</v>
      </c>
      <c r="B67" s="21">
        <v>3650</v>
      </c>
    </row>
    <row r="68" spans="1:7" ht="15.5" x14ac:dyDescent="0.35">
      <c r="A68" s="14" t="s">
        <v>171</v>
      </c>
      <c r="B68" s="21">
        <v>250</v>
      </c>
    </row>
    <row r="69" spans="1:7" ht="15.5" x14ac:dyDescent="0.35">
      <c r="A69" s="14" t="s">
        <v>173</v>
      </c>
      <c r="B69" s="21">
        <v>2</v>
      </c>
    </row>
    <row r="70" spans="1:7" ht="15.5" x14ac:dyDescent="0.35">
      <c r="A70" s="14" t="s">
        <v>174</v>
      </c>
      <c r="B70" s="22">
        <v>50</v>
      </c>
    </row>
    <row r="73" spans="1:7" ht="15.5" x14ac:dyDescent="0.35">
      <c r="A73" s="6" t="s">
        <v>7</v>
      </c>
    </row>
    <row r="74" spans="1:7" ht="15.5" x14ac:dyDescent="0.35">
      <c r="A74" s="2" t="s">
        <v>87</v>
      </c>
    </row>
    <row r="75" spans="1:7" ht="15.5" x14ac:dyDescent="0.35">
      <c r="A75" s="2" t="s">
        <v>126</v>
      </c>
    </row>
    <row r="76" spans="1:7" ht="15.5" x14ac:dyDescent="0.35">
      <c r="A76" s="2" t="s">
        <v>141</v>
      </c>
    </row>
    <row r="77" spans="1:7" ht="15.5" x14ac:dyDescent="0.35">
      <c r="A77" s="2" t="s">
        <v>142</v>
      </c>
    </row>
    <row r="78" spans="1:7" ht="15.5" x14ac:dyDescent="0.35">
      <c r="A78" s="2" t="s">
        <v>143</v>
      </c>
    </row>
    <row r="79" spans="1:7" ht="15.5" x14ac:dyDescent="0.35">
      <c r="A79" s="2" t="s">
        <v>144</v>
      </c>
    </row>
    <row r="80" spans="1:7" ht="15.5" x14ac:dyDescent="0.35">
      <c r="A80" s="2" t="s">
        <v>145</v>
      </c>
      <c r="F80" s="4"/>
      <c r="G80"/>
    </row>
    <row r="81" spans="1:1" ht="15.5" x14ac:dyDescent="0.35">
      <c r="A81" s="2" t="s">
        <v>146</v>
      </c>
    </row>
    <row r="82" spans="1:1" ht="15.5" x14ac:dyDescent="0.35">
      <c r="A82" s="2" t="s">
        <v>147</v>
      </c>
    </row>
  </sheetData>
  <mergeCells count="2">
    <mergeCell ref="D17:D23"/>
    <mergeCell ref="D5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764C-DEDE-C149-BFDF-F902BA43F941}">
  <dimension ref="A1:AC68"/>
  <sheetViews>
    <sheetView showGridLines="0" tabSelected="1" topLeftCell="H19" zoomScale="55" zoomScaleNormal="55" workbookViewId="0">
      <selection activeCell="P20" sqref="P20"/>
    </sheetView>
  </sheetViews>
  <sheetFormatPr baseColWidth="10" defaultColWidth="11" defaultRowHeight="14" x14ac:dyDescent="0.3"/>
  <cols>
    <col min="1" max="1" width="9" style="24" customWidth="1"/>
    <col min="2" max="2" width="23.33203125" style="24" customWidth="1"/>
    <col min="3" max="3" width="12.33203125" style="24" customWidth="1"/>
    <col min="4" max="4" width="44.83203125" style="24" bestFit="1" customWidth="1"/>
    <col min="5" max="5" width="15.5" style="24" customWidth="1"/>
    <col min="6" max="6" width="3.5" style="25" customWidth="1"/>
    <col min="7" max="7" width="9" style="24" customWidth="1"/>
    <col min="8" max="8" width="23.33203125" style="24" customWidth="1"/>
    <col min="9" max="9" width="12.33203125" style="24" customWidth="1"/>
    <col min="10" max="10" width="44" style="24" bestFit="1" customWidth="1"/>
    <col min="11" max="11" width="15.5" style="24" customWidth="1"/>
    <col min="12" max="12" width="3.5" style="25" customWidth="1"/>
    <col min="13" max="13" width="9" style="24" customWidth="1"/>
    <col min="14" max="14" width="23.33203125" style="24" customWidth="1"/>
    <col min="15" max="15" width="12.33203125" style="24" customWidth="1"/>
    <col min="16" max="16" width="44" style="24" bestFit="1" customWidth="1"/>
    <col min="17" max="17" width="15.5" style="24" customWidth="1"/>
    <col min="18" max="18" width="3.5" style="25" customWidth="1"/>
    <col min="19" max="19" width="9" style="24" customWidth="1"/>
    <col min="20" max="20" width="23.33203125" style="24" customWidth="1"/>
    <col min="21" max="21" width="12.33203125" style="24" customWidth="1"/>
    <col min="22" max="22" width="44" style="24" bestFit="1" customWidth="1"/>
    <col min="23" max="23" width="15.5" style="24" customWidth="1"/>
    <col min="24" max="24" width="3.5" style="25" customWidth="1"/>
    <col min="25" max="25" width="9" style="24" customWidth="1"/>
    <col min="26" max="26" width="23.33203125" style="24" customWidth="1"/>
    <col min="27" max="27" width="12.33203125" style="24" customWidth="1"/>
    <col min="28" max="28" width="44" style="24" bestFit="1" customWidth="1"/>
    <col min="29" max="29" width="16.5" style="24" bestFit="1" customWidth="1"/>
    <col min="30" max="16384" width="11" style="24"/>
  </cols>
  <sheetData>
    <row r="1" spans="1:29" ht="15.5" x14ac:dyDescent="0.35">
      <c r="A1" s="47" t="str">
        <f>Variables!A1</f>
        <v>Arquitectura Empresarial</v>
      </c>
      <c r="B1" s="47"/>
      <c r="C1" s="47"/>
      <c r="G1" s="47"/>
      <c r="H1" s="47"/>
      <c r="I1" s="47"/>
      <c r="M1" s="47"/>
      <c r="N1" s="47"/>
      <c r="O1" s="47"/>
      <c r="S1" s="47"/>
      <c r="T1" s="47"/>
      <c r="U1" s="47"/>
      <c r="Y1" s="47"/>
      <c r="Z1" s="47"/>
      <c r="AA1" s="47"/>
    </row>
    <row r="2" spans="1:29" ht="15.5" x14ac:dyDescent="0.35">
      <c r="A2" s="45" t="s">
        <v>1</v>
      </c>
      <c r="B2" s="45"/>
      <c r="C2" s="45"/>
      <c r="G2" s="45"/>
      <c r="H2" s="45"/>
      <c r="I2" s="45"/>
      <c r="M2" s="45"/>
      <c r="N2" s="45"/>
      <c r="O2" s="45"/>
      <c r="S2" s="45"/>
      <c r="T2" s="45"/>
      <c r="U2" s="45"/>
      <c r="Y2" s="45"/>
      <c r="Z2" s="45"/>
      <c r="AA2" s="45"/>
    </row>
    <row r="3" spans="1:29" ht="15.5" x14ac:dyDescent="0.35">
      <c r="A3" s="45"/>
      <c r="B3" s="45"/>
      <c r="C3" s="45"/>
      <c r="D3" s="45"/>
      <c r="E3" s="45"/>
      <c r="F3" s="46"/>
      <c r="G3" s="45"/>
      <c r="H3" s="45"/>
      <c r="I3" s="45"/>
      <c r="J3" s="45"/>
      <c r="K3" s="45"/>
      <c r="L3" s="46"/>
      <c r="M3" s="45"/>
      <c r="N3" s="45"/>
      <c r="O3" s="45"/>
      <c r="P3" s="45"/>
      <c r="Q3" s="45"/>
      <c r="R3" s="46"/>
      <c r="S3" s="45"/>
      <c r="T3" s="45"/>
      <c r="U3" s="45"/>
      <c r="V3" s="45"/>
      <c r="W3" s="45"/>
      <c r="X3" s="46"/>
      <c r="Y3" s="45"/>
      <c r="Z3" s="45"/>
      <c r="AA3" s="45"/>
      <c r="AB3" s="45"/>
      <c r="AC3" s="45"/>
    </row>
    <row r="4" spans="1:29" x14ac:dyDescent="0.3">
      <c r="F4" s="24"/>
      <c r="L4" s="24"/>
      <c r="R4" s="24"/>
      <c r="X4" s="24"/>
    </row>
    <row r="5" spans="1:29" ht="14.25" customHeight="1" x14ac:dyDescent="0.3">
      <c r="A5" s="109" t="s">
        <v>8</v>
      </c>
      <c r="B5" s="112" t="s">
        <v>9</v>
      </c>
      <c r="C5" s="109" t="s">
        <v>10</v>
      </c>
      <c r="D5" s="109"/>
      <c r="E5" s="40" t="s">
        <v>11</v>
      </c>
      <c r="F5" s="24"/>
      <c r="G5" s="109" t="s">
        <v>12</v>
      </c>
      <c r="H5" s="112" t="s">
        <v>9</v>
      </c>
      <c r="I5" s="109" t="s">
        <v>10</v>
      </c>
      <c r="J5" s="109"/>
      <c r="K5" s="40" t="s">
        <v>11</v>
      </c>
      <c r="L5" s="24"/>
      <c r="M5" s="109" t="s">
        <v>13</v>
      </c>
      <c r="N5" s="112" t="s">
        <v>9</v>
      </c>
      <c r="O5" s="109" t="s">
        <v>10</v>
      </c>
      <c r="P5" s="109"/>
      <c r="Q5" s="40" t="s">
        <v>11</v>
      </c>
      <c r="R5" s="24"/>
      <c r="S5" s="109" t="s">
        <v>14</v>
      </c>
      <c r="T5" s="112" t="s">
        <v>9</v>
      </c>
      <c r="U5" s="109" t="s">
        <v>10</v>
      </c>
      <c r="V5" s="109"/>
      <c r="W5" s="40" t="s">
        <v>11</v>
      </c>
      <c r="X5" s="24"/>
      <c r="Y5" s="109" t="s">
        <v>15</v>
      </c>
      <c r="Z5" s="112" t="s">
        <v>9</v>
      </c>
      <c r="AA5" s="109" t="s">
        <v>10</v>
      </c>
      <c r="AB5" s="109"/>
      <c r="AC5" s="40" t="s">
        <v>11</v>
      </c>
    </row>
    <row r="6" spans="1:29" ht="14.25" customHeight="1" x14ac:dyDescent="0.3">
      <c r="A6" s="109"/>
      <c r="B6" s="113"/>
      <c r="C6" s="110" t="s">
        <v>99</v>
      </c>
      <c r="D6" s="110"/>
      <c r="E6" s="34">
        <f>Variables!$B$58*Variables!$B$66</f>
        <v>8395000</v>
      </c>
      <c r="F6" s="24"/>
      <c r="G6" s="109"/>
      <c r="H6" s="113"/>
      <c r="I6" s="110" t="s">
        <v>99</v>
      </c>
      <c r="J6" s="110"/>
      <c r="K6" s="34">
        <f>Variables!B58*Variables!B66*(1+Variables!B22)*Variables!B30</f>
        <v>38617000</v>
      </c>
      <c r="L6" s="24"/>
      <c r="M6" s="109"/>
      <c r="N6" s="113"/>
      <c r="O6" s="110" t="s">
        <v>99</v>
      </c>
      <c r="P6" s="110"/>
      <c r="Q6" s="34">
        <f>Variables!B58*Variables!B66*(1+Variables!B22)*Variables!B30*Variables!B31</f>
        <v>77234000</v>
      </c>
      <c r="R6" s="24"/>
      <c r="S6" s="109"/>
      <c r="T6" s="113"/>
      <c r="U6" s="110" t="s">
        <v>99</v>
      </c>
      <c r="V6" s="110"/>
      <c r="W6" s="34">
        <f>Variables!B58*Variables!B66*(1+Variables!B22)*Variables!B30*Variables!B31^2</f>
        <v>154468000</v>
      </c>
      <c r="X6" s="24"/>
      <c r="Y6" s="109"/>
      <c r="Z6" s="113"/>
      <c r="AA6" s="110" t="s">
        <v>99</v>
      </c>
      <c r="AB6" s="110"/>
      <c r="AC6" s="34">
        <f>Variables!B58*Variables!B66*(1+Variables!B22)*Variables!B30*Variables!B31^3</f>
        <v>308936000</v>
      </c>
    </row>
    <row r="7" spans="1:29" ht="14.25" customHeight="1" x14ac:dyDescent="0.3">
      <c r="A7" s="109"/>
      <c r="B7" s="113"/>
      <c r="C7" s="110" t="s">
        <v>98</v>
      </c>
      <c r="D7" s="110"/>
      <c r="E7" s="34">
        <f>Variables!$B$67*Variables!$B$59</f>
        <v>51100000</v>
      </c>
      <c r="F7" s="24"/>
      <c r="G7" s="109"/>
      <c r="H7" s="113"/>
      <c r="I7" s="110" t="s">
        <v>98</v>
      </c>
      <c r="J7" s="110"/>
      <c r="K7" s="34">
        <f>Variables!B59*Variables!B67*(1+Variables!B22)*Variables!B30</f>
        <v>235059999.99999997</v>
      </c>
      <c r="L7" s="24"/>
      <c r="M7" s="109"/>
      <c r="N7" s="113"/>
      <c r="O7" s="110" t="s">
        <v>98</v>
      </c>
      <c r="P7" s="110"/>
      <c r="Q7" s="34">
        <f>Variables!B67*Variables!B59*(1+Variables!B22)*Variables!B30*Variables!B31</f>
        <v>470119999.99999994</v>
      </c>
      <c r="R7" s="24"/>
      <c r="S7" s="109"/>
      <c r="T7" s="113"/>
      <c r="U7" s="110" t="s">
        <v>98</v>
      </c>
      <c r="V7" s="110"/>
      <c r="W7" s="34">
        <f>Variables!B59*Variables!B67*(1+Variables!B22)*Variables!B30*Variables!B31^2</f>
        <v>940239999.99999988</v>
      </c>
      <c r="X7" s="24"/>
      <c r="Y7" s="109"/>
      <c r="Z7" s="113"/>
      <c r="AA7" s="110" t="s">
        <v>98</v>
      </c>
      <c r="AB7" s="110"/>
      <c r="AC7" s="34">
        <f>Variables!B59*Variables!B67*(1+Variables!B22)*Variables!B30*Variables!B31^3</f>
        <v>1880479999.9999998</v>
      </c>
    </row>
    <row r="8" spans="1:29" ht="14.25" customHeight="1" x14ac:dyDescent="0.3">
      <c r="A8" s="109"/>
      <c r="B8" s="113"/>
      <c r="C8" s="110" t="s">
        <v>101</v>
      </c>
      <c r="D8" s="110"/>
      <c r="E8" s="34">
        <f>(Variables!B65)*Variables!B57</f>
        <v>547500000</v>
      </c>
      <c r="F8" s="24"/>
      <c r="G8" s="109"/>
      <c r="H8" s="113"/>
      <c r="I8" s="110" t="s">
        <v>101</v>
      </c>
      <c r="J8" s="110"/>
      <c r="K8" s="34">
        <f>(Variables!B65+Variables!B70)*Variables!B57*Variables!B30</f>
        <v>2340000000</v>
      </c>
      <c r="L8" s="24"/>
      <c r="M8" s="109"/>
      <c r="N8" s="113"/>
      <c r="O8" s="110" t="s">
        <v>101</v>
      </c>
      <c r="P8" s="110"/>
      <c r="Q8" s="34">
        <f>(Variables!B65+(2*Variables!B70))*Variables!B57*Variables!B30*Variables!B31</f>
        <v>4980000000</v>
      </c>
      <c r="R8" s="24"/>
      <c r="S8" s="109"/>
      <c r="T8" s="113"/>
      <c r="U8" s="110" t="s">
        <v>101</v>
      </c>
      <c r="V8" s="110"/>
      <c r="W8" s="34">
        <f>(Variables!B65+(3*Variables!B70))*Variables!B57*Variables!B30*Variables!B31^2</f>
        <v>10560000000</v>
      </c>
      <c r="X8" s="24"/>
      <c r="Y8" s="109"/>
      <c r="Z8" s="113"/>
      <c r="AA8" s="110" t="s">
        <v>101</v>
      </c>
      <c r="AB8" s="110"/>
      <c r="AC8" s="34">
        <f>(Variables!B65+(3*Variables!B70))*Variables!B57*Variables!B30*Variables!B31^3</f>
        <v>21120000000</v>
      </c>
    </row>
    <row r="9" spans="1:29" ht="16.5" customHeight="1" x14ac:dyDescent="0.3">
      <c r="A9" s="109"/>
      <c r="B9" s="114"/>
      <c r="C9" s="110" t="s">
        <v>100</v>
      </c>
      <c r="D9" s="110"/>
      <c r="E9" s="34">
        <f>(Variables!B64)*Variables!B56</f>
        <v>180000000</v>
      </c>
      <c r="F9" s="24"/>
      <c r="G9" s="109"/>
      <c r="H9" s="114"/>
      <c r="I9" s="110" t="s">
        <v>100</v>
      </c>
      <c r="J9" s="110"/>
      <c r="K9" s="34">
        <f>(Variables!B64+Variables!B70+Variables!B68)*Variables!B56*Variables!B30</f>
        <v>1080000000</v>
      </c>
      <c r="L9" s="24"/>
      <c r="M9" s="109"/>
      <c r="N9" s="114"/>
      <c r="O9" s="110" t="s">
        <v>100</v>
      </c>
      <c r="P9" s="110"/>
      <c r="Q9" s="34">
        <f>((Variables!B64+(2*Variables!B70))*Variables!B30*Variables!B31+Variables!B68*Variables!B69)*Variables!B56</f>
        <v>1830000000</v>
      </c>
      <c r="R9" s="24"/>
      <c r="S9" s="109"/>
      <c r="T9" s="114"/>
      <c r="U9" s="110" t="s">
        <v>100</v>
      </c>
      <c r="V9" s="110"/>
      <c r="W9" s="34">
        <f>((Variables!B64+(2*Variables!B70))*Variables!B30*Variables!B31^2+Variables!B68*Variables!B69^3)*Variables!B56</f>
        <v>3960000000</v>
      </c>
      <c r="X9" s="24"/>
      <c r="Y9" s="109"/>
      <c r="Z9" s="114"/>
      <c r="AA9" s="110" t="s">
        <v>100</v>
      </c>
      <c r="AB9" s="110"/>
      <c r="AC9" s="34">
        <f>((Variables!B64+(2*Variables!B70))*Variables!B30*Variables!B31^3+Variables!B68*Variables!B69^3)*Variables!B56</f>
        <v>7320000000</v>
      </c>
    </row>
    <row r="10" spans="1:29" ht="16.5" customHeight="1" x14ac:dyDescent="0.3">
      <c r="A10" s="109"/>
      <c r="B10" s="101" t="s">
        <v>16</v>
      </c>
      <c r="C10" s="102"/>
      <c r="D10" s="103"/>
      <c r="E10" s="37">
        <f>SUM(E6:E9)</f>
        <v>786995000</v>
      </c>
      <c r="F10" s="24"/>
      <c r="G10" s="109"/>
      <c r="H10" s="101" t="s">
        <v>16</v>
      </c>
      <c r="I10" s="102"/>
      <c r="J10" s="103"/>
      <c r="K10" s="37">
        <f>SUM(K6:K9)</f>
        <v>3693677000</v>
      </c>
      <c r="L10" s="24"/>
      <c r="M10" s="109"/>
      <c r="N10" s="101" t="s">
        <v>16</v>
      </c>
      <c r="O10" s="102"/>
      <c r="P10" s="103"/>
      <c r="Q10" s="37">
        <f>SUM(Q6:Q9)</f>
        <v>7357354000</v>
      </c>
      <c r="R10" s="24"/>
      <c r="S10" s="109"/>
      <c r="T10" s="101" t="s">
        <v>16</v>
      </c>
      <c r="U10" s="102"/>
      <c r="V10" s="103"/>
      <c r="W10" s="37">
        <f>SUM(W6:W9)</f>
        <v>15614708000</v>
      </c>
      <c r="X10" s="24"/>
      <c r="Y10" s="109"/>
      <c r="Z10" s="101" t="s">
        <v>16</v>
      </c>
      <c r="AA10" s="102"/>
      <c r="AB10" s="103"/>
      <c r="AC10" s="37">
        <f>SUM(AC6:AC9)</f>
        <v>30629416000</v>
      </c>
    </row>
    <row r="11" spans="1:29" ht="16.5" customHeight="1" x14ac:dyDescent="0.3">
      <c r="A11" s="109"/>
      <c r="B11" s="44" t="s">
        <v>17</v>
      </c>
      <c r="C11" s="110" t="s">
        <v>158</v>
      </c>
      <c r="D11" s="110"/>
      <c r="E11" s="34">
        <f>Variables!B61*Variables!B60</f>
        <v>1500000</v>
      </c>
      <c r="F11" s="24"/>
      <c r="G11" s="109"/>
      <c r="H11" s="44" t="s">
        <v>17</v>
      </c>
      <c r="I11" s="110" t="s">
        <v>158</v>
      </c>
      <c r="J11" s="110"/>
      <c r="K11" s="34">
        <f>Variables!B60*Variables!B61*Variables!B62</f>
        <v>3000000</v>
      </c>
      <c r="L11" s="24"/>
      <c r="M11" s="109"/>
      <c r="N11" s="44" t="s">
        <v>17</v>
      </c>
      <c r="O11" s="110"/>
      <c r="P11" s="110"/>
      <c r="Q11" s="34"/>
      <c r="R11" s="24"/>
      <c r="S11" s="109"/>
      <c r="T11" s="44" t="s">
        <v>17</v>
      </c>
      <c r="U11" s="110"/>
      <c r="V11" s="110"/>
      <c r="W11" s="34"/>
      <c r="X11" s="24"/>
      <c r="Y11" s="109"/>
      <c r="Z11" s="44" t="s">
        <v>17</v>
      </c>
      <c r="AA11" s="110"/>
      <c r="AB11" s="110"/>
      <c r="AC11" s="34"/>
    </row>
    <row r="12" spans="1:29" ht="16.5" customHeight="1" x14ac:dyDescent="0.3">
      <c r="A12" s="109"/>
      <c r="B12" s="101" t="s">
        <v>18</v>
      </c>
      <c r="C12" s="102"/>
      <c r="D12" s="103"/>
      <c r="E12" s="37">
        <f>SUM(E11:E11)</f>
        <v>1500000</v>
      </c>
      <c r="F12" s="24"/>
      <c r="G12" s="109"/>
      <c r="H12" s="101" t="s">
        <v>18</v>
      </c>
      <c r="I12" s="102"/>
      <c r="J12" s="103"/>
      <c r="K12" s="37">
        <f>SUM(K11:K11)</f>
        <v>3000000</v>
      </c>
      <c r="L12" s="24"/>
      <c r="M12" s="109"/>
      <c r="N12" s="101" t="s">
        <v>18</v>
      </c>
      <c r="O12" s="102"/>
      <c r="P12" s="103"/>
      <c r="Q12" s="37">
        <f>SUM(Q11:Q11)</f>
        <v>0</v>
      </c>
      <c r="R12" s="24"/>
      <c r="S12" s="109"/>
      <c r="T12" s="101" t="s">
        <v>18</v>
      </c>
      <c r="U12" s="102"/>
      <c r="V12" s="103"/>
      <c r="W12" s="37">
        <f>SUM(W11:W11)</f>
        <v>0</v>
      </c>
      <c r="X12" s="24"/>
      <c r="Y12" s="109"/>
      <c r="Z12" s="101" t="s">
        <v>18</v>
      </c>
      <c r="AA12" s="102"/>
      <c r="AB12" s="103"/>
      <c r="AC12" s="37">
        <f>SUM(AC11:AC11)</f>
        <v>0</v>
      </c>
    </row>
    <row r="13" spans="1:29" s="25" customFormat="1" ht="16.5" customHeight="1" x14ac:dyDescent="0.3">
      <c r="A13" s="108" t="s">
        <v>19</v>
      </c>
      <c r="B13" s="108"/>
      <c r="C13" s="108"/>
      <c r="D13" s="108"/>
      <c r="E13" s="37">
        <f>E10+E12</f>
        <v>788495000</v>
      </c>
      <c r="G13" s="108" t="s">
        <v>19</v>
      </c>
      <c r="H13" s="108"/>
      <c r="I13" s="108"/>
      <c r="J13" s="108"/>
      <c r="K13" s="37">
        <f>K10+K12</f>
        <v>3696677000</v>
      </c>
      <c r="M13" s="108" t="s">
        <v>19</v>
      </c>
      <c r="N13" s="108"/>
      <c r="O13" s="108"/>
      <c r="P13" s="108"/>
      <c r="Q13" s="37">
        <f>Q10+Q12</f>
        <v>7357354000</v>
      </c>
      <c r="S13" s="108" t="s">
        <v>19</v>
      </c>
      <c r="T13" s="108"/>
      <c r="U13" s="108"/>
      <c r="V13" s="108"/>
      <c r="W13" s="37">
        <f>W10+W12</f>
        <v>15614708000</v>
      </c>
      <c r="Y13" s="108" t="s">
        <v>19</v>
      </c>
      <c r="Z13" s="108"/>
      <c r="AA13" s="108"/>
      <c r="AB13" s="108"/>
      <c r="AC13" s="37">
        <f>AC10+AC12</f>
        <v>30629416000</v>
      </c>
    </row>
    <row r="14" spans="1:29" s="25" customFormat="1" ht="16.5" customHeight="1" x14ac:dyDescent="0.3">
      <c r="A14" s="32"/>
      <c r="B14" s="32"/>
      <c r="C14" s="32"/>
      <c r="D14" s="36"/>
      <c r="E14" s="35"/>
      <c r="G14" s="32"/>
      <c r="H14" s="32"/>
      <c r="I14" s="32"/>
      <c r="J14" s="36"/>
      <c r="K14" s="35"/>
      <c r="M14" s="32"/>
      <c r="N14" s="32"/>
      <c r="O14" s="32"/>
      <c r="P14" s="36"/>
      <c r="Q14" s="35"/>
      <c r="S14" s="32"/>
      <c r="T14" s="32"/>
      <c r="U14" s="32"/>
      <c r="V14" s="36"/>
      <c r="W14" s="35"/>
      <c r="Y14" s="32"/>
      <c r="Z14" s="32"/>
      <c r="AA14" s="32"/>
      <c r="AB14" s="36"/>
      <c r="AC14" s="35"/>
    </row>
    <row r="15" spans="1:29" s="25" customFormat="1" ht="16.5" customHeight="1" x14ac:dyDescent="0.3">
      <c r="A15" s="112" t="s">
        <v>20</v>
      </c>
      <c r="B15" s="112" t="s">
        <v>21</v>
      </c>
      <c r="C15" s="109" t="s">
        <v>10</v>
      </c>
      <c r="D15" s="109"/>
      <c r="E15" s="40" t="s">
        <v>11</v>
      </c>
      <c r="G15" s="112" t="s">
        <v>22</v>
      </c>
      <c r="H15" s="112" t="s">
        <v>21</v>
      </c>
      <c r="I15" s="109" t="s">
        <v>10</v>
      </c>
      <c r="J15" s="109"/>
      <c r="K15" s="40" t="s">
        <v>11</v>
      </c>
      <c r="M15" s="112" t="s">
        <v>23</v>
      </c>
      <c r="N15" s="112" t="s">
        <v>21</v>
      </c>
      <c r="O15" s="109" t="s">
        <v>10</v>
      </c>
      <c r="P15" s="109"/>
      <c r="Q15" s="40" t="s">
        <v>11</v>
      </c>
      <c r="S15" s="112" t="s">
        <v>24</v>
      </c>
      <c r="T15" s="112" t="s">
        <v>21</v>
      </c>
      <c r="U15" s="109" t="s">
        <v>10</v>
      </c>
      <c r="V15" s="109"/>
      <c r="W15" s="40" t="s">
        <v>11</v>
      </c>
      <c r="Y15" s="112" t="s">
        <v>25</v>
      </c>
      <c r="Z15" s="112" t="s">
        <v>21</v>
      </c>
      <c r="AA15" s="109" t="s">
        <v>10</v>
      </c>
      <c r="AB15" s="109"/>
      <c r="AC15" s="40" t="s">
        <v>11</v>
      </c>
    </row>
    <row r="16" spans="1:29" s="25" customFormat="1" ht="16.5" customHeight="1" x14ac:dyDescent="0.3">
      <c r="A16" s="113"/>
      <c r="B16" s="113"/>
      <c r="C16" s="112" t="s">
        <v>26</v>
      </c>
      <c r="D16" s="43" t="s">
        <v>88</v>
      </c>
      <c r="E16" s="42">
        <f>(Variables!$B$12)*Variables!B15</f>
        <v>99000000</v>
      </c>
      <c r="G16" s="113"/>
      <c r="H16" s="113"/>
      <c r="I16" s="112" t="s">
        <v>26</v>
      </c>
      <c r="J16" s="43" t="s">
        <v>88</v>
      </c>
      <c r="K16" s="53">
        <f>((Variables!$B$12+Variables!B70)*Variables!B30+Variables!B68)*Variables!B15</f>
        <v>463500000</v>
      </c>
      <c r="M16" s="113"/>
      <c r="N16" s="113"/>
      <c r="O16" s="112" t="s">
        <v>26</v>
      </c>
      <c r="P16" s="43" t="s">
        <v>88</v>
      </c>
      <c r="Q16" s="53">
        <f>(((Variables!$B$12+(2*Variables!B70))*Variables!B30*Variables!B31+Variables!B68*Variables!B69^2))*Variables!B15</f>
        <v>1062000000</v>
      </c>
      <c r="S16" s="113"/>
      <c r="T16" s="113"/>
      <c r="U16" s="112" t="s">
        <v>26</v>
      </c>
      <c r="V16" s="74" t="s">
        <v>88</v>
      </c>
      <c r="W16" s="53">
        <f>(((Variables!$B$12+(3*Variables!B70))*Variables!B30*Variables!B31^2+Variables!B68*Variables!B69^3))*Variables!B15</f>
        <v>2244000000</v>
      </c>
      <c r="Y16" s="113"/>
      <c r="Z16" s="113"/>
      <c r="AA16" s="112" t="s">
        <v>26</v>
      </c>
      <c r="AB16" s="74" t="s">
        <v>88</v>
      </c>
      <c r="AC16" s="53">
        <f>(((Variables!$B$12+(3*Variables!B70))*Variables!B30*Variables!B31^3+Variables!B68*Variables!B69^4))*Variables!B15</f>
        <v>4488000000</v>
      </c>
    </row>
    <row r="17" spans="1:29" s="25" customFormat="1" ht="16.5" customHeight="1" x14ac:dyDescent="0.3">
      <c r="A17" s="113"/>
      <c r="B17" s="113"/>
      <c r="C17" s="113"/>
      <c r="D17" s="43" t="s">
        <v>127</v>
      </c>
      <c r="E17" s="51">
        <f>Variables!B13*Variables!B65</f>
        <v>328500000</v>
      </c>
      <c r="G17" s="113"/>
      <c r="H17" s="113"/>
      <c r="I17" s="113"/>
      <c r="J17" s="43" t="s">
        <v>127</v>
      </c>
      <c r="K17" s="53">
        <f>(Variables!B65+Variables!B70)*Variables!B13*Variables!B30</f>
        <v>1404000000</v>
      </c>
      <c r="M17" s="113"/>
      <c r="N17" s="113"/>
      <c r="O17" s="113"/>
      <c r="P17" s="43" t="s">
        <v>127</v>
      </c>
      <c r="Q17" s="54">
        <f>(Variables!B65+(2*Variables!B70))*Variables!B13*Variables!B30*Variables!B31</f>
        <v>2988000000</v>
      </c>
      <c r="S17" s="113"/>
      <c r="T17" s="113"/>
      <c r="U17" s="113"/>
      <c r="V17" s="75" t="s">
        <v>127</v>
      </c>
      <c r="W17" s="54">
        <f>(Variables!B65+(3*Variables!B70))*Variables!B13*Variables!B30*Variables!B31^2</f>
        <v>6336000000</v>
      </c>
      <c r="Y17" s="113"/>
      <c r="Z17" s="113"/>
      <c r="AA17" s="113"/>
      <c r="AB17" s="75" t="s">
        <v>127</v>
      </c>
      <c r="AC17" s="54">
        <f>(Variables!B65+(3*Variables!B70))*Variables!B13*Variables!B30*Variables!B31^3</f>
        <v>12672000000</v>
      </c>
    </row>
    <row r="18" spans="1:29" s="25" customFormat="1" ht="16.5" customHeight="1" x14ac:dyDescent="0.3">
      <c r="A18" s="113"/>
      <c r="B18" s="113"/>
      <c r="C18" s="113"/>
      <c r="D18" s="39" t="s">
        <v>128</v>
      </c>
      <c r="E18" s="48">
        <f>Variables!B66*Variables!B14</f>
        <v>5475000</v>
      </c>
      <c r="G18" s="113"/>
      <c r="H18" s="113"/>
      <c r="I18" s="113"/>
      <c r="J18" s="39" t="s">
        <v>128</v>
      </c>
      <c r="K18" s="53">
        <f>Variables!B66*Variables!B14*(1+Variables!B22)*Variables!B30</f>
        <v>25184999.999999996</v>
      </c>
      <c r="M18" s="113"/>
      <c r="N18" s="113"/>
      <c r="O18" s="113"/>
      <c r="P18" s="39" t="s">
        <v>128</v>
      </c>
      <c r="Q18" s="55">
        <f>Variables!B66*Variables!B14*(1+Variables!B22)*Variables!B30*Variables!B31</f>
        <v>50369999.999999993</v>
      </c>
      <c r="S18" s="113"/>
      <c r="T18" s="113"/>
      <c r="U18" s="113"/>
      <c r="V18" s="76" t="s">
        <v>128</v>
      </c>
      <c r="W18" s="55">
        <f>Variables!B66*Variables!B14*(1+Variables!B22)*Variables!B30*Variables!B31^2</f>
        <v>100739999.99999999</v>
      </c>
      <c r="Y18" s="113"/>
      <c r="Z18" s="113"/>
      <c r="AA18" s="113"/>
      <c r="AB18" s="76" t="s">
        <v>128</v>
      </c>
      <c r="AC18" s="55">
        <f>Variables!B66*Variables!B14*(1+Variables!B22)*Variables!B30*Variables!B31^3</f>
        <v>201479999.99999997</v>
      </c>
    </row>
    <row r="19" spans="1:29" s="25" customFormat="1" ht="16.5" customHeight="1" x14ac:dyDescent="0.3">
      <c r="A19" s="113"/>
      <c r="B19" s="113"/>
      <c r="C19" s="113"/>
      <c r="D19" s="39"/>
      <c r="E19" s="48">
        <v>0</v>
      </c>
      <c r="G19" s="113"/>
      <c r="H19" s="113"/>
      <c r="I19" s="113"/>
      <c r="J19" s="39" t="s">
        <v>178</v>
      </c>
      <c r="K19" s="48">
        <f>Variables!$B$30*Variables!$B$52</f>
        <v>600000000</v>
      </c>
      <c r="M19" s="113"/>
      <c r="N19" s="113"/>
      <c r="O19" s="113"/>
      <c r="P19" s="52"/>
      <c r="Q19" s="48">
        <v>0</v>
      </c>
      <c r="S19" s="113"/>
      <c r="T19" s="113"/>
      <c r="U19" s="113"/>
      <c r="V19" s="39"/>
      <c r="W19" s="48">
        <v>0</v>
      </c>
      <c r="Y19" s="113"/>
      <c r="Z19" s="113"/>
      <c r="AA19" s="113"/>
      <c r="AB19" s="39"/>
      <c r="AC19" s="48">
        <v>0</v>
      </c>
    </row>
    <row r="20" spans="1:29" s="25" customFormat="1" ht="16.5" customHeight="1" x14ac:dyDescent="0.3">
      <c r="A20" s="113"/>
      <c r="B20" s="113"/>
      <c r="C20" s="113"/>
      <c r="D20" s="39"/>
      <c r="E20" s="34">
        <v>0</v>
      </c>
      <c r="G20" s="113"/>
      <c r="H20" s="113"/>
      <c r="I20" s="113"/>
      <c r="J20" s="39"/>
      <c r="K20" s="34">
        <v>0</v>
      </c>
      <c r="M20" s="113"/>
      <c r="N20" s="113"/>
      <c r="O20" s="113"/>
      <c r="P20" s="52"/>
      <c r="Q20" s="34">
        <v>0</v>
      </c>
      <c r="S20" s="113"/>
      <c r="T20" s="113"/>
      <c r="U20" s="113"/>
      <c r="V20" s="39"/>
      <c r="W20" s="34">
        <v>0</v>
      </c>
      <c r="Y20" s="113"/>
      <c r="Z20" s="113"/>
      <c r="AA20" s="113"/>
      <c r="AB20" s="39"/>
      <c r="AC20" s="34">
        <v>0</v>
      </c>
    </row>
    <row r="21" spans="1:29" s="25" customFormat="1" ht="16.5" customHeight="1" x14ac:dyDescent="0.3">
      <c r="A21" s="113"/>
      <c r="B21" s="113"/>
      <c r="C21" s="113"/>
      <c r="D21" s="39"/>
      <c r="E21" s="34">
        <v>0</v>
      </c>
      <c r="G21" s="113"/>
      <c r="H21" s="113"/>
      <c r="I21" s="113"/>
      <c r="J21" s="39"/>
      <c r="K21" s="34">
        <v>0</v>
      </c>
      <c r="M21" s="113"/>
      <c r="N21" s="113"/>
      <c r="O21" s="113"/>
      <c r="P21" s="39"/>
      <c r="Q21" s="34">
        <v>0</v>
      </c>
      <c r="S21" s="113"/>
      <c r="T21" s="113"/>
      <c r="U21" s="113"/>
      <c r="V21" s="39"/>
      <c r="W21" s="34">
        <v>0</v>
      </c>
      <c r="Y21" s="113"/>
      <c r="Z21" s="113"/>
      <c r="AA21" s="113"/>
      <c r="AB21" s="39"/>
      <c r="AC21" s="34">
        <v>0</v>
      </c>
    </row>
    <row r="22" spans="1:29" s="25" customFormat="1" ht="16.5" customHeight="1" x14ac:dyDescent="0.3">
      <c r="A22" s="113"/>
      <c r="B22" s="113"/>
      <c r="C22" s="114"/>
      <c r="D22" s="39"/>
      <c r="E22" s="34">
        <v>0</v>
      </c>
      <c r="G22" s="113"/>
      <c r="H22" s="113"/>
      <c r="I22" s="114"/>
      <c r="J22" s="39"/>
      <c r="K22" s="34">
        <v>0</v>
      </c>
      <c r="M22" s="113"/>
      <c r="N22" s="113"/>
      <c r="O22" s="114"/>
      <c r="P22" s="39"/>
      <c r="Q22" s="34">
        <v>0</v>
      </c>
      <c r="S22" s="113"/>
      <c r="T22" s="113"/>
      <c r="U22" s="114"/>
      <c r="V22" s="39"/>
      <c r="W22" s="34">
        <v>0</v>
      </c>
      <c r="Y22" s="113"/>
      <c r="Z22" s="113"/>
      <c r="AA22" s="114"/>
      <c r="AB22" s="39"/>
      <c r="AC22" s="34">
        <v>0</v>
      </c>
    </row>
    <row r="23" spans="1:29" s="25" customFormat="1" ht="16.5" customHeight="1" x14ac:dyDescent="0.3">
      <c r="A23" s="113"/>
      <c r="B23" s="113"/>
      <c r="C23" s="101" t="s">
        <v>28</v>
      </c>
      <c r="D23" s="103"/>
      <c r="E23" s="37">
        <f>SUM(E16:E22)</f>
        <v>432975000</v>
      </c>
      <c r="G23" s="113"/>
      <c r="H23" s="113"/>
      <c r="I23" s="101" t="s">
        <v>28</v>
      </c>
      <c r="J23" s="103"/>
      <c r="K23" s="37">
        <f>SUM(K16:K22)</f>
        <v>2492685000</v>
      </c>
      <c r="M23" s="113"/>
      <c r="N23" s="113"/>
      <c r="O23" s="101" t="s">
        <v>28</v>
      </c>
      <c r="P23" s="103"/>
      <c r="Q23" s="37">
        <f>SUM(Q16:Q22)</f>
        <v>4100370000</v>
      </c>
      <c r="S23" s="113"/>
      <c r="T23" s="113"/>
      <c r="U23" s="101" t="s">
        <v>28</v>
      </c>
      <c r="V23" s="103"/>
      <c r="W23" s="37">
        <f>SUM(W16:W22)</f>
        <v>8680740000</v>
      </c>
      <c r="Y23" s="113"/>
      <c r="Z23" s="113"/>
      <c r="AA23" s="101" t="s">
        <v>28</v>
      </c>
      <c r="AB23" s="103"/>
      <c r="AC23" s="37">
        <f>SUM(AC16:AC22)</f>
        <v>17361480000</v>
      </c>
    </row>
    <row r="24" spans="1:29" s="25" customFormat="1" ht="16.5" customHeight="1" x14ac:dyDescent="0.3">
      <c r="A24" s="113"/>
      <c r="B24" s="113"/>
      <c r="C24" s="112" t="s">
        <v>29</v>
      </c>
      <c r="D24" s="81" t="s">
        <v>91</v>
      </c>
      <c r="E24" s="42">
        <f>Variables!B40</f>
        <v>16800000</v>
      </c>
      <c r="G24" s="113"/>
      <c r="H24" s="113"/>
      <c r="I24" s="112" t="s">
        <v>29</v>
      </c>
      <c r="J24" s="81" t="s">
        <v>91</v>
      </c>
      <c r="K24" s="42">
        <f>Variables!$B$40*Variables!$B$30*Variables!$B$31^0</f>
        <v>67200000</v>
      </c>
      <c r="M24" s="113"/>
      <c r="N24" s="113"/>
      <c r="O24" s="112" t="s">
        <v>29</v>
      </c>
      <c r="P24" s="81" t="s">
        <v>91</v>
      </c>
      <c r="Q24" s="42">
        <f>Variables!$B$40*Variables!$B$30*Variables!$B$31^1</f>
        <v>134400000</v>
      </c>
      <c r="S24" s="113"/>
      <c r="T24" s="113"/>
      <c r="U24" s="112" t="s">
        <v>29</v>
      </c>
      <c r="V24" s="81" t="s">
        <v>91</v>
      </c>
      <c r="W24" s="42">
        <f>Variables!$B$40*Variables!$B$30*Variables!$B$31^2</f>
        <v>268800000</v>
      </c>
      <c r="Y24" s="113"/>
      <c r="Z24" s="113"/>
      <c r="AA24" s="112" t="s">
        <v>29</v>
      </c>
      <c r="AB24" s="81" t="s">
        <v>91</v>
      </c>
      <c r="AC24" s="42">
        <f>Variables!$B$40*Variables!$B$30*Variables!$B$31^3</f>
        <v>537600000</v>
      </c>
    </row>
    <row r="25" spans="1:29" s="25" customFormat="1" ht="16.5" customHeight="1" x14ac:dyDescent="0.3">
      <c r="A25" s="113"/>
      <c r="B25" s="113"/>
      <c r="C25" s="113"/>
      <c r="D25" s="82" t="s">
        <v>89</v>
      </c>
      <c r="E25" s="34">
        <f>Variables!$B$38*Variables!$B$36+Variables!B37</f>
        <v>65800000</v>
      </c>
      <c r="G25" s="113"/>
      <c r="H25" s="113"/>
      <c r="I25" s="113"/>
      <c r="J25" s="82" t="s">
        <v>89</v>
      </c>
      <c r="K25" s="34">
        <f>Variables!$B$36*Variables!$B$38*Variables!$B$30*Variables!$B$31^0+Variables!$B$37*Variables!$B$30*Variables!$B$31^0</f>
        <v>263200000</v>
      </c>
      <c r="M25" s="113"/>
      <c r="N25" s="113"/>
      <c r="O25" s="113"/>
      <c r="P25" s="82" t="s">
        <v>89</v>
      </c>
      <c r="Q25" s="34">
        <f>Variables!$B$36*Variables!$B$38*Variables!$B$30*Variables!$B$31^1+Variables!$B$37*Variables!$B$30*Variables!$B$31^1</f>
        <v>526400000</v>
      </c>
      <c r="S25" s="113"/>
      <c r="T25" s="113"/>
      <c r="U25" s="113"/>
      <c r="V25" s="82" t="s">
        <v>89</v>
      </c>
      <c r="W25" s="34">
        <f>Variables!$B$36*Variables!$B$38*Variables!$B$30*Variables!$B$31^2+Variables!$B$37*Variables!$B$30*Variables!$B$31^2</f>
        <v>1052800000</v>
      </c>
      <c r="Y25" s="113"/>
      <c r="Z25" s="113"/>
      <c r="AA25" s="113"/>
      <c r="AB25" s="82" t="s">
        <v>89</v>
      </c>
      <c r="AC25" s="34">
        <f>Variables!$B$36*Variables!$B$38*Variables!$B$30*Variables!$B$31^3+Variables!$B$37*Variables!$B$30*Variables!$B$31^3</f>
        <v>2105600000</v>
      </c>
    </row>
    <row r="26" spans="1:29" s="25" customFormat="1" ht="16.5" customHeight="1" x14ac:dyDescent="0.3">
      <c r="A26" s="113"/>
      <c r="B26" s="113"/>
      <c r="C26" s="113"/>
      <c r="D26" s="81" t="s">
        <v>90</v>
      </c>
      <c r="E26" s="42">
        <f>Variables!B39</f>
        <v>36000000</v>
      </c>
      <c r="G26" s="113"/>
      <c r="H26" s="113"/>
      <c r="I26" s="113"/>
      <c r="J26" s="81" t="s">
        <v>90</v>
      </c>
      <c r="K26" s="34">
        <f>Variables!$B$39*Variables!$B$30*Variables!$B$31^0</f>
        <v>144000000</v>
      </c>
      <c r="M26" s="113"/>
      <c r="N26" s="113"/>
      <c r="O26" s="113"/>
      <c r="P26" s="81" t="s">
        <v>90</v>
      </c>
      <c r="Q26" s="34">
        <f>Variables!$B$39*Variables!$B$30*Variables!$B$31^1</f>
        <v>288000000</v>
      </c>
      <c r="S26" s="113"/>
      <c r="T26" s="113"/>
      <c r="U26" s="113"/>
      <c r="V26" s="81" t="s">
        <v>90</v>
      </c>
      <c r="W26" s="34">
        <f>Variables!$B$39*Variables!$B$30*Variables!$B$31^2</f>
        <v>576000000</v>
      </c>
      <c r="Y26" s="113"/>
      <c r="Z26" s="113"/>
      <c r="AA26" s="113"/>
      <c r="AB26" s="81" t="s">
        <v>90</v>
      </c>
      <c r="AC26" s="34">
        <f>Variables!$B$39*Variables!$B$30*Variables!$B$31^3</f>
        <v>1152000000</v>
      </c>
    </row>
    <row r="27" spans="1:29" s="25" customFormat="1" ht="16.5" customHeight="1" x14ac:dyDescent="0.3">
      <c r="A27" s="113"/>
      <c r="B27" s="113"/>
      <c r="C27" s="113"/>
      <c r="D27" s="82" t="s">
        <v>27</v>
      </c>
      <c r="E27" s="34">
        <f>Variables!B51</f>
        <v>2160000</v>
      </c>
      <c r="G27" s="113"/>
      <c r="H27" s="113"/>
      <c r="I27" s="113"/>
      <c r="J27" s="81" t="s">
        <v>148</v>
      </c>
      <c r="K27" s="34">
        <f>Variables!$B$41</f>
        <v>60000000</v>
      </c>
      <c r="M27" s="113"/>
      <c r="N27" s="113"/>
      <c r="O27" s="113"/>
      <c r="P27" s="81" t="s">
        <v>148</v>
      </c>
      <c r="Q27" s="34">
        <f>Variables!$B$41+Variables!$B$46</f>
        <v>63000000</v>
      </c>
      <c r="S27" s="113"/>
      <c r="T27" s="113"/>
      <c r="U27" s="113"/>
      <c r="V27" s="81" t="s">
        <v>148</v>
      </c>
      <c r="W27" s="34">
        <f>Variables!$B$41+Variables!$B$46</f>
        <v>63000000</v>
      </c>
      <c r="Y27" s="113"/>
      <c r="Z27" s="113"/>
      <c r="AA27" s="113"/>
      <c r="AB27" s="81" t="s">
        <v>148</v>
      </c>
      <c r="AC27" s="34">
        <f>Variables!$B$41+Variables!$B$46*2</f>
        <v>66000000</v>
      </c>
    </row>
    <row r="28" spans="1:29" s="25" customFormat="1" ht="16.5" customHeight="1" x14ac:dyDescent="0.3">
      <c r="A28" s="113"/>
      <c r="B28" s="113"/>
      <c r="C28" s="113"/>
      <c r="D28" s="83" t="s">
        <v>102</v>
      </c>
      <c r="E28" s="71">
        <f>Variables!$B$48</f>
        <v>43800000</v>
      </c>
      <c r="G28" s="113"/>
      <c r="H28" s="113"/>
      <c r="I28" s="113"/>
      <c r="J28" s="81" t="s">
        <v>150</v>
      </c>
      <c r="K28" s="34">
        <f>Variables!$B$42</f>
        <v>84000000</v>
      </c>
      <c r="M28" s="113"/>
      <c r="N28" s="113"/>
      <c r="O28" s="113"/>
      <c r="P28" s="81" t="s">
        <v>150</v>
      </c>
      <c r="Q28" s="34">
        <f>Variables!$B$42+Variables!$B$46</f>
        <v>87000000</v>
      </c>
      <c r="S28" s="113"/>
      <c r="T28" s="113"/>
      <c r="U28" s="113"/>
      <c r="V28" s="81" t="s">
        <v>150</v>
      </c>
      <c r="W28" s="34">
        <f>Variables!$B$42+Variables!$B$46</f>
        <v>87000000</v>
      </c>
      <c r="Y28" s="113"/>
      <c r="Z28" s="113"/>
      <c r="AA28" s="113"/>
      <c r="AB28" s="81" t="s">
        <v>150</v>
      </c>
      <c r="AC28" s="34">
        <f>Variables!$B$42+Variables!$B$46*2</f>
        <v>90000000</v>
      </c>
    </row>
    <row r="29" spans="1:29" s="25" customFormat="1" ht="16.5" customHeight="1" x14ac:dyDescent="0.3">
      <c r="A29" s="113"/>
      <c r="B29" s="113"/>
      <c r="C29" s="113"/>
      <c r="D29" s="83" t="s">
        <v>136</v>
      </c>
      <c r="E29" s="71">
        <f>Variables!$B$49</f>
        <v>60000000</v>
      </c>
      <c r="G29" s="113"/>
      <c r="H29" s="113"/>
      <c r="I29" s="113"/>
      <c r="J29" s="81" t="s">
        <v>149</v>
      </c>
      <c r="K29" s="34">
        <f>Variables!$B$43</f>
        <v>120000000</v>
      </c>
      <c r="M29" s="113"/>
      <c r="N29" s="113"/>
      <c r="O29" s="113"/>
      <c r="P29" s="81" t="s">
        <v>149</v>
      </c>
      <c r="Q29" s="34">
        <f>Variables!$B$43+Variables!$B$46</f>
        <v>123000000</v>
      </c>
      <c r="S29" s="113"/>
      <c r="T29" s="113"/>
      <c r="U29" s="113"/>
      <c r="V29" s="81" t="s">
        <v>149</v>
      </c>
      <c r="W29" s="34">
        <f>Variables!$B$43+Variables!$B$46</f>
        <v>123000000</v>
      </c>
      <c r="Y29" s="113"/>
      <c r="Z29" s="113"/>
      <c r="AA29" s="113"/>
      <c r="AB29" s="81" t="s">
        <v>149</v>
      </c>
      <c r="AC29" s="34">
        <f>Variables!$B$43+Variables!$B$46*2</f>
        <v>126000000</v>
      </c>
    </row>
    <row r="30" spans="1:29" s="25" customFormat="1" ht="16.5" customHeight="1" x14ac:dyDescent="0.3">
      <c r="A30" s="113"/>
      <c r="B30" s="113"/>
      <c r="C30" s="113"/>
      <c r="D30" s="81" t="s">
        <v>137</v>
      </c>
      <c r="E30" s="80">
        <f>Variables!$B$50</f>
        <v>36000000</v>
      </c>
      <c r="G30" s="113"/>
      <c r="H30" s="113"/>
      <c r="I30" s="113"/>
      <c r="J30" s="81" t="s">
        <v>170</v>
      </c>
      <c r="K30" s="34">
        <f>Variables!$B$44</f>
        <v>108000000</v>
      </c>
      <c r="M30" s="113"/>
      <c r="N30" s="113"/>
      <c r="O30" s="113"/>
      <c r="P30" s="81" t="s">
        <v>170</v>
      </c>
      <c r="Q30" s="34">
        <f>Variables!$B$44+Variables!$B$46</f>
        <v>111000000</v>
      </c>
      <c r="S30" s="113"/>
      <c r="T30" s="113"/>
      <c r="U30" s="113"/>
      <c r="V30" s="81" t="s">
        <v>170</v>
      </c>
      <c r="W30" s="34">
        <f>Variables!$B$44+Variables!$B$46</f>
        <v>111000000</v>
      </c>
      <c r="Y30" s="113"/>
      <c r="Z30" s="113"/>
      <c r="AA30" s="113"/>
      <c r="AB30" s="81" t="s">
        <v>170</v>
      </c>
      <c r="AC30" s="34">
        <f>Variables!$B$44+Variables!$B$46*2</f>
        <v>114000000</v>
      </c>
    </row>
    <row r="31" spans="1:29" s="25" customFormat="1" ht="16.5" customHeight="1" x14ac:dyDescent="0.3">
      <c r="A31" s="113"/>
      <c r="B31" s="113"/>
      <c r="C31" s="113"/>
      <c r="D31" s="81" t="s">
        <v>165</v>
      </c>
      <c r="E31" s="80">
        <f>Variables!B27</f>
        <v>600000</v>
      </c>
      <c r="G31" s="113"/>
      <c r="H31" s="113"/>
      <c r="I31" s="113"/>
      <c r="J31" s="81" t="s">
        <v>152</v>
      </c>
      <c r="K31" s="34">
        <f>Variables!$B$45</f>
        <v>192000000</v>
      </c>
      <c r="M31" s="113"/>
      <c r="N31" s="113"/>
      <c r="O31" s="113"/>
      <c r="P31" s="81" t="s">
        <v>152</v>
      </c>
      <c r="Q31" s="34">
        <f>Variables!$B$45+Variables!$B$46</f>
        <v>195000000</v>
      </c>
      <c r="S31" s="113"/>
      <c r="T31" s="113"/>
      <c r="U31" s="113"/>
      <c r="V31" s="81" t="s">
        <v>152</v>
      </c>
      <c r="W31" s="34">
        <f>Variables!$B$45+Variables!$B$46</f>
        <v>195000000</v>
      </c>
      <c r="Y31" s="113"/>
      <c r="Z31" s="113"/>
      <c r="AA31" s="113"/>
      <c r="AB31" s="81" t="s">
        <v>152</v>
      </c>
      <c r="AC31" s="34">
        <f>Variables!$B$45+Variables!$B$46*2</f>
        <v>198000000</v>
      </c>
    </row>
    <row r="32" spans="1:29" s="25" customFormat="1" ht="16.5" customHeight="1" x14ac:dyDescent="0.3">
      <c r="A32" s="113"/>
      <c r="B32" s="113"/>
      <c r="C32" s="113"/>
      <c r="D32" s="81" t="s">
        <v>167</v>
      </c>
      <c r="E32" s="80">
        <f>Variables!B29</f>
        <v>5000000</v>
      </c>
      <c r="G32" s="113"/>
      <c r="H32" s="113"/>
      <c r="I32" s="113"/>
      <c r="J32" s="82" t="s">
        <v>27</v>
      </c>
      <c r="K32" s="42">
        <f>Variables!$B$51*Variables!$B$30*Variables!$B$31^0</f>
        <v>8640000</v>
      </c>
      <c r="M32" s="113"/>
      <c r="N32" s="113"/>
      <c r="O32" s="113"/>
      <c r="P32" s="82" t="s">
        <v>27</v>
      </c>
      <c r="Q32" s="42">
        <f>Variables!$B$51*Variables!$B$30*Variables!$B$31^1</f>
        <v>17280000</v>
      </c>
      <c r="S32" s="113"/>
      <c r="T32" s="113"/>
      <c r="U32" s="113"/>
      <c r="V32" s="82" t="s">
        <v>27</v>
      </c>
      <c r="W32" s="42">
        <f>Variables!$B$51*Variables!$B$30*Variables!$B$31^2</f>
        <v>34560000</v>
      </c>
      <c r="Y32" s="113"/>
      <c r="Z32" s="113"/>
      <c r="AA32" s="113"/>
      <c r="AB32" s="82" t="s">
        <v>27</v>
      </c>
      <c r="AC32" s="42" t="s">
        <v>177</v>
      </c>
    </row>
    <row r="33" spans="1:29" s="25" customFormat="1" ht="16.5" customHeight="1" x14ac:dyDescent="0.3">
      <c r="A33" s="113"/>
      <c r="B33" s="113"/>
      <c r="C33" s="113"/>
      <c r="D33" s="43" t="s">
        <v>138</v>
      </c>
      <c r="E33" s="80">
        <f>Variables!B20</f>
        <v>7500000</v>
      </c>
      <c r="G33" s="113"/>
      <c r="H33" s="113"/>
      <c r="I33" s="113"/>
      <c r="J33" s="83" t="s">
        <v>102</v>
      </c>
      <c r="K33" s="34">
        <f>Variables!$B$48*Variables!$B$30*Variables!$B$31^0</f>
        <v>175200000</v>
      </c>
      <c r="M33" s="113"/>
      <c r="N33" s="113"/>
      <c r="O33" s="113"/>
      <c r="P33" s="83" t="s">
        <v>102</v>
      </c>
      <c r="Q33" s="34">
        <f>Variables!$B$48*Variables!$B$30*Variables!$B$31^1</f>
        <v>350400000</v>
      </c>
      <c r="S33" s="113"/>
      <c r="T33" s="113"/>
      <c r="U33" s="113"/>
      <c r="V33" s="83" t="s">
        <v>102</v>
      </c>
      <c r="W33" s="34">
        <f>Variables!$B$48*Variables!$B$30*Variables!$B$31^2</f>
        <v>700800000</v>
      </c>
      <c r="Y33" s="113"/>
      <c r="Z33" s="113"/>
      <c r="AA33" s="113"/>
      <c r="AB33" s="83" t="s">
        <v>102</v>
      </c>
      <c r="AC33" s="34">
        <f>Variables!$B$48*Variables!$B$30*Variables!$B$31^3</f>
        <v>1401600000</v>
      </c>
    </row>
    <row r="34" spans="1:29" s="25" customFormat="1" ht="16.5" customHeight="1" x14ac:dyDescent="0.3">
      <c r="A34" s="113"/>
      <c r="B34" s="113"/>
      <c r="C34" s="113"/>
      <c r="D34" s="43" t="s">
        <v>139</v>
      </c>
      <c r="E34" s="80">
        <f>Variables!B21*Variables!B19</f>
        <v>3000000</v>
      </c>
      <c r="G34" s="113"/>
      <c r="H34" s="113"/>
      <c r="I34" s="113"/>
      <c r="J34" s="83" t="s">
        <v>136</v>
      </c>
      <c r="K34" s="71">
        <f>Variables!$B$49*Variables!$B$30*Variables!$B$31^0</f>
        <v>240000000</v>
      </c>
      <c r="M34" s="113"/>
      <c r="N34" s="113"/>
      <c r="O34" s="113"/>
      <c r="P34" s="83" t="s">
        <v>136</v>
      </c>
      <c r="Q34" s="71">
        <f>Variables!$B$49*Variables!$B$30*Variables!$B$31^1</f>
        <v>480000000</v>
      </c>
      <c r="S34" s="113"/>
      <c r="T34" s="113"/>
      <c r="U34" s="113"/>
      <c r="V34" s="83" t="s">
        <v>136</v>
      </c>
      <c r="W34" s="71">
        <f>Variables!$B$49*Variables!$B$30*Variables!$B$31^2</f>
        <v>960000000</v>
      </c>
      <c r="Y34" s="113"/>
      <c r="Z34" s="113"/>
      <c r="AA34" s="113"/>
      <c r="AB34" s="83" t="s">
        <v>136</v>
      </c>
      <c r="AC34" s="71">
        <f>Variables!$B$49*Variables!$B$30*Variables!$B$31^3</f>
        <v>1920000000</v>
      </c>
    </row>
    <row r="35" spans="1:29" s="25" customFormat="1" ht="16.5" customHeight="1" x14ac:dyDescent="0.3">
      <c r="A35" s="113"/>
      <c r="B35" s="113"/>
      <c r="C35" s="113"/>
      <c r="D35" s="43"/>
      <c r="E35" s="80"/>
      <c r="G35" s="113"/>
      <c r="H35" s="113"/>
      <c r="I35" s="113"/>
      <c r="J35" s="81" t="s">
        <v>137</v>
      </c>
      <c r="K35" s="80">
        <f>Variables!$B$50*Variables!$B$30*Variables!$B$31^0</f>
        <v>144000000</v>
      </c>
      <c r="M35" s="113"/>
      <c r="N35" s="113"/>
      <c r="O35" s="113"/>
      <c r="P35" s="81" t="s">
        <v>137</v>
      </c>
      <c r="Q35" s="80">
        <f>Variables!$B$50*Variables!$B$30*Variables!$B$31^1</f>
        <v>288000000</v>
      </c>
      <c r="S35" s="113"/>
      <c r="T35" s="113"/>
      <c r="U35" s="113"/>
      <c r="V35" s="81" t="s">
        <v>137</v>
      </c>
      <c r="W35" s="80">
        <f>Variables!$B$50*Variables!$B$30*Variables!$B$31^2</f>
        <v>576000000</v>
      </c>
      <c r="Y35" s="113"/>
      <c r="Z35" s="113"/>
      <c r="AA35" s="113"/>
      <c r="AB35" s="81" t="s">
        <v>137</v>
      </c>
      <c r="AC35" s="80">
        <f>Variables!$B$50*Variables!$B$30*Variables!$B$31^3</f>
        <v>1152000000</v>
      </c>
    </row>
    <row r="36" spans="1:29" s="25" customFormat="1" ht="16.5" customHeight="1" x14ac:dyDescent="0.3">
      <c r="A36" s="113"/>
      <c r="B36" s="113"/>
      <c r="C36" s="113"/>
      <c r="D36" s="43"/>
      <c r="E36" s="80"/>
      <c r="G36" s="113"/>
      <c r="H36" s="113"/>
      <c r="I36" s="113"/>
      <c r="J36" s="81" t="s">
        <v>168</v>
      </c>
      <c r="K36" s="80">
        <f>Variables!$B$30*Variables!$B$52</f>
        <v>600000000</v>
      </c>
      <c r="M36" s="113"/>
      <c r="N36" s="113"/>
      <c r="O36" s="113"/>
      <c r="P36" s="81" t="s">
        <v>168</v>
      </c>
      <c r="Q36" s="80">
        <f>Variables!$B$30*Variables!$B$52*Variables!$B$31^0</f>
        <v>600000000</v>
      </c>
      <c r="S36" s="113"/>
      <c r="T36" s="113"/>
      <c r="U36" s="113"/>
      <c r="V36" s="81" t="s">
        <v>168</v>
      </c>
      <c r="W36" s="80">
        <f>Variables!$B$30*Variables!$B$52*Variables!$B$31^1</f>
        <v>1200000000</v>
      </c>
      <c r="Y36" s="113"/>
      <c r="Z36" s="113"/>
      <c r="AA36" s="113"/>
      <c r="AB36" s="81" t="s">
        <v>168</v>
      </c>
      <c r="AC36" s="80">
        <f>Variables!$B$30*Variables!$B$52*Variables!$B$31^2</f>
        <v>2400000000</v>
      </c>
    </row>
    <row r="37" spans="1:29" s="25" customFormat="1" ht="16.5" customHeight="1" x14ac:dyDescent="0.3">
      <c r="A37" s="113"/>
      <c r="B37" s="113"/>
      <c r="C37" s="113"/>
      <c r="D37" s="43"/>
      <c r="E37" s="80"/>
      <c r="G37" s="113"/>
      <c r="H37" s="113"/>
      <c r="I37" s="113"/>
      <c r="J37" s="81" t="s">
        <v>169</v>
      </c>
      <c r="K37" s="80">
        <f>Variables!$B$32+Variables!$B$33</f>
        <v>260000000</v>
      </c>
      <c r="M37" s="113"/>
      <c r="N37" s="113"/>
      <c r="O37" s="113"/>
      <c r="P37" s="81" t="s">
        <v>175</v>
      </c>
      <c r="Q37" s="80">
        <f>Variables!$B$33</f>
        <v>10000000</v>
      </c>
      <c r="S37" s="113"/>
      <c r="T37" s="113"/>
      <c r="U37" s="113"/>
      <c r="V37" s="81" t="s">
        <v>175</v>
      </c>
      <c r="W37" s="80">
        <f>Variables!$B$33</f>
        <v>10000000</v>
      </c>
      <c r="Y37" s="113"/>
      <c r="Z37" s="113"/>
      <c r="AA37" s="113"/>
      <c r="AB37" s="81" t="s">
        <v>175</v>
      </c>
      <c r="AC37" s="80">
        <f>Variables!$B$33</f>
        <v>10000000</v>
      </c>
    </row>
    <row r="38" spans="1:29" s="25" customFormat="1" ht="16.5" customHeight="1" x14ac:dyDescent="0.3">
      <c r="A38" s="113"/>
      <c r="B38" s="113"/>
      <c r="C38" s="113"/>
      <c r="D38" s="43"/>
      <c r="E38" s="80"/>
      <c r="G38" s="113"/>
      <c r="H38" s="113"/>
      <c r="I38" s="113"/>
      <c r="J38" s="81"/>
      <c r="K38" s="80"/>
      <c r="M38" s="113"/>
      <c r="N38" s="113"/>
      <c r="O38" s="113"/>
      <c r="P38" s="43"/>
      <c r="Q38" s="43"/>
      <c r="S38" s="113"/>
      <c r="T38" s="113"/>
      <c r="U38" s="113"/>
      <c r="V38" s="82"/>
      <c r="W38" s="56"/>
      <c r="Y38" s="113"/>
      <c r="Z38" s="113"/>
      <c r="AA38" s="113"/>
      <c r="AB38" s="82"/>
      <c r="AC38" s="56"/>
    </row>
    <row r="39" spans="1:29" s="25" customFormat="1" ht="16.5" customHeight="1" x14ac:dyDescent="0.3">
      <c r="A39" s="113"/>
      <c r="B39" s="113"/>
      <c r="C39" s="114"/>
      <c r="D39" s="43"/>
      <c r="E39" s="80"/>
      <c r="G39" s="113"/>
      <c r="H39" s="113"/>
      <c r="I39" s="114"/>
      <c r="J39" s="81"/>
      <c r="K39" s="80"/>
      <c r="M39" s="113"/>
      <c r="N39" s="113"/>
      <c r="O39" s="114"/>
      <c r="P39" s="43"/>
      <c r="Q39" s="43"/>
      <c r="S39" s="113"/>
      <c r="T39" s="113"/>
      <c r="U39" s="114"/>
      <c r="V39" s="82"/>
      <c r="W39" s="56"/>
      <c r="Y39" s="113"/>
      <c r="Z39" s="113"/>
      <c r="AA39" s="114"/>
      <c r="AB39" s="82"/>
      <c r="AC39" s="56"/>
    </row>
    <row r="40" spans="1:29" s="25" customFormat="1" ht="16.5" customHeight="1" x14ac:dyDescent="0.3">
      <c r="A40" s="113"/>
      <c r="B40" s="114"/>
      <c r="C40" s="101" t="s">
        <v>30</v>
      </c>
      <c r="D40" s="116"/>
      <c r="E40" s="72">
        <f>SUM(E24:E34)</f>
        <v>276660000</v>
      </c>
      <c r="G40" s="113"/>
      <c r="H40" s="114"/>
      <c r="I40" s="101" t="s">
        <v>30</v>
      </c>
      <c r="J40" s="103"/>
      <c r="K40" s="37">
        <f>SUM(K24:K39)</f>
        <v>2466240000</v>
      </c>
      <c r="M40" s="113"/>
      <c r="N40" s="114"/>
      <c r="O40" s="101" t="s">
        <v>30</v>
      </c>
      <c r="P40" s="115"/>
      <c r="Q40" s="37">
        <f>SUM(Q24:Q39)</f>
        <v>3273480000</v>
      </c>
      <c r="S40" s="113"/>
      <c r="T40" s="114"/>
      <c r="U40" s="101" t="s">
        <v>30</v>
      </c>
      <c r="V40" s="103"/>
      <c r="W40" s="37">
        <f>SUM(W24:W39)</f>
        <v>5957960000</v>
      </c>
      <c r="Y40" s="113"/>
      <c r="Z40" s="114"/>
      <c r="AA40" s="101" t="s">
        <v>30</v>
      </c>
      <c r="AB40" s="103"/>
      <c r="AC40" s="37">
        <f>SUM(AC24:AC39)</f>
        <v>11272800000</v>
      </c>
    </row>
    <row r="41" spans="1:29" s="25" customFormat="1" ht="16.5" customHeight="1" x14ac:dyDescent="0.3">
      <c r="A41" s="113"/>
      <c r="B41" s="101" t="s">
        <v>31</v>
      </c>
      <c r="C41" s="102"/>
      <c r="D41" s="103"/>
      <c r="E41" s="37">
        <f>E23+E40</f>
        <v>709635000</v>
      </c>
      <c r="G41" s="113"/>
      <c r="H41" s="101" t="s">
        <v>31</v>
      </c>
      <c r="I41" s="102"/>
      <c r="J41" s="103"/>
      <c r="K41" s="37">
        <f>K23+K40</f>
        <v>4958925000</v>
      </c>
      <c r="M41" s="113"/>
      <c r="N41" s="101" t="s">
        <v>31</v>
      </c>
      <c r="O41" s="102"/>
      <c r="P41" s="103"/>
      <c r="Q41" s="37">
        <f>Q23+Q40</f>
        <v>7373850000</v>
      </c>
      <c r="S41" s="113"/>
      <c r="T41" s="101" t="s">
        <v>31</v>
      </c>
      <c r="U41" s="102"/>
      <c r="V41" s="103"/>
      <c r="W41" s="37">
        <f>W23+W40</f>
        <v>14638700000</v>
      </c>
      <c r="Y41" s="113"/>
      <c r="Z41" s="101" t="s">
        <v>31</v>
      </c>
      <c r="AA41" s="102"/>
      <c r="AB41" s="103"/>
      <c r="AC41" s="37">
        <f>AC23+AC40</f>
        <v>28634280000</v>
      </c>
    </row>
    <row r="42" spans="1:29" s="25" customFormat="1" ht="16.5" customHeight="1" x14ac:dyDescent="0.3">
      <c r="A42" s="113"/>
      <c r="B42" s="104" t="s">
        <v>32</v>
      </c>
      <c r="C42" s="105"/>
      <c r="D42" s="39" t="s">
        <v>86</v>
      </c>
      <c r="E42" s="34">
        <v>0</v>
      </c>
      <c r="G42" s="113"/>
      <c r="H42" s="104" t="s">
        <v>32</v>
      </c>
      <c r="I42" s="105"/>
      <c r="J42" s="39"/>
      <c r="K42" s="34">
        <v>0</v>
      </c>
      <c r="M42" s="113"/>
      <c r="N42" s="104" t="s">
        <v>32</v>
      </c>
      <c r="O42" s="105"/>
      <c r="P42" s="39"/>
      <c r="Q42" s="34">
        <v>0</v>
      </c>
      <c r="S42" s="113"/>
      <c r="T42" s="104" t="s">
        <v>32</v>
      </c>
      <c r="U42" s="105"/>
      <c r="V42" s="39"/>
      <c r="W42" s="34">
        <v>0</v>
      </c>
      <c r="Y42" s="113"/>
      <c r="Z42" s="104" t="s">
        <v>32</v>
      </c>
      <c r="AA42" s="105"/>
      <c r="AB42" s="39"/>
      <c r="AC42" s="34">
        <v>0</v>
      </c>
    </row>
    <row r="43" spans="1:29" s="25" customFormat="1" ht="16.5" customHeight="1" x14ac:dyDescent="0.3">
      <c r="A43" s="113"/>
      <c r="B43" s="106"/>
      <c r="C43" s="107"/>
      <c r="D43" s="39" t="s">
        <v>86</v>
      </c>
      <c r="E43" s="34">
        <v>0</v>
      </c>
      <c r="G43" s="113"/>
      <c r="H43" s="106"/>
      <c r="I43" s="107"/>
      <c r="J43" s="39"/>
      <c r="K43" s="34">
        <v>0</v>
      </c>
      <c r="M43" s="113"/>
      <c r="N43" s="106"/>
      <c r="O43" s="107"/>
      <c r="P43" s="39"/>
      <c r="Q43" s="34">
        <v>0</v>
      </c>
      <c r="S43" s="113"/>
      <c r="T43" s="106"/>
      <c r="U43" s="107"/>
      <c r="V43" s="39"/>
      <c r="W43" s="34">
        <v>0</v>
      </c>
      <c r="Y43" s="113"/>
      <c r="Z43" s="106"/>
      <c r="AA43" s="107"/>
      <c r="AB43" s="39"/>
      <c r="AC43" s="34">
        <v>0</v>
      </c>
    </row>
    <row r="44" spans="1:29" s="25" customFormat="1" ht="16.5" customHeight="1" x14ac:dyDescent="0.3">
      <c r="A44" s="114"/>
      <c r="B44" s="101" t="s">
        <v>33</v>
      </c>
      <c r="C44" s="102"/>
      <c r="D44" s="103"/>
      <c r="E44" s="37">
        <f>SUM(E42:E43)</f>
        <v>0</v>
      </c>
      <c r="G44" s="114"/>
      <c r="H44" s="101" t="s">
        <v>33</v>
      </c>
      <c r="I44" s="102"/>
      <c r="J44" s="103"/>
      <c r="K44" s="37">
        <f>SUM(K42:K43)</f>
        <v>0</v>
      </c>
      <c r="M44" s="114"/>
      <c r="N44" s="101" t="s">
        <v>33</v>
      </c>
      <c r="O44" s="102"/>
      <c r="P44" s="103"/>
      <c r="Q44" s="37">
        <f>SUM(Q42:Q43)</f>
        <v>0</v>
      </c>
      <c r="S44" s="114"/>
      <c r="T44" s="101" t="s">
        <v>33</v>
      </c>
      <c r="U44" s="102"/>
      <c r="V44" s="103"/>
      <c r="W44" s="37">
        <f>SUM(W42:W43)</f>
        <v>0</v>
      </c>
      <c r="Y44" s="114"/>
      <c r="Z44" s="101" t="s">
        <v>33</v>
      </c>
      <c r="AA44" s="102"/>
      <c r="AB44" s="103"/>
      <c r="AC44" s="37">
        <f>SUM(AC42:AC43)</f>
        <v>0</v>
      </c>
    </row>
    <row r="45" spans="1:29" s="25" customFormat="1" ht="16.5" customHeight="1" x14ac:dyDescent="0.3">
      <c r="A45" s="108" t="s">
        <v>34</v>
      </c>
      <c r="B45" s="108"/>
      <c r="C45" s="108"/>
      <c r="D45" s="108"/>
      <c r="E45" s="37">
        <f>E41+E44</f>
        <v>709635000</v>
      </c>
      <c r="G45" s="108" t="s">
        <v>34</v>
      </c>
      <c r="H45" s="108"/>
      <c r="I45" s="108"/>
      <c r="J45" s="108"/>
      <c r="K45" s="37">
        <f>K41+K44</f>
        <v>4958925000</v>
      </c>
      <c r="M45" s="108" t="s">
        <v>34</v>
      </c>
      <c r="N45" s="108"/>
      <c r="O45" s="108"/>
      <c r="P45" s="108"/>
      <c r="Q45" s="37">
        <f>Q41+Q44</f>
        <v>7373850000</v>
      </c>
      <c r="S45" s="108" t="s">
        <v>34</v>
      </c>
      <c r="T45" s="108"/>
      <c r="U45" s="108"/>
      <c r="V45" s="108"/>
      <c r="W45" s="37">
        <f>W41+W44</f>
        <v>14638700000</v>
      </c>
      <c r="Y45" s="108" t="s">
        <v>34</v>
      </c>
      <c r="Z45" s="108"/>
      <c r="AA45" s="108"/>
      <c r="AB45" s="108"/>
      <c r="AC45" s="37">
        <f>AC41+AC44</f>
        <v>28634280000</v>
      </c>
    </row>
    <row r="46" spans="1:29" s="25" customFormat="1" ht="16.5" customHeight="1" x14ac:dyDescent="0.3">
      <c r="A46" s="41"/>
      <c r="B46" s="41"/>
      <c r="C46" s="41"/>
      <c r="D46" s="41"/>
      <c r="E46" s="35"/>
      <c r="G46" s="41"/>
      <c r="H46" s="41"/>
      <c r="I46" s="41"/>
      <c r="J46" s="41"/>
      <c r="K46" s="35"/>
      <c r="M46" s="41"/>
      <c r="N46" s="41"/>
      <c r="O46" s="41"/>
      <c r="P46" s="41"/>
      <c r="Q46" s="35"/>
      <c r="S46" s="41"/>
      <c r="T46" s="41"/>
      <c r="U46" s="41"/>
      <c r="V46" s="41"/>
      <c r="W46" s="35"/>
      <c r="Y46" s="41"/>
      <c r="Z46" s="41"/>
      <c r="AA46" s="41"/>
      <c r="AB46" s="41"/>
      <c r="AC46" s="35"/>
    </row>
    <row r="47" spans="1:29" s="25" customFormat="1" ht="16.5" customHeight="1" x14ac:dyDescent="0.3">
      <c r="A47" s="111" t="s">
        <v>92</v>
      </c>
      <c r="B47" s="111"/>
      <c r="C47" s="111"/>
      <c r="D47" s="111"/>
      <c r="E47" s="79">
        <f>E13-E45</f>
        <v>78860000</v>
      </c>
      <c r="G47" s="111" t="s">
        <v>93</v>
      </c>
      <c r="H47" s="111"/>
      <c r="I47" s="111"/>
      <c r="J47" s="111"/>
      <c r="K47" s="79">
        <f>K13-K45</f>
        <v>-1262248000</v>
      </c>
      <c r="M47" s="111" t="s">
        <v>94</v>
      </c>
      <c r="N47" s="111"/>
      <c r="O47" s="111"/>
      <c r="P47" s="111"/>
      <c r="Q47" s="79">
        <f>Q13-Q45</f>
        <v>-16496000</v>
      </c>
      <c r="S47" s="111" t="s">
        <v>95</v>
      </c>
      <c r="T47" s="111"/>
      <c r="U47" s="111"/>
      <c r="V47" s="111"/>
      <c r="W47" s="79">
        <f>W13-W45</f>
        <v>976008000</v>
      </c>
      <c r="Y47" s="111" t="s">
        <v>96</v>
      </c>
      <c r="Z47" s="111"/>
      <c r="AA47" s="111"/>
      <c r="AB47" s="111"/>
      <c r="AC47" s="79">
        <f>AC13-AC45</f>
        <v>1995136000</v>
      </c>
    </row>
    <row r="48" spans="1:29" s="25" customFormat="1" ht="16.5" customHeight="1" x14ac:dyDescent="0.3">
      <c r="A48" s="32"/>
      <c r="B48" s="32"/>
      <c r="C48" s="32"/>
      <c r="D48" s="36"/>
      <c r="E48" s="35"/>
      <c r="G48" s="32"/>
      <c r="H48" s="32"/>
      <c r="I48" s="32"/>
      <c r="J48" s="36"/>
      <c r="K48" s="35"/>
      <c r="M48" s="32"/>
      <c r="N48" s="32"/>
      <c r="O48" s="32"/>
      <c r="P48" s="36"/>
      <c r="Q48" s="35"/>
      <c r="S48" s="32"/>
      <c r="T48" s="32"/>
      <c r="U48" s="32"/>
      <c r="V48" s="36"/>
      <c r="W48" s="35"/>
      <c r="Y48" s="32"/>
      <c r="Z48" s="32"/>
      <c r="AA48" s="32"/>
      <c r="AB48" s="36"/>
      <c r="AC48" s="35"/>
    </row>
    <row r="49" spans="1:29" s="25" customFormat="1" ht="16.5" customHeight="1" x14ac:dyDescent="0.3">
      <c r="A49" s="109" t="s">
        <v>35</v>
      </c>
      <c r="B49" s="110" t="s">
        <v>36</v>
      </c>
      <c r="C49" s="110"/>
      <c r="D49" s="110"/>
      <c r="E49" s="37">
        <v>0</v>
      </c>
      <c r="G49" s="109" t="s">
        <v>35</v>
      </c>
      <c r="H49" s="110" t="s">
        <v>36</v>
      </c>
      <c r="I49" s="110"/>
      <c r="J49" s="110"/>
      <c r="K49" s="37">
        <f>K19*Variables!B25</f>
        <v>100000000</v>
      </c>
      <c r="M49" s="109" t="s">
        <v>35</v>
      </c>
      <c r="N49" s="110" t="s">
        <v>36</v>
      </c>
      <c r="O49" s="110"/>
      <c r="P49" s="110"/>
      <c r="Q49" s="37">
        <v>0</v>
      </c>
      <c r="S49" s="109" t="s">
        <v>35</v>
      </c>
      <c r="T49" s="110" t="s">
        <v>36</v>
      </c>
      <c r="U49" s="110"/>
      <c r="V49" s="110"/>
      <c r="W49" s="37">
        <v>0</v>
      </c>
      <c r="Y49" s="109" t="s">
        <v>35</v>
      </c>
      <c r="Z49" s="110" t="s">
        <v>36</v>
      </c>
      <c r="AA49" s="110"/>
      <c r="AB49" s="110"/>
      <c r="AC49" s="37">
        <v>0</v>
      </c>
    </row>
    <row r="50" spans="1:29" s="25" customFormat="1" ht="16.5" customHeight="1" x14ac:dyDescent="0.3">
      <c r="A50" s="109"/>
      <c r="B50" s="110" t="s">
        <v>37</v>
      </c>
      <c r="C50" s="110"/>
      <c r="D50" s="110"/>
      <c r="E50" s="37">
        <v>0</v>
      </c>
      <c r="G50" s="109"/>
      <c r="H50" s="110" t="s">
        <v>37</v>
      </c>
      <c r="I50" s="110"/>
      <c r="J50" s="110"/>
      <c r="K50" s="37">
        <f>'Ingresos &amp; egresos'!K19*Variables!B26</f>
        <v>100000000</v>
      </c>
      <c r="M50" s="109"/>
      <c r="N50" s="110" t="s">
        <v>37</v>
      </c>
      <c r="O50" s="110"/>
      <c r="P50" s="110"/>
      <c r="Q50" s="37">
        <v>0</v>
      </c>
      <c r="S50" s="109"/>
      <c r="T50" s="110" t="s">
        <v>37</v>
      </c>
      <c r="U50" s="110"/>
      <c r="V50" s="110"/>
      <c r="W50" s="37">
        <v>0</v>
      </c>
      <c r="Y50" s="109"/>
      <c r="Z50" s="110" t="s">
        <v>37</v>
      </c>
      <c r="AA50" s="110"/>
      <c r="AB50" s="110"/>
      <c r="AC50" s="37">
        <v>0</v>
      </c>
    </row>
    <row r="51" spans="1:29" s="25" customFormat="1" ht="16.5" customHeight="1" x14ac:dyDescent="0.3">
      <c r="A51" s="109"/>
      <c r="B51" s="110" t="s">
        <v>38</v>
      </c>
      <c r="C51" s="110"/>
      <c r="D51" s="110"/>
      <c r="E51" s="37">
        <f>E47*Variables!$B$24</f>
        <v>3154400</v>
      </c>
      <c r="G51" s="109"/>
      <c r="H51" s="110" t="s">
        <v>38</v>
      </c>
      <c r="I51" s="110"/>
      <c r="J51" s="110"/>
      <c r="K51" s="37">
        <f>K47*Variables!$B$24</f>
        <v>-50489920</v>
      </c>
      <c r="M51" s="109"/>
      <c r="N51" s="110" t="s">
        <v>38</v>
      </c>
      <c r="O51" s="110"/>
      <c r="P51" s="110"/>
      <c r="Q51" s="37">
        <f>Q47*Variables!$B$24</f>
        <v>-659840</v>
      </c>
      <c r="S51" s="109"/>
      <c r="T51" s="110" t="s">
        <v>38</v>
      </c>
      <c r="U51" s="110"/>
      <c r="V51" s="110"/>
      <c r="W51" s="37">
        <f>W47*Variables!$B$24</f>
        <v>39040320</v>
      </c>
      <c r="Y51" s="109"/>
      <c r="Z51" s="110" t="s">
        <v>38</v>
      </c>
      <c r="AA51" s="110"/>
      <c r="AB51" s="110"/>
      <c r="AC51" s="37">
        <f>AC47*Variables!$B$24</f>
        <v>79805440</v>
      </c>
    </row>
    <row r="52" spans="1:29" s="25" customFormat="1" ht="16.5" customHeight="1" x14ac:dyDescent="0.3">
      <c r="A52" s="109"/>
      <c r="B52" s="110" t="s">
        <v>39</v>
      </c>
      <c r="C52" s="110"/>
      <c r="D52" s="110"/>
      <c r="E52" s="37">
        <f>E47*Variables!$B$23</f>
        <v>14983400</v>
      </c>
      <c r="G52" s="109"/>
      <c r="H52" s="110" t="s">
        <v>39</v>
      </c>
      <c r="I52" s="110"/>
      <c r="J52" s="110"/>
      <c r="K52" s="37">
        <f>K47*Variables!$B$23</f>
        <v>-239827120</v>
      </c>
      <c r="M52" s="109"/>
      <c r="N52" s="110" t="s">
        <v>39</v>
      </c>
      <c r="O52" s="110"/>
      <c r="P52" s="110"/>
      <c r="Q52" s="37">
        <f>Q47*Variables!$B$23</f>
        <v>-3134240</v>
      </c>
      <c r="S52" s="109"/>
      <c r="T52" s="110" t="s">
        <v>39</v>
      </c>
      <c r="U52" s="110"/>
      <c r="V52" s="110"/>
      <c r="W52" s="37">
        <f>W47*Variables!$B$23</f>
        <v>185441520</v>
      </c>
      <c r="Y52" s="109"/>
      <c r="Z52" s="110" t="s">
        <v>39</v>
      </c>
      <c r="AA52" s="110"/>
      <c r="AB52" s="110"/>
      <c r="AC52" s="37">
        <f>AC47*Variables!$B$23</f>
        <v>379075840</v>
      </c>
    </row>
    <row r="53" spans="1:29" s="25" customFormat="1" ht="16.5" customHeight="1" x14ac:dyDescent="0.3">
      <c r="A53" s="32"/>
      <c r="B53" s="38"/>
      <c r="C53" s="38"/>
      <c r="D53" s="38" t="s">
        <v>133</v>
      </c>
      <c r="E53" s="37">
        <f>E49+E50+E51+(MAX(E52,0))</f>
        <v>18137800</v>
      </c>
      <c r="G53" s="32"/>
      <c r="H53" s="38"/>
      <c r="I53" s="38"/>
      <c r="J53" s="38"/>
      <c r="K53" s="37">
        <f>K49+K50+K51+(MAX(K52,0))</f>
        <v>149510080</v>
      </c>
      <c r="M53" s="32"/>
      <c r="N53" s="38"/>
      <c r="O53" s="38"/>
      <c r="P53" s="38"/>
      <c r="Q53" s="37">
        <f>Q49+Q50+Q51+(MAX(Q52,0))</f>
        <v>-659840</v>
      </c>
      <c r="S53" s="32"/>
      <c r="T53" s="38"/>
      <c r="U53" s="38"/>
      <c r="V53" s="38"/>
      <c r="W53" s="37">
        <f>W49+W50+W51+(MAX(W52,0))</f>
        <v>224481840</v>
      </c>
      <c r="Y53" s="32"/>
      <c r="Z53" s="38"/>
      <c r="AA53" s="38"/>
      <c r="AB53" s="38"/>
      <c r="AC53" s="37">
        <f>AC49+AC50+AC51+(MAX(AC52,0))</f>
        <v>458881280</v>
      </c>
    </row>
    <row r="54" spans="1:29" s="25" customFormat="1" ht="16.5" customHeight="1" x14ac:dyDescent="0.3">
      <c r="A54" s="32"/>
      <c r="B54" s="32"/>
      <c r="C54" s="32"/>
      <c r="D54" s="36"/>
      <c r="E54" s="35"/>
      <c r="G54" s="32"/>
      <c r="H54" s="32"/>
      <c r="I54" s="32"/>
      <c r="J54" s="36"/>
      <c r="K54" s="35"/>
      <c r="M54" s="32"/>
      <c r="N54" s="32"/>
      <c r="O54" s="32"/>
      <c r="P54" s="36"/>
      <c r="Q54" s="35"/>
      <c r="S54" s="32"/>
      <c r="T54" s="32"/>
      <c r="U54" s="32"/>
      <c r="V54" s="36"/>
      <c r="W54" s="35"/>
      <c r="Y54" s="32"/>
      <c r="Z54" s="32"/>
      <c r="AA54" s="32"/>
      <c r="AB54" s="36"/>
      <c r="AC54" s="35"/>
    </row>
    <row r="55" spans="1:29" s="25" customFormat="1" ht="16.5" customHeight="1" x14ac:dyDescent="0.3">
      <c r="A55" s="98" t="s">
        <v>40</v>
      </c>
      <c r="B55" s="99"/>
      <c r="C55" s="99"/>
      <c r="D55" s="99"/>
      <c r="E55" s="100"/>
      <c r="F55" s="32"/>
      <c r="G55" s="98" t="s">
        <v>40</v>
      </c>
      <c r="H55" s="99"/>
      <c r="I55" s="99"/>
      <c r="J55" s="99"/>
      <c r="K55" s="100"/>
      <c r="L55" s="32"/>
      <c r="M55" s="98" t="s">
        <v>40</v>
      </c>
      <c r="N55" s="99"/>
      <c r="O55" s="99"/>
      <c r="P55" s="99"/>
      <c r="Q55" s="100"/>
      <c r="R55" s="32"/>
      <c r="S55" s="98" t="s">
        <v>40</v>
      </c>
      <c r="T55" s="99"/>
      <c r="U55" s="99"/>
      <c r="V55" s="99"/>
      <c r="W55" s="100"/>
      <c r="X55" s="32"/>
      <c r="Y55" s="98" t="s">
        <v>40</v>
      </c>
      <c r="Z55" s="99"/>
      <c r="AA55" s="99"/>
      <c r="AB55" s="99"/>
      <c r="AC55" s="100"/>
    </row>
    <row r="56" spans="1:29" s="25" customFormat="1" ht="16.5" customHeight="1" x14ac:dyDescent="0.3">
      <c r="A56" s="31" t="s">
        <v>41</v>
      </c>
      <c r="B56" s="95" t="s">
        <v>42</v>
      </c>
      <c r="C56" s="96"/>
      <c r="D56" s="97"/>
      <c r="E56" s="34">
        <f>E13-E23</f>
        <v>355520000</v>
      </c>
      <c r="F56" s="32"/>
      <c r="G56" s="31" t="s">
        <v>41</v>
      </c>
      <c r="H56" s="95" t="s">
        <v>42</v>
      </c>
      <c r="I56" s="96"/>
      <c r="J56" s="97"/>
      <c r="K56" s="34">
        <f>K13-K23</f>
        <v>1203992000</v>
      </c>
      <c r="L56" s="32"/>
      <c r="M56" s="31" t="s">
        <v>41</v>
      </c>
      <c r="N56" s="95" t="s">
        <v>42</v>
      </c>
      <c r="O56" s="96"/>
      <c r="P56" s="97"/>
      <c r="Q56" s="34">
        <f>Q13-Q23</f>
        <v>3256984000</v>
      </c>
      <c r="R56" s="32"/>
      <c r="S56" s="31" t="s">
        <v>41</v>
      </c>
      <c r="T56" s="95" t="s">
        <v>42</v>
      </c>
      <c r="U56" s="96"/>
      <c r="V56" s="97"/>
      <c r="W56" s="34">
        <f>W13-W23</f>
        <v>6933968000</v>
      </c>
      <c r="X56" s="32"/>
      <c r="Y56" s="31" t="s">
        <v>41</v>
      </c>
      <c r="Z56" s="95" t="s">
        <v>42</v>
      </c>
      <c r="AA56" s="96"/>
      <c r="AB56" s="97"/>
      <c r="AC56" s="34">
        <f>AC13-AC23</f>
        <v>13267936000</v>
      </c>
    </row>
    <row r="57" spans="1:29" s="25" customFormat="1" ht="16.5" customHeight="1" x14ac:dyDescent="0.3">
      <c r="A57" s="31" t="s">
        <v>43</v>
      </c>
      <c r="B57" s="95" t="s">
        <v>44</v>
      </c>
      <c r="C57" s="96"/>
      <c r="D57" s="97"/>
      <c r="E57" s="33">
        <f>E56/E13</f>
        <v>0.45088427954520954</v>
      </c>
      <c r="F57" s="32"/>
      <c r="G57" s="31" t="s">
        <v>43</v>
      </c>
      <c r="H57" s="95" t="s">
        <v>44</v>
      </c>
      <c r="I57" s="96"/>
      <c r="J57" s="97"/>
      <c r="K57" s="33">
        <f>K56/K13</f>
        <v>0.32569575324000449</v>
      </c>
      <c r="L57" s="32"/>
      <c r="M57" s="31" t="s">
        <v>43</v>
      </c>
      <c r="N57" s="95" t="s">
        <v>44</v>
      </c>
      <c r="O57" s="96"/>
      <c r="P57" s="97"/>
      <c r="Q57" s="33">
        <f>Q56/Q13</f>
        <v>0.44268414976362425</v>
      </c>
      <c r="R57" s="32"/>
      <c r="S57" s="31" t="s">
        <v>43</v>
      </c>
      <c r="T57" s="95" t="s">
        <v>44</v>
      </c>
      <c r="U57" s="96"/>
      <c r="V57" s="97"/>
      <c r="W57" s="33">
        <f>W56/W13</f>
        <v>0.44406645324395433</v>
      </c>
      <c r="X57" s="32"/>
      <c r="Y57" s="31" t="s">
        <v>43</v>
      </c>
      <c r="Z57" s="95" t="s">
        <v>44</v>
      </c>
      <c r="AA57" s="96"/>
      <c r="AB57" s="97"/>
      <c r="AC57" s="33">
        <f>AC56/AC13</f>
        <v>0.43317626428136924</v>
      </c>
    </row>
    <row r="58" spans="1:29" s="25" customFormat="1" ht="16.5" customHeight="1" x14ac:dyDescent="0.3">
      <c r="A58" s="31" t="s">
        <v>45</v>
      </c>
      <c r="B58" s="95" t="s">
        <v>46</v>
      </c>
      <c r="C58" s="96"/>
      <c r="D58" s="97"/>
      <c r="E58" s="34">
        <f>E56-E40</f>
        <v>78860000</v>
      </c>
      <c r="F58" s="32"/>
      <c r="G58" s="31" t="s">
        <v>45</v>
      </c>
      <c r="H58" s="95" t="s">
        <v>46</v>
      </c>
      <c r="I58" s="96"/>
      <c r="J58" s="97"/>
      <c r="K58" s="34">
        <f>K56-K40</f>
        <v>-1262248000</v>
      </c>
      <c r="L58" s="32"/>
      <c r="M58" s="31" t="s">
        <v>45</v>
      </c>
      <c r="N58" s="95" t="s">
        <v>46</v>
      </c>
      <c r="O58" s="96"/>
      <c r="P58" s="97"/>
      <c r="Q58" s="34">
        <f>Q56-Q40</f>
        <v>-16496000</v>
      </c>
      <c r="R58" s="32"/>
      <c r="S58" s="31" t="s">
        <v>45</v>
      </c>
      <c r="T58" s="95" t="s">
        <v>46</v>
      </c>
      <c r="U58" s="96"/>
      <c r="V58" s="97"/>
      <c r="W58" s="34">
        <f>W56-W40</f>
        <v>976008000</v>
      </c>
      <c r="X58" s="32"/>
      <c r="Y58" s="31" t="s">
        <v>45</v>
      </c>
      <c r="Z58" s="95" t="s">
        <v>46</v>
      </c>
      <c r="AA58" s="96"/>
      <c r="AB58" s="97"/>
      <c r="AC58" s="34">
        <f>AC56-AC40</f>
        <v>1995136000</v>
      </c>
    </row>
    <row r="59" spans="1:29" s="25" customFormat="1" ht="16.5" customHeight="1" x14ac:dyDescent="0.3">
      <c r="A59" s="31" t="s">
        <v>47</v>
      </c>
      <c r="B59" s="95" t="s">
        <v>48</v>
      </c>
      <c r="C59" s="96"/>
      <c r="D59" s="97"/>
      <c r="E59" s="33">
        <f>E58/E13</f>
        <v>0.10001331650803112</v>
      </c>
      <c r="F59" s="32"/>
      <c r="G59" s="31" t="s">
        <v>47</v>
      </c>
      <c r="H59" s="95" t="s">
        <v>48</v>
      </c>
      <c r="I59" s="96"/>
      <c r="J59" s="97"/>
      <c r="K59" s="33">
        <f>K58/K13</f>
        <v>-0.34145477140686081</v>
      </c>
      <c r="L59" s="32"/>
      <c r="M59" s="31" t="s">
        <v>47</v>
      </c>
      <c r="N59" s="95" t="s">
        <v>48</v>
      </c>
      <c r="O59" s="96"/>
      <c r="P59" s="97"/>
      <c r="Q59" s="33">
        <f>Q58/Q13</f>
        <v>-2.242110410889567E-3</v>
      </c>
      <c r="R59" s="32"/>
      <c r="S59" s="31" t="s">
        <v>47</v>
      </c>
      <c r="T59" s="95" t="s">
        <v>48</v>
      </c>
      <c r="U59" s="96"/>
      <c r="V59" s="97"/>
      <c r="W59" s="33">
        <f>W58/W13</f>
        <v>6.250568374381385E-2</v>
      </c>
      <c r="X59" s="32"/>
      <c r="Y59" s="31" t="s">
        <v>47</v>
      </c>
      <c r="Z59" s="95" t="s">
        <v>48</v>
      </c>
      <c r="AA59" s="96"/>
      <c r="AB59" s="97"/>
      <c r="AC59" s="33">
        <f>AC58/AC13</f>
        <v>6.513790533910277E-2</v>
      </c>
    </row>
    <row r="60" spans="1:29" s="25" customFormat="1" ht="16.5" customHeight="1" x14ac:dyDescent="0.3">
      <c r="A60" s="31" t="s">
        <v>49</v>
      </c>
      <c r="B60" s="95" t="s">
        <v>50</v>
      </c>
      <c r="C60" s="96"/>
      <c r="D60" s="97"/>
      <c r="E60" s="34">
        <f>E58-E53</f>
        <v>60722200</v>
      </c>
      <c r="F60" s="32"/>
      <c r="G60" s="31" t="s">
        <v>49</v>
      </c>
      <c r="H60" s="95" t="s">
        <v>50</v>
      </c>
      <c r="I60" s="96"/>
      <c r="J60" s="97"/>
      <c r="K60" s="34">
        <f>K58-K53</f>
        <v>-1411758080</v>
      </c>
      <c r="L60" s="32"/>
      <c r="M60" s="31" t="s">
        <v>49</v>
      </c>
      <c r="N60" s="95" t="s">
        <v>50</v>
      </c>
      <c r="O60" s="96"/>
      <c r="P60" s="97"/>
      <c r="Q60" s="34">
        <f>Q58-Q53</f>
        <v>-15836160</v>
      </c>
      <c r="R60" s="32"/>
      <c r="S60" s="31" t="s">
        <v>49</v>
      </c>
      <c r="T60" s="95" t="s">
        <v>50</v>
      </c>
      <c r="U60" s="96"/>
      <c r="V60" s="97"/>
      <c r="W60" s="34">
        <f>W58-W53</f>
        <v>751526160</v>
      </c>
      <c r="X60" s="32"/>
      <c r="Y60" s="31" t="s">
        <v>49</v>
      </c>
      <c r="Z60" s="95" t="s">
        <v>50</v>
      </c>
      <c r="AA60" s="96"/>
      <c r="AB60" s="97"/>
      <c r="AC60" s="34">
        <f>AC58-AC53</f>
        <v>1536254720</v>
      </c>
    </row>
    <row r="61" spans="1:29" s="25" customFormat="1" ht="16.5" customHeight="1" x14ac:dyDescent="0.3">
      <c r="A61" s="31" t="s">
        <v>51</v>
      </c>
      <c r="B61" s="95" t="s">
        <v>52</v>
      </c>
      <c r="C61" s="96"/>
      <c r="D61" s="97"/>
      <c r="E61" s="33">
        <f>E60/E13</f>
        <v>7.701025371118396E-2</v>
      </c>
      <c r="F61" s="32"/>
      <c r="G61" s="31" t="s">
        <v>51</v>
      </c>
      <c r="H61" s="95" t="s">
        <v>52</v>
      </c>
      <c r="I61" s="96"/>
      <c r="J61" s="97"/>
      <c r="K61" s="33">
        <f>K60/K13</f>
        <v>-0.38189922462795639</v>
      </c>
      <c r="L61" s="32"/>
      <c r="M61" s="31" t="s">
        <v>51</v>
      </c>
      <c r="N61" s="95" t="s">
        <v>52</v>
      </c>
      <c r="O61" s="96"/>
      <c r="P61" s="97"/>
      <c r="Q61" s="33">
        <f>Q60/Q13</f>
        <v>-2.1524259944539843E-3</v>
      </c>
      <c r="R61" s="32"/>
      <c r="S61" s="31" t="s">
        <v>51</v>
      </c>
      <c r="T61" s="95" t="s">
        <v>52</v>
      </c>
      <c r="U61" s="96"/>
      <c r="V61" s="97"/>
      <c r="W61" s="33">
        <f>W60/W13</f>
        <v>4.8129376482736658E-2</v>
      </c>
      <c r="X61" s="32"/>
      <c r="Y61" s="31" t="s">
        <v>51</v>
      </c>
      <c r="Z61" s="95" t="s">
        <v>52</v>
      </c>
      <c r="AA61" s="96"/>
      <c r="AB61" s="97"/>
      <c r="AC61" s="33">
        <f>AC60/AC13</f>
        <v>5.0156187111109141E-2</v>
      </c>
    </row>
    <row r="62" spans="1:29" s="25" customFormat="1" ht="16.5" customHeight="1" x14ac:dyDescent="0.3">
      <c r="A62" s="31" t="s">
        <v>53</v>
      </c>
      <c r="B62" s="30" t="s">
        <v>54</v>
      </c>
      <c r="C62" s="29"/>
      <c r="D62" s="28"/>
      <c r="E62" s="33">
        <f>E60/Variables!$B$7</f>
        <v>0.12144439999999999</v>
      </c>
      <c r="F62" s="32"/>
      <c r="G62" s="31" t="s">
        <v>53</v>
      </c>
      <c r="H62" s="30" t="s">
        <v>54</v>
      </c>
      <c r="I62" s="29"/>
      <c r="J62" s="28"/>
      <c r="K62" s="33">
        <f>K60/Variables!$B$7</f>
        <v>-2.8235161600000001</v>
      </c>
      <c r="L62" s="32"/>
      <c r="M62" s="31" t="s">
        <v>53</v>
      </c>
      <c r="N62" s="30" t="s">
        <v>54</v>
      </c>
      <c r="O62" s="29"/>
      <c r="P62" s="28"/>
      <c r="Q62" s="33">
        <f>Q60/Variables!$B$7</f>
        <v>-3.1672319999999997E-2</v>
      </c>
      <c r="R62" s="32"/>
      <c r="S62" s="31" t="s">
        <v>53</v>
      </c>
      <c r="T62" s="30" t="s">
        <v>54</v>
      </c>
      <c r="U62" s="29"/>
      <c r="V62" s="28"/>
      <c r="W62" s="33">
        <f>W60/Variables!$B$7</f>
        <v>1.5030523200000001</v>
      </c>
      <c r="X62" s="32"/>
      <c r="Y62" s="31" t="s">
        <v>53</v>
      </c>
      <c r="Z62" s="30" t="s">
        <v>54</v>
      </c>
      <c r="AA62" s="29"/>
      <c r="AB62" s="28"/>
      <c r="AC62" s="33">
        <f>AC60/Variables!$B$7</f>
        <v>3.0725094400000001</v>
      </c>
    </row>
    <row r="63" spans="1:29" s="25" customFormat="1" ht="16.5" customHeight="1" x14ac:dyDescent="0.3">
      <c r="A63" s="31" t="s">
        <v>55</v>
      </c>
      <c r="B63" s="95" t="s">
        <v>56</v>
      </c>
      <c r="C63" s="96"/>
      <c r="D63" s="97"/>
      <c r="E63" s="33">
        <f>E60/Variables!$B$5</f>
        <v>0.12144439999999999</v>
      </c>
      <c r="F63" s="32"/>
      <c r="G63" s="31" t="s">
        <v>55</v>
      </c>
      <c r="H63" s="95" t="s">
        <v>56</v>
      </c>
      <c r="I63" s="96"/>
      <c r="J63" s="97"/>
      <c r="K63" s="33">
        <f>K60/Variables!$B$5</f>
        <v>-2.8235161600000001</v>
      </c>
      <c r="L63" s="32"/>
      <c r="M63" s="31" t="s">
        <v>55</v>
      </c>
      <c r="N63" s="95" t="s">
        <v>56</v>
      </c>
      <c r="O63" s="96"/>
      <c r="P63" s="97"/>
      <c r="Q63" s="33">
        <f>Q60/Variables!$B$5</f>
        <v>-3.1672319999999997E-2</v>
      </c>
      <c r="R63" s="32"/>
      <c r="S63" s="31" t="s">
        <v>55</v>
      </c>
      <c r="T63" s="95" t="s">
        <v>56</v>
      </c>
      <c r="U63" s="96"/>
      <c r="V63" s="97"/>
      <c r="W63" s="33">
        <f>W60/Variables!$B$5</f>
        <v>1.5030523200000001</v>
      </c>
      <c r="X63" s="32"/>
      <c r="Y63" s="31" t="s">
        <v>55</v>
      </c>
      <c r="Z63" s="95" t="s">
        <v>56</v>
      </c>
      <c r="AA63" s="96"/>
      <c r="AB63" s="97"/>
      <c r="AC63" s="33">
        <f>AC60/Variables!$B$5</f>
        <v>3.0725094400000001</v>
      </c>
    </row>
    <row r="64" spans="1:29" s="25" customFormat="1" ht="16.5" customHeight="1" x14ac:dyDescent="0.3">
      <c r="A64" s="31"/>
      <c r="B64" s="95"/>
      <c r="C64" s="96"/>
      <c r="D64" s="97"/>
      <c r="E64" s="27"/>
      <c r="F64" s="32"/>
      <c r="G64" s="31"/>
      <c r="H64" s="95"/>
      <c r="I64" s="96"/>
      <c r="J64" s="97"/>
      <c r="K64" s="27"/>
      <c r="L64" s="32"/>
      <c r="M64" s="31"/>
      <c r="N64" s="95"/>
      <c r="O64" s="96"/>
      <c r="P64" s="97"/>
      <c r="Q64" s="27"/>
      <c r="R64" s="32"/>
      <c r="S64" s="31"/>
      <c r="T64" s="95"/>
      <c r="U64" s="96"/>
      <c r="V64" s="97"/>
      <c r="W64" s="27"/>
      <c r="X64" s="32"/>
      <c r="Y64" s="31"/>
      <c r="Z64" s="95"/>
      <c r="AA64" s="96"/>
      <c r="AB64" s="97"/>
      <c r="AC64" s="27"/>
    </row>
    <row r="66" spans="4:5" x14ac:dyDescent="0.3">
      <c r="E66" s="26"/>
    </row>
    <row r="68" spans="4:5" x14ac:dyDescent="0.3">
      <c r="D68" s="84"/>
    </row>
  </sheetData>
  <mergeCells count="185">
    <mergeCell ref="S13:V13"/>
    <mergeCell ref="M13:P13"/>
    <mergeCell ref="M5:M12"/>
    <mergeCell ref="N5:N9"/>
    <mergeCell ref="H61:J61"/>
    <mergeCell ref="H63:J63"/>
    <mergeCell ref="N51:P51"/>
    <mergeCell ref="N52:P52"/>
    <mergeCell ref="Z60:AB60"/>
    <mergeCell ref="Z61:AB61"/>
    <mergeCell ref="Z63:AB63"/>
    <mergeCell ref="N60:P60"/>
    <mergeCell ref="N49:P49"/>
    <mergeCell ref="G45:J45"/>
    <mergeCell ref="G49:G52"/>
    <mergeCell ref="H49:J49"/>
    <mergeCell ref="H50:J50"/>
    <mergeCell ref="H51:J51"/>
    <mergeCell ref="H15:H40"/>
    <mergeCell ref="I15:J15"/>
    <mergeCell ref="I16:I22"/>
    <mergeCell ref="I23:J23"/>
    <mergeCell ref="I40:J40"/>
    <mergeCell ref="H44:J44"/>
    <mergeCell ref="H5:H9"/>
    <mergeCell ref="I5:J5"/>
    <mergeCell ref="I9:J9"/>
    <mergeCell ref="H10:J10"/>
    <mergeCell ref="I11:J11"/>
    <mergeCell ref="H12:J12"/>
    <mergeCell ref="G13:J13"/>
    <mergeCell ref="G15:G44"/>
    <mergeCell ref="B60:D60"/>
    <mergeCell ref="H60:J60"/>
    <mergeCell ref="C7:D7"/>
    <mergeCell ref="C6:D6"/>
    <mergeCell ref="C8:D8"/>
    <mergeCell ref="I6:J6"/>
    <mergeCell ref="I7:J7"/>
    <mergeCell ref="I8:J8"/>
    <mergeCell ref="B12:D12"/>
    <mergeCell ref="A13:D13"/>
    <mergeCell ref="C11:D11"/>
    <mergeCell ref="A5:A12"/>
    <mergeCell ref="C5:D5"/>
    <mergeCell ref="C9:D9"/>
    <mergeCell ref="B10:D10"/>
    <mergeCell ref="B5:B9"/>
    <mergeCell ref="G5:G12"/>
    <mergeCell ref="B64:D64"/>
    <mergeCell ref="A15:A44"/>
    <mergeCell ref="B15:B40"/>
    <mergeCell ref="C15:D15"/>
    <mergeCell ref="C16:C22"/>
    <mergeCell ref="C23:D23"/>
    <mergeCell ref="C40:D40"/>
    <mergeCell ref="B41:D41"/>
    <mergeCell ref="B42:C43"/>
    <mergeCell ref="B44:D44"/>
    <mergeCell ref="A45:D45"/>
    <mergeCell ref="A49:A52"/>
    <mergeCell ref="B49:D49"/>
    <mergeCell ref="B50:D50"/>
    <mergeCell ref="B51:D51"/>
    <mergeCell ref="A47:D47"/>
    <mergeCell ref="B59:D59"/>
    <mergeCell ref="B61:D61"/>
    <mergeCell ref="B63:D63"/>
    <mergeCell ref="B52:D52"/>
    <mergeCell ref="A55:E55"/>
    <mergeCell ref="B56:D56"/>
    <mergeCell ref="B57:D57"/>
    <mergeCell ref="B58:D58"/>
    <mergeCell ref="M47:P47"/>
    <mergeCell ref="N15:N40"/>
    <mergeCell ref="O15:P15"/>
    <mergeCell ref="O16:O22"/>
    <mergeCell ref="G47:J47"/>
    <mergeCell ref="H52:J52"/>
    <mergeCell ref="N50:P50"/>
    <mergeCell ref="O24:O39"/>
    <mergeCell ref="I24:I39"/>
    <mergeCell ref="C24:C39"/>
    <mergeCell ref="H64:J64"/>
    <mergeCell ref="G55:K55"/>
    <mergeCell ref="H56:J56"/>
    <mergeCell ref="H57:J57"/>
    <mergeCell ref="H58:J58"/>
    <mergeCell ref="H59:J59"/>
    <mergeCell ref="O23:P23"/>
    <mergeCell ref="O40:P40"/>
    <mergeCell ref="N41:P41"/>
    <mergeCell ref="N42:O43"/>
    <mergeCell ref="N44:P44"/>
    <mergeCell ref="N61:P61"/>
    <mergeCell ref="N63:P63"/>
    <mergeCell ref="N64:P64"/>
    <mergeCell ref="M55:Q55"/>
    <mergeCell ref="N56:P56"/>
    <mergeCell ref="N57:P57"/>
    <mergeCell ref="N58:P58"/>
    <mergeCell ref="N59:P59"/>
    <mergeCell ref="H41:J41"/>
    <mergeCell ref="H42:I43"/>
    <mergeCell ref="M45:P45"/>
    <mergeCell ref="M49:M52"/>
    <mergeCell ref="M15:M44"/>
    <mergeCell ref="S45:V45"/>
    <mergeCell ref="S49:S52"/>
    <mergeCell ref="T49:V49"/>
    <mergeCell ref="T50:V50"/>
    <mergeCell ref="S47:V47"/>
    <mergeCell ref="S15:S44"/>
    <mergeCell ref="T15:T40"/>
    <mergeCell ref="U15:V15"/>
    <mergeCell ref="U16:U22"/>
    <mergeCell ref="U23:V23"/>
    <mergeCell ref="U40:V40"/>
    <mergeCell ref="T41:V41"/>
    <mergeCell ref="T42:U43"/>
    <mergeCell ref="T44:V44"/>
    <mergeCell ref="U24:U39"/>
    <mergeCell ref="T64:V64"/>
    <mergeCell ref="S55:W55"/>
    <mergeCell ref="T56:V56"/>
    <mergeCell ref="T57:V57"/>
    <mergeCell ref="T58:V58"/>
    <mergeCell ref="T59:V59"/>
    <mergeCell ref="T60:V60"/>
    <mergeCell ref="T61:V61"/>
    <mergeCell ref="T51:V51"/>
    <mergeCell ref="T52:V52"/>
    <mergeCell ref="T63:V63"/>
    <mergeCell ref="O5:P5"/>
    <mergeCell ref="O9:P9"/>
    <mergeCell ref="N10:P10"/>
    <mergeCell ref="O11:P11"/>
    <mergeCell ref="N12:P12"/>
    <mergeCell ref="T10:V10"/>
    <mergeCell ref="U6:V6"/>
    <mergeCell ref="U7:V7"/>
    <mergeCell ref="U8:V8"/>
    <mergeCell ref="O6:P6"/>
    <mergeCell ref="O7:P7"/>
    <mergeCell ref="O8:P8"/>
    <mergeCell ref="S5:S12"/>
    <mergeCell ref="T5:T9"/>
    <mergeCell ref="U5:V5"/>
    <mergeCell ref="U9:V9"/>
    <mergeCell ref="U11:V11"/>
    <mergeCell ref="T12:V12"/>
    <mergeCell ref="Z15:Z40"/>
    <mergeCell ref="AA15:AB15"/>
    <mergeCell ref="AA16:AA22"/>
    <mergeCell ref="AA23:AB23"/>
    <mergeCell ref="AA40:AB40"/>
    <mergeCell ref="Z44:AB44"/>
    <mergeCell ref="Y5:Y12"/>
    <mergeCell ref="Z5:Z9"/>
    <mergeCell ref="AA5:AB5"/>
    <mergeCell ref="AA9:AB9"/>
    <mergeCell ref="Z10:AB10"/>
    <mergeCell ref="AA11:AB11"/>
    <mergeCell ref="Z12:AB12"/>
    <mergeCell ref="Y13:AB13"/>
    <mergeCell ref="Y15:Y44"/>
    <mergeCell ref="AA6:AB6"/>
    <mergeCell ref="AA7:AB7"/>
    <mergeCell ref="AA8:AB8"/>
    <mergeCell ref="AA24:AA39"/>
    <mergeCell ref="Z64:AB64"/>
    <mergeCell ref="Y55:AC55"/>
    <mergeCell ref="Z56:AB56"/>
    <mergeCell ref="Z57:AB57"/>
    <mergeCell ref="Z58:AB58"/>
    <mergeCell ref="Z59:AB59"/>
    <mergeCell ref="Z41:AB41"/>
    <mergeCell ref="Z42:AA43"/>
    <mergeCell ref="Y45:AB45"/>
    <mergeCell ref="Y49:Y52"/>
    <mergeCell ref="Z49:AB49"/>
    <mergeCell ref="Z50:AB50"/>
    <mergeCell ref="Z51:AB51"/>
    <mergeCell ref="Z52:AB52"/>
    <mergeCell ref="Y47:AB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ED8-53DC-4876-A8E1-0DB56E98A3CB}">
  <dimension ref="A1:AC29"/>
  <sheetViews>
    <sheetView showGridLines="0" zoomScaleNormal="135" workbookViewId="0">
      <selection activeCell="G50" sqref="G50"/>
    </sheetView>
  </sheetViews>
  <sheetFormatPr baseColWidth="10" defaultColWidth="11" defaultRowHeight="14" x14ac:dyDescent="0.3"/>
  <cols>
    <col min="1" max="1" width="11" customWidth="1"/>
    <col min="2" max="2" width="19" customWidth="1"/>
    <col min="3" max="3" width="14.5" bestFit="1" customWidth="1"/>
    <col min="4" max="4" width="3.5" style="4" customWidth="1"/>
    <col min="5" max="5" width="11" customWidth="1"/>
    <col min="6" max="6" width="19" customWidth="1"/>
    <col min="7" max="7" width="14" bestFit="1" customWidth="1"/>
    <col min="8" max="8" width="3.5" style="4" customWidth="1"/>
    <col min="9" max="9" width="11" customWidth="1"/>
    <col min="10" max="10" width="19" customWidth="1"/>
    <col min="11" max="11" width="14" bestFit="1" customWidth="1"/>
    <col min="12" max="12" width="3.5" style="4" customWidth="1"/>
    <col min="13" max="13" width="11" customWidth="1"/>
    <col min="14" max="14" width="19" customWidth="1"/>
    <col min="15" max="15" width="14" bestFit="1" customWidth="1"/>
    <col min="16" max="16" width="3.5" style="4" customWidth="1"/>
    <col min="17" max="17" width="11" customWidth="1"/>
    <col min="18" max="18" width="19" customWidth="1"/>
    <col min="19" max="19" width="14.33203125" bestFit="1" customWidth="1"/>
    <col min="20" max="20" width="3.5" style="4" customWidth="1"/>
    <col min="21" max="21" width="11" customWidth="1"/>
    <col min="22" max="22" width="19" customWidth="1"/>
    <col min="23" max="23" width="14.33203125" bestFit="1" customWidth="1"/>
    <col min="26" max="26" width="20.83203125" bestFit="1" customWidth="1"/>
    <col min="27" max="27" width="19" bestFit="1" customWidth="1"/>
    <col min="28" max="28" width="24.33203125" bestFit="1" customWidth="1"/>
    <col min="29" max="29" width="18.1640625" bestFit="1" customWidth="1"/>
  </cols>
  <sheetData>
    <row r="1" spans="1:29" ht="15.5" x14ac:dyDescent="0.35">
      <c r="A1" s="1" t="str">
        <f>Variables!A1</f>
        <v>Arquitectura Empresarial</v>
      </c>
      <c r="E1" s="1"/>
      <c r="I1" s="1"/>
      <c r="M1" s="1"/>
      <c r="Q1" s="1"/>
      <c r="U1" s="1"/>
    </row>
    <row r="2" spans="1:29" ht="15.5" x14ac:dyDescent="0.35">
      <c r="A2" s="2" t="s">
        <v>1</v>
      </c>
      <c r="E2" s="2"/>
      <c r="I2" s="2"/>
      <c r="M2" s="2"/>
      <c r="Q2" s="2"/>
      <c r="U2" s="2"/>
    </row>
    <row r="3" spans="1:29" ht="15.5" x14ac:dyDescent="0.35">
      <c r="A3" s="2" t="s">
        <v>57</v>
      </c>
      <c r="B3" s="2"/>
      <c r="C3" s="2"/>
      <c r="D3" s="6"/>
      <c r="E3" s="2"/>
      <c r="F3" s="2"/>
      <c r="G3" s="2"/>
      <c r="H3" s="6"/>
      <c r="I3" s="2"/>
      <c r="J3" s="2"/>
      <c r="K3" s="2"/>
      <c r="L3" s="6"/>
      <c r="M3" s="2"/>
      <c r="N3" s="2"/>
      <c r="O3" s="2"/>
      <c r="P3" s="6"/>
      <c r="Q3" s="2"/>
      <c r="R3" s="2"/>
      <c r="S3" s="2"/>
      <c r="T3" s="6"/>
      <c r="U3" s="2"/>
      <c r="V3" s="2"/>
      <c r="W3" s="2"/>
    </row>
    <row r="4" spans="1:29" ht="15.5" x14ac:dyDescent="0.35">
      <c r="A4" s="1"/>
      <c r="B4" s="1"/>
      <c r="C4" s="1"/>
      <c r="D4" s="15"/>
      <c r="E4" s="1"/>
      <c r="F4" s="1"/>
      <c r="G4" s="1"/>
      <c r="H4" s="15"/>
      <c r="I4" s="1"/>
      <c r="J4" s="1"/>
      <c r="K4" s="1"/>
      <c r="L4" s="15"/>
      <c r="M4" s="1"/>
      <c r="N4" s="1"/>
      <c r="O4" s="1"/>
      <c r="P4" s="15"/>
      <c r="Q4" s="1"/>
      <c r="R4" s="1"/>
      <c r="S4" s="1"/>
      <c r="T4" s="15"/>
      <c r="U4" s="1"/>
      <c r="V4" s="1"/>
      <c r="W4" s="1"/>
    </row>
    <row r="5" spans="1:29" x14ac:dyDescent="0.3">
      <c r="A5" s="10" t="s">
        <v>58</v>
      </c>
      <c r="B5" s="117" t="s">
        <v>59</v>
      </c>
      <c r="C5" s="117"/>
      <c r="D5" s="7"/>
      <c r="E5" s="10" t="s">
        <v>58</v>
      </c>
      <c r="F5" s="117" t="s">
        <v>60</v>
      </c>
      <c r="G5" s="117"/>
      <c r="H5" s="7"/>
      <c r="I5" s="10" t="s">
        <v>58</v>
      </c>
      <c r="J5" s="117" t="s">
        <v>61</v>
      </c>
      <c r="K5" s="117"/>
      <c r="L5" s="7"/>
      <c r="M5" s="10" t="s">
        <v>58</v>
      </c>
      <c r="N5" s="117" t="s">
        <v>62</v>
      </c>
      <c r="O5" s="117"/>
      <c r="P5" s="7"/>
      <c r="Q5" s="10" t="s">
        <v>58</v>
      </c>
      <c r="R5" s="117" t="s">
        <v>63</v>
      </c>
      <c r="S5" s="117"/>
      <c r="T5" s="7"/>
      <c r="U5" s="10" t="s">
        <v>58</v>
      </c>
      <c r="V5" s="117" t="s">
        <v>64</v>
      </c>
      <c r="W5" s="117"/>
    </row>
    <row r="6" spans="1:29" s="4" customFormat="1" x14ac:dyDescent="0.3">
      <c r="A6" s="10" t="s">
        <v>65</v>
      </c>
      <c r="B6" s="118">
        <f>C13-C20</f>
        <v>500000000</v>
      </c>
      <c r="C6" s="118"/>
      <c r="D6" s="3"/>
      <c r="E6" s="10" t="s">
        <v>65</v>
      </c>
      <c r="F6" s="118">
        <f>(B6*(1-Variables!B24))+G25</f>
        <v>558860000</v>
      </c>
      <c r="G6" s="118"/>
      <c r="H6" s="3"/>
      <c r="I6" s="10" t="s">
        <v>65</v>
      </c>
      <c r="J6" s="118">
        <f>(F6*(1-Variables!B24))+K25</f>
        <v>-725742400</v>
      </c>
      <c r="K6" s="118"/>
      <c r="L6" s="3"/>
      <c r="M6" s="10" t="s">
        <v>65</v>
      </c>
      <c r="N6" s="118">
        <f>(J6*(1-Variables!B24))+O25</f>
        <v>-713208704</v>
      </c>
      <c r="O6" s="118"/>
      <c r="P6" s="3"/>
      <c r="Q6" s="10" t="s">
        <v>65</v>
      </c>
      <c r="R6" s="118">
        <f>(N6*(1-Variables!B24))+S25</f>
        <v>291327644.15999997</v>
      </c>
      <c r="S6" s="118"/>
      <c r="T6" s="3"/>
      <c r="U6" s="10" t="s">
        <v>65</v>
      </c>
      <c r="V6" s="118">
        <f>(R6*(1-Variables!B24))+W25</f>
        <v>2274810538.3936</v>
      </c>
      <c r="W6" s="118"/>
    </row>
    <row r="7" spans="1:29" s="4" customForma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9" x14ac:dyDescent="0.3">
      <c r="A8" s="119" t="s">
        <v>66</v>
      </c>
      <c r="B8" s="10" t="s">
        <v>67</v>
      </c>
      <c r="C8" s="10" t="s">
        <v>11</v>
      </c>
      <c r="D8" s="3"/>
      <c r="E8" s="119" t="s">
        <v>68</v>
      </c>
      <c r="F8" s="10" t="s">
        <v>67</v>
      </c>
      <c r="G8" s="10" t="s">
        <v>11</v>
      </c>
      <c r="H8" s="3"/>
      <c r="I8" s="119" t="s">
        <v>69</v>
      </c>
      <c r="J8" s="10" t="s">
        <v>67</v>
      </c>
      <c r="K8" s="10" t="s">
        <v>11</v>
      </c>
      <c r="L8" s="3"/>
      <c r="M8" s="119" t="s">
        <v>70</v>
      </c>
      <c r="N8" s="10" t="s">
        <v>67</v>
      </c>
      <c r="O8" s="10" t="s">
        <v>11</v>
      </c>
      <c r="P8" s="3"/>
      <c r="Q8" s="119" t="s">
        <v>71</v>
      </c>
      <c r="R8" s="10" t="s">
        <v>67</v>
      </c>
      <c r="S8" s="10" t="s">
        <v>11</v>
      </c>
      <c r="T8" s="3"/>
      <c r="U8" s="119" t="s">
        <v>72</v>
      </c>
      <c r="V8" s="10" t="s">
        <v>67</v>
      </c>
      <c r="W8" s="10" t="s">
        <v>11</v>
      </c>
    </row>
    <row r="9" spans="1:29" ht="16.5" customHeight="1" x14ac:dyDescent="0.35">
      <c r="A9" s="120"/>
      <c r="B9" s="12" t="s">
        <v>97</v>
      </c>
      <c r="C9" s="5">
        <f>Variables!B7</f>
        <v>500000000</v>
      </c>
      <c r="D9" s="8"/>
      <c r="E9" s="120"/>
      <c r="F9" s="21" t="s">
        <v>5</v>
      </c>
      <c r="G9" s="5">
        <f>'Ingresos &amp; egresos'!E47</f>
        <v>78860000</v>
      </c>
      <c r="H9" s="8"/>
      <c r="I9" s="120"/>
      <c r="J9" s="12" t="s">
        <v>5</v>
      </c>
      <c r="K9" s="5">
        <f>'Ingresos &amp; egresos'!K47</f>
        <v>-1262248000</v>
      </c>
      <c r="L9" s="8"/>
      <c r="M9" s="120"/>
      <c r="N9" s="12" t="s">
        <v>5</v>
      </c>
      <c r="O9" s="5">
        <f>'Ingresos &amp; egresos'!Q47</f>
        <v>-16496000</v>
      </c>
      <c r="P9" s="8"/>
      <c r="Q9" s="120"/>
      <c r="R9" s="12" t="s">
        <v>5</v>
      </c>
      <c r="S9" s="5">
        <f>'Ingresos &amp; egresos'!W47</f>
        <v>976008000</v>
      </c>
      <c r="T9" s="8"/>
      <c r="U9" s="120"/>
      <c r="V9" s="12" t="s">
        <v>5</v>
      </c>
      <c r="W9" s="5">
        <f>'Ingresos &amp; egresos'!AC47</f>
        <v>1995136000</v>
      </c>
      <c r="Z9" s="124"/>
      <c r="AA9" s="124"/>
      <c r="AB9" s="123"/>
      <c r="AC9" s="123"/>
    </row>
    <row r="10" spans="1:29" ht="16.5" customHeight="1" x14ac:dyDescent="0.35">
      <c r="A10" s="120"/>
      <c r="B10" s="12"/>
      <c r="C10" s="5">
        <v>0</v>
      </c>
      <c r="D10" s="8"/>
      <c r="E10" s="120"/>
      <c r="F10" s="21"/>
      <c r="G10" s="5">
        <v>0</v>
      </c>
      <c r="H10" s="8"/>
      <c r="I10" s="120"/>
      <c r="J10" s="12"/>
      <c r="K10" s="5">
        <v>0</v>
      </c>
      <c r="L10" s="8"/>
      <c r="M10" s="120"/>
      <c r="N10" s="12"/>
      <c r="O10" s="5">
        <v>0</v>
      </c>
      <c r="P10" s="8"/>
      <c r="Q10" s="120"/>
      <c r="R10" s="12"/>
      <c r="S10" s="5">
        <v>0</v>
      </c>
      <c r="T10" s="8"/>
      <c r="U10" s="120"/>
      <c r="V10" s="12"/>
      <c r="W10" s="5">
        <v>0</v>
      </c>
      <c r="Z10" s="125"/>
      <c r="AA10" s="125"/>
      <c r="AB10" s="6"/>
      <c r="AC10" s="4"/>
    </row>
    <row r="11" spans="1:29" ht="16.5" customHeight="1" x14ac:dyDescent="0.35">
      <c r="A11" s="120"/>
      <c r="B11" s="12"/>
      <c r="C11" s="5">
        <v>0</v>
      </c>
      <c r="D11" s="8"/>
      <c r="E11" s="120"/>
      <c r="F11" s="21"/>
      <c r="G11" s="5">
        <v>0</v>
      </c>
      <c r="H11" s="8"/>
      <c r="I11" s="120"/>
      <c r="J11" s="12"/>
      <c r="K11" s="5">
        <v>0</v>
      </c>
      <c r="L11" s="8"/>
      <c r="M11" s="120"/>
      <c r="N11" s="12"/>
      <c r="O11" s="5">
        <v>0</v>
      </c>
      <c r="P11" s="8"/>
      <c r="Q11" s="120"/>
      <c r="R11" s="12"/>
      <c r="S11" s="5">
        <v>0</v>
      </c>
      <c r="T11" s="8"/>
      <c r="U11" s="120"/>
      <c r="V11" s="12"/>
      <c r="W11" s="5">
        <v>0</v>
      </c>
      <c r="Z11" s="6"/>
      <c r="AA11" s="85"/>
      <c r="AB11" s="6"/>
      <c r="AC11" s="86"/>
    </row>
    <row r="12" spans="1:29" ht="16.5" customHeight="1" x14ac:dyDescent="0.35">
      <c r="A12" s="121"/>
      <c r="B12" s="12"/>
      <c r="C12" s="5">
        <v>0</v>
      </c>
      <c r="D12" s="8"/>
      <c r="E12" s="121"/>
      <c r="F12" s="12"/>
      <c r="G12" s="5">
        <v>0</v>
      </c>
      <c r="H12" s="8"/>
      <c r="I12" s="121"/>
      <c r="J12" s="12"/>
      <c r="K12" s="5">
        <v>0</v>
      </c>
      <c r="L12" s="8"/>
      <c r="M12" s="121"/>
      <c r="N12" s="12"/>
      <c r="O12" s="5">
        <v>0</v>
      </c>
      <c r="P12" s="8"/>
      <c r="Q12" s="121"/>
      <c r="R12" s="12"/>
      <c r="S12" s="5">
        <v>0</v>
      </c>
      <c r="T12" s="8"/>
      <c r="U12" s="121"/>
      <c r="V12" s="12"/>
      <c r="W12" s="5">
        <v>0</v>
      </c>
      <c r="Z12" s="6"/>
      <c r="AA12" s="85"/>
      <c r="AB12" s="6"/>
      <c r="AC12" s="4"/>
    </row>
    <row r="13" spans="1:29" s="4" customFormat="1" ht="16.5" customHeight="1" x14ac:dyDescent="0.35">
      <c r="A13" s="3"/>
      <c r="B13" s="7"/>
      <c r="C13" s="9">
        <f>SUM(C9:C12)</f>
        <v>500000000</v>
      </c>
      <c r="D13" s="8"/>
      <c r="E13" s="3"/>
      <c r="F13" s="7"/>
      <c r="G13" s="9">
        <f>SUM(G9:G12)</f>
        <v>78860000</v>
      </c>
      <c r="H13" s="8"/>
      <c r="I13" s="3"/>
      <c r="J13" s="7"/>
      <c r="K13" s="9">
        <f>SUM(K9:K12)</f>
        <v>-1262248000</v>
      </c>
      <c r="L13" s="8"/>
      <c r="M13" s="3"/>
      <c r="N13" s="7"/>
      <c r="O13" s="9">
        <f>SUM(O9:O12)</f>
        <v>-16496000</v>
      </c>
      <c r="P13" s="8"/>
      <c r="Q13" s="3"/>
      <c r="R13" s="7"/>
      <c r="S13" s="9">
        <f>SUM(S9:S12)</f>
        <v>976008000</v>
      </c>
      <c r="T13" s="8"/>
      <c r="U13" s="3"/>
      <c r="V13" s="7"/>
      <c r="W13" s="9">
        <f>SUM(W9:W12)</f>
        <v>1995136000</v>
      </c>
      <c r="Z13" s="6"/>
      <c r="AA13" s="85"/>
      <c r="AB13" s="6"/>
      <c r="AC13" s="86"/>
    </row>
    <row r="14" spans="1:29" s="4" customFormat="1" ht="16.5" customHeight="1" x14ac:dyDescent="0.35">
      <c r="A14" s="3"/>
      <c r="B14" s="7"/>
      <c r="C14" s="8"/>
      <c r="D14" s="8"/>
      <c r="E14" s="3"/>
      <c r="F14" s="7"/>
      <c r="G14" s="8"/>
      <c r="H14" s="8"/>
      <c r="I14" s="3"/>
      <c r="J14" s="7"/>
      <c r="K14" s="8"/>
      <c r="L14" s="8"/>
      <c r="M14" s="3"/>
      <c r="N14" s="7"/>
      <c r="O14" s="8"/>
      <c r="P14" s="8"/>
      <c r="Q14" s="3"/>
      <c r="R14" s="7"/>
      <c r="S14" s="8"/>
      <c r="T14" s="8"/>
      <c r="U14" s="3"/>
      <c r="V14" s="7"/>
      <c r="W14" s="8"/>
      <c r="AA14" s="85"/>
      <c r="AB14" s="6"/>
      <c r="AC14" s="86"/>
    </row>
    <row r="15" spans="1:29" s="4" customFormat="1" ht="16.5" customHeight="1" x14ac:dyDescent="0.35">
      <c r="A15" s="119" t="s">
        <v>73</v>
      </c>
      <c r="B15" s="10" t="s">
        <v>67</v>
      </c>
      <c r="C15" s="10" t="s">
        <v>11</v>
      </c>
      <c r="D15" s="3"/>
      <c r="E15" s="119" t="s">
        <v>74</v>
      </c>
      <c r="F15" s="10" t="s">
        <v>67</v>
      </c>
      <c r="G15" s="10" t="s">
        <v>11</v>
      </c>
      <c r="H15" s="3"/>
      <c r="I15" s="119" t="s">
        <v>75</v>
      </c>
      <c r="J15" s="10" t="s">
        <v>67</v>
      </c>
      <c r="K15" s="10" t="s">
        <v>11</v>
      </c>
      <c r="L15" s="3"/>
      <c r="M15" s="119" t="s">
        <v>76</v>
      </c>
      <c r="N15" s="10" t="s">
        <v>67</v>
      </c>
      <c r="O15" s="10" t="s">
        <v>11</v>
      </c>
      <c r="P15" s="3"/>
      <c r="Q15" s="119" t="s">
        <v>77</v>
      </c>
      <c r="R15" s="10" t="s">
        <v>67</v>
      </c>
      <c r="S15" s="10" t="s">
        <v>11</v>
      </c>
      <c r="T15" s="3"/>
      <c r="U15" s="119" t="s">
        <v>78</v>
      </c>
      <c r="V15" s="10" t="s">
        <v>67</v>
      </c>
      <c r="W15" s="10" t="s">
        <v>11</v>
      </c>
      <c r="AA15" s="85"/>
      <c r="AB15" s="6"/>
      <c r="AC15" s="86"/>
    </row>
    <row r="16" spans="1:29" s="4" customFormat="1" ht="16.5" customHeight="1" x14ac:dyDescent="0.35">
      <c r="A16" s="120"/>
      <c r="B16" s="12"/>
      <c r="C16" s="5">
        <v>0</v>
      </c>
      <c r="D16" s="8"/>
      <c r="E16" s="120"/>
      <c r="F16" s="12"/>
      <c r="G16" s="5">
        <v>0</v>
      </c>
      <c r="H16" s="8"/>
      <c r="I16" s="120"/>
      <c r="J16" s="12"/>
      <c r="K16" s="5">
        <v>0</v>
      </c>
      <c r="L16" s="8"/>
      <c r="M16" s="120"/>
      <c r="N16" s="12"/>
      <c r="O16" s="5">
        <v>0</v>
      </c>
      <c r="P16" s="8"/>
      <c r="Q16" s="120"/>
      <c r="R16" s="12"/>
      <c r="S16" s="5">
        <v>0</v>
      </c>
      <c r="T16" s="8"/>
      <c r="U16" s="120"/>
      <c r="V16" s="12"/>
      <c r="W16" s="5">
        <v>0</v>
      </c>
      <c r="AA16" s="85"/>
      <c r="AB16" s="6"/>
      <c r="AC16" s="86"/>
    </row>
    <row r="17" spans="1:29" s="4" customFormat="1" ht="16.5" customHeight="1" x14ac:dyDescent="0.35">
      <c r="A17" s="120"/>
      <c r="B17" s="12"/>
      <c r="C17" s="5">
        <v>0</v>
      </c>
      <c r="D17" s="8"/>
      <c r="E17" s="120"/>
      <c r="F17" s="12"/>
      <c r="G17" s="5">
        <v>0</v>
      </c>
      <c r="H17" s="8"/>
      <c r="I17" s="120"/>
      <c r="J17" s="12"/>
      <c r="K17" s="5">
        <v>0</v>
      </c>
      <c r="L17" s="8"/>
      <c r="M17" s="120"/>
      <c r="N17" s="12"/>
      <c r="O17" s="5">
        <v>0</v>
      </c>
      <c r="P17" s="8"/>
      <c r="Q17" s="120"/>
      <c r="R17" s="12"/>
      <c r="S17" s="5">
        <v>0</v>
      </c>
      <c r="T17" s="8"/>
      <c r="U17" s="120"/>
      <c r="V17" s="12"/>
      <c r="W17" s="5">
        <v>0</v>
      </c>
      <c r="Z17" s="126"/>
      <c r="AA17" s="126"/>
      <c r="AB17" s="125"/>
      <c r="AC17" s="125"/>
    </row>
    <row r="18" spans="1:29" s="4" customFormat="1" ht="16.5" customHeight="1" x14ac:dyDescent="0.35">
      <c r="A18" s="120"/>
      <c r="B18" s="12"/>
      <c r="C18" s="5">
        <v>0</v>
      </c>
      <c r="D18" s="8"/>
      <c r="E18" s="120"/>
      <c r="F18" s="12"/>
      <c r="G18" s="5">
        <v>0</v>
      </c>
      <c r="H18" s="8"/>
      <c r="I18" s="120"/>
      <c r="J18" s="12"/>
      <c r="K18" s="5">
        <v>0</v>
      </c>
      <c r="L18" s="8"/>
      <c r="M18" s="120"/>
      <c r="N18" s="12"/>
      <c r="O18" s="5">
        <v>0</v>
      </c>
      <c r="P18" s="8"/>
      <c r="Q18" s="120"/>
      <c r="R18" s="12"/>
      <c r="S18" s="5">
        <v>0</v>
      </c>
      <c r="T18" s="8"/>
      <c r="U18" s="120"/>
      <c r="V18" s="12"/>
      <c r="W18" s="5">
        <v>0</v>
      </c>
      <c r="Z18" s="6"/>
      <c r="AA18" s="85"/>
      <c r="AB18" s="6"/>
      <c r="AC18" s="86"/>
    </row>
    <row r="19" spans="1:29" s="4" customFormat="1" ht="16.5" customHeight="1" x14ac:dyDescent="0.35">
      <c r="A19" s="121"/>
      <c r="B19" s="12"/>
      <c r="C19" s="5">
        <v>0</v>
      </c>
      <c r="D19" s="8"/>
      <c r="E19" s="121"/>
      <c r="F19" s="12"/>
      <c r="G19" s="5">
        <v>0</v>
      </c>
      <c r="H19" s="8"/>
      <c r="I19" s="121"/>
      <c r="J19" s="12"/>
      <c r="K19" s="5">
        <v>0</v>
      </c>
      <c r="L19" s="8"/>
      <c r="M19" s="121"/>
      <c r="N19" s="12"/>
      <c r="O19" s="5">
        <v>0</v>
      </c>
      <c r="P19" s="8"/>
      <c r="Q19" s="121"/>
      <c r="R19" s="12"/>
      <c r="S19" s="5">
        <v>0</v>
      </c>
      <c r="T19" s="8"/>
      <c r="U19" s="121"/>
      <c r="V19" s="12"/>
      <c r="W19" s="5">
        <v>0</v>
      </c>
      <c r="Z19" s="6"/>
      <c r="AA19" s="85"/>
      <c r="AC19" s="86"/>
    </row>
    <row r="20" spans="1:29" s="4" customFormat="1" ht="16.5" customHeight="1" x14ac:dyDescent="0.35">
      <c r="A20" s="3"/>
      <c r="B20" s="7"/>
      <c r="C20" s="9">
        <f>SUM(C16:C19)</f>
        <v>0</v>
      </c>
      <c r="D20" s="8"/>
      <c r="E20" s="3"/>
      <c r="F20" s="7"/>
      <c r="G20" s="9">
        <f>SUM(G16:G19)</f>
        <v>0</v>
      </c>
      <c r="H20" s="8"/>
      <c r="I20" s="3"/>
      <c r="J20" s="7"/>
      <c r="K20" s="9">
        <f>SUM(K16:K19)</f>
        <v>0</v>
      </c>
      <c r="L20" s="8"/>
      <c r="M20" s="3"/>
      <c r="N20" s="7"/>
      <c r="O20" s="9">
        <f>SUM(O16:O19)</f>
        <v>0</v>
      </c>
      <c r="P20" s="8"/>
      <c r="Q20" s="3"/>
      <c r="R20" s="7"/>
      <c r="S20" s="9">
        <f>SUM(S16:S19)</f>
        <v>0</v>
      </c>
      <c r="T20" s="8"/>
      <c r="U20" s="3"/>
      <c r="V20" s="7"/>
      <c r="W20" s="9">
        <f>SUM(W16:W19)</f>
        <v>0</v>
      </c>
      <c r="Z20" s="6"/>
      <c r="AA20" s="85"/>
      <c r="AB20" s="6"/>
      <c r="AC20" s="86"/>
    </row>
    <row r="21" spans="1:29" s="4" customFormat="1" ht="16.5" customHeight="1" x14ac:dyDescent="0.35">
      <c r="A21" s="3"/>
      <c r="B21" s="7"/>
      <c r="C21" s="8"/>
      <c r="D21" s="8"/>
      <c r="E21" s="3"/>
      <c r="F21" s="7"/>
      <c r="G21" s="8"/>
      <c r="H21" s="8"/>
      <c r="I21" s="3"/>
      <c r="J21" s="7"/>
      <c r="K21" s="8"/>
      <c r="L21" s="8"/>
      <c r="M21" s="3"/>
      <c r="N21" s="7"/>
      <c r="O21" s="8"/>
      <c r="P21" s="8"/>
      <c r="Q21" s="3"/>
      <c r="R21" s="7"/>
      <c r="S21" s="8"/>
      <c r="T21" s="8"/>
      <c r="U21" s="3"/>
      <c r="V21" s="7"/>
      <c r="W21" s="8"/>
      <c r="Z21" s="6"/>
      <c r="AA21" s="85"/>
      <c r="AC21" s="86"/>
    </row>
    <row r="22" spans="1:29" s="4" customFormat="1" ht="16.5" customHeight="1" x14ac:dyDescent="0.35">
      <c r="A22" s="122" t="s">
        <v>79</v>
      </c>
      <c r="B22" s="122"/>
      <c r="C22" s="122"/>
      <c r="D22" s="16"/>
      <c r="E22" s="122" t="s">
        <v>79</v>
      </c>
      <c r="F22" s="122"/>
      <c r="G22" s="122"/>
      <c r="H22" s="16"/>
      <c r="I22" s="122" t="s">
        <v>79</v>
      </c>
      <c r="J22" s="122"/>
      <c r="K22" s="122"/>
      <c r="L22" s="16"/>
      <c r="M22" s="122" t="s">
        <v>79</v>
      </c>
      <c r="N22" s="122"/>
      <c r="O22" s="122"/>
      <c r="P22" s="16"/>
      <c r="Q22" s="122" t="s">
        <v>79</v>
      </c>
      <c r="R22" s="122"/>
      <c r="S22" s="122"/>
      <c r="T22" s="16"/>
      <c r="U22" s="122" t="s">
        <v>79</v>
      </c>
      <c r="V22" s="122"/>
      <c r="W22" s="122"/>
      <c r="AB22" s="123"/>
      <c r="AC22" s="123"/>
    </row>
    <row r="23" spans="1:29" s="4" customFormat="1" ht="28" x14ac:dyDescent="0.3">
      <c r="A23" s="11" t="s">
        <v>80</v>
      </c>
      <c r="B23" s="13" t="s">
        <v>81</v>
      </c>
      <c r="C23" s="17">
        <f>C20/C13</f>
        <v>0</v>
      </c>
      <c r="D23" s="7"/>
      <c r="E23" s="11" t="s">
        <v>80</v>
      </c>
      <c r="F23" s="13" t="s">
        <v>81</v>
      </c>
      <c r="G23" s="17">
        <f>G20/G13</f>
        <v>0</v>
      </c>
      <c r="H23" s="7"/>
      <c r="I23" s="11" t="s">
        <v>80</v>
      </c>
      <c r="J23" s="13" t="s">
        <v>81</v>
      </c>
      <c r="K23" s="17">
        <f>K20/K13</f>
        <v>0</v>
      </c>
      <c r="L23" s="7"/>
      <c r="M23" s="11" t="s">
        <v>80</v>
      </c>
      <c r="N23" s="13" t="s">
        <v>81</v>
      </c>
      <c r="O23" s="17">
        <f>O20/O13</f>
        <v>0</v>
      </c>
      <c r="P23" s="7"/>
      <c r="Q23" s="11" t="s">
        <v>80</v>
      </c>
      <c r="R23" s="13" t="s">
        <v>81</v>
      </c>
      <c r="S23" s="17">
        <f>S20/S13</f>
        <v>0</v>
      </c>
      <c r="T23" s="7"/>
      <c r="U23" s="11" t="s">
        <v>80</v>
      </c>
      <c r="V23" s="13" t="s">
        <v>81</v>
      </c>
      <c r="W23" s="17">
        <f>W20/W13</f>
        <v>0</v>
      </c>
      <c r="AC23" s="87"/>
    </row>
    <row r="24" spans="1:29" s="4" customFormat="1" ht="30" customHeight="1" x14ac:dyDescent="0.35">
      <c r="A24" s="11" t="s">
        <v>82</v>
      </c>
      <c r="B24" s="13" t="s">
        <v>83</v>
      </c>
      <c r="C24" s="11">
        <f>C16/B6</f>
        <v>0</v>
      </c>
      <c r="D24" s="7"/>
      <c r="E24" s="11" t="s">
        <v>82</v>
      </c>
      <c r="F24" s="13" t="s">
        <v>83</v>
      </c>
      <c r="G24" s="18">
        <f>G16/F6</f>
        <v>0</v>
      </c>
      <c r="H24" s="7"/>
      <c r="I24" s="11" t="s">
        <v>82</v>
      </c>
      <c r="J24" s="13" t="s">
        <v>83</v>
      </c>
      <c r="K24" s="18">
        <f>K16/J6</f>
        <v>0</v>
      </c>
      <c r="L24" s="7"/>
      <c r="M24" s="11" t="s">
        <v>82</v>
      </c>
      <c r="N24" s="13" t="s">
        <v>83</v>
      </c>
      <c r="O24" s="18">
        <f>O16/N6</f>
        <v>0</v>
      </c>
      <c r="P24" s="7"/>
      <c r="Q24" s="11" t="s">
        <v>82</v>
      </c>
      <c r="R24" s="13" t="s">
        <v>83</v>
      </c>
      <c r="S24" s="18">
        <f>S16/R6</f>
        <v>0</v>
      </c>
      <c r="T24" s="7"/>
      <c r="U24" s="11" t="s">
        <v>82</v>
      </c>
      <c r="V24" s="13" t="s">
        <v>83</v>
      </c>
      <c r="W24" s="18">
        <f>W16/V6</f>
        <v>0</v>
      </c>
      <c r="AA24" s="85"/>
    </row>
    <row r="25" spans="1:29" s="4" customFormat="1" ht="30" customHeight="1" x14ac:dyDescent="0.35">
      <c r="A25" s="11"/>
      <c r="B25" s="13" t="s">
        <v>84</v>
      </c>
      <c r="C25" s="5">
        <v>0</v>
      </c>
      <c r="D25" s="7"/>
      <c r="E25" s="11"/>
      <c r="F25" s="13" t="s">
        <v>84</v>
      </c>
      <c r="G25" s="5">
        <f>G13-G20</f>
        <v>78860000</v>
      </c>
      <c r="H25" s="7"/>
      <c r="I25" s="11"/>
      <c r="J25" s="13" t="s">
        <v>84</v>
      </c>
      <c r="K25" s="5">
        <f>K13-K20</f>
        <v>-1262248000</v>
      </c>
      <c r="L25" s="7"/>
      <c r="M25" s="11"/>
      <c r="N25" s="13" t="s">
        <v>84</v>
      </c>
      <c r="O25" s="5">
        <f>O13-O20</f>
        <v>-16496000</v>
      </c>
      <c r="P25" s="7"/>
      <c r="Q25" s="11"/>
      <c r="R25" s="13" t="s">
        <v>84</v>
      </c>
      <c r="S25" s="5">
        <f>S13-S20</f>
        <v>976008000</v>
      </c>
      <c r="T25" s="7"/>
      <c r="U25" s="11"/>
      <c r="V25" s="13" t="s">
        <v>84</v>
      </c>
      <c r="W25" s="5">
        <f>W13-W20</f>
        <v>1995136000</v>
      </c>
      <c r="Z25" s="88"/>
      <c r="AA25" s="89"/>
      <c r="AB25" s="88"/>
      <c r="AC25" s="90"/>
    </row>
    <row r="26" spans="1:29" s="4" customFormat="1" ht="28" x14ac:dyDescent="0.3">
      <c r="A26" s="11"/>
      <c r="B26" s="13" t="s">
        <v>85</v>
      </c>
      <c r="C26" s="5">
        <v>0</v>
      </c>
      <c r="D26" s="7"/>
      <c r="E26" s="11"/>
      <c r="F26" s="13" t="s">
        <v>85</v>
      </c>
      <c r="G26" s="5">
        <f>G25+C26</f>
        <v>78860000</v>
      </c>
      <c r="H26" s="7"/>
      <c r="I26" s="11"/>
      <c r="J26" s="13" t="s">
        <v>85</v>
      </c>
      <c r="K26" s="5">
        <f>G26+K25</f>
        <v>-1183388000</v>
      </c>
      <c r="L26" s="7"/>
      <c r="M26" s="11"/>
      <c r="N26" s="13" t="s">
        <v>85</v>
      </c>
      <c r="O26" s="5">
        <f>K26+O25</f>
        <v>-1199884000</v>
      </c>
      <c r="P26" s="7"/>
      <c r="Q26" s="11"/>
      <c r="R26" s="13" t="s">
        <v>85</v>
      </c>
      <c r="S26" s="5">
        <f>O26+S25</f>
        <v>-223876000</v>
      </c>
      <c r="T26" s="7"/>
      <c r="U26" s="11"/>
      <c r="V26" s="13" t="s">
        <v>85</v>
      </c>
      <c r="W26" s="5">
        <f>S26+W25</f>
        <v>1771260000</v>
      </c>
    </row>
    <row r="29" spans="1:29" x14ac:dyDescent="0.3">
      <c r="B29" s="84"/>
      <c r="J29" s="7"/>
    </row>
  </sheetData>
  <mergeCells count="36">
    <mergeCell ref="Z9:AA9"/>
    <mergeCell ref="AB9:AC9"/>
    <mergeCell ref="Z10:AA10"/>
    <mergeCell ref="Z17:AA17"/>
    <mergeCell ref="AB17:AC17"/>
    <mergeCell ref="AB22:AC22"/>
    <mergeCell ref="A22:C22"/>
    <mergeCell ref="B6:C6"/>
    <mergeCell ref="F5:G5"/>
    <mergeCell ref="F6:G6"/>
    <mergeCell ref="E8:E12"/>
    <mergeCell ref="E15:E19"/>
    <mergeCell ref="E22:G22"/>
    <mergeCell ref="B5:C5"/>
    <mergeCell ref="A8:A12"/>
    <mergeCell ref="A15:A19"/>
    <mergeCell ref="N5:O5"/>
    <mergeCell ref="N6:O6"/>
    <mergeCell ref="M8:M12"/>
    <mergeCell ref="M15:M19"/>
    <mergeCell ref="M22:O22"/>
    <mergeCell ref="J5:K5"/>
    <mergeCell ref="J6:K6"/>
    <mergeCell ref="I8:I12"/>
    <mergeCell ref="I15:I19"/>
    <mergeCell ref="I22:K22"/>
    <mergeCell ref="V5:W5"/>
    <mergeCell ref="V6:W6"/>
    <mergeCell ref="U8:U12"/>
    <mergeCell ref="U15:U19"/>
    <mergeCell ref="U22:W22"/>
    <mergeCell ref="R5:S5"/>
    <mergeCell ref="R6:S6"/>
    <mergeCell ref="Q8:Q12"/>
    <mergeCell ref="Q15:Q19"/>
    <mergeCell ref="Q22:S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Variables</vt:lpstr>
      <vt:lpstr>Ingresos &amp; egresos</vt:lpstr>
      <vt:lpstr>Balance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Villalobos</dc:creator>
  <cp:keywords/>
  <dc:description/>
  <cp:lastModifiedBy>Sergio Pardo</cp:lastModifiedBy>
  <cp:revision/>
  <dcterms:created xsi:type="dcterms:W3CDTF">2021-01-29T14:57:31Z</dcterms:created>
  <dcterms:modified xsi:type="dcterms:W3CDTF">2022-09-22T00:40:45Z</dcterms:modified>
  <cp:category/>
  <cp:contentStatus/>
</cp:coreProperties>
</file>