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0EF67C59-882C-43D1-B9D7-101BD13F0952}" xr6:coauthVersionLast="47" xr6:coauthVersionMax="47" xr10:uidLastSave="{00000000-0000-0000-0000-000000000000}"/>
  <bookViews>
    <workbookView xWindow="28680" yWindow="-120" windowWidth="29040" windowHeight="15720" activeTab="1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" i="6" l="1"/>
  <c r="AC30" i="6"/>
  <c r="AC29" i="6"/>
  <c r="AC28" i="6"/>
  <c r="AC27" i="6"/>
  <c r="W31" i="6"/>
  <c r="W30" i="6"/>
  <c r="W29" i="6"/>
  <c r="W28" i="6"/>
  <c r="W27" i="6"/>
  <c r="Q31" i="6"/>
  <c r="Q30" i="6"/>
  <c r="Q29" i="6"/>
  <c r="Q28" i="6"/>
  <c r="Q27" i="6"/>
  <c r="AC17" i="6"/>
  <c r="W17" i="6"/>
  <c r="AC37" i="6"/>
  <c r="AC36" i="6"/>
  <c r="AC35" i="6"/>
  <c r="AC34" i="6"/>
  <c r="AC33" i="6"/>
  <c r="AC32" i="6"/>
  <c r="AC26" i="6"/>
  <c r="AC25" i="6"/>
  <c r="AC24" i="6"/>
  <c r="W37" i="6"/>
  <c r="Q37" i="6"/>
  <c r="W9" i="6"/>
  <c r="AC16" i="6"/>
  <c r="W16" i="6"/>
  <c r="AC9" i="6"/>
  <c r="AC8" i="6"/>
  <c r="W8" i="6"/>
  <c r="AC7" i="6"/>
  <c r="W7" i="6"/>
  <c r="W36" i="6"/>
  <c r="W35" i="6"/>
  <c r="W34" i="6"/>
  <c r="W33" i="6"/>
  <c r="W32" i="6"/>
  <c r="W26" i="6"/>
  <c r="W25" i="6"/>
  <c r="W24" i="6"/>
  <c r="Q36" i="6"/>
  <c r="Q35" i="6"/>
  <c r="Q34" i="6"/>
  <c r="Q33" i="6"/>
  <c r="Q32" i="6"/>
  <c r="Q26" i="6"/>
  <c r="Q25" i="6"/>
  <c r="Q24" i="6"/>
  <c r="K36" i="6"/>
  <c r="K35" i="6"/>
  <c r="K34" i="6"/>
  <c r="K33" i="6"/>
  <c r="K32" i="6"/>
  <c r="K26" i="6"/>
  <c r="K25" i="6"/>
  <c r="K24" i="6"/>
  <c r="K37" i="6"/>
  <c r="K27" i="6"/>
  <c r="K31" i="6"/>
  <c r="K30" i="6"/>
  <c r="K29" i="6"/>
  <c r="K28" i="6"/>
  <c r="AC18" i="6"/>
  <c r="W18" i="6"/>
  <c r="Q18" i="6"/>
  <c r="AC6" i="6"/>
  <c r="W6" i="6"/>
  <c r="Q6" i="6"/>
  <c r="K6" i="6"/>
  <c r="K18" i="6"/>
  <c r="Q17" i="6"/>
  <c r="Q16" i="6"/>
  <c r="K16" i="6"/>
  <c r="Q9" i="6"/>
  <c r="Q7" i="6"/>
  <c r="K7" i="6"/>
  <c r="E25" i="6"/>
  <c r="Q8" i="6"/>
  <c r="B40" i="2"/>
  <c r="B41" i="2"/>
  <c r="B42" i="2"/>
  <c r="B43" i="2"/>
  <c r="K9" i="6"/>
  <c r="K11" i="6"/>
  <c r="K12" i="6" s="1"/>
  <c r="E32" i="6"/>
  <c r="E31" i="6"/>
  <c r="E11" i="6"/>
  <c r="E12" i="6" s="1"/>
  <c r="B39" i="2"/>
  <c r="B13" i="2"/>
  <c r="E34" i="6"/>
  <c r="B64" i="2"/>
  <c r="E18" i="6" s="1"/>
  <c r="B63" i="2"/>
  <c r="E8" i="6" s="1"/>
  <c r="E33" i="6"/>
  <c r="E29" i="6"/>
  <c r="E9" i="6"/>
  <c r="B48" i="2"/>
  <c r="B38" i="2"/>
  <c r="E24" i="6" s="1"/>
  <c r="B37" i="2"/>
  <c r="E26" i="6" s="1"/>
  <c r="B34" i="2"/>
  <c r="B12" i="2"/>
  <c r="B49" i="2"/>
  <c r="E27" i="6" s="1"/>
  <c r="B46" i="2"/>
  <c r="E28" i="6" s="1"/>
  <c r="E7" i="6"/>
  <c r="AC44" i="6"/>
  <c r="AC12" i="6"/>
  <c r="W44" i="6"/>
  <c r="W12" i="6"/>
  <c r="Q44" i="6"/>
  <c r="Q12" i="6"/>
  <c r="E44" i="6"/>
  <c r="K44" i="6"/>
  <c r="A1" i="6"/>
  <c r="B5" i="2"/>
  <c r="K8" i="6" l="1"/>
  <c r="K17" i="6"/>
  <c r="E17" i="6"/>
  <c r="E30" i="6"/>
  <c r="E40" i="6" s="1"/>
  <c r="E16" i="6"/>
  <c r="E6" i="6"/>
  <c r="A1" i="5"/>
  <c r="C20" i="5"/>
  <c r="C9" i="5"/>
  <c r="C13" i="5" s="1"/>
  <c r="K40" i="6" l="1"/>
  <c r="E23" i="6"/>
  <c r="E41" i="6" s="1"/>
  <c r="E45" i="6" s="1"/>
  <c r="K23" i="6"/>
  <c r="E10" i="6"/>
  <c r="E13" i="6" s="1"/>
  <c r="C23" i="5"/>
  <c r="B6" i="5"/>
  <c r="Q10" i="6" l="1"/>
  <c r="C24" i="5"/>
  <c r="Q40" i="6"/>
  <c r="K41" i="6"/>
  <c r="K45" i="6" s="1"/>
  <c r="E56" i="6"/>
  <c r="E58" i="6" s="1"/>
  <c r="E59" i="6" s="1"/>
  <c r="E47" i="6"/>
  <c r="AC40" i="6" l="1"/>
  <c r="E51" i="6"/>
  <c r="G9" i="5"/>
  <c r="E52" i="6"/>
  <c r="W40" i="6"/>
  <c r="E57" i="6"/>
  <c r="K20" i="5"/>
  <c r="G20" i="5"/>
  <c r="E53" i="6" l="1"/>
  <c r="E60" i="6" s="1"/>
  <c r="E61" i="6" s="1"/>
  <c r="G13" i="5"/>
  <c r="G23" i="5" s="1"/>
  <c r="E62" i="6" l="1"/>
  <c r="E63" i="6"/>
  <c r="G25" i="5"/>
  <c r="F6" i="5" s="1"/>
  <c r="K10" i="6"/>
  <c r="K13" i="6" s="1"/>
  <c r="K56" i="6" l="1"/>
  <c r="K58" i="6" s="1"/>
  <c r="K59" i="6" s="1"/>
  <c r="G26" i="5"/>
  <c r="K47" i="6"/>
  <c r="K9" i="5" s="1"/>
  <c r="K13" i="5" s="1"/>
  <c r="K25" i="5" l="1"/>
  <c r="J6" i="5" s="1"/>
  <c r="K24" i="5" s="1"/>
  <c r="K23" i="5"/>
  <c r="K52" i="6"/>
  <c r="K51" i="6"/>
  <c r="K57" i="6"/>
  <c r="G24" i="5"/>
  <c r="K26" i="5" l="1"/>
  <c r="K53" i="6"/>
  <c r="K60" i="6" s="1"/>
  <c r="K62" i="6" l="1"/>
  <c r="K63" i="6"/>
  <c r="K61" i="6"/>
  <c r="W23" i="6"/>
  <c r="W41" i="6" s="1"/>
  <c r="W45" i="6" s="1"/>
  <c r="AC23" i="6"/>
  <c r="Q23" i="6"/>
  <c r="Q41" i="6" l="1"/>
  <c r="Q45" i="6" s="1"/>
  <c r="AC41" i="6"/>
  <c r="AC45" i="6" s="1"/>
  <c r="O20" i="5" l="1"/>
  <c r="S20" i="5"/>
  <c r="W20" i="5" l="1"/>
  <c r="Q13" i="6"/>
  <c r="Q56" i="6" l="1"/>
  <c r="Q47" i="6"/>
  <c r="Q52" i="6" l="1"/>
  <c r="Q51" i="6"/>
  <c r="O9" i="5"/>
  <c r="O13" i="5" s="1"/>
  <c r="O25" i="5" s="1"/>
  <c r="N6" i="5" s="1"/>
  <c r="Q57" i="6"/>
  <c r="Q58" i="6"/>
  <c r="Q53" i="6" l="1"/>
  <c r="Q60" i="6" s="1"/>
  <c r="O23" i="5"/>
  <c r="O26" i="5"/>
  <c r="O24" i="5"/>
  <c r="Q59" i="6"/>
  <c r="Q63" i="6" l="1"/>
  <c r="Q62" i="6"/>
  <c r="Q61" i="6"/>
  <c r="W10" i="6" l="1"/>
  <c r="W13" i="6" s="1"/>
  <c r="AC10" i="6"/>
  <c r="AC13" i="6" s="1"/>
  <c r="AC47" i="6" l="1"/>
  <c r="AC56" i="6"/>
  <c r="W56" i="6"/>
  <c r="W47" i="6"/>
  <c r="AC52" i="6" l="1"/>
  <c r="AC51" i="6"/>
  <c r="W9" i="5"/>
  <c r="W13" i="5" s="1"/>
  <c r="W23" i="5" s="1"/>
  <c r="S9" i="5"/>
  <c r="S13" i="5" s="1"/>
  <c r="S23" i="5" s="1"/>
  <c r="W51" i="6"/>
  <c r="W52" i="6"/>
  <c r="W57" i="6"/>
  <c r="W58" i="6"/>
  <c r="AC57" i="6"/>
  <c r="AC58" i="6"/>
  <c r="W25" i="5" l="1"/>
  <c r="W53" i="6"/>
  <c r="W60" i="6" s="1"/>
  <c r="S25" i="5"/>
  <c r="R6" i="5" s="1"/>
  <c r="AC53" i="6"/>
  <c r="AC60" i="6" s="1"/>
  <c r="W59" i="6"/>
  <c r="AC59" i="6"/>
  <c r="V6" i="5" l="1"/>
  <c r="W24" i="5" s="1"/>
  <c r="S26" i="5"/>
  <c r="W26" i="5" s="1"/>
  <c r="W63" i="6"/>
  <c r="W62" i="6"/>
  <c r="AC63" i="6"/>
  <c r="AC62" i="6"/>
  <c r="S24" i="5"/>
  <c r="AC61" i="6"/>
  <c r="W61" i="6"/>
</calcChain>
</file>

<file path=xl/sharedStrings.xml><?xml version="1.0" encoding="utf-8"?>
<sst xmlns="http://schemas.openxmlformats.org/spreadsheetml/2006/main" count="498" uniqueCount="177">
  <si>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</si>
  <si>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</si>
  <si>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</si>
  <si>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</si>
  <si>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</si>
  <si>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</si>
  <si>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</si>
  <si>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</si>
  <si>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</si>
  <si>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</si>
  <si>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</si>
  <si>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</si>
  <si>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</si>
  <si>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</si>
  <si>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</si>
  <si>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</si>
  <si>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</si>
  <si>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</si>
  <si>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</si>
  <si>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</si>
  <si>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</si>
  <si>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</si>
  <si>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</si>
  <si>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</si>
  <si>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</si>
  <si>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</si>
  <si>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</si>
  <si>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</si>
  <si>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</si>
  <si>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</si>
  <si>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</si>
  <si>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</si>
  <si>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</si>
  <si>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</si>
  <si>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</si>
  <si>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</si>
  <si>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</si>
  <si>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</si>
  <si>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</si>
  <si>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</si>
  <si>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</si>
  <si>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</si>
  <si>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</si>
  <si>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</si>
  <si>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</si>
  <si>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</si>
  <si>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</si>
  <si>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</si>
  <si>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</si>
  <si>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</si>
  <si>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</si>
  <si>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</si>
  <si>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</si>
  <si>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</si>
  <si>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</si>
  <si>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</si>
  <si>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</si>
  <si>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</si>
  <si>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</si>
  <si>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</si>
  <si>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</si>
  <si>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</si>
  <si>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</si>
  <si>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</si>
  <si>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</si>
  <si>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</si>
  <si>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</si>
  <si>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</si>
  <si>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</si>
  <si>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</si>
  <si>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</si>
  <si>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</si>
  <si>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</si>
  <si>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</si>
  <si>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</si>
  <si>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</si>
  <si>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</si>
  <si>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</si>
  <si>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</si>
  <si>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</si>
  <si>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</si>
  <si>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</si>
  <si>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</si>
  <si>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</si>
  <si>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</si>
  <si>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</si>
  <si>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</si>
  <si>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</si>
  <si>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</si>
  <si>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</si>
  <si>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</si>
  <si>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</si>
  <si>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</si>
  <si>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</si>
  <si>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</si>
  <si>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</si>
  <si>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</si>
  <si>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</si>
  <si>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</si>
  <si>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</si>
  <si>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</si>
  <si>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</si>
  <si>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</si>
  <si>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</si>
  <si>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</si>
  <si>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</si>
  <si>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</si>
  <si>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</si>
  <si>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</si>
  <si>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</si>
  <si>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</si>
  <si>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</si>
  <si>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</si>
  <si>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</si>
  <si>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</si>
  <si>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</si>
  <si>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</si>
  <si>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</si>
  <si>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</si>
  <si>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</si>
  <si>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</si>
  <si>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</si>
  <si>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</si>
  <si>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</si>
  <si>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</si>
  <si>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</si>
  <si>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</si>
  <si>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</si>
  <si>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</si>
  <si>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</si>
  <si>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</si>
  <si>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</si>
  <si>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</si>
  <si>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</si>
  <si>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</si>
  <si>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</si>
  <si>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</si>
  <si>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</si>
  <si>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</si>
  <si>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</si>
  <si>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</si>
  <si>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</si>
  <si>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</si>
  <si>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</si>
  <si>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</si>
  <si>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</si>
  <si>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</si>
  <si>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</si>
  <si>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</si>
  <si>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</si>
  <si>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</si>
  <si>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</si>
  <si>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</si>
  <si>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</si>
  <si>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Valor arriendo de un local annual</t>
  </si>
  <si>
    <t>Remodelaciones de local nuevo</t>
  </si>
  <si>
    <t xml:space="preserve">Costos de distriución por local 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</si>
  <si>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</si>
  <si>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</si>
  <si>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</si>
  <si>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</si>
  <si>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Sedes abiertas en el segundo año</t>
  </si>
  <si>
    <t>Sedes nuevas abiertas con respecto al año anterior (multiplicador)</t>
  </si>
  <si>
    <t>Inversión tecnológica para apertura de portal web (canal digital)</t>
  </si>
  <si>
    <t xml:space="preserve">Mantenimiento del servidor 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</si>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</sst>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3" applyFont="1" applyFill="1" applyBorder="1" applyAlignment="1">
      <alignment horizontal="left" vertical="center" wrapText="1"/>
    </xf>
    <xf numFmtId="0" fontId="3" fillId="2" borderId="11" xfId="3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0"/>
  <sheetViews>
    <sheetView showGridLines="0" topLeftCell="A21" zoomScale="75" zoomScaleNormal="85" workbookViewId="0">
      <selection activeCell="B32" sqref="B32"/>
    </sheetView>
  </sheetViews>
  <sheetFormatPr baseColWidth="10" defaultColWidth="11" defaultRowHeight="14" x14ac:dyDescent="0.3"/>
  <cols>
    <col min="1" max="1" width="67.83203125" customWidth="1"/>
    <col min="2" max="2" width="18.5820312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92"/>
    </row>
    <row r="6" spans="1:7" ht="15.5" x14ac:dyDescent="0.35">
      <c r="A6" s="14" t="s">
        <v>3</v>
      </c>
      <c r="B6" s="19">
        <v>0</v>
      </c>
      <c r="C6" s="2"/>
      <c r="D6" s="92"/>
    </row>
    <row r="7" spans="1:7" ht="15.5" x14ac:dyDescent="0.35">
      <c r="A7" s="14" t="s">
        <v>4</v>
      </c>
      <c r="B7" s="19">
        <v>500000000</v>
      </c>
      <c r="C7" s="2"/>
      <c r="D7" s="92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91"/>
    </row>
    <row r="18" spans="1:4" ht="15.5" x14ac:dyDescent="0.35">
      <c r="A18" s="60" t="s">
        <v>110</v>
      </c>
      <c r="B18" s="60"/>
      <c r="C18" s="2"/>
      <c r="D18" s="91"/>
    </row>
    <row r="19" spans="1:4" ht="15.5" x14ac:dyDescent="0.35">
      <c r="A19" s="50" t="s">
        <v>120</v>
      </c>
      <c r="B19" s="67">
        <v>3</v>
      </c>
      <c r="C19" s="2"/>
      <c r="D19" s="91"/>
    </row>
    <row r="20" spans="1:4" ht="15.5" x14ac:dyDescent="0.35">
      <c r="A20" s="50" t="s">
        <v>135</v>
      </c>
      <c r="B20" s="68">
        <v>7500000</v>
      </c>
      <c r="C20" s="2"/>
      <c r="D20" s="91"/>
    </row>
    <row r="21" spans="1:4" ht="15.5" x14ac:dyDescent="0.35">
      <c r="A21" s="50" t="s">
        <v>140</v>
      </c>
      <c r="B21" s="73">
        <v>1000000</v>
      </c>
      <c r="C21" s="2"/>
      <c r="D21" s="91"/>
    </row>
    <row r="22" spans="1:4" ht="15.5" x14ac:dyDescent="0.35">
      <c r="A22" s="50" t="s">
        <v>131</v>
      </c>
      <c r="B22" s="77">
        <v>0.15</v>
      </c>
      <c r="C22" s="2"/>
      <c r="D22" s="91"/>
    </row>
    <row r="23" spans="1:4" ht="15.5" x14ac:dyDescent="0.35">
      <c r="A23" s="50" t="s">
        <v>130</v>
      </c>
      <c r="B23" s="23">
        <v>0.19</v>
      </c>
      <c r="C23" s="2"/>
      <c r="D23" s="91"/>
    </row>
    <row r="24" spans="1:4" ht="15.5" x14ac:dyDescent="0.35">
      <c r="A24" s="50" t="s">
        <v>132</v>
      </c>
      <c r="B24" s="78">
        <v>0.04</v>
      </c>
      <c r="C24" s="2"/>
      <c r="D24" s="57"/>
    </row>
    <row r="25" spans="1:4" ht="15.5" x14ac:dyDescent="0.35">
      <c r="A25" s="50" t="s">
        <v>153</v>
      </c>
      <c r="B25" s="68">
        <v>600000</v>
      </c>
      <c r="C25" s="2"/>
      <c r="D25" s="57"/>
    </row>
    <row r="26" spans="1:4" ht="15.5" x14ac:dyDescent="0.35">
      <c r="A26" s="50" t="s">
        <v>166</v>
      </c>
      <c r="B26" s="68">
        <v>150000000</v>
      </c>
      <c r="C26" s="2"/>
      <c r="D26" s="57"/>
    </row>
    <row r="27" spans="1:4" ht="15.5" x14ac:dyDescent="0.35">
      <c r="A27" s="50" t="s">
        <v>156</v>
      </c>
      <c r="B27" s="68">
        <v>5000000</v>
      </c>
      <c r="C27" s="2"/>
      <c r="D27" s="57"/>
    </row>
    <row r="28" spans="1:4" ht="15.5" x14ac:dyDescent="0.35">
      <c r="A28" s="50" t="s">
        <v>161</v>
      </c>
      <c r="B28" s="126">
        <v>4</v>
      </c>
      <c r="C28" s="2"/>
      <c r="D28" s="57"/>
    </row>
    <row r="29" spans="1:4" ht="15.5" x14ac:dyDescent="0.35">
      <c r="A29" s="50" t="s">
        <v>162</v>
      </c>
      <c r="B29" s="126">
        <v>2</v>
      </c>
      <c r="C29" s="2"/>
      <c r="D29" s="57"/>
    </row>
    <row r="30" spans="1:4" ht="15.5" x14ac:dyDescent="0.35">
      <c r="A30" s="50" t="s">
        <v>163</v>
      </c>
      <c r="B30" s="68">
        <v>250000000</v>
      </c>
      <c r="C30" s="2"/>
      <c r="D30" s="57"/>
    </row>
    <row r="31" spans="1:4" ht="15.5" x14ac:dyDescent="0.35">
      <c r="A31" s="50" t="s">
        <v>164</v>
      </c>
      <c r="B31" s="68">
        <v>10000000</v>
      </c>
      <c r="C31" s="2"/>
      <c r="D31" s="57"/>
    </row>
    <row r="32" spans="1:4" ht="15.5" x14ac:dyDescent="0.35">
      <c r="A32" s="50" t="s">
        <v>172</v>
      </c>
      <c r="B32" s="68">
        <v>50000000</v>
      </c>
      <c r="C32" s="2"/>
      <c r="D32" s="57"/>
    </row>
    <row r="33" spans="1:4" ht="15.5" x14ac:dyDescent="0.35">
      <c r="A33" s="64" t="s">
        <v>125</v>
      </c>
      <c r="B33" s="65"/>
      <c r="C33" s="2"/>
      <c r="D33" s="2"/>
    </row>
    <row r="34" spans="1:4" ht="15.5" x14ac:dyDescent="0.35">
      <c r="A34" s="14" t="s">
        <v>106</v>
      </c>
      <c r="B34" s="19">
        <f>1800000*12</f>
        <v>21600000</v>
      </c>
    </row>
    <row r="35" spans="1:4" ht="15.5" x14ac:dyDescent="0.35">
      <c r="A35" s="14" t="s">
        <v>176</v>
      </c>
      <c r="B35" s="19">
        <v>1000000</v>
      </c>
    </row>
    <row r="36" spans="1:4" ht="15.5" x14ac:dyDescent="0.35">
      <c r="A36" s="14" t="s">
        <v>103</v>
      </c>
      <c r="B36" s="20">
        <v>3</v>
      </c>
    </row>
    <row r="37" spans="1:4" ht="15.5" x14ac:dyDescent="0.35">
      <c r="A37" s="14" t="s">
        <v>90</v>
      </c>
      <c r="B37" s="19">
        <f>3000000*12</f>
        <v>36000000</v>
      </c>
    </row>
    <row r="38" spans="1:4" ht="15.5" x14ac:dyDescent="0.35">
      <c r="A38" s="14" t="s">
        <v>91</v>
      </c>
      <c r="B38" s="19">
        <f>1400000*12</f>
        <v>16800000</v>
      </c>
    </row>
    <row r="39" spans="1:4" ht="15.5" x14ac:dyDescent="0.35">
      <c r="A39" s="14" t="s">
        <v>148</v>
      </c>
      <c r="B39" s="19">
        <f>5000000*12</f>
        <v>60000000</v>
      </c>
    </row>
    <row r="40" spans="1:4" ht="15.5" x14ac:dyDescent="0.35">
      <c r="A40" s="14" t="s">
        <v>150</v>
      </c>
      <c r="B40" s="19">
        <f>7000000*12</f>
        <v>84000000</v>
      </c>
    </row>
    <row r="41" spans="1:4" ht="15.5" x14ac:dyDescent="0.35">
      <c r="A41" s="14" t="s">
        <v>149</v>
      </c>
      <c r="B41" s="19">
        <f>10000000*12</f>
        <v>120000000</v>
      </c>
    </row>
    <row r="42" spans="1:4" ht="15.5" x14ac:dyDescent="0.35">
      <c r="A42" s="14" t="s">
        <v>151</v>
      </c>
      <c r="B42" s="19">
        <f>9000000*12</f>
        <v>108000000</v>
      </c>
    </row>
    <row r="43" spans="1:4" ht="15.5" x14ac:dyDescent="0.35">
      <c r="A43" s="14" t="s">
        <v>152</v>
      </c>
      <c r="B43" s="19">
        <f>16000000*12</f>
        <v>192000000</v>
      </c>
    </row>
    <row r="44" spans="1:4" ht="15.5" x14ac:dyDescent="0.35">
      <c r="A44" s="14" t="s">
        <v>134</v>
      </c>
      <c r="B44" s="19">
        <v>3000000</v>
      </c>
    </row>
    <row r="45" spans="1:4" ht="15.5" x14ac:dyDescent="0.35">
      <c r="A45" s="64" t="s">
        <v>107</v>
      </c>
      <c r="B45" s="65"/>
    </row>
    <row r="46" spans="1:4" ht="15.5" x14ac:dyDescent="0.35">
      <c r="A46" s="14" t="s">
        <v>154</v>
      </c>
      <c r="B46" s="19">
        <f>120000*365</f>
        <v>43800000</v>
      </c>
    </row>
    <row r="47" spans="1:4" ht="15.5" x14ac:dyDescent="0.35">
      <c r="A47" s="14" t="s">
        <v>121</v>
      </c>
      <c r="B47" s="19">
        <v>60000000</v>
      </c>
    </row>
    <row r="48" spans="1:4" ht="15.5" x14ac:dyDescent="0.35">
      <c r="A48" s="14" t="s">
        <v>122</v>
      </c>
      <c r="B48" s="19">
        <f>3000000*12</f>
        <v>36000000</v>
      </c>
    </row>
    <row r="49" spans="1:2" ht="15.5" x14ac:dyDescent="0.35">
      <c r="A49" s="14" t="s">
        <v>123</v>
      </c>
      <c r="B49" s="19">
        <f>180000*12</f>
        <v>2160000</v>
      </c>
    </row>
    <row r="50" spans="1:2" ht="15.5" x14ac:dyDescent="0.35">
      <c r="A50" s="14" t="s">
        <v>155</v>
      </c>
      <c r="B50" s="19">
        <v>75000000</v>
      </c>
    </row>
    <row r="53" spans="1:2" x14ac:dyDescent="0.3">
      <c r="A53" s="60" t="s">
        <v>111</v>
      </c>
      <c r="B53" s="60"/>
    </row>
    <row r="54" spans="1:2" ht="15.5" x14ac:dyDescent="0.35">
      <c r="A54" s="14" t="s">
        <v>104</v>
      </c>
      <c r="B54" s="19">
        <v>300000</v>
      </c>
    </row>
    <row r="55" spans="1:2" ht="15.5" x14ac:dyDescent="0.35">
      <c r="A55" s="14" t="s">
        <v>105</v>
      </c>
      <c r="B55" s="19">
        <v>750000</v>
      </c>
    </row>
    <row r="56" spans="1:2" ht="15.5" x14ac:dyDescent="0.35">
      <c r="A56" s="14" t="s">
        <v>113</v>
      </c>
      <c r="B56" s="19">
        <v>23000</v>
      </c>
    </row>
    <row r="57" spans="1:2" ht="15.5" x14ac:dyDescent="0.35">
      <c r="A57" s="14" t="s">
        <v>114</v>
      </c>
      <c r="B57" s="19">
        <v>14000</v>
      </c>
    </row>
    <row r="58" spans="1:2" ht="15.5" x14ac:dyDescent="0.35">
      <c r="A58" s="50" t="s">
        <v>157</v>
      </c>
      <c r="B58" s="125">
        <v>30000</v>
      </c>
    </row>
    <row r="59" spans="1:2" ht="15.5" x14ac:dyDescent="0.35">
      <c r="A59" s="50" t="s">
        <v>159</v>
      </c>
      <c r="B59" s="126">
        <v>50</v>
      </c>
    </row>
    <row r="60" spans="1:2" ht="15.5" x14ac:dyDescent="0.35">
      <c r="A60" s="50" t="s">
        <v>160</v>
      </c>
      <c r="B60" s="126">
        <v>2</v>
      </c>
    </row>
    <row r="61" spans="1:2" ht="15.5" x14ac:dyDescent="0.35">
      <c r="A61" s="62" t="s">
        <v>6</v>
      </c>
      <c r="B61" s="63">
        <v>0</v>
      </c>
    </row>
    <row r="62" spans="1:2" ht="15.5" x14ac:dyDescent="0.35">
      <c r="A62" s="14" t="s">
        <v>115</v>
      </c>
      <c r="B62" s="70">
        <v>600</v>
      </c>
    </row>
    <row r="63" spans="1:2" ht="15.5" x14ac:dyDescent="0.35">
      <c r="A63" s="14" t="s">
        <v>116</v>
      </c>
      <c r="B63" s="70">
        <f>2*365</f>
        <v>730</v>
      </c>
    </row>
    <row r="64" spans="1:2" ht="15.5" x14ac:dyDescent="0.35">
      <c r="A64" s="14" t="s">
        <v>117</v>
      </c>
      <c r="B64" s="21">
        <f>1*365</f>
        <v>365</v>
      </c>
    </row>
    <row r="65" spans="1:7" ht="15.5" x14ac:dyDescent="0.35">
      <c r="A65" s="14" t="s">
        <v>119</v>
      </c>
      <c r="B65" s="21">
        <v>3650</v>
      </c>
    </row>
    <row r="66" spans="1:7" ht="15.5" x14ac:dyDescent="0.35">
      <c r="A66" s="14" t="s">
        <v>171</v>
      </c>
      <c r="B66" s="21">
        <v>250</v>
      </c>
    </row>
    <row r="67" spans="1:7" ht="15.5" x14ac:dyDescent="0.35">
      <c r="A67" s="14" t="s">
        <v>173</v>
      </c>
      <c r="B67" s="21">
        <v>2</v>
      </c>
    </row>
    <row r="68" spans="1:7" ht="15.5" x14ac:dyDescent="0.35">
      <c r="A68" s="14" t="s">
        <v>174</v>
      </c>
      <c r="B68" s="22">
        <v>50</v>
      </c>
    </row>
    <row r="71" spans="1:7" ht="15.5" x14ac:dyDescent="0.35">
      <c r="A71" s="6" t="s">
        <v>7</v>
      </c>
    </row>
    <row r="72" spans="1:7" ht="15.5" x14ac:dyDescent="0.35">
      <c r="A72" s="2" t="s">
        <v>87</v>
      </c>
    </row>
    <row r="73" spans="1:7" ht="15.5" x14ac:dyDescent="0.35">
      <c r="A73" s="2" t="s">
        <v>126</v>
      </c>
    </row>
    <row r="74" spans="1:7" ht="15.5" x14ac:dyDescent="0.35">
      <c r="A74" s="2" t="s">
        <v>141</v>
      </c>
    </row>
    <row r="75" spans="1:7" ht="15.5" x14ac:dyDescent="0.35">
      <c r="A75" s="2" t="s">
        <v>142</v>
      </c>
    </row>
    <row r="76" spans="1:7" ht="15.5" x14ac:dyDescent="0.35">
      <c r="A76" s="2" t="s">
        <v>143</v>
      </c>
    </row>
    <row r="77" spans="1:7" ht="15.5" x14ac:dyDescent="0.35">
      <c r="A77" s="2" t="s">
        <v>144</v>
      </c>
    </row>
    <row r="78" spans="1:7" ht="15.5" x14ac:dyDescent="0.35">
      <c r="A78" s="2" t="s">
        <v>145</v>
      </c>
      <c r="F78" s="4"/>
      <c r="G78"/>
    </row>
    <row r="79" spans="1:7" ht="15.5" x14ac:dyDescent="0.35">
      <c r="A79" s="2" t="s">
        <v>146</v>
      </c>
    </row>
    <row r="80" spans="1:7" ht="15.5" x14ac:dyDescent="0.35">
      <c r="A80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abSelected="1" topLeftCell="P19" zoomScaleNormal="100" workbookViewId="0">
      <selection activeCell="AC32" sqref="AC32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107" t="s">
        <v>8</v>
      </c>
      <c r="B5" s="110" t="s">
        <v>9</v>
      </c>
      <c r="C5" s="107" t="s">
        <v>10</v>
      </c>
      <c r="D5" s="107"/>
      <c r="E5" s="40" t="s">
        <v>11</v>
      </c>
      <c r="F5" s="24"/>
      <c r="G5" s="107" t="s">
        <v>12</v>
      </c>
      <c r="H5" s="110" t="s">
        <v>9</v>
      </c>
      <c r="I5" s="107" t="s">
        <v>10</v>
      </c>
      <c r="J5" s="107"/>
      <c r="K5" s="40" t="s">
        <v>11</v>
      </c>
      <c r="L5" s="24"/>
      <c r="M5" s="107" t="s">
        <v>13</v>
      </c>
      <c r="N5" s="110" t="s">
        <v>9</v>
      </c>
      <c r="O5" s="107" t="s">
        <v>10</v>
      </c>
      <c r="P5" s="107"/>
      <c r="Q5" s="40" t="s">
        <v>11</v>
      </c>
      <c r="R5" s="24"/>
      <c r="S5" s="107" t="s">
        <v>14</v>
      </c>
      <c r="T5" s="110" t="s">
        <v>9</v>
      </c>
      <c r="U5" s="107" t="s">
        <v>10</v>
      </c>
      <c r="V5" s="107"/>
      <c r="W5" s="40" t="s">
        <v>11</v>
      </c>
      <c r="X5" s="24"/>
      <c r="Y5" s="107" t="s">
        <v>15</v>
      </c>
      <c r="Z5" s="110" t="s">
        <v>9</v>
      </c>
      <c r="AA5" s="107" t="s">
        <v>10</v>
      </c>
      <c r="AB5" s="107"/>
      <c r="AC5" s="40" t="s">
        <v>11</v>
      </c>
    </row>
    <row r="6" spans="1:29" ht="14.25" customHeight="1" x14ac:dyDescent="0.3">
      <c r="A6" s="107"/>
      <c r="B6" s="111"/>
      <c r="C6" s="108" t="s">
        <v>99</v>
      </c>
      <c r="D6" s="108"/>
      <c r="E6" s="34">
        <f>Variables!$B$56*Variables!$B$64</f>
        <v>8395000</v>
      </c>
      <c r="F6" s="24"/>
      <c r="G6" s="107"/>
      <c r="H6" s="111"/>
      <c r="I6" s="108" t="s">
        <v>99</v>
      </c>
      <c r="J6" s="108"/>
      <c r="K6" s="34">
        <f>Variables!B56*Variables!B64*(1+Variables!B22)*Variables!B28</f>
        <v>38617000</v>
      </c>
      <c r="L6" s="24"/>
      <c r="M6" s="107"/>
      <c r="N6" s="111"/>
      <c r="O6" s="108" t="s">
        <v>99</v>
      </c>
      <c r="P6" s="108"/>
      <c r="Q6" s="34">
        <f>Variables!B56*Variables!B64*(1+Variables!B22)*Variables!B28*Variables!B29</f>
        <v>77234000</v>
      </c>
      <c r="R6" s="24"/>
      <c r="S6" s="107"/>
      <c r="T6" s="111"/>
      <c r="U6" s="108" t="s">
        <v>99</v>
      </c>
      <c r="V6" s="108"/>
      <c r="W6" s="34">
        <f>Variables!B56*Variables!B64*(1+Variables!B22)*Variables!B28*Variables!B29^2</f>
        <v>154468000</v>
      </c>
      <c r="X6" s="24"/>
      <c r="Y6" s="107"/>
      <c r="Z6" s="111"/>
      <c r="AA6" s="108" t="s">
        <v>99</v>
      </c>
      <c r="AB6" s="108"/>
      <c r="AC6" s="34">
        <f>Variables!B56*Variables!B64*(1+Variables!B22)*Variables!B28*Variables!B29^3</f>
        <v>308936000</v>
      </c>
    </row>
    <row r="7" spans="1:29" ht="14.25" customHeight="1" x14ac:dyDescent="0.3">
      <c r="A7" s="107"/>
      <c r="B7" s="111"/>
      <c r="C7" s="108" t="s">
        <v>98</v>
      </c>
      <c r="D7" s="108"/>
      <c r="E7" s="34">
        <f>Variables!$B$65*Variables!$B$57</f>
        <v>51100000</v>
      </c>
      <c r="F7" s="24"/>
      <c r="G7" s="107"/>
      <c r="H7" s="111"/>
      <c r="I7" s="108" t="s">
        <v>98</v>
      </c>
      <c r="J7" s="108"/>
      <c r="K7" s="34">
        <f>Variables!B57*Variables!B65*(1+Variables!B22)*Variables!B28</f>
        <v>235059999.99999997</v>
      </c>
      <c r="L7" s="24"/>
      <c r="M7" s="107"/>
      <c r="N7" s="111"/>
      <c r="O7" s="108" t="s">
        <v>98</v>
      </c>
      <c r="P7" s="108"/>
      <c r="Q7" s="34">
        <f>Variables!B65*Variables!B57*(1+Variables!B22)*Variables!B28*Variables!B29</f>
        <v>470119999.99999994</v>
      </c>
      <c r="R7" s="24"/>
      <c r="S7" s="107"/>
      <c r="T7" s="111"/>
      <c r="U7" s="108" t="s">
        <v>98</v>
      </c>
      <c r="V7" s="108"/>
      <c r="W7" s="34">
        <f>Variables!B57*Variables!B65*(1+Variables!B22)*Variables!B28*Variables!B29^2</f>
        <v>940239999.99999988</v>
      </c>
      <c r="X7" s="24"/>
      <c r="Y7" s="107"/>
      <c r="Z7" s="111"/>
      <c r="AA7" s="108" t="s">
        <v>98</v>
      </c>
      <c r="AB7" s="108"/>
      <c r="AC7" s="34">
        <f>Variables!B57*Variables!B65*(1+Variables!B22)*Variables!B28*Variables!B29^3</f>
        <v>1880479999.9999998</v>
      </c>
    </row>
    <row r="8" spans="1:29" ht="14.25" customHeight="1" x14ac:dyDescent="0.3">
      <c r="A8" s="107"/>
      <c r="B8" s="111"/>
      <c r="C8" s="108" t="s">
        <v>101</v>
      </c>
      <c r="D8" s="108"/>
      <c r="E8" s="34">
        <f>(Variables!B63)*Variables!B55</f>
        <v>547500000</v>
      </c>
      <c r="F8" s="24"/>
      <c r="G8" s="107"/>
      <c r="H8" s="111"/>
      <c r="I8" s="108" t="s">
        <v>101</v>
      </c>
      <c r="J8" s="108"/>
      <c r="K8" s="34">
        <f>(Variables!B63+Variables!B68)*Variables!B55*Variables!B28</f>
        <v>2340000000</v>
      </c>
      <c r="L8" s="24"/>
      <c r="M8" s="107"/>
      <c r="N8" s="111"/>
      <c r="O8" s="108" t="s">
        <v>101</v>
      </c>
      <c r="P8" s="108"/>
      <c r="Q8" s="34">
        <f>(Variables!B63+(2*Variables!B68))*Variables!B55*Variables!B28*Variables!B29</f>
        <v>4980000000</v>
      </c>
      <c r="R8" s="24"/>
      <c r="S8" s="107"/>
      <c r="T8" s="111"/>
      <c r="U8" s="108" t="s">
        <v>101</v>
      </c>
      <c r="V8" s="108"/>
      <c r="W8" s="34">
        <f>(Variables!B63+(3*Variables!B68))*Variables!B55*Variables!B28*Variables!B29^2</f>
        <v>10560000000</v>
      </c>
      <c r="X8" s="24"/>
      <c r="Y8" s="107"/>
      <c r="Z8" s="111"/>
      <c r="AA8" s="108" t="s">
        <v>101</v>
      </c>
      <c r="AB8" s="108"/>
      <c r="AC8" s="34">
        <f>(Variables!B63+(3*Variables!B68))*Variables!B55*Variables!B28*Variables!B29^3</f>
        <v>21120000000</v>
      </c>
    </row>
    <row r="9" spans="1:29" ht="16.5" customHeight="1" x14ac:dyDescent="0.3">
      <c r="A9" s="107"/>
      <c r="B9" s="112"/>
      <c r="C9" s="108" t="s">
        <v>100</v>
      </c>
      <c r="D9" s="108"/>
      <c r="E9" s="34">
        <f>(Variables!B62)*Variables!B54</f>
        <v>180000000</v>
      </c>
      <c r="F9" s="24"/>
      <c r="G9" s="107"/>
      <c r="H9" s="112"/>
      <c r="I9" s="108" t="s">
        <v>100</v>
      </c>
      <c r="J9" s="108"/>
      <c r="K9" s="34">
        <f>(Variables!B62+Variables!B68+Variables!B66)*Variables!B54*Variables!B28</f>
        <v>1080000000</v>
      </c>
      <c r="L9" s="24"/>
      <c r="M9" s="107"/>
      <c r="N9" s="112"/>
      <c r="O9" s="108" t="s">
        <v>100</v>
      </c>
      <c r="P9" s="108"/>
      <c r="Q9" s="34">
        <f>((Variables!B62+(2*Variables!B68))*Variables!B28*Variables!B29+Variables!B66*Variables!B67)*Variables!B54</f>
        <v>1830000000</v>
      </c>
      <c r="R9" s="24"/>
      <c r="S9" s="107"/>
      <c r="T9" s="112"/>
      <c r="U9" s="108" t="s">
        <v>100</v>
      </c>
      <c r="V9" s="108"/>
      <c r="W9" s="34">
        <f>((Variables!B62+(2*Variables!B68))*Variables!B28*Variables!B29^2+Variables!B66*Variables!B67^3)*Variables!B54</f>
        <v>3960000000</v>
      </c>
      <c r="X9" s="24"/>
      <c r="Y9" s="107"/>
      <c r="Z9" s="112"/>
      <c r="AA9" s="108" t="s">
        <v>100</v>
      </c>
      <c r="AB9" s="108"/>
      <c r="AC9" s="34">
        <f>((Variables!B62+(2*Variables!B68))*Variables!B28*Variables!B29^3+Variables!B66*Variables!B67^3)*Variables!B54</f>
        <v>7320000000</v>
      </c>
    </row>
    <row r="10" spans="1:29" ht="16.5" customHeight="1" x14ac:dyDescent="0.3">
      <c r="A10" s="107"/>
      <c r="B10" s="99" t="s">
        <v>16</v>
      </c>
      <c r="C10" s="100"/>
      <c r="D10" s="101"/>
      <c r="E10" s="37">
        <f>SUM(E6:E9)</f>
        <v>786995000</v>
      </c>
      <c r="F10" s="24"/>
      <c r="G10" s="107"/>
      <c r="H10" s="99" t="s">
        <v>16</v>
      </c>
      <c r="I10" s="100"/>
      <c r="J10" s="101"/>
      <c r="K10" s="37">
        <f>SUM(K6:K9)</f>
        <v>3693677000</v>
      </c>
      <c r="L10" s="24"/>
      <c r="M10" s="107"/>
      <c r="N10" s="99" t="s">
        <v>16</v>
      </c>
      <c r="O10" s="100"/>
      <c r="P10" s="101"/>
      <c r="Q10" s="37">
        <f>SUM(Q6:Q9)</f>
        <v>7357354000</v>
      </c>
      <c r="R10" s="24"/>
      <c r="S10" s="107"/>
      <c r="T10" s="99" t="s">
        <v>16</v>
      </c>
      <c r="U10" s="100"/>
      <c r="V10" s="101"/>
      <c r="W10" s="37">
        <f>SUM(W6:W9)</f>
        <v>15614708000</v>
      </c>
      <c r="X10" s="24"/>
      <c r="Y10" s="107"/>
      <c r="Z10" s="99" t="s">
        <v>16</v>
      </c>
      <c r="AA10" s="100"/>
      <c r="AB10" s="101"/>
      <c r="AC10" s="37">
        <f>SUM(AC6:AC9)</f>
        <v>30629416000</v>
      </c>
    </row>
    <row r="11" spans="1:29" ht="16.5" customHeight="1" x14ac:dyDescent="0.3">
      <c r="A11" s="107"/>
      <c r="B11" s="44" t="s">
        <v>17</v>
      </c>
      <c r="C11" s="108" t="s">
        <v>158</v>
      </c>
      <c r="D11" s="108"/>
      <c r="E11" s="34">
        <f>Variables!B59*Variables!B58</f>
        <v>1500000</v>
      </c>
      <c r="F11" s="24"/>
      <c r="G11" s="107"/>
      <c r="H11" s="44" t="s">
        <v>17</v>
      </c>
      <c r="I11" s="108" t="s">
        <v>158</v>
      </c>
      <c r="J11" s="108"/>
      <c r="K11" s="34">
        <f>Variables!B58*Variables!B59*Variables!B60</f>
        <v>3000000</v>
      </c>
      <c r="L11" s="24"/>
      <c r="M11" s="107"/>
      <c r="N11" s="44" t="s">
        <v>17</v>
      </c>
      <c r="O11" s="108"/>
      <c r="P11" s="108"/>
      <c r="Q11" s="34"/>
      <c r="R11" s="24"/>
      <c r="S11" s="107"/>
      <c r="T11" s="44" t="s">
        <v>17</v>
      </c>
      <c r="U11" s="108"/>
      <c r="V11" s="108"/>
      <c r="W11" s="34"/>
      <c r="X11" s="24"/>
      <c r="Y11" s="107"/>
      <c r="Z11" s="44" t="s">
        <v>17</v>
      </c>
      <c r="AA11" s="108"/>
      <c r="AB11" s="108"/>
      <c r="AC11" s="34"/>
    </row>
    <row r="12" spans="1:29" ht="16.5" customHeight="1" x14ac:dyDescent="0.3">
      <c r="A12" s="107"/>
      <c r="B12" s="99" t="s">
        <v>18</v>
      </c>
      <c r="C12" s="100"/>
      <c r="D12" s="101"/>
      <c r="E12" s="37">
        <f>SUM(E11:E11)</f>
        <v>1500000</v>
      </c>
      <c r="F12" s="24"/>
      <c r="G12" s="107"/>
      <c r="H12" s="99" t="s">
        <v>18</v>
      </c>
      <c r="I12" s="100"/>
      <c r="J12" s="101"/>
      <c r="K12" s="37">
        <f>SUM(K11:K11)</f>
        <v>3000000</v>
      </c>
      <c r="L12" s="24"/>
      <c r="M12" s="107"/>
      <c r="N12" s="99" t="s">
        <v>18</v>
      </c>
      <c r="O12" s="100"/>
      <c r="P12" s="101"/>
      <c r="Q12" s="37">
        <f>SUM(Q11:Q11)</f>
        <v>0</v>
      </c>
      <c r="R12" s="24"/>
      <c r="S12" s="107"/>
      <c r="T12" s="99" t="s">
        <v>18</v>
      </c>
      <c r="U12" s="100"/>
      <c r="V12" s="101"/>
      <c r="W12" s="37">
        <f>SUM(W11:W11)</f>
        <v>0</v>
      </c>
      <c r="X12" s="24"/>
      <c r="Y12" s="107"/>
      <c r="Z12" s="99" t="s">
        <v>18</v>
      </c>
      <c r="AA12" s="100"/>
      <c r="AB12" s="101"/>
      <c r="AC12" s="37">
        <f>SUM(AC11:AC11)</f>
        <v>0</v>
      </c>
    </row>
    <row r="13" spans="1:29" s="25" customFormat="1" ht="16.5" customHeight="1" x14ac:dyDescent="0.3">
      <c r="A13" s="106" t="s">
        <v>19</v>
      </c>
      <c r="B13" s="106"/>
      <c r="C13" s="106"/>
      <c r="D13" s="106"/>
      <c r="E13" s="37">
        <f>E10+E12</f>
        <v>788495000</v>
      </c>
      <c r="G13" s="106" t="s">
        <v>19</v>
      </c>
      <c r="H13" s="106"/>
      <c r="I13" s="106"/>
      <c r="J13" s="106"/>
      <c r="K13" s="37">
        <f>K10+K12</f>
        <v>3696677000</v>
      </c>
      <c r="M13" s="106" t="s">
        <v>19</v>
      </c>
      <c r="N13" s="106"/>
      <c r="O13" s="106"/>
      <c r="P13" s="106"/>
      <c r="Q13" s="37">
        <f>Q10+Q12</f>
        <v>7357354000</v>
      </c>
      <c r="S13" s="106" t="s">
        <v>19</v>
      </c>
      <c r="T13" s="106"/>
      <c r="U13" s="106"/>
      <c r="V13" s="106"/>
      <c r="W13" s="37">
        <f>W10+W12</f>
        <v>15614708000</v>
      </c>
      <c r="Y13" s="106" t="s">
        <v>19</v>
      </c>
      <c r="Z13" s="106"/>
      <c r="AA13" s="106"/>
      <c r="AB13" s="106"/>
      <c r="AC13" s="37">
        <f>AC10+AC12</f>
        <v>30629416000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110" t="s">
        <v>20</v>
      </c>
      <c r="B15" s="110" t="s">
        <v>21</v>
      </c>
      <c r="C15" s="107" t="s">
        <v>10</v>
      </c>
      <c r="D15" s="107"/>
      <c r="E15" s="40" t="s">
        <v>11</v>
      </c>
      <c r="G15" s="110" t="s">
        <v>22</v>
      </c>
      <c r="H15" s="110" t="s">
        <v>21</v>
      </c>
      <c r="I15" s="107" t="s">
        <v>10</v>
      </c>
      <c r="J15" s="107"/>
      <c r="K15" s="40" t="s">
        <v>11</v>
      </c>
      <c r="M15" s="110" t="s">
        <v>23</v>
      </c>
      <c r="N15" s="110" t="s">
        <v>21</v>
      </c>
      <c r="O15" s="107" t="s">
        <v>10</v>
      </c>
      <c r="P15" s="107"/>
      <c r="Q15" s="40" t="s">
        <v>11</v>
      </c>
      <c r="S15" s="110" t="s">
        <v>24</v>
      </c>
      <c r="T15" s="110" t="s">
        <v>21</v>
      </c>
      <c r="U15" s="107" t="s">
        <v>10</v>
      </c>
      <c r="V15" s="107"/>
      <c r="W15" s="40" t="s">
        <v>11</v>
      </c>
      <c r="Y15" s="110" t="s">
        <v>25</v>
      </c>
      <c r="Z15" s="110" t="s">
        <v>21</v>
      </c>
      <c r="AA15" s="107" t="s">
        <v>10</v>
      </c>
      <c r="AB15" s="107"/>
      <c r="AC15" s="40" t="s">
        <v>11</v>
      </c>
    </row>
    <row r="16" spans="1:29" s="25" customFormat="1" ht="16.5" customHeight="1" x14ac:dyDescent="0.3">
      <c r="A16" s="111"/>
      <c r="B16" s="111"/>
      <c r="C16" s="110" t="s">
        <v>26</v>
      </c>
      <c r="D16" s="43" t="s">
        <v>88</v>
      </c>
      <c r="E16" s="42">
        <f>(Variables!$B$12)*Variables!B15</f>
        <v>99000000</v>
      </c>
      <c r="G16" s="111"/>
      <c r="H16" s="111"/>
      <c r="I16" s="110" t="s">
        <v>26</v>
      </c>
      <c r="J16" s="43" t="s">
        <v>88</v>
      </c>
      <c r="K16" s="53">
        <f>((Variables!$B$12+Variables!B68)*Variables!B28+Variables!B66)*Variables!B15</f>
        <v>463500000</v>
      </c>
      <c r="M16" s="111"/>
      <c r="N16" s="111"/>
      <c r="O16" s="110" t="s">
        <v>26</v>
      </c>
      <c r="P16" s="43" t="s">
        <v>88</v>
      </c>
      <c r="Q16" s="53">
        <f>(((Variables!$B$12+(2*Variables!B68))*Variables!B28*Variables!B29+Variables!B66*Variables!B67^2))*Variables!B15</f>
        <v>1062000000</v>
      </c>
      <c r="S16" s="111"/>
      <c r="T16" s="111"/>
      <c r="U16" s="110" t="s">
        <v>26</v>
      </c>
      <c r="V16" s="74" t="s">
        <v>88</v>
      </c>
      <c r="W16" s="53">
        <f>(((Variables!$B$12+(3*Variables!B68))*Variables!B28*Variables!B29^2+Variables!B66*Variables!B67^3))*Variables!B15</f>
        <v>2244000000</v>
      </c>
      <c r="Y16" s="111"/>
      <c r="Z16" s="111"/>
      <c r="AA16" s="110" t="s">
        <v>26</v>
      </c>
      <c r="AB16" s="74" t="s">
        <v>88</v>
      </c>
      <c r="AC16" s="53">
        <f>(((Variables!$B$12+(3*Variables!B68))*Variables!B28*Variables!B29^3+Variables!B66*Variables!B67^4))*Variables!B15</f>
        <v>4488000000</v>
      </c>
    </row>
    <row r="17" spans="1:29" s="25" customFormat="1" ht="16.5" customHeight="1" x14ac:dyDescent="0.3">
      <c r="A17" s="111"/>
      <c r="B17" s="111"/>
      <c r="C17" s="111"/>
      <c r="D17" s="43" t="s">
        <v>127</v>
      </c>
      <c r="E17" s="51">
        <f>Variables!B13*Variables!B63</f>
        <v>328500000</v>
      </c>
      <c r="G17" s="111"/>
      <c r="H17" s="111"/>
      <c r="I17" s="111"/>
      <c r="J17" s="43" t="s">
        <v>127</v>
      </c>
      <c r="K17" s="53">
        <f>(Variables!B63+Variables!B68)*Variables!B13*Variables!B28</f>
        <v>1404000000</v>
      </c>
      <c r="M17" s="111"/>
      <c r="N17" s="111"/>
      <c r="O17" s="111"/>
      <c r="P17" s="43" t="s">
        <v>127</v>
      </c>
      <c r="Q17" s="54">
        <f>(Variables!B63+(2*Variables!B68))*Variables!B13*Variables!B28*Variables!B29</f>
        <v>2988000000</v>
      </c>
      <c r="S17" s="111"/>
      <c r="T17" s="111"/>
      <c r="U17" s="111"/>
      <c r="V17" s="75" t="s">
        <v>127</v>
      </c>
      <c r="W17" s="54">
        <f>(Variables!B63+(3*Variables!B68))*Variables!B13*Variables!B28*Variables!B29^2</f>
        <v>6336000000</v>
      </c>
      <c r="Y17" s="111"/>
      <c r="Z17" s="111"/>
      <c r="AA17" s="111"/>
      <c r="AB17" s="75" t="s">
        <v>127</v>
      </c>
      <c r="AC17" s="54">
        <f>(Variables!B63+(3*Variables!B68))*Variables!B13*Variables!B28*Variables!B29^3</f>
        <v>12672000000</v>
      </c>
    </row>
    <row r="18" spans="1:29" s="25" customFormat="1" ht="16.5" customHeight="1" x14ac:dyDescent="0.3">
      <c r="A18" s="111"/>
      <c r="B18" s="111"/>
      <c r="C18" s="111"/>
      <c r="D18" s="39" t="s">
        <v>128</v>
      </c>
      <c r="E18" s="48">
        <f>Variables!B64*Variables!B14</f>
        <v>5475000</v>
      </c>
      <c r="G18" s="111"/>
      <c r="H18" s="111"/>
      <c r="I18" s="111"/>
      <c r="J18" s="39" t="s">
        <v>128</v>
      </c>
      <c r="K18" s="53">
        <f>Variables!B64*Variables!B14*(1+Variables!B22)*Variables!B28</f>
        <v>25184999.999999996</v>
      </c>
      <c r="M18" s="111"/>
      <c r="N18" s="111"/>
      <c r="O18" s="111"/>
      <c r="P18" s="39" t="s">
        <v>128</v>
      </c>
      <c r="Q18" s="55">
        <f>Variables!B64*Variables!B14*(1+Variables!B22)*Variables!B28*Variables!B29</f>
        <v>50369999.999999993</v>
      </c>
      <c r="S18" s="111"/>
      <c r="T18" s="111"/>
      <c r="U18" s="111"/>
      <c r="V18" s="76" t="s">
        <v>128</v>
      </c>
      <c r="W18" s="55">
        <f>Variables!B64*Variables!B14*(1+Variables!B22)*Variables!B28*Variables!B29^2</f>
        <v>100739999.99999999</v>
      </c>
      <c r="Y18" s="111"/>
      <c r="Z18" s="111"/>
      <c r="AA18" s="111"/>
      <c r="AB18" s="76" t="s">
        <v>128</v>
      </c>
      <c r="AC18" s="55">
        <f>Variables!B64*Variables!B14*(1+Variables!B22)*Variables!B28*Variables!B29^3</f>
        <v>201479999.99999997</v>
      </c>
    </row>
    <row r="19" spans="1:29" s="25" customFormat="1" ht="16.5" customHeight="1" x14ac:dyDescent="0.3">
      <c r="A19" s="111"/>
      <c r="B19" s="111"/>
      <c r="C19" s="111"/>
      <c r="D19" s="39"/>
      <c r="E19" s="48">
        <v>0</v>
      </c>
      <c r="G19" s="111"/>
      <c r="H19" s="111"/>
      <c r="I19" s="111"/>
      <c r="J19" s="39"/>
      <c r="K19" s="48">
        <v>0</v>
      </c>
      <c r="M19" s="111"/>
      <c r="N19" s="111"/>
      <c r="O19" s="111"/>
      <c r="P19" s="52"/>
      <c r="Q19" s="48">
        <v>0</v>
      </c>
      <c r="S19" s="111"/>
      <c r="T19" s="111"/>
      <c r="U19" s="111"/>
      <c r="V19" s="39"/>
      <c r="W19" s="48">
        <v>0</v>
      </c>
      <c r="Y19" s="111"/>
      <c r="Z19" s="111"/>
      <c r="AA19" s="111"/>
      <c r="AB19" s="39"/>
      <c r="AC19" s="48">
        <v>0</v>
      </c>
    </row>
    <row r="20" spans="1:29" s="25" customFormat="1" ht="16.5" customHeight="1" x14ac:dyDescent="0.3">
      <c r="A20" s="111"/>
      <c r="B20" s="111"/>
      <c r="C20" s="111"/>
      <c r="D20" s="39"/>
      <c r="E20" s="34">
        <v>0</v>
      </c>
      <c r="G20" s="111"/>
      <c r="H20" s="111"/>
      <c r="I20" s="111"/>
      <c r="J20" s="39"/>
      <c r="K20" s="34">
        <v>0</v>
      </c>
      <c r="M20" s="111"/>
      <c r="N20" s="111"/>
      <c r="O20" s="111"/>
      <c r="P20" s="52"/>
      <c r="Q20" s="34">
        <v>0</v>
      </c>
      <c r="S20" s="111"/>
      <c r="T20" s="111"/>
      <c r="U20" s="111"/>
      <c r="V20" s="39"/>
      <c r="W20" s="34">
        <v>0</v>
      </c>
      <c r="Y20" s="111"/>
      <c r="Z20" s="111"/>
      <c r="AA20" s="111"/>
      <c r="AB20" s="39"/>
      <c r="AC20" s="34">
        <v>0</v>
      </c>
    </row>
    <row r="21" spans="1:29" s="25" customFormat="1" ht="16.5" customHeight="1" x14ac:dyDescent="0.3">
      <c r="A21" s="111"/>
      <c r="B21" s="111"/>
      <c r="C21" s="111"/>
      <c r="D21" s="39"/>
      <c r="E21" s="34">
        <v>0</v>
      </c>
      <c r="G21" s="111"/>
      <c r="H21" s="111"/>
      <c r="I21" s="111"/>
      <c r="J21" s="39"/>
      <c r="K21" s="34">
        <v>0</v>
      </c>
      <c r="M21" s="111"/>
      <c r="N21" s="111"/>
      <c r="O21" s="111"/>
      <c r="P21" s="39"/>
      <c r="Q21" s="34">
        <v>0</v>
      </c>
      <c r="S21" s="111"/>
      <c r="T21" s="111"/>
      <c r="U21" s="111"/>
      <c r="V21" s="39"/>
      <c r="W21" s="34">
        <v>0</v>
      </c>
      <c r="Y21" s="111"/>
      <c r="Z21" s="111"/>
      <c r="AA21" s="111"/>
      <c r="AB21" s="39"/>
      <c r="AC21" s="34">
        <v>0</v>
      </c>
    </row>
    <row r="22" spans="1:29" s="25" customFormat="1" ht="16.5" customHeight="1" x14ac:dyDescent="0.3">
      <c r="A22" s="111"/>
      <c r="B22" s="111"/>
      <c r="C22" s="112"/>
      <c r="D22" s="39"/>
      <c r="E22" s="34">
        <v>0</v>
      </c>
      <c r="G22" s="111"/>
      <c r="H22" s="111"/>
      <c r="I22" s="112"/>
      <c r="J22" s="39"/>
      <c r="K22" s="34">
        <v>0</v>
      </c>
      <c r="M22" s="111"/>
      <c r="N22" s="111"/>
      <c r="O22" s="112"/>
      <c r="P22" s="39"/>
      <c r="Q22" s="34">
        <v>0</v>
      </c>
      <c r="S22" s="111"/>
      <c r="T22" s="111"/>
      <c r="U22" s="112"/>
      <c r="V22" s="39"/>
      <c r="W22" s="34">
        <v>0</v>
      </c>
      <c r="Y22" s="111"/>
      <c r="Z22" s="111"/>
      <c r="AA22" s="112"/>
      <c r="AB22" s="39"/>
      <c r="AC22" s="34">
        <v>0</v>
      </c>
    </row>
    <row r="23" spans="1:29" s="25" customFormat="1" ht="16.5" customHeight="1" x14ac:dyDescent="0.3">
      <c r="A23" s="111"/>
      <c r="B23" s="111"/>
      <c r="C23" s="99" t="s">
        <v>28</v>
      </c>
      <c r="D23" s="101"/>
      <c r="E23" s="37">
        <f>SUM(E16:E22)</f>
        <v>432975000</v>
      </c>
      <c r="G23" s="111"/>
      <c r="H23" s="111"/>
      <c r="I23" s="99" t="s">
        <v>28</v>
      </c>
      <c r="J23" s="101"/>
      <c r="K23" s="37">
        <f>SUM(K16:K22)</f>
        <v>1892685000</v>
      </c>
      <c r="M23" s="111"/>
      <c r="N23" s="111"/>
      <c r="O23" s="99" t="s">
        <v>28</v>
      </c>
      <c r="P23" s="101"/>
      <c r="Q23" s="37">
        <f>SUM(Q16:Q22)</f>
        <v>4100370000</v>
      </c>
      <c r="S23" s="111"/>
      <c r="T23" s="111"/>
      <c r="U23" s="99" t="s">
        <v>28</v>
      </c>
      <c r="V23" s="101"/>
      <c r="W23" s="37">
        <f>SUM(W16:W22)</f>
        <v>8680740000</v>
      </c>
      <c r="Y23" s="111"/>
      <c r="Z23" s="111"/>
      <c r="AA23" s="99" t="s">
        <v>28</v>
      </c>
      <c r="AB23" s="101"/>
      <c r="AC23" s="37">
        <f>SUM(AC16:AC22)</f>
        <v>17361480000</v>
      </c>
    </row>
    <row r="24" spans="1:29" s="25" customFormat="1" ht="16.5" customHeight="1" x14ac:dyDescent="0.3">
      <c r="A24" s="111"/>
      <c r="B24" s="111"/>
      <c r="C24" s="110" t="s">
        <v>29</v>
      </c>
      <c r="D24" s="81" t="s">
        <v>91</v>
      </c>
      <c r="E24" s="42">
        <f>Variables!B38</f>
        <v>16800000</v>
      </c>
      <c r="G24" s="111"/>
      <c r="H24" s="111"/>
      <c r="I24" s="110" t="s">
        <v>29</v>
      </c>
      <c r="J24" s="81" t="s">
        <v>91</v>
      </c>
      <c r="K24" s="42">
        <f>Variables!$B$38*Variables!$B$28*Variables!$B$29^0</f>
        <v>67200000</v>
      </c>
      <c r="M24" s="111"/>
      <c r="N24" s="111"/>
      <c r="O24" s="110" t="s">
        <v>29</v>
      </c>
      <c r="P24" s="81" t="s">
        <v>91</v>
      </c>
      <c r="Q24" s="42">
        <f>Variables!$B$38*Variables!$B$28*Variables!$B$29^1</f>
        <v>134400000</v>
      </c>
      <c r="S24" s="111"/>
      <c r="T24" s="111"/>
      <c r="U24" s="110" t="s">
        <v>29</v>
      </c>
      <c r="V24" s="81" t="s">
        <v>91</v>
      </c>
      <c r="W24" s="42">
        <f>Variables!$B$38*Variables!$B$28*Variables!$B$29^2</f>
        <v>268800000</v>
      </c>
      <c r="Y24" s="111"/>
      <c r="Z24" s="111"/>
      <c r="AA24" s="110" t="s">
        <v>29</v>
      </c>
      <c r="AB24" s="81" t="s">
        <v>91</v>
      </c>
      <c r="AC24" s="42">
        <f>Variables!$B$38*Variables!$B$28*Variables!$B$29^3</f>
        <v>537600000</v>
      </c>
    </row>
    <row r="25" spans="1:29" s="25" customFormat="1" ht="16.5" customHeight="1" x14ac:dyDescent="0.3">
      <c r="A25" s="111"/>
      <c r="B25" s="111"/>
      <c r="C25" s="111"/>
      <c r="D25" s="82" t="s">
        <v>89</v>
      </c>
      <c r="E25" s="34">
        <f>Variables!$B$36*Variables!$B$34+Variables!B35</f>
        <v>65800000</v>
      </c>
      <c r="G25" s="111"/>
      <c r="H25" s="111"/>
      <c r="I25" s="111"/>
      <c r="J25" s="82" t="s">
        <v>89</v>
      </c>
      <c r="K25" s="34">
        <f>Variables!$B$34*Variables!$B$36*Variables!$B$28*Variables!$B$29^0+Variables!$B$35*Variables!$B$28*Variables!$B$29^0</f>
        <v>263200000</v>
      </c>
      <c r="M25" s="111"/>
      <c r="N25" s="111"/>
      <c r="O25" s="111"/>
      <c r="P25" s="82" t="s">
        <v>89</v>
      </c>
      <c r="Q25" s="34">
        <f>Variables!$B$34*Variables!$B$36*Variables!$B$28*Variables!$B$29^1+Variables!$B$35*Variables!$B$28*Variables!$B$29^1</f>
        <v>526400000</v>
      </c>
      <c r="S25" s="111"/>
      <c r="T25" s="111"/>
      <c r="U25" s="111"/>
      <c r="V25" s="82" t="s">
        <v>89</v>
      </c>
      <c r="W25" s="34">
        <f>Variables!$B$34*Variables!$B$36*Variables!$B$28*Variables!$B$29^2+Variables!$B$35*Variables!$B$28*Variables!$B$29^2</f>
        <v>1052800000</v>
      </c>
      <c r="Y25" s="111"/>
      <c r="Z25" s="111"/>
      <c r="AA25" s="111"/>
      <c r="AB25" s="82" t="s">
        <v>89</v>
      </c>
      <c r="AC25" s="34">
        <f>Variables!$B$34*Variables!$B$36*Variables!$B$28*Variables!$B$29^3+Variables!$B$35*Variables!$B$28*Variables!$B$29^3</f>
        <v>2105600000</v>
      </c>
    </row>
    <row r="26" spans="1:29" s="25" customFormat="1" ht="16.5" customHeight="1" x14ac:dyDescent="0.3">
      <c r="A26" s="111"/>
      <c r="B26" s="111"/>
      <c r="C26" s="111"/>
      <c r="D26" s="81" t="s">
        <v>90</v>
      </c>
      <c r="E26" s="42">
        <f>Variables!B37</f>
        <v>36000000</v>
      </c>
      <c r="G26" s="111"/>
      <c r="H26" s="111"/>
      <c r="I26" s="111"/>
      <c r="J26" s="81" t="s">
        <v>90</v>
      </c>
      <c r="K26" s="34">
        <f>Variables!$B$37*Variables!$B$28*Variables!$B$29^0</f>
        <v>144000000</v>
      </c>
      <c r="M26" s="111"/>
      <c r="N26" s="111"/>
      <c r="O26" s="111"/>
      <c r="P26" s="81" t="s">
        <v>90</v>
      </c>
      <c r="Q26" s="34">
        <f>Variables!$B$37*Variables!$B$28*Variables!$B$29^1</f>
        <v>288000000</v>
      </c>
      <c r="S26" s="111"/>
      <c r="T26" s="111"/>
      <c r="U26" s="111"/>
      <c r="V26" s="81" t="s">
        <v>90</v>
      </c>
      <c r="W26" s="34">
        <f>Variables!$B$37*Variables!$B$28*Variables!$B$29^2</f>
        <v>576000000</v>
      </c>
      <c r="Y26" s="111"/>
      <c r="Z26" s="111"/>
      <c r="AA26" s="111"/>
      <c r="AB26" s="81" t="s">
        <v>90</v>
      </c>
      <c r="AC26" s="34">
        <f>Variables!$B$37*Variables!$B$28*Variables!$B$29^3</f>
        <v>1152000000</v>
      </c>
    </row>
    <row r="27" spans="1:29" s="25" customFormat="1" ht="16.5" customHeight="1" x14ac:dyDescent="0.3">
      <c r="A27" s="111"/>
      <c r="B27" s="111"/>
      <c r="C27" s="111"/>
      <c r="D27" s="82" t="s">
        <v>27</v>
      </c>
      <c r="E27" s="34">
        <f>Variables!B49</f>
        <v>2160000</v>
      </c>
      <c r="G27" s="111"/>
      <c r="H27" s="111"/>
      <c r="I27" s="111"/>
      <c r="J27" s="81" t="s">
        <v>148</v>
      </c>
      <c r="K27" s="34">
        <f>Variables!$B$39</f>
        <v>60000000</v>
      </c>
      <c r="M27" s="111"/>
      <c r="N27" s="111"/>
      <c r="O27" s="111"/>
      <c r="P27" s="81" t="s">
        <v>148</v>
      </c>
      <c r="Q27" s="34">
        <f>Variables!$B$39+Variables!$B$44</f>
        <v>63000000</v>
      </c>
      <c r="S27" s="111"/>
      <c r="T27" s="111"/>
      <c r="U27" s="111"/>
      <c r="V27" s="81" t="s">
        <v>148</v>
      </c>
      <c r="W27" s="34">
        <f>Variables!$B$39+Variables!$B$44</f>
        <v>63000000</v>
      </c>
      <c r="Y27" s="111"/>
      <c r="Z27" s="111"/>
      <c r="AA27" s="111"/>
      <c r="AB27" s="81" t="s">
        <v>148</v>
      </c>
      <c r="AC27" s="34">
        <f>Variables!$B$39+Variables!$B$44*2</f>
        <v>66000000</v>
      </c>
    </row>
    <row r="28" spans="1:29" s="25" customFormat="1" ht="16.5" customHeight="1" x14ac:dyDescent="0.3">
      <c r="A28" s="111"/>
      <c r="B28" s="111"/>
      <c r="C28" s="111"/>
      <c r="D28" s="83" t="s">
        <v>102</v>
      </c>
      <c r="E28" s="71">
        <f>Variables!$B$46</f>
        <v>43800000</v>
      </c>
      <c r="G28" s="111"/>
      <c r="H28" s="111"/>
      <c r="I28" s="111"/>
      <c r="J28" s="81" t="s">
        <v>150</v>
      </c>
      <c r="K28" s="34">
        <f>Variables!$B$40</f>
        <v>84000000</v>
      </c>
      <c r="M28" s="111"/>
      <c r="N28" s="111"/>
      <c r="O28" s="111"/>
      <c r="P28" s="81" t="s">
        <v>150</v>
      </c>
      <c r="Q28" s="34">
        <f>Variables!$B$40+Variables!$B$44</f>
        <v>87000000</v>
      </c>
      <c r="S28" s="111"/>
      <c r="T28" s="111"/>
      <c r="U28" s="111"/>
      <c r="V28" s="81" t="s">
        <v>150</v>
      </c>
      <c r="W28" s="34">
        <f>Variables!$B$40+Variables!$B$44</f>
        <v>87000000</v>
      </c>
      <c r="Y28" s="111"/>
      <c r="Z28" s="111"/>
      <c r="AA28" s="111"/>
      <c r="AB28" s="81" t="s">
        <v>150</v>
      </c>
      <c r="AC28" s="34">
        <f>Variables!$B$40+Variables!$B$44*2</f>
        <v>90000000</v>
      </c>
    </row>
    <row r="29" spans="1:29" s="25" customFormat="1" ht="16.5" customHeight="1" x14ac:dyDescent="0.3">
      <c r="A29" s="111"/>
      <c r="B29" s="111"/>
      <c r="C29" s="111"/>
      <c r="D29" s="83" t="s">
        <v>136</v>
      </c>
      <c r="E29" s="71">
        <f>Variables!$B$47</f>
        <v>60000000</v>
      </c>
      <c r="G29" s="111"/>
      <c r="H29" s="111"/>
      <c r="I29" s="111"/>
      <c r="J29" s="81" t="s">
        <v>149</v>
      </c>
      <c r="K29" s="34">
        <f>Variables!$B$41</f>
        <v>120000000</v>
      </c>
      <c r="M29" s="111"/>
      <c r="N29" s="111"/>
      <c r="O29" s="111"/>
      <c r="P29" s="81" t="s">
        <v>149</v>
      </c>
      <c r="Q29" s="34">
        <f>Variables!$B$41+Variables!$B$44</f>
        <v>123000000</v>
      </c>
      <c r="S29" s="111"/>
      <c r="T29" s="111"/>
      <c r="U29" s="111"/>
      <c r="V29" s="81" t="s">
        <v>149</v>
      </c>
      <c r="W29" s="34">
        <f>Variables!$B$41+Variables!$B$44</f>
        <v>123000000</v>
      </c>
      <c r="Y29" s="111"/>
      <c r="Z29" s="111"/>
      <c r="AA29" s="111"/>
      <c r="AB29" s="81" t="s">
        <v>149</v>
      </c>
      <c r="AC29" s="34">
        <f>Variables!$B$41+Variables!$B$44*2</f>
        <v>126000000</v>
      </c>
    </row>
    <row r="30" spans="1:29" s="25" customFormat="1" ht="16.5" customHeight="1" x14ac:dyDescent="0.3">
      <c r="A30" s="111"/>
      <c r="B30" s="111"/>
      <c r="C30" s="111"/>
      <c r="D30" s="81" t="s">
        <v>137</v>
      </c>
      <c r="E30" s="80">
        <f>Variables!$B$48</f>
        <v>36000000</v>
      </c>
      <c r="G30" s="111"/>
      <c r="H30" s="111"/>
      <c r="I30" s="111"/>
      <c r="J30" s="81" t="s">
        <v>170</v>
      </c>
      <c r="K30" s="34">
        <f>Variables!$B$42</f>
        <v>108000000</v>
      </c>
      <c r="M30" s="111"/>
      <c r="N30" s="111"/>
      <c r="O30" s="111"/>
      <c r="P30" s="81" t="s">
        <v>170</v>
      </c>
      <c r="Q30" s="34">
        <f>Variables!$B$42+Variables!$B$44</f>
        <v>111000000</v>
      </c>
      <c r="S30" s="111"/>
      <c r="T30" s="111"/>
      <c r="U30" s="111"/>
      <c r="V30" s="81" t="s">
        <v>170</v>
      </c>
      <c r="W30" s="34">
        <f>Variables!$B$42+Variables!$B$44</f>
        <v>111000000</v>
      </c>
      <c r="Y30" s="111"/>
      <c r="Z30" s="111"/>
      <c r="AA30" s="111"/>
      <c r="AB30" s="81" t="s">
        <v>170</v>
      </c>
      <c r="AC30" s="34">
        <f>Variables!$B$42+Variables!$B$44*2</f>
        <v>114000000</v>
      </c>
    </row>
    <row r="31" spans="1:29" s="25" customFormat="1" ht="16.5" customHeight="1" x14ac:dyDescent="0.3">
      <c r="A31" s="111"/>
      <c r="B31" s="111"/>
      <c r="C31" s="111"/>
      <c r="D31" s="81" t="s">
        <v>165</v>
      </c>
      <c r="E31" s="80">
        <f>Variables!B25</f>
        <v>600000</v>
      </c>
      <c r="G31" s="111"/>
      <c r="H31" s="111"/>
      <c r="I31" s="111"/>
      <c r="J31" s="81" t="s">
        <v>152</v>
      </c>
      <c r="K31" s="34">
        <f>Variables!$B$43</f>
        <v>192000000</v>
      </c>
      <c r="M31" s="111"/>
      <c r="N31" s="111"/>
      <c r="O31" s="111"/>
      <c r="P31" s="81" t="s">
        <v>152</v>
      </c>
      <c r="Q31" s="34">
        <f>Variables!$B$43+Variables!$B$44</f>
        <v>195000000</v>
      </c>
      <c r="S31" s="111"/>
      <c r="T31" s="111"/>
      <c r="U31" s="111"/>
      <c r="V31" s="81" t="s">
        <v>152</v>
      </c>
      <c r="W31" s="34">
        <f>Variables!$B$43+Variables!$B$44</f>
        <v>195000000</v>
      </c>
      <c r="Y31" s="111"/>
      <c r="Z31" s="111"/>
      <c r="AA31" s="111"/>
      <c r="AB31" s="81" t="s">
        <v>152</v>
      </c>
      <c r="AC31" s="34">
        <f>Variables!$B$43+Variables!$B$44*2</f>
        <v>198000000</v>
      </c>
    </row>
    <row r="32" spans="1:29" s="25" customFormat="1" ht="16.5" customHeight="1" x14ac:dyDescent="0.3">
      <c r="A32" s="111"/>
      <c r="B32" s="111"/>
      <c r="C32" s="111"/>
      <c r="D32" s="81" t="s">
        <v>167</v>
      </c>
      <c r="E32" s="80">
        <f>Variables!B27</f>
        <v>5000000</v>
      </c>
      <c r="G32" s="111"/>
      <c r="H32" s="111"/>
      <c r="I32" s="111"/>
      <c r="J32" s="82" t="s">
        <v>27</v>
      </c>
      <c r="K32" s="42">
        <f>Variables!$B$49*Variables!$B$28*Variables!$B$29^0</f>
        <v>8640000</v>
      </c>
      <c r="M32" s="111"/>
      <c r="N32" s="111"/>
      <c r="O32" s="111"/>
      <c r="P32" s="82" t="s">
        <v>27</v>
      </c>
      <c r="Q32" s="42">
        <f>Variables!$B$49*Variables!$B$28*Variables!$B$29^1</f>
        <v>17280000</v>
      </c>
      <c r="S32" s="111"/>
      <c r="T32" s="111"/>
      <c r="U32" s="111"/>
      <c r="V32" s="82" t="s">
        <v>27</v>
      </c>
      <c r="W32" s="42">
        <f>Variables!$B$49*Variables!$B$28*Variables!$B$29^2</f>
        <v>34560000</v>
      </c>
      <c r="Y32" s="111"/>
      <c r="Z32" s="111"/>
      <c r="AA32" s="111"/>
      <c r="AB32" s="82" t="s">
        <v>27</v>
      </c>
      <c r="AC32" s="42">
        <f>Variables!$B$49*Variables!$B$28*Variables!$B$29^3</f>
        <v>69120000</v>
      </c>
    </row>
    <row r="33" spans="1:29" s="25" customFormat="1" ht="16.5" customHeight="1" x14ac:dyDescent="0.3">
      <c r="A33" s="111"/>
      <c r="B33" s="111"/>
      <c r="C33" s="111"/>
      <c r="D33" s="43" t="s">
        <v>138</v>
      </c>
      <c r="E33" s="80">
        <f>Variables!B20</f>
        <v>7500000</v>
      </c>
      <c r="G33" s="111"/>
      <c r="H33" s="111"/>
      <c r="I33" s="111"/>
      <c r="J33" s="83" t="s">
        <v>102</v>
      </c>
      <c r="K33" s="34">
        <f>Variables!$B$46*Variables!$B$28*Variables!$B$29^0</f>
        <v>175200000</v>
      </c>
      <c r="M33" s="111"/>
      <c r="N33" s="111"/>
      <c r="O33" s="111"/>
      <c r="P33" s="83" t="s">
        <v>102</v>
      </c>
      <c r="Q33" s="34">
        <f>Variables!$B$46*Variables!$B$28*Variables!$B$29^1</f>
        <v>350400000</v>
      </c>
      <c r="S33" s="111"/>
      <c r="T33" s="111"/>
      <c r="U33" s="111"/>
      <c r="V33" s="83" t="s">
        <v>102</v>
      </c>
      <c r="W33" s="34">
        <f>Variables!$B$46*Variables!$B$28*Variables!$B$29^2</f>
        <v>700800000</v>
      </c>
      <c r="Y33" s="111"/>
      <c r="Z33" s="111"/>
      <c r="AA33" s="111"/>
      <c r="AB33" s="83" t="s">
        <v>102</v>
      </c>
      <c r="AC33" s="34">
        <f>Variables!$B$46*Variables!$B$28*Variables!$B$29^3</f>
        <v>1401600000</v>
      </c>
    </row>
    <row r="34" spans="1:29" s="25" customFormat="1" ht="16.5" customHeight="1" x14ac:dyDescent="0.3">
      <c r="A34" s="111"/>
      <c r="B34" s="111"/>
      <c r="C34" s="111"/>
      <c r="D34" s="43" t="s">
        <v>139</v>
      </c>
      <c r="E34" s="80">
        <f>Variables!B21*Variables!B19</f>
        <v>3000000</v>
      </c>
      <c r="G34" s="111"/>
      <c r="H34" s="111"/>
      <c r="I34" s="111"/>
      <c r="J34" s="83" t="s">
        <v>136</v>
      </c>
      <c r="K34" s="71">
        <f>Variables!$B$47*Variables!$B$28*Variables!$B$29^0</f>
        <v>240000000</v>
      </c>
      <c r="M34" s="111"/>
      <c r="N34" s="111"/>
      <c r="O34" s="111"/>
      <c r="P34" s="83" t="s">
        <v>136</v>
      </c>
      <c r="Q34" s="71">
        <f>Variables!$B$47*Variables!$B$28*Variables!$B$29^1</f>
        <v>480000000</v>
      </c>
      <c r="S34" s="111"/>
      <c r="T34" s="111"/>
      <c r="U34" s="111"/>
      <c r="V34" s="83" t="s">
        <v>136</v>
      </c>
      <c r="W34" s="71">
        <f>Variables!$B$47*Variables!$B$28*Variables!$B$29^2</f>
        <v>960000000</v>
      </c>
      <c r="Y34" s="111"/>
      <c r="Z34" s="111"/>
      <c r="AA34" s="111"/>
      <c r="AB34" s="83" t="s">
        <v>136</v>
      </c>
      <c r="AC34" s="71">
        <f>Variables!$B$47*Variables!$B$28*Variables!$B$29^3</f>
        <v>1920000000</v>
      </c>
    </row>
    <row r="35" spans="1:29" s="25" customFormat="1" ht="16.5" customHeight="1" x14ac:dyDescent="0.3">
      <c r="A35" s="111"/>
      <c r="B35" s="111"/>
      <c r="C35" s="111"/>
      <c r="D35" s="43"/>
      <c r="E35" s="80"/>
      <c r="G35" s="111"/>
      <c r="H35" s="111"/>
      <c r="I35" s="111"/>
      <c r="J35" s="81" t="s">
        <v>137</v>
      </c>
      <c r="K35" s="80">
        <f>Variables!$B$48*Variables!$B$28*Variables!$B$29^0</f>
        <v>144000000</v>
      </c>
      <c r="M35" s="111"/>
      <c r="N35" s="111"/>
      <c r="O35" s="111"/>
      <c r="P35" s="81" t="s">
        <v>137</v>
      </c>
      <c r="Q35" s="80">
        <f>Variables!$B$48*Variables!$B$28*Variables!$B$29^1</f>
        <v>288000000</v>
      </c>
      <c r="S35" s="111"/>
      <c r="T35" s="111"/>
      <c r="U35" s="111"/>
      <c r="V35" s="81" t="s">
        <v>137</v>
      </c>
      <c r="W35" s="80">
        <f>Variables!$B$48*Variables!$B$28*Variables!$B$29^2</f>
        <v>576000000</v>
      </c>
      <c r="Y35" s="111"/>
      <c r="Z35" s="111"/>
      <c r="AA35" s="111"/>
      <c r="AB35" s="81" t="s">
        <v>137</v>
      </c>
      <c r="AC35" s="80">
        <f>Variables!$B$48*Variables!$B$28*Variables!$B$29^3</f>
        <v>1152000000</v>
      </c>
    </row>
    <row r="36" spans="1:29" s="25" customFormat="1" ht="16.5" customHeight="1" x14ac:dyDescent="0.3">
      <c r="A36" s="111"/>
      <c r="B36" s="111"/>
      <c r="C36" s="111"/>
      <c r="D36" s="43"/>
      <c r="E36" s="80"/>
      <c r="G36" s="111"/>
      <c r="H36" s="111"/>
      <c r="I36" s="111"/>
      <c r="J36" s="81" t="s">
        <v>168</v>
      </c>
      <c r="K36" s="80">
        <f>Variables!$B$28*Variables!$B$50</f>
        <v>300000000</v>
      </c>
      <c r="M36" s="111"/>
      <c r="N36" s="111"/>
      <c r="O36" s="111"/>
      <c r="P36" s="81" t="s">
        <v>168</v>
      </c>
      <c r="Q36" s="80">
        <f>Variables!$B$28*Variables!$B$50*Variables!$B$29^0</f>
        <v>300000000</v>
      </c>
      <c r="S36" s="111"/>
      <c r="T36" s="111"/>
      <c r="U36" s="111"/>
      <c r="V36" s="81" t="s">
        <v>168</v>
      </c>
      <c r="W36" s="80">
        <f>Variables!$B$28*Variables!$B$50*Variables!$B$29^1</f>
        <v>600000000</v>
      </c>
      <c r="Y36" s="111"/>
      <c r="Z36" s="111"/>
      <c r="AA36" s="111"/>
      <c r="AB36" s="81" t="s">
        <v>168</v>
      </c>
      <c r="AC36" s="80">
        <f>Variables!$B$28*Variables!$B$50*Variables!$B$29^2</f>
        <v>1200000000</v>
      </c>
    </row>
    <row r="37" spans="1:29" s="25" customFormat="1" ht="16.5" customHeight="1" x14ac:dyDescent="0.3">
      <c r="A37" s="111"/>
      <c r="B37" s="111"/>
      <c r="C37" s="111"/>
      <c r="D37" s="43"/>
      <c r="E37" s="80"/>
      <c r="G37" s="111"/>
      <c r="H37" s="111"/>
      <c r="I37" s="111"/>
      <c r="J37" s="81" t="s">
        <v>169</v>
      </c>
      <c r="K37" s="80">
        <f>Variables!$B$30+Variables!$B$31</f>
        <v>260000000</v>
      </c>
      <c r="M37" s="111"/>
      <c r="N37" s="111"/>
      <c r="O37" s="111"/>
      <c r="P37" s="81" t="s">
        <v>175</v>
      </c>
      <c r="Q37" s="80">
        <f>Variables!$B$31</f>
        <v>10000000</v>
      </c>
      <c r="S37" s="111"/>
      <c r="T37" s="111"/>
      <c r="U37" s="111"/>
      <c r="V37" s="81" t="s">
        <v>175</v>
      </c>
      <c r="W37" s="80">
        <f>Variables!$B$31</f>
        <v>10000000</v>
      </c>
      <c r="Y37" s="111"/>
      <c r="Z37" s="111"/>
      <c r="AA37" s="111"/>
      <c r="AB37" s="81" t="s">
        <v>175</v>
      </c>
      <c r="AC37" s="80">
        <f>Variables!$B$31</f>
        <v>10000000</v>
      </c>
    </row>
    <row r="38" spans="1:29" s="25" customFormat="1" ht="16.5" customHeight="1" x14ac:dyDescent="0.3">
      <c r="A38" s="111"/>
      <c r="B38" s="111"/>
      <c r="C38" s="111"/>
      <c r="D38" s="43"/>
      <c r="E38" s="80"/>
      <c r="G38" s="111"/>
      <c r="H38" s="111"/>
      <c r="I38" s="111"/>
      <c r="J38" s="81"/>
      <c r="K38" s="80"/>
      <c r="M38" s="111"/>
      <c r="N38" s="111"/>
      <c r="O38" s="111"/>
      <c r="P38" s="43"/>
      <c r="Q38" s="43"/>
      <c r="S38" s="111"/>
      <c r="T38" s="111"/>
      <c r="U38" s="111"/>
      <c r="V38" s="82"/>
      <c r="W38" s="56"/>
      <c r="Y38" s="111"/>
      <c r="Z38" s="111"/>
      <c r="AA38" s="111"/>
      <c r="AB38" s="82"/>
      <c r="AC38" s="56"/>
    </row>
    <row r="39" spans="1:29" s="25" customFormat="1" ht="16.5" customHeight="1" x14ac:dyDescent="0.3">
      <c r="A39" s="111"/>
      <c r="B39" s="111"/>
      <c r="C39" s="112"/>
      <c r="D39" s="43"/>
      <c r="E39" s="80"/>
      <c r="G39" s="111"/>
      <c r="H39" s="111"/>
      <c r="I39" s="112"/>
      <c r="J39" s="81"/>
      <c r="K39" s="80"/>
      <c r="M39" s="111"/>
      <c r="N39" s="111"/>
      <c r="O39" s="112"/>
      <c r="P39" s="43"/>
      <c r="Q39" s="43"/>
      <c r="S39" s="111"/>
      <c r="T39" s="111"/>
      <c r="U39" s="112"/>
      <c r="V39" s="82"/>
      <c r="W39" s="56"/>
      <c r="Y39" s="111"/>
      <c r="Z39" s="111"/>
      <c r="AA39" s="112"/>
      <c r="AB39" s="82"/>
      <c r="AC39" s="56"/>
    </row>
    <row r="40" spans="1:29" s="25" customFormat="1" ht="16.5" customHeight="1" x14ac:dyDescent="0.3">
      <c r="A40" s="111"/>
      <c r="B40" s="112"/>
      <c r="C40" s="99" t="s">
        <v>30</v>
      </c>
      <c r="D40" s="114"/>
      <c r="E40" s="72">
        <f>SUM(E24:E34)</f>
        <v>276660000</v>
      </c>
      <c r="G40" s="111"/>
      <c r="H40" s="112"/>
      <c r="I40" s="99" t="s">
        <v>30</v>
      </c>
      <c r="J40" s="101"/>
      <c r="K40" s="37">
        <f>SUM(K24:K39)</f>
        <v>2166240000</v>
      </c>
      <c r="M40" s="111"/>
      <c r="N40" s="112"/>
      <c r="O40" s="99" t="s">
        <v>30</v>
      </c>
      <c r="P40" s="113"/>
      <c r="Q40" s="37">
        <f>SUM(Q24:Q39)</f>
        <v>2973480000</v>
      </c>
      <c r="S40" s="111"/>
      <c r="T40" s="112"/>
      <c r="U40" s="99" t="s">
        <v>30</v>
      </c>
      <c r="V40" s="101"/>
      <c r="W40" s="37">
        <f>SUM(W24:W39)</f>
        <v>5357960000</v>
      </c>
      <c r="Y40" s="111"/>
      <c r="Z40" s="112"/>
      <c r="AA40" s="99" t="s">
        <v>30</v>
      </c>
      <c r="AB40" s="101"/>
      <c r="AC40" s="37">
        <f>SUM(AC24:AC39)</f>
        <v>10141920000</v>
      </c>
    </row>
    <row r="41" spans="1:29" s="25" customFormat="1" ht="16.5" customHeight="1" x14ac:dyDescent="0.3">
      <c r="A41" s="111"/>
      <c r="B41" s="99" t="s">
        <v>31</v>
      </c>
      <c r="C41" s="100"/>
      <c r="D41" s="101"/>
      <c r="E41" s="37">
        <f>E23+E40</f>
        <v>709635000</v>
      </c>
      <c r="G41" s="111"/>
      <c r="H41" s="99" t="s">
        <v>31</v>
      </c>
      <c r="I41" s="100"/>
      <c r="J41" s="101"/>
      <c r="K41" s="37">
        <f>K23+K40</f>
        <v>4058925000</v>
      </c>
      <c r="M41" s="111"/>
      <c r="N41" s="99" t="s">
        <v>31</v>
      </c>
      <c r="O41" s="100"/>
      <c r="P41" s="101"/>
      <c r="Q41" s="37">
        <f>Q23+Q40</f>
        <v>7073850000</v>
      </c>
      <c r="S41" s="111"/>
      <c r="T41" s="99" t="s">
        <v>31</v>
      </c>
      <c r="U41" s="100"/>
      <c r="V41" s="101"/>
      <c r="W41" s="37">
        <f>W23+W40</f>
        <v>14038700000</v>
      </c>
      <c r="Y41" s="111"/>
      <c r="Z41" s="99" t="s">
        <v>31</v>
      </c>
      <c r="AA41" s="100"/>
      <c r="AB41" s="101"/>
      <c r="AC41" s="37">
        <f>AC23+AC40</f>
        <v>27503400000</v>
      </c>
    </row>
    <row r="42" spans="1:29" s="25" customFormat="1" ht="16.5" customHeight="1" x14ac:dyDescent="0.3">
      <c r="A42" s="111"/>
      <c r="B42" s="102" t="s">
        <v>32</v>
      </c>
      <c r="C42" s="103"/>
      <c r="D42" s="39" t="s">
        <v>86</v>
      </c>
      <c r="E42" s="34">
        <v>0</v>
      </c>
      <c r="G42" s="111"/>
      <c r="H42" s="102" t="s">
        <v>32</v>
      </c>
      <c r="I42" s="103"/>
      <c r="J42" s="39"/>
      <c r="K42" s="34">
        <v>0</v>
      </c>
      <c r="M42" s="111"/>
      <c r="N42" s="102" t="s">
        <v>32</v>
      </c>
      <c r="O42" s="103"/>
      <c r="P42" s="39"/>
      <c r="Q42" s="34">
        <v>0</v>
      </c>
      <c r="S42" s="111"/>
      <c r="T42" s="102" t="s">
        <v>32</v>
      </c>
      <c r="U42" s="103"/>
      <c r="V42" s="39"/>
      <c r="W42" s="34">
        <v>0</v>
      </c>
      <c r="Y42" s="111"/>
      <c r="Z42" s="102" t="s">
        <v>32</v>
      </c>
      <c r="AA42" s="103"/>
      <c r="AB42" s="39"/>
      <c r="AC42" s="34">
        <v>0</v>
      </c>
    </row>
    <row r="43" spans="1:29" s="25" customFormat="1" ht="16.5" customHeight="1" x14ac:dyDescent="0.3">
      <c r="A43" s="111"/>
      <c r="B43" s="104"/>
      <c r="C43" s="105"/>
      <c r="D43" s="39" t="s">
        <v>86</v>
      </c>
      <c r="E43" s="34">
        <v>0</v>
      </c>
      <c r="G43" s="111"/>
      <c r="H43" s="104"/>
      <c r="I43" s="105"/>
      <c r="J43" s="39"/>
      <c r="K43" s="34">
        <v>0</v>
      </c>
      <c r="M43" s="111"/>
      <c r="N43" s="104"/>
      <c r="O43" s="105"/>
      <c r="P43" s="39"/>
      <c r="Q43" s="34">
        <v>0</v>
      </c>
      <c r="S43" s="111"/>
      <c r="T43" s="104"/>
      <c r="U43" s="105"/>
      <c r="V43" s="39"/>
      <c r="W43" s="34">
        <v>0</v>
      </c>
      <c r="Y43" s="111"/>
      <c r="Z43" s="104"/>
      <c r="AA43" s="105"/>
      <c r="AB43" s="39"/>
      <c r="AC43" s="34">
        <v>0</v>
      </c>
    </row>
    <row r="44" spans="1:29" s="25" customFormat="1" ht="16.5" customHeight="1" x14ac:dyDescent="0.3">
      <c r="A44" s="112"/>
      <c r="B44" s="99" t="s">
        <v>33</v>
      </c>
      <c r="C44" s="100"/>
      <c r="D44" s="101"/>
      <c r="E44" s="37">
        <f>SUM(E42:E43)</f>
        <v>0</v>
      </c>
      <c r="G44" s="112"/>
      <c r="H44" s="99" t="s">
        <v>33</v>
      </c>
      <c r="I44" s="100"/>
      <c r="J44" s="101"/>
      <c r="K44" s="37">
        <f>SUM(K42:K43)</f>
        <v>0</v>
      </c>
      <c r="M44" s="112"/>
      <c r="N44" s="99" t="s">
        <v>33</v>
      </c>
      <c r="O44" s="100"/>
      <c r="P44" s="101"/>
      <c r="Q44" s="37">
        <f>SUM(Q42:Q43)</f>
        <v>0</v>
      </c>
      <c r="S44" s="112"/>
      <c r="T44" s="99" t="s">
        <v>33</v>
      </c>
      <c r="U44" s="100"/>
      <c r="V44" s="101"/>
      <c r="W44" s="37">
        <f>SUM(W42:W43)</f>
        <v>0</v>
      </c>
      <c r="Y44" s="112"/>
      <c r="Z44" s="99" t="s">
        <v>33</v>
      </c>
      <c r="AA44" s="100"/>
      <c r="AB44" s="101"/>
      <c r="AC44" s="37">
        <f>SUM(AC42:AC43)</f>
        <v>0</v>
      </c>
    </row>
    <row r="45" spans="1:29" s="25" customFormat="1" ht="16.5" customHeight="1" x14ac:dyDescent="0.3">
      <c r="A45" s="106" t="s">
        <v>34</v>
      </c>
      <c r="B45" s="106"/>
      <c r="C45" s="106"/>
      <c r="D45" s="106"/>
      <c r="E45" s="37">
        <f>E41+E44</f>
        <v>709635000</v>
      </c>
      <c r="G45" s="106" t="s">
        <v>34</v>
      </c>
      <c r="H45" s="106"/>
      <c r="I45" s="106"/>
      <c r="J45" s="106"/>
      <c r="K45" s="37">
        <f>K41+K44</f>
        <v>4058925000</v>
      </c>
      <c r="M45" s="106" t="s">
        <v>34</v>
      </c>
      <c r="N45" s="106"/>
      <c r="O45" s="106"/>
      <c r="P45" s="106"/>
      <c r="Q45" s="37">
        <f>Q41+Q44</f>
        <v>7073850000</v>
      </c>
      <c r="S45" s="106" t="s">
        <v>34</v>
      </c>
      <c r="T45" s="106"/>
      <c r="U45" s="106"/>
      <c r="V45" s="106"/>
      <c r="W45" s="37">
        <f>W41+W44</f>
        <v>14038700000</v>
      </c>
      <c r="Y45" s="106" t="s">
        <v>34</v>
      </c>
      <c r="Z45" s="106"/>
      <c r="AA45" s="106"/>
      <c r="AB45" s="106"/>
      <c r="AC45" s="37">
        <f>AC41+AC44</f>
        <v>27503400000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09" t="s">
        <v>92</v>
      </c>
      <c r="B47" s="109"/>
      <c r="C47" s="109"/>
      <c r="D47" s="109"/>
      <c r="E47" s="79">
        <f>E13-E45</f>
        <v>78860000</v>
      </c>
      <c r="G47" s="109" t="s">
        <v>93</v>
      </c>
      <c r="H47" s="109"/>
      <c r="I47" s="109"/>
      <c r="J47" s="109"/>
      <c r="K47" s="79">
        <f>K13-K45</f>
        <v>-362248000</v>
      </c>
      <c r="M47" s="109" t="s">
        <v>94</v>
      </c>
      <c r="N47" s="109"/>
      <c r="O47" s="109"/>
      <c r="P47" s="109"/>
      <c r="Q47" s="79">
        <f>Q13-Q45</f>
        <v>283504000</v>
      </c>
      <c r="S47" s="109" t="s">
        <v>95</v>
      </c>
      <c r="T47" s="109"/>
      <c r="U47" s="109"/>
      <c r="V47" s="109"/>
      <c r="W47" s="79">
        <f>W13-W45</f>
        <v>1576008000</v>
      </c>
      <c r="Y47" s="109" t="s">
        <v>96</v>
      </c>
      <c r="Z47" s="109"/>
      <c r="AA47" s="109"/>
      <c r="AB47" s="109"/>
      <c r="AC47" s="79">
        <f>AC13-AC45</f>
        <v>3126016000</v>
      </c>
    </row>
    <row r="48" spans="1:29" s="25" customFormat="1" ht="16.5" customHeight="1" x14ac:dyDescent="0.3">
      <c r="A48" s="32"/>
      <c r="B48" s="32"/>
      <c r="C48" s="32"/>
      <c r="D48" s="36"/>
      <c r="E48" s="35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107" t="s">
        <v>35</v>
      </c>
      <c r="B49" s="108" t="s">
        <v>36</v>
      </c>
      <c r="C49" s="108"/>
      <c r="D49" s="108"/>
      <c r="E49" s="37">
        <v>0</v>
      </c>
      <c r="G49" s="107" t="s">
        <v>35</v>
      </c>
      <c r="H49" s="108" t="s">
        <v>36</v>
      </c>
      <c r="I49" s="108"/>
      <c r="J49" s="108"/>
      <c r="K49" s="37">
        <v>0</v>
      </c>
      <c r="M49" s="107" t="s">
        <v>35</v>
      </c>
      <c r="N49" s="108" t="s">
        <v>36</v>
      </c>
      <c r="O49" s="108"/>
      <c r="P49" s="108"/>
      <c r="Q49" s="37">
        <v>0</v>
      </c>
      <c r="S49" s="107" t="s">
        <v>35</v>
      </c>
      <c r="T49" s="108" t="s">
        <v>36</v>
      </c>
      <c r="U49" s="108"/>
      <c r="V49" s="108"/>
      <c r="W49" s="37">
        <v>0</v>
      </c>
      <c r="Y49" s="107" t="s">
        <v>35</v>
      </c>
      <c r="Z49" s="108" t="s">
        <v>36</v>
      </c>
      <c r="AA49" s="108"/>
      <c r="AB49" s="108"/>
      <c r="AC49" s="37">
        <v>0</v>
      </c>
    </row>
    <row r="50" spans="1:29" s="25" customFormat="1" ht="16.5" customHeight="1" x14ac:dyDescent="0.3">
      <c r="A50" s="107"/>
      <c r="B50" s="108" t="s">
        <v>37</v>
      </c>
      <c r="C50" s="108"/>
      <c r="D50" s="108"/>
      <c r="E50" s="37">
        <v>0</v>
      </c>
      <c r="G50" s="107"/>
      <c r="H50" s="108" t="s">
        <v>37</v>
      </c>
      <c r="I50" s="108"/>
      <c r="J50" s="108"/>
      <c r="K50" s="37">
        <v>0</v>
      </c>
      <c r="M50" s="107"/>
      <c r="N50" s="108" t="s">
        <v>37</v>
      </c>
      <c r="O50" s="108"/>
      <c r="P50" s="108"/>
      <c r="Q50" s="37">
        <v>0</v>
      </c>
      <c r="S50" s="107"/>
      <c r="T50" s="108" t="s">
        <v>37</v>
      </c>
      <c r="U50" s="108"/>
      <c r="V50" s="108"/>
      <c r="W50" s="37">
        <v>0</v>
      </c>
      <c r="Y50" s="107"/>
      <c r="Z50" s="108" t="s">
        <v>37</v>
      </c>
      <c r="AA50" s="108"/>
      <c r="AB50" s="108"/>
      <c r="AC50" s="37">
        <v>0</v>
      </c>
    </row>
    <row r="51" spans="1:29" s="25" customFormat="1" ht="16.5" customHeight="1" x14ac:dyDescent="0.3">
      <c r="A51" s="107"/>
      <c r="B51" s="108" t="s">
        <v>38</v>
      </c>
      <c r="C51" s="108"/>
      <c r="D51" s="108"/>
      <c r="E51" s="37">
        <f>E47*Variables!$B$24</f>
        <v>3154400</v>
      </c>
      <c r="G51" s="107"/>
      <c r="H51" s="108" t="s">
        <v>38</v>
      </c>
      <c r="I51" s="108"/>
      <c r="J51" s="108"/>
      <c r="K51" s="37">
        <f>K47*Variables!$B$24</f>
        <v>-14489920</v>
      </c>
      <c r="M51" s="107"/>
      <c r="N51" s="108" t="s">
        <v>38</v>
      </c>
      <c r="O51" s="108"/>
      <c r="P51" s="108"/>
      <c r="Q51" s="37">
        <f>Q47*Variables!$B$24</f>
        <v>11340160</v>
      </c>
      <c r="S51" s="107"/>
      <c r="T51" s="108" t="s">
        <v>38</v>
      </c>
      <c r="U51" s="108"/>
      <c r="V51" s="108"/>
      <c r="W51" s="37">
        <f>W47*Variables!$B$24</f>
        <v>63040320</v>
      </c>
      <c r="Y51" s="107"/>
      <c r="Z51" s="108" t="s">
        <v>38</v>
      </c>
      <c r="AA51" s="108"/>
      <c r="AB51" s="108"/>
      <c r="AC51" s="37">
        <f>AC47*Variables!$B$24</f>
        <v>125040640</v>
      </c>
    </row>
    <row r="52" spans="1:29" s="25" customFormat="1" ht="16.5" customHeight="1" x14ac:dyDescent="0.3">
      <c r="A52" s="107"/>
      <c r="B52" s="108" t="s">
        <v>39</v>
      </c>
      <c r="C52" s="108"/>
      <c r="D52" s="108"/>
      <c r="E52" s="37">
        <f>E47*Variables!$B$23</f>
        <v>14983400</v>
      </c>
      <c r="G52" s="107"/>
      <c r="H52" s="108" t="s">
        <v>39</v>
      </c>
      <c r="I52" s="108"/>
      <c r="J52" s="108"/>
      <c r="K52" s="37">
        <f>K47*Variables!$B$23</f>
        <v>-68827120</v>
      </c>
      <c r="M52" s="107"/>
      <c r="N52" s="108" t="s">
        <v>39</v>
      </c>
      <c r="O52" s="108"/>
      <c r="P52" s="108"/>
      <c r="Q52" s="37">
        <f>Q47*Variables!$B$23</f>
        <v>53865760</v>
      </c>
      <c r="S52" s="107"/>
      <c r="T52" s="108" t="s">
        <v>39</v>
      </c>
      <c r="U52" s="108"/>
      <c r="V52" s="108"/>
      <c r="W52" s="37">
        <f>W47*Variables!$B$23</f>
        <v>299441520</v>
      </c>
      <c r="Y52" s="107"/>
      <c r="Z52" s="108" t="s">
        <v>39</v>
      </c>
      <c r="AA52" s="108"/>
      <c r="AB52" s="108"/>
      <c r="AC52" s="37">
        <f>AC47*Variables!$B$23</f>
        <v>593943040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18137800</v>
      </c>
      <c r="G53" s="32"/>
      <c r="H53" s="38"/>
      <c r="I53" s="38"/>
      <c r="J53" s="38"/>
      <c r="K53" s="37">
        <f>K49+K50+K51+(MAX(K52,0))</f>
        <v>-14489920</v>
      </c>
      <c r="M53" s="32"/>
      <c r="N53" s="38"/>
      <c r="O53" s="38"/>
      <c r="P53" s="38"/>
      <c r="Q53" s="37">
        <f>Q49+Q50+Q51+(MAX(Q52,0))</f>
        <v>65205920</v>
      </c>
      <c r="S53" s="32"/>
      <c r="T53" s="38"/>
      <c r="U53" s="38"/>
      <c r="V53" s="38"/>
      <c r="W53" s="37">
        <f>W49+W50+W51+(MAX(W52,0))</f>
        <v>362481840</v>
      </c>
      <c r="Y53" s="32"/>
      <c r="Z53" s="38"/>
      <c r="AA53" s="38"/>
      <c r="AB53" s="38"/>
      <c r="AC53" s="37">
        <f>AC49+AC50+AC51+(MAX(AC52,0))</f>
        <v>718983680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96" t="s">
        <v>40</v>
      </c>
      <c r="B55" s="97"/>
      <c r="C55" s="97"/>
      <c r="D55" s="97"/>
      <c r="E55" s="98"/>
      <c r="F55" s="32"/>
      <c r="G55" s="96" t="s">
        <v>40</v>
      </c>
      <c r="H55" s="97"/>
      <c r="I55" s="97"/>
      <c r="J55" s="97"/>
      <c r="K55" s="98"/>
      <c r="L55" s="32"/>
      <c r="M55" s="96" t="s">
        <v>40</v>
      </c>
      <c r="N55" s="97"/>
      <c r="O55" s="97"/>
      <c r="P55" s="97"/>
      <c r="Q55" s="98"/>
      <c r="R55" s="32"/>
      <c r="S55" s="96" t="s">
        <v>40</v>
      </c>
      <c r="T55" s="97"/>
      <c r="U55" s="97"/>
      <c r="V55" s="97"/>
      <c r="W55" s="98"/>
      <c r="X55" s="32"/>
      <c r="Y55" s="96" t="s">
        <v>40</v>
      </c>
      <c r="Z55" s="97"/>
      <c r="AA55" s="97"/>
      <c r="AB55" s="97"/>
      <c r="AC55" s="98"/>
    </row>
    <row r="56" spans="1:29" s="25" customFormat="1" ht="16.5" customHeight="1" x14ac:dyDescent="0.3">
      <c r="A56" s="31" t="s">
        <v>41</v>
      </c>
      <c r="B56" s="93" t="s">
        <v>42</v>
      </c>
      <c r="C56" s="94"/>
      <c r="D56" s="95"/>
      <c r="E56" s="34">
        <f>E13-E23</f>
        <v>355520000</v>
      </c>
      <c r="F56" s="32"/>
      <c r="G56" s="31" t="s">
        <v>41</v>
      </c>
      <c r="H56" s="93" t="s">
        <v>42</v>
      </c>
      <c r="I56" s="94"/>
      <c r="J56" s="95"/>
      <c r="K56" s="34">
        <f>K13-K23</f>
        <v>1803992000</v>
      </c>
      <c r="L56" s="32"/>
      <c r="M56" s="31" t="s">
        <v>41</v>
      </c>
      <c r="N56" s="93" t="s">
        <v>42</v>
      </c>
      <c r="O56" s="94"/>
      <c r="P56" s="95"/>
      <c r="Q56" s="34">
        <f>Q13-Q23</f>
        <v>3256984000</v>
      </c>
      <c r="R56" s="32"/>
      <c r="S56" s="31" t="s">
        <v>41</v>
      </c>
      <c r="T56" s="93" t="s">
        <v>42</v>
      </c>
      <c r="U56" s="94"/>
      <c r="V56" s="95"/>
      <c r="W56" s="34">
        <f>W13-W23</f>
        <v>6933968000</v>
      </c>
      <c r="X56" s="32"/>
      <c r="Y56" s="31" t="s">
        <v>41</v>
      </c>
      <c r="Z56" s="93" t="s">
        <v>42</v>
      </c>
      <c r="AA56" s="94"/>
      <c r="AB56" s="95"/>
      <c r="AC56" s="34">
        <f>AC13-AC23</f>
        <v>13267936000</v>
      </c>
    </row>
    <row r="57" spans="1:29" s="25" customFormat="1" ht="16.5" customHeight="1" x14ac:dyDescent="0.3">
      <c r="A57" s="31" t="s">
        <v>43</v>
      </c>
      <c r="B57" s="93" t="s">
        <v>44</v>
      </c>
      <c r="C57" s="94"/>
      <c r="D57" s="95"/>
      <c r="E57" s="33">
        <f>E56/E13</f>
        <v>0.45088427954520954</v>
      </c>
      <c r="F57" s="32"/>
      <c r="G57" s="31" t="s">
        <v>43</v>
      </c>
      <c r="H57" s="93" t="s">
        <v>44</v>
      </c>
      <c r="I57" s="94"/>
      <c r="J57" s="95"/>
      <c r="K57" s="33">
        <f>K56/K13</f>
        <v>0.48800368547211453</v>
      </c>
      <c r="L57" s="32"/>
      <c r="M57" s="31" t="s">
        <v>43</v>
      </c>
      <c r="N57" s="93" t="s">
        <v>44</v>
      </c>
      <c r="O57" s="94"/>
      <c r="P57" s="95"/>
      <c r="Q57" s="33">
        <f>Q56/Q13</f>
        <v>0.44268414976362425</v>
      </c>
      <c r="R57" s="32"/>
      <c r="S57" s="31" t="s">
        <v>43</v>
      </c>
      <c r="T57" s="93" t="s">
        <v>44</v>
      </c>
      <c r="U57" s="94"/>
      <c r="V57" s="95"/>
      <c r="W57" s="33">
        <f>W56/W13</f>
        <v>0.44406645324395433</v>
      </c>
      <c r="X57" s="32"/>
      <c r="Y57" s="31" t="s">
        <v>43</v>
      </c>
      <c r="Z57" s="93" t="s">
        <v>44</v>
      </c>
      <c r="AA57" s="94"/>
      <c r="AB57" s="95"/>
      <c r="AC57" s="33">
        <f>AC56/AC13</f>
        <v>0.43317626428136924</v>
      </c>
    </row>
    <row r="58" spans="1:29" s="25" customFormat="1" ht="16.5" customHeight="1" x14ac:dyDescent="0.3">
      <c r="A58" s="31" t="s">
        <v>45</v>
      </c>
      <c r="B58" s="93" t="s">
        <v>46</v>
      </c>
      <c r="C58" s="94"/>
      <c r="D58" s="95"/>
      <c r="E58" s="34">
        <f>E56-E40</f>
        <v>78860000</v>
      </c>
      <c r="F58" s="32"/>
      <c r="G58" s="31" t="s">
        <v>45</v>
      </c>
      <c r="H58" s="93" t="s">
        <v>46</v>
      </c>
      <c r="I58" s="94"/>
      <c r="J58" s="95"/>
      <c r="K58" s="34">
        <f>K56-K40</f>
        <v>-362248000</v>
      </c>
      <c r="L58" s="32"/>
      <c r="M58" s="31" t="s">
        <v>45</v>
      </c>
      <c r="N58" s="93" t="s">
        <v>46</v>
      </c>
      <c r="O58" s="94"/>
      <c r="P58" s="95"/>
      <c r="Q58" s="34">
        <f>Q56-Q40</f>
        <v>283504000</v>
      </c>
      <c r="R58" s="32"/>
      <c r="S58" s="31" t="s">
        <v>45</v>
      </c>
      <c r="T58" s="93" t="s">
        <v>46</v>
      </c>
      <c r="U58" s="94"/>
      <c r="V58" s="95"/>
      <c r="W58" s="34">
        <f>W56-W40</f>
        <v>1576008000</v>
      </c>
      <c r="X58" s="32"/>
      <c r="Y58" s="31" t="s">
        <v>45</v>
      </c>
      <c r="Z58" s="93" t="s">
        <v>46</v>
      </c>
      <c r="AA58" s="94"/>
      <c r="AB58" s="95"/>
      <c r="AC58" s="34">
        <f>AC56-AC40</f>
        <v>3126016000</v>
      </c>
    </row>
    <row r="59" spans="1:29" s="25" customFormat="1" ht="16.5" customHeight="1" x14ac:dyDescent="0.3">
      <c r="A59" s="31" t="s">
        <v>47</v>
      </c>
      <c r="B59" s="93" t="s">
        <v>48</v>
      </c>
      <c r="C59" s="94"/>
      <c r="D59" s="95"/>
      <c r="E59" s="33">
        <f>E58/E13</f>
        <v>0.10001331650803112</v>
      </c>
      <c r="F59" s="32"/>
      <c r="G59" s="31" t="s">
        <v>47</v>
      </c>
      <c r="H59" s="93" t="s">
        <v>48</v>
      </c>
      <c r="I59" s="94"/>
      <c r="J59" s="95"/>
      <c r="K59" s="33">
        <f>K58/K13</f>
        <v>-9.7992873058695681E-2</v>
      </c>
      <c r="L59" s="32"/>
      <c r="M59" s="31" t="s">
        <v>47</v>
      </c>
      <c r="N59" s="93" t="s">
        <v>48</v>
      </c>
      <c r="O59" s="94"/>
      <c r="P59" s="95"/>
      <c r="Q59" s="33">
        <f>Q58/Q13</f>
        <v>3.8533418400147665E-2</v>
      </c>
      <c r="R59" s="32"/>
      <c r="S59" s="31" t="s">
        <v>47</v>
      </c>
      <c r="T59" s="93" t="s">
        <v>48</v>
      </c>
      <c r="U59" s="94"/>
      <c r="V59" s="95"/>
      <c r="W59" s="33">
        <f>W58/W13</f>
        <v>0.10093099403459867</v>
      </c>
      <c r="X59" s="32"/>
      <c r="Y59" s="31" t="s">
        <v>47</v>
      </c>
      <c r="Z59" s="93" t="s">
        <v>48</v>
      </c>
      <c r="AA59" s="94"/>
      <c r="AB59" s="95"/>
      <c r="AC59" s="33">
        <f>AC58/AC13</f>
        <v>0.10205927530580407</v>
      </c>
    </row>
    <row r="60" spans="1:29" s="25" customFormat="1" ht="16.5" customHeight="1" x14ac:dyDescent="0.3">
      <c r="A60" s="31" t="s">
        <v>49</v>
      </c>
      <c r="B60" s="93" t="s">
        <v>50</v>
      </c>
      <c r="C60" s="94"/>
      <c r="D60" s="95"/>
      <c r="E60" s="34">
        <f>E58-E53</f>
        <v>60722200</v>
      </c>
      <c r="F60" s="32"/>
      <c r="G60" s="31" t="s">
        <v>49</v>
      </c>
      <c r="H60" s="93" t="s">
        <v>50</v>
      </c>
      <c r="I60" s="94"/>
      <c r="J60" s="95"/>
      <c r="K60" s="34">
        <f>K58-K53</f>
        <v>-347758080</v>
      </c>
      <c r="L60" s="32"/>
      <c r="M60" s="31" t="s">
        <v>49</v>
      </c>
      <c r="N60" s="93" t="s">
        <v>50</v>
      </c>
      <c r="O60" s="94"/>
      <c r="P60" s="95"/>
      <c r="Q60" s="34">
        <f>Q58-Q53</f>
        <v>218298080</v>
      </c>
      <c r="R60" s="32"/>
      <c r="S60" s="31" t="s">
        <v>49</v>
      </c>
      <c r="T60" s="93" t="s">
        <v>50</v>
      </c>
      <c r="U60" s="94"/>
      <c r="V60" s="95"/>
      <c r="W60" s="34">
        <f>W58-W53</f>
        <v>1213526160</v>
      </c>
      <c r="X60" s="32"/>
      <c r="Y60" s="31" t="s">
        <v>49</v>
      </c>
      <c r="Z60" s="93" t="s">
        <v>50</v>
      </c>
      <c r="AA60" s="94"/>
      <c r="AB60" s="95"/>
      <c r="AC60" s="34">
        <f>AC58-AC53</f>
        <v>2407032320</v>
      </c>
    </row>
    <row r="61" spans="1:29" s="25" customFormat="1" ht="16.5" customHeight="1" x14ac:dyDescent="0.3">
      <c r="A61" s="31" t="s">
        <v>51</v>
      </c>
      <c r="B61" s="93" t="s">
        <v>52</v>
      </c>
      <c r="C61" s="94"/>
      <c r="D61" s="95"/>
      <c r="E61" s="33">
        <f>E60/E13</f>
        <v>7.701025371118396E-2</v>
      </c>
      <c r="F61" s="32"/>
      <c r="G61" s="31" t="s">
        <v>51</v>
      </c>
      <c r="H61" s="93" t="s">
        <v>52</v>
      </c>
      <c r="I61" s="94"/>
      <c r="J61" s="95"/>
      <c r="K61" s="33">
        <f>K60/K13</f>
        <v>-9.4073158136347854E-2</v>
      </c>
      <c r="L61" s="32"/>
      <c r="M61" s="31" t="s">
        <v>51</v>
      </c>
      <c r="N61" s="93" t="s">
        <v>52</v>
      </c>
      <c r="O61" s="94"/>
      <c r="P61" s="95"/>
      <c r="Q61" s="33">
        <f>Q60/Q13</f>
        <v>2.9670732168113698E-2</v>
      </c>
      <c r="R61" s="32"/>
      <c r="S61" s="31" t="s">
        <v>51</v>
      </c>
      <c r="T61" s="93" t="s">
        <v>52</v>
      </c>
      <c r="U61" s="94"/>
      <c r="V61" s="95"/>
      <c r="W61" s="33">
        <f>W60/W13</f>
        <v>7.7716865406640967E-2</v>
      </c>
      <c r="X61" s="32"/>
      <c r="Y61" s="31" t="s">
        <v>51</v>
      </c>
      <c r="Z61" s="93" t="s">
        <v>52</v>
      </c>
      <c r="AA61" s="94"/>
      <c r="AB61" s="95"/>
      <c r="AC61" s="33">
        <f>AC60/AC13</f>
        <v>7.8585641985469135E-2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0.12144439999999999</v>
      </c>
      <c r="F62" s="32"/>
      <c r="G62" s="31" t="s">
        <v>53</v>
      </c>
      <c r="H62" s="30" t="s">
        <v>54</v>
      </c>
      <c r="I62" s="29"/>
      <c r="J62" s="28"/>
      <c r="K62" s="33">
        <f>K60/Variables!$B$7</f>
        <v>-0.69551616000000005</v>
      </c>
      <c r="L62" s="32"/>
      <c r="M62" s="31" t="s">
        <v>53</v>
      </c>
      <c r="N62" s="30" t="s">
        <v>54</v>
      </c>
      <c r="O62" s="29"/>
      <c r="P62" s="28"/>
      <c r="Q62" s="33">
        <f>Q60/Variables!$B$7</f>
        <v>0.43659616000000001</v>
      </c>
      <c r="R62" s="32"/>
      <c r="S62" s="31" t="s">
        <v>53</v>
      </c>
      <c r="T62" s="30" t="s">
        <v>54</v>
      </c>
      <c r="U62" s="29"/>
      <c r="V62" s="28"/>
      <c r="W62" s="33">
        <f>W60/Variables!$B$7</f>
        <v>2.42705232</v>
      </c>
      <c r="X62" s="32"/>
      <c r="Y62" s="31" t="s">
        <v>53</v>
      </c>
      <c r="Z62" s="30" t="s">
        <v>54</v>
      </c>
      <c r="AA62" s="29"/>
      <c r="AB62" s="28"/>
      <c r="AC62" s="33">
        <f>AC60/Variables!$B$7</f>
        <v>4.8140646399999998</v>
      </c>
    </row>
    <row r="63" spans="1:29" s="25" customFormat="1" ht="16.5" customHeight="1" x14ac:dyDescent="0.3">
      <c r="A63" s="31" t="s">
        <v>55</v>
      </c>
      <c r="B63" s="93" t="s">
        <v>56</v>
      </c>
      <c r="C63" s="94"/>
      <c r="D63" s="95"/>
      <c r="E63" s="33">
        <f>E60/Variables!$B$5</f>
        <v>0.12144439999999999</v>
      </c>
      <c r="F63" s="32"/>
      <c r="G63" s="31" t="s">
        <v>55</v>
      </c>
      <c r="H63" s="93" t="s">
        <v>56</v>
      </c>
      <c r="I63" s="94"/>
      <c r="J63" s="95"/>
      <c r="K63" s="33">
        <f>K60/Variables!$B$5</f>
        <v>-0.69551616000000005</v>
      </c>
      <c r="L63" s="32"/>
      <c r="M63" s="31" t="s">
        <v>55</v>
      </c>
      <c r="N63" s="93" t="s">
        <v>56</v>
      </c>
      <c r="O63" s="94"/>
      <c r="P63" s="95"/>
      <c r="Q63" s="33">
        <f>Q60/Variables!$B$5</f>
        <v>0.43659616000000001</v>
      </c>
      <c r="R63" s="32"/>
      <c r="S63" s="31" t="s">
        <v>55</v>
      </c>
      <c r="T63" s="93" t="s">
        <v>56</v>
      </c>
      <c r="U63" s="94"/>
      <c r="V63" s="95"/>
      <c r="W63" s="33">
        <f>W60/Variables!$B$5</f>
        <v>2.42705232</v>
      </c>
      <c r="X63" s="32"/>
      <c r="Y63" s="31" t="s">
        <v>55</v>
      </c>
      <c r="Z63" s="93" t="s">
        <v>56</v>
      </c>
      <c r="AA63" s="94"/>
      <c r="AB63" s="95"/>
      <c r="AC63" s="33">
        <f>AC60/Variables!$B$5</f>
        <v>4.8140646399999998</v>
      </c>
    </row>
    <row r="64" spans="1:29" s="25" customFormat="1" ht="16.5" customHeight="1" x14ac:dyDescent="0.3">
      <c r="A64" s="31"/>
      <c r="B64" s="93"/>
      <c r="C64" s="94"/>
      <c r="D64" s="95"/>
      <c r="E64" s="27"/>
      <c r="F64" s="32"/>
      <c r="G64" s="31"/>
      <c r="H64" s="93"/>
      <c r="I64" s="94"/>
      <c r="J64" s="95"/>
      <c r="K64" s="27"/>
      <c r="L64" s="32"/>
      <c r="M64" s="31"/>
      <c r="N64" s="93"/>
      <c r="O64" s="94"/>
      <c r="P64" s="95"/>
      <c r="Q64" s="27"/>
      <c r="R64" s="32"/>
      <c r="S64" s="31"/>
      <c r="T64" s="93"/>
      <c r="U64" s="94"/>
      <c r="V64" s="95"/>
      <c r="W64" s="27"/>
      <c r="X64" s="32"/>
      <c r="Y64" s="31"/>
      <c r="Z64" s="93"/>
      <c r="AA64" s="94"/>
      <c r="AB64" s="95"/>
      <c r="AC64" s="27"/>
    </row>
    <row r="66" spans="4:5" x14ac:dyDescent="0.3">
      <c r="E66" s="26"/>
    </row>
    <row r="68" spans="4:5" x14ac:dyDescent="0.3">
      <c r="D68" s="84"/>
    </row>
  </sheetData>
  <mergeCells count="185"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zoomScaleNormal="135" workbookViewId="0">
      <selection activeCell="G50" sqref="G50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15" t="s">
        <v>59</v>
      </c>
      <c r="C5" s="115"/>
      <c r="D5" s="7"/>
      <c r="E5" s="10" t="s">
        <v>58</v>
      </c>
      <c r="F5" s="115" t="s">
        <v>60</v>
      </c>
      <c r="G5" s="115"/>
      <c r="H5" s="7"/>
      <c r="I5" s="10" t="s">
        <v>58</v>
      </c>
      <c r="J5" s="115" t="s">
        <v>61</v>
      </c>
      <c r="K5" s="115"/>
      <c r="L5" s="7"/>
      <c r="M5" s="10" t="s">
        <v>58</v>
      </c>
      <c r="N5" s="115" t="s">
        <v>62</v>
      </c>
      <c r="O5" s="115"/>
      <c r="P5" s="7"/>
      <c r="Q5" s="10" t="s">
        <v>58</v>
      </c>
      <c r="R5" s="115" t="s">
        <v>63</v>
      </c>
      <c r="S5" s="115"/>
      <c r="T5" s="7"/>
      <c r="U5" s="10" t="s">
        <v>58</v>
      </c>
      <c r="V5" s="115" t="s">
        <v>64</v>
      </c>
      <c r="W5" s="115"/>
    </row>
    <row r="6" spans="1:29" s="4" customFormat="1" x14ac:dyDescent="0.3">
      <c r="A6" s="10" t="s">
        <v>65</v>
      </c>
      <c r="B6" s="116">
        <f>C13-C20</f>
        <v>500000000</v>
      </c>
      <c r="C6" s="116"/>
      <c r="D6" s="3"/>
      <c r="E6" s="10" t="s">
        <v>65</v>
      </c>
      <c r="F6" s="116">
        <f>(B6*(1-Variables!B24))+G25</f>
        <v>558860000</v>
      </c>
      <c r="G6" s="116"/>
      <c r="H6" s="3"/>
      <c r="I6" s="10" t="s">
        <v>65</v>
      </c>
      <c r="J6" s="116">
        <f>(F6*(1-Variables!B24))+K25</f>
        <v>174257600</v>
      </c>
      <c r="K6" s="116"/>
      <c r="L6" s="3"/>
      <c r="M6" s="10" t="s">
        <v>65</v>
      </c>
      <c r="N6" s="116">
        <f>(J6*(1-Variables!B24))+O25</f>
        <v>450791296</v>
      </c>
      <c r="O6" s="116"/>
      <c r="P6" s="3"/>
      <c r="Q6" s="10" t="s">
        <v>65</v>
      </c>
      <c r="R6" s="116">
        <f>(N6*(1-Variables!B24))+S25</f>
        <v>2008767644.1599998</v>
      </c>
      <c r="S6" s="116"/>
      <c r="T6" s="3"/>
      <c r="U6" s="10" t="s">
        <v>65</v>
      </c>
      <c r="V6" s="116">
        <f>(R6*(1-Variables!B24))+W25</f>
        <v>5054432938.3935995</v>
      </c>
      <c r="W6" s="116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17" t="s">
        <v>66</v>
      </c>
      <c r="B8" s="10" t="s">
        <v>67</v>
      </c>
      <c r="C8" s="10" t="s">
        <v>11</v>
      </c>
      <c r="D8" s="3"/>
      <c r="E8" s="117" t="s">
        <v>68</v>
      </c>
      <c r="F8" s="10" t="s">
        <v>67</v>
      </c>
      <c r="G8" s="10" t="s">
        <v>11</v>
      </c>
      <c r="H8" s="3"/>
      <c r="I8" s="117" t="s">
        <v>69</v>
      </c>
      <c r="J8" s="10" t="s">
        <v>67</v>
      </c>
      <c r="K8" s="10" t="s">
        <v>11</v>
      </c>
      <c r="L8" s="3"/>
      <c r="M8" s="117" t="s">
        <v>70</v>
      </c>
      <c r="N8" s="10" t="s">
        <v>67</v>
      </c>
      <c r="O8" s="10" t="s">
        <v>11</v>
      </c>
      <c r="P8" s="3"/>
      <c r="Q8" s="117" t="s">
        <v>71</v>
      </c>
      <c r="R8" s="10" t="s">
        <v>67</v>
      </c>
      <c r="S8" s="10" t="s">
        <v>11</v>
      </c>
      <c r="T8" s="3"/>
      <c r="U8" s="117" t="s">
        <v>72</v>
      </c>
      <c r="V8" s="10" t="s">
        <v>67</v>
      </c>
      <c r="W8" s="10" t="s">
        <v>11</v>
      </c>
    </row>
    <row r="9" spans="1:29" ht="16.5" customHeight="1" x14ac:dyDescent="0.35">
      <c r="A9" s="118"/>
      <c r="B9" s="12" t="s">
        <v>97</v>
      </c>
      <c r="C9" s="5">
        <f>Variables!B7</f>
        <v>500000000</v>
      </c>
      <c r="D9" s="8"/>
      <c r="E9" s="118"/>
      <c r="F9" s="21" t="s">
        <v>5</v>
      </c>
      <c r="G9" s="5">
        <f>'Ingresos &amp; egresos'!E47</f>
        <v>78860000</v>
      </c>
      <c r="H9" s="8"/>
      <c r="I9" s="118"/>
      <c r="J9" s="12" t="s">
        <v>5</v>
      </c>
      <c r="K9" s="5">
        <f>'Ingresos &amp; egresos'!K47</f>
        <v>-362248000</v>
      </c>
      <c r="L9" s="8"/>
      <c r="M9" s="118"/>
      <c r="N9" s="12" t="s">
        <v>5</v>
      </c>
      <c r="O9" s="5">
        <f>'Ingresos &amp; egresos'!Q47</f>
        <v>283504000</v>
      </c>
      <c r="P9" s="8"/>
      <c r="Q9" s="118"/>
      <c r="R9" s="12" t="s">
        <v>5</v>
      </c>
      <c r="S9" s="5">
        <f>'Ingresos &amp; egresos'!W47</f>
        <v>1576008000</v>
      </c>
      <c r="T9" s="8"/>
      <c r="U9" s="118"/>
      <c r="V9" s="12" t="s">
        <v>5</v>
      </c>
      <c r="W9" s="5">
        <f>'Ingresos &amp; egresos'!AC47</f>
        <v>3126016000</v>
      </c>
      <c r="Z9" s="122"/>
      <c r="AA9" s="122"/>
      <c r="AB9" s="121"/>
      <c r="AC9" s="121"/>
    </row>
    <row r="10" spans="1:29" ht="16.5" customHeight="1" x14ac:dyDescent="0.35">
      <c r="A10" s="118"/>
      <c r="B10" s="12"/>
      <c r="C10" s="5">
        <v>0</v>
      </c>
      <c r="D10" s="8"/>
      <c r="E10" s="118"/>
      <c r="F10" s="21"/>
      <c r="G10" s="5">
        <v>0</v>
      </c>
      <c r="H10" s="8"/>
      <c r="I10" s="118"/>
      <c r="J10" s="12"/>
      <c r="K10" s="5">
        <v>0</v>
      </c>
      <c r="L10" s="8"/>
      <c r="M10" s="118"/>
      <c r="N10" s="12"/>
      <c r="O10" s="5">
        <v>0</v>
      </c>
      <c r="P10" s="8"/>
      <c r="Q10" s="118"/>
      <c r="R10" s="12"/>
      <c r="S10" s="5">
        <v>0</v>
      </c>
      <c r="T10" s="8"/>
      <c r="U10" s="118"/>
      <c r="V10" s="12"/>
      <c r="W10" s="5">
        <v>0</v>
      </c>
      <c r="Z10" s="123"/>
      <c r="AA10" s="123"/>
      <c r="AB10" s="6"/>
      <c r="AC10" s="4"/>
    </row>
    <row r="11" spans="1:29" ht="16.5" customHeight="1" x14ac:dyDescent="0.35">
      <c r="A11" s="118"/>
      <c r="B11" s="12"/>
      <c r="C11" s="5">
        <v>0</v>
      </c>
      <c r="D11" s="8"/>
      <c r="E11" s="118"/>
      <c r="F11" s="21"/>
      <c r="G11" s="5">
        <v>0</v>
      </c>
      <c r="H11" s="8"/>
      <c r="I11" s="118"/>
      <c r="J11" s="12"/>
      <c r="K11" s="5">
        <v>0</v>
      </c>
      <c r="L11" s="8"/>
      <c r="M11" s="118"/>
      <c r="N11" s="12"/>
      <c r="O11" s="5">
        <v>0</v>
      </c>
      <c r="P11" s="8"/>
      <c r="Q11" s="118"/>
      <c r="R11" s="12"/>
      <c r="S11" s="5">
        <v>0</v>
      </c>
      <c r="T11" s="8"/>
      <c r="U11" s="118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19"/>
      <c r="B12" s="12"/>
      <c r="C12" s="5">
        <v>0</v>
      </c>
      <c r="D12" s="8"/>
      <c r="E12" s="119"/>
      <c r="F12" s="12"/>
      <c r="G12" s="5">
        <v>0</v>
      </c>
      <c r="H12" s="8"/>
      <c r="I12" s="119"/>
      <c r="J12" s="12"/>
      <c r="K12" s="5">
        <v>0</v>
      </c>
      <c r="L12" s="8"/>
      <c r="M12" s="119"/>
      <c r="N12" s="12"/>
      <c r="O12" s="5">
        <v>0</v>
      </c>
      <c r="P12" s="8"/>
      <c r="Q12" s="119"/>
      <c r="R12" s="12"/>
      <c r="S12" s="5">
        <v>0</v>
      </c>
      <c r="T12" s="8"/>
      <c r="U12" s="119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78860000</v>
      </c>
      <c r="H13" s="8"/>
      <c r="I13" s="3"/>
      <c r="J13" s="7"/>
      <c r="K13" s="9">
        <f>SUM(K9:K12)</f>
        <v>-362248000</v>
      </c>
      <c r="L13" s="8"/>
      <c r="M13" s="3"/>
      <c r="N13" s="7"/>
      <c r="O13" s="9">
        <f>SUM(O9:O12)</f>
        <v>283504000</v>
      </c>
      <c r="P13" s="8"/>
      <c r="Q13" s="3"/>
      <c r="R13" s="7"/>
      <c r="S13" s="9">
        <f>SUM(S9:S12)</f>
        <v>1576008000</v>
      </c>
      <c r="T13" s="8"/>
      <c r="U13" s="3"/>
      <c r="V13" s="7"/>
      <c r="W13" s="9">
        <f>SUM(W9:W12)</f>
        <v>3126016000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17" t="s">
        <v>73</v>
      </c>
      <c r="B15" s="10" t="s">
        <v>67</v>
      </c>
      <c r="C15" s="10" t="s">
        <v>11</v>
      </c>
      <c r="D15" s="3"/>
      <c r="E15" s="117" t="s">
        <v>74</v>
      </c>
      <c r="F15" s="10" t="s">
        <v>67</v>
      </c>
      <c r="G15" s="10" t="s">
        <v>11</v>
      </c>
      <c r="H15" s="3"/>
      <c r="I15" s="117" t="s">
        <v>75</v>
      </c>
      <c r="J15" s="10" t="s">
        <v>67</v>
      </c>
      <c r="K15" s="10" t="s">
        <v>11</v>
      </c>
      <c r="L15" s="3"/>
      <c r="M15" s="117" t="s">
        <v>76</v>
      </c>
      <c r="N15" s="10" t="s">
        <v>67</v>
      </c>
      <c r="O15" s="10" t="s">
        <v>11</v>
      </c>
      <c r="P15" s="3"/>
      <c r="Q15" s="117" t="s">
        <v>77</v>
      </c>
      <c r="R15" s="10" t="s">
        <v>67</v>
      </c>
      <c r="S15" s="10" t="s">
        <v>11</v>
      </c>
      <c r="T15" s="3"/>
      <c r="U15" s="117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18"/>
      <c r="B16" s="12"/>
      <c r="C16" s="5">
        <v>0</v>
      </c>
      <c r="D16" s="8"/>
      <c r="E16" s="118"/>
      <c r="F16" s="12"/>
      <c r="G16" s="5">
        <v>0</v>
      </c>
      <c r="H16" s="8"/>
      <c r="I16" s="118"/>
      <c r="J16" s="12"/>
      <c r="K16" s="5">
        <v>0</v>
      </c>
      <c r="L16" s="8"/>
      <c r="M16" s="118"/>
      <c r="N16" s="12"/>
      <c r="O16" s="5">
        <v>0</v>
      </c>
      <c r="P16" s="8"/>
      <c r="Q16" s="118"/>
      <c r="R16" s="12"/>
      <c r="S16" s="5">
        <v>0</v>
      </c>
      <c r="T16" s="8"/>
      <c r="U16" s="118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18"/>
      <c r="B17" s="12"/>
      <c r="C17" s="5">
        <v>0</v>
      </c>
      <c r="D17" s="8"/>
      <c r="E17" s="118"/>
      <c r="F17" s="12"/>
      <c r="G17" s="5">
        <v>0</v>
      </c>
      <c r="H17" s="8"/>
      <c r="I17" s="118"/>
      <c r="J17" s="12"/>
      <c r="K17" s="5">
        <v>0</v>
      </c>
      <c r="L17" s="8"/>
      <c r="M17" s="118"/>
      <c r="N17" s="12"/>
      <c r="O17" s="5">
        <v>0</v>
      </c>
      <c r="P17" s="8"/>
      <c r="Q17" s="118"/>
      <c r="R17" s="12"/>
      <c r="S17" s="5">
        <v>0</v>
      </c>
      <c r="T17" s="8"/>
      <c r="U17" s="118"/>
      <c r="V17" s="12"/>
      <c r="W17" s="5">
        <v>0</v>
      </c>
      <c r="Z17" s="124"/>
      <c r="AA17" s="124"/>
      <c r="AB17" s="123"/>
      <c r="AC17" s="123"/>
    </row>
    <row r="18" spans="1:29" s="4" customFormat="1" ht="16.5" customHeight="1" x14ac:dyDescent="0.35">
      <c r="A18" s="118"/>
      <c r="B18" s="12"/>
      <c r="C18" s="5">
        <v>0</v>
      </c>
      <c r="D18" s="8"/>
      <c r="E18" s="118"/>
      <c r="F18" s="12"/>
      <c r="G18" s="5">
        <v>0</v>
      </c>
      <c r="H18" s="8"/>
      <c r="I18" s="118"/>
      <c r="J18" s="12"/>
      <c r="K18" s="5">
        <v>0</v>
      </c>
      <c r="L18" s="8"/>
      <c r="M18" s="118"/>
      <c r="N18" s="12"/>
      <c r="O18" s="5">
        <v>0</v>
      </c>
      <c r="P18" s="8"/>
      <c r="Q18" s="118"/>
      <c r="R18" s="12"/>
      <c r="S18" s="5">
        <v>0</v>
      </c>
      <c r="T18" s="8"/>
      <c r="U18" s="118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19"/>
      <c r="B19" s="12"/>
      <c r="C19" s="5">
        <v>0</v>
      </c>
      <c r="D19" s="8"/>
      <c r="E19" s="119"/>
      <c r="F19" s="12"/>
      <c r="G19" s="5">
        <v>0</v>
      </c>
      <c r="H19" s="8"/>
      <c r="I19" s="119"/>
      <c r="J19" s="12"/>
      <c r="K19" s="5">
        <v>0</v>
      </c>
      <c r="L19" s="8"/>
      <c r="M19" s="119"/>
      <c r="N19" s="12"/>
      <c r="O19" s="5">
        <v>0</v>
      </c>
      <c r="P19" s="8"/>
      <c r="Q19" s="119"/>
      <c r="R19" s="12"/>
      <c r="S19" s="5">
        <v>0</v>
      </c>
      <c r="T19" s="8"/>
      <c r="U19" s="119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0" t="s">
        <v>79</v>
      </c>
      <c r="B22" s="120"/>
      <c r="C22" s="120"/>
      <c r="D22" s="16"/>
      <c r="E22" s="120" t="s">
        <v>79</v>
      </c>
      <c r="F22" s="120"/>
      <c r="G22" s="120"/>
      <c r="H22" s="16"/>
      <c r="I22" s="120" t="s">
        <v>79</v>
      </c>
      <c r="J22" s="120"/>
      <c r="K22" s="120"/>
      <c r="L22" s="16"/>
      <c r="M22" s="120" t="s">
        <v>79</v>
      </c>
      <c r="N22" s="120"/>
      <c r="O22" s="120"/>
      <c r="P22" s="16"/>
      <c r="Q22" s="120" t="s">
        <v>79</v>
      </c>
      <c r="R22" s="120"/>
      <c r="S22" s="120"/>
      <c r="T22" s="16"/>
      <c r="U22" s="120" t="s">
        <v>79</v>
      </c>
      <c r="V22" s="120"/>
      <c r="W22" s="120"/>
      <c r="AB22" s="121"/>
      <c r="AC22" s="121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>
        <f>K20/K13</f>
        <v>0</v>
      </c>
      <c r="L23" s="7"/>
      <c r="M23" s="11" t="s">
        <v>80</v>
      </c>
      <c r="N23" s="13" t="s">
        <v>81</v>
      </c>
      <c r="O23" s="17">
        <f>O20/O13</f>
        <v>0</v>
      </c>
      <c r="P23" s="7"/>
      <c r="Q23" s="11" t="s">
        <v>80</v>
      </c>
      <c r="R23" s="13" t="s">
        <v>81</v>
      </c>
      <c r="S23" s="17">
        <f>S20/S13</f>
        <v>0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</v>
      </c>
      <c r="L24" s="7"/>
      <c r="M24" s="11" t="s">
        <v>82</v>
      </c>
      <c r="N24" s="13" t="s">
        <v>83</v>
      </c>
      <c r="O24" s="18">
        <f>O16/N6</f>
        <v>0</v>
      </c>
      <c r="P24" s="7"/>
      <c r="Q24" s="11" t="s">
        <v>82</v>
      </c>
      <c r="R24" s="13" t="s">
        <v>83</v>
      </c>
      <c r="S24" s="18">
        <f>S16/R6</f>
        <v>0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78860000</v>
      </c>
      <c r="H25" s="7"/>
      <c r="I25" s="11"/>
      <c r="J25" s="13" t="s">
        <v>84</v>
      </c>
      <c r="K25" s="5">
        <f>K13-K20</f>
        <v>-362248000</v>
      </c>
      <c r="L25" s="7"/>
      <c r="M25" s="11"/>
      <c r="N25" s="13" t="s">
        <v>84</v>
      </c>
      <c r="O25" s="5">
        <f>O13-O20</f>
        <v>283504000</v>
      </c>
      <c r="P25" s="7"/>
      <c r="Q25" s="11"/>
      <c r="R25" s="13" t="s">
        <v>84</v>
      </c>
      <c r="S25" s="5">
        <f>S13-S20</f>
        <v>1576008000</v>
      </c>
      <c r="T25" s="7"/>
      <c r="U25" s="11"/>
      <c r="V25" s="13" t="s">
        <v>84</v>
      </c>
      <c r="W25" s="5">
        <f>W13-W20</f>
        <v>3126016000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78860000</v>
      </c>
      <c r="H26" s="7"/>
      <c r="I26" s="11"/>
      <c r="J26" s="13" t="s">
        <v>85</v>
      </c>
      <c r="K26" s="5">
        <f>G26+K25</f>
        <v>-283388000</v>
      </c>
      <c r="L26" s="7"/>
      <c r="M26" s="11"/>
      <c r="N26" s="13" t="s">
        <v>85</v>
      </c>
      <c r="O26" s="5">
        <f>K26+O25</f>
        <v>116000</v>
      </c>
      <c r="P26" s="7"/>
      <c r="Q26" s="11"/>
      <c r="R26" s="13" t="s">
        <v>85</v>
      </c>
      <c r="S26" s="5">
        <f>O26+S25</f>
        <v>1576124000</v>
      </c>
      <c r="T26" s="7"/>
      <c r="U26" s="11"/>
      <c r="V26" s="13" t="s">
        <v>85</v>
      </c>
      <c r="W26" s="5">
        <f>S26+W25</f>
        <v>4702140000</v>
      </c>
    </row>
    <row r="29" spans="1:29" x14ac:dyDescent="0.3">
      <c r="B29" s="84"/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2022-09-21T05:04:08Z</dcterms:modified>
  <cp:category/>
  <cp:contentStatus/>
</cp:coreProperties>
</file>