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92.168.20.3\Dropbox\htdocs\sigadusco_v2\dataSubir\"/>
    </mc:Choice>
  </mc:AlternateContent>
  <bookViews>
    <workbookView xWindow="0" yWindow="0" windowWidth="28800" windowHeight="12135" tabRatio="940"/>
  </bookViews>
  <sheets>
    <sheet name="PLAN DE ACCIÓN 2020" sheetId="8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Titles" localSheetId="0">'PLAN DE ACCIÓN 2020'!$C:$F,'PLAN DE ACCIÓN 2020'!$3:$5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8" i="8" l="1"/>
  <c r="AJ114" i="8"/>
  <c r="P114" i="8"/>
  <c r="S113" i="8"/>
  <c r="AJ111" i="8"/>
  <c r="R98" i="8"/>
  <c r="H93" i="8"/>
  <c r="AC91" i="8"/>
  <c r="K63" i="8" l="1"/>
  <c r="K55" i="8"/>
  <c r="K53" i="8"/>
  <c r="AF48" i="8"/>
  <c r="K48" i="8"/>
  <c r="AF47" i="8"/>
  <c r="K47" i="8"/>
  <c r="Q45" i="8"/>
  <c r="AB42" i="8"/>
  <c r="AB38" i="8"/>
  <c r="AF38" i="8"/>
  <c r="Q31" i="8"/>
  <c r="Q30" i="8"/>
  <c r="Q29" i="8"/>
  <c r="Q28" i="8"/>
  <c r="Q25" i="8"/>
  <c r="K10" i="8" l="1"/>
  <c r="AF122" i="8" l="1"/>
  <c r="AF123" i="8"/>
  <c r="AF124" i="8"/>
  <c r="AF125" i="8"/>
  <c r="AF126" i="8"/>
  <c r="AF127" i="8"/>
  <c r="AF128" i="8"/>
  <c r="AF115" i="8"/>
  <c r="AF116" i="8"/>
  <c r="AF117" i="8"/>
  <c r="AF118" i="8"/>
  <c r="AF119" i="8"/>
  <c r="AF120" i="8"/>
  <c r="AF121" i="8"/>
  <c r="AF113" i="8"/>
  <c r="AF112" i="8"/>
  <c r="AF110" i="8"/>
  <c r="AF105" i="8"/>
  <c r="AF106" i="8"/>
  <c r="AF107" i="8"/>
  <c r="AF108" i="8"/>
  <c r="AF109" i="8"/>
  <c r="AF102" i="8"/>
  <c r="AF103" i="8"/>
  <c r="AF104" i="8"/>
  <c r="AF99" i="8"/>
  <c r="AF100" i="8"/>
  <c r="AF101" i="8"/>
  <c r="AF98" i="8"/>
  <c r="AF96" i="8"/>
  <c r="AF91" i="8"/>
  <c r="AF92" i="8"/>
  <c r="AF93" i="8"/>
  <c r="AF94" i="8"/>
  <c r="AF95" i="8"/>
  <c r="AF88" i="8"/>
  <c r="AF89" i="8"/>
  <c r="AF90" i="8"/>
  <c r="AF79" i="8"/>
  <c r="AF80" i="8"/>
  <c r="AF81" i="8"/>
  <c r="AF82" i="8"/>
  <c r="AF83" i="8"/>
  <c r="AF84" i="8"/>
  <c r="AF85" i="8"/>
  <c r="AF86" i="8"/>
  <c r="AF87" i="8"/>
  <c r="AF78" i="8"/>
  <c r="AF72" i="8"/>
  <c r="AF73" i="8"/>
  <c r="AF74" i="8"/>
  <c r="AF75" i="8"/>
  <c r="AF76" i="8"/>
  <c r="AF68" i="8"/>
  <c r="AF69" i="8"/>
  <c r="AF70" i="8"/>
  <c r="AF71" i="8"/>
  <c r="AF64" i="8"/>
  <c r="AF65" i="8"/>
  <c r="AF66" i="8"/>
  <c r="AF67" i="8"/>
  <c r="AF63" i="8"/>
  <c r="AF55" i="8"/>
  <c r="AF56" i="8"/>
  <c r="AF57" i="8"/>
  <c r="AF58" i="8"/>
  <c r="AF59" i="8"/>
  <c r="AF60" i="8"/>
  <c r="AF61" i="8"/>
  <c r="AF62" i="8"/>
  <c r="AF52" i="8"/>
  <c r="AF53" i="8"/>
  <c r="AF54" i="8"/>
  <c r="AF51" i="8"/>
  <c r="AF49" i="8"/>
  <c r="AF39" i="8"/>
  <c r="AF40" i="8"/>
  <c r="AF41" i="8"/>
  <c r="AF42" i="8"/>
  <c r="AF43" i="8"/>
  <c r="AF44" i="8"/>
  <c r="AF45" i="8"/>
  <c r="AF46" i="8"/>
  <c r="AF36" i="8"/>
  <c r="AF37" i="8"/>
  <c r="AF34" i="8"/>
  <c r="AF35" i="8"/>
  <c r="AF28" i="8"/>
  <c r="AF29" i="8"/>
  <c r="AF30" i="8"/>
  <c r="AF31" i="8"/>
  <c r="AF32" i="8"/>
  <c r="AF33" i="8"/>
  <c r="AF27" i="8"/>
  <c r="AF26" i="8"/>
  <c r="AF25" i="8"/>
  <c r="AF21" i="8"/>
  <c r="AF22" i="8"/>
  <c r="AF23" i="8"/>
  <c r="AF18" i="8"/>
  <c r="AF19" i="8"/>
  <c r="AF20" i="8"/>
  <c r="AF16" i="8"/>
  <c r="AF17" i="8"/>
  <c r="AF14" i="8"/>
  <c r="AF15" i="8"/>
  <c r="AF10" i="8"/>
  <c r="AF11" i="8"/>
  <c r="AF12" i="8"/>
  <c r="AF13" i="8"/>
  <c r="G13" i="8" s="1"/>
  <c r="AF9" i="8"/>
  <c r="AF7" i="8"/>
  <c r="AF8" i="8"/>
  <c r="AF6" i="8"/>
  <c r="AM139" i="8"/>
  <c r="AL139" i="8"/>
  <c r="AK139" i="8"/>
  <c r="AI139" i="8"/>
  <c r="AM138" i="8"/>
  <c r="AL138" i="8"/>
  <c r="AK138" i="8"/>
  <c r="AI138" i="8"/>
  <c r="AM137" i="8"/>
  <c r="AL137" i="8"/>
  <c r="AK137" i="8"/>
  <c r="AI137" i="8"/>
  <c r="AM136" i="8"/>
  <c r="AL136" i="8"/>
  <c r="AK136" i="8"/>
  <c r="AJ136" i="8"/>
  <c r="AI136" i="8"/>
  <c r="AM135" i="8"/>
  <c r="AL135" i="8"/>
  <c r="AK135" i="8"/>
  <c r="AJ135" i="8"/>
  <c r="AI135" i="8"/>
  <c r="AM134" i="8"/>
  <c r="AL134" i="8"/>
  <c r="AL140" i="8" s="1"/>
  <c r="AK134" i="8"/>
  <c r="AJ134" i="8"/>
  <c r="AI134" i="8"/>
  <c r="AM133" i="8"/>
  <c r="AL133" i="8"/>
  <c r="AK133" i="8"/>
  <c r="AJ133" i="8"/>
  <c r="AI133" i="8"/>
  <c r="AM129" i="8"/>
  <c r="AL129" i="8"/>
  <c r="AK129" i="8"/>
  <c r="AI129" i="8"/>
  <c r="AH129" i="8"/>
  <c r="AG129" i="8"/>
  <c r="AF114" i="8"/>
  <c r="AF111" i="8"/>
  <c r="AM97" i="8"/>
  <c r="AL97" i="8"/>
  <c r="AK97" i="8"/>
  <c r="AJ97" i="8"/>
  <c r="AI97" i="8"/>
  <c r="AH97" i="8"/>
  <c r="AG97" i="8"/>
  <c r="AM77" i="8"/>
  <c r="AL77" i="8"/>
  <c r="AK77" i="8"/>
  <c r="AJ77" i="8"/>
  <c r="AI77" i="8"/>
  <c r="AH77" i="8"/>
  <c r="AG77" i="8"/>
  <c r="AM50" i="8"/>
  <c r="AL50" i="8"/>
  <c r="AK50" i="8"/>
  <c r="AJ50" i="8"/>
  <c r="AI50" i="8"/>
  <c r="AH50" i="8"/>
  <c r="AG50" i="8"/>
  <c r="AM24" i="8"/>
  <c r="AL24" i="8"/>
  <c r="AK24" i="8"/>
  <c r="AJ24" i="8"/>
  <c r="AI24" i="8"/>
  <c r="AH24" i="8"/>
  <c r="AG24" i="8"/>
  <c r="AK140" i="8" l="1"/>
  <c r="AI131" i="8"/>
  <c r="AM131" i="8"/>
  <c r="AG131" i="8"/>
  <c r="AK131" i="8"/>
  <c r="AH131" i="8"/>
  <c r="AL131" i="8"/>
  <c r="AJ129" i="8"/>
  <c r="AJ131" i="8" s="1"/>
  <c r="AI140" i="8"/>
  <c r="AM140" i="8"/>
  <c r="AB35" i="8" l="1"/>
  <c r="Q35" i="8"/>
  <c r="K65" i="8" l="1"/>
  <c r="G75" i="8" l="1"/>
  <c r="G51" i="8"/>
  <c r="S98" i="8" l="1"/>
  <c r="K52" i="8" l="1"/>
  <c r="AJ137" i="8" l="1"/>
  <c r="H128" i="8"/>
  <c r="H127" i="8"/>
  <c r="H121" i="8"/>
  <c r="H122" i="8"/>
  <c r="H123" i="8"/>
  <c r="H124" i="8"/>
  <c r="H125" i="8"/>
  <c r="H126" i="8"/>
  <c r="H120" i="8"/>
  <c r="H116" i="8"/>
  <c r="H117" i="8"/>
  <c r="H118" i="8"/>
  <c r="H119" i="8"/>
  <c r="H115" i="8"/>
  <c r="H111" i="8"/>
  <c r="H112" i="8"/>
  <c r="H113" i="8"/>
  <c r="H114" i="8"/>
  <c r="H104" i="8"/>
  <c r="H105" i="8"/>
  <c r="H106" i="8"/>
  <c r="H107" i="8"/>
  <c r="H108" i="8"/>
  <c r="H109" i="8"/>
  <c r="H110" i="8"/>
  <c r="H103" i="8"/>
  <c r="H102" i="8"/>
  <c r="H99" i="8"/>
  <c r="H100" i="8"/>
  <c r="H101" i="8"/>
  <c r="H98" i="8"/>
  <c r="AG134" i="8" l="1"/>
  <c r="AG133" i="8"/>
  <c r="H129" i="8"/>
  <c r="H96" i="8"/>
  <c r="H95" i="8"/>
  <c r="H94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AG135" i="8" l="1"/>
  <c r="H97" i="8"/>
  <c r="H76" i="8"/>
  <c r="H73" i="8"/>
  <c r="H74" i="8"/>
  <c r="H75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2" i="8"/>
  <c r="H53" i="8"/>
  <c r="H54" i="8"/>
  <c r="H51" i="8"/>
  <c r="AG139" i="8" l="1"/>
  <c r="H77" i="8"/>
  <c r="H48" i="8"/>
  <c r="H49" i="8"/>
  <c r="H47" i="8"/>
  <c r="H46" i="8"/>
  <c r="H45" i="8"/>
  <c r="H44" i="8"/>
  <c r="H43" i="8" l="1"/>
  <c r="H42" i="8"/>
  <c r="H40" i="8"/>
  <c r="H41" i="8"/>
  <c r="H39" i="8"/>
  <c r="H38" i="8"/>
  <c r="H37" i="8"/>
  <c r="H35" i="8"/>
  <c r="H36" i="8"/>
  <c r="H34" i="8"/>
  <c r="H28" i="8"/>
  <c r="H29" i="8"/>
  <c r="H30" i="8"/>
  <c r="H31" i="8"/>
  <c r="H32" i="8"/>
  <c r="H33" i="8"/>
  <c r="H27" i="8"/>
  <c r="H26" i="8"/>
  <c r="H25" i="8"/>
  <c r="H23" i="8"/>
  <c r="H22" i="8"/>
  <c r="H21" i="8"/>
  <c r="H20" i="8"/>
  <c r="H18" i="8"/>
  <c r="H19" i="8"/>
  <c r="H17" i="8"/>
  <c r="H13" i="8"/>
  <c r="H14" i="8"/>
  <c r="H15" i="8"/>
  <c r="H16" i="8"/>
  <c r="H12" i="8"/>
  <c r="H9" i="8"/>
  <c r="H10" i="8"/>
  <c r="H11" i="8"/>
  <c r="H8" i="8"/>
  <c r="H7" i="8"/>
  <c r="H6" i="8"/>
  <c r="AG136" i="8" l="1"/>
  <c r="AG137" i="8"/>
  <c r="AG138" i="8"/>
  <c r="H24" i="8"/>
  <c r="H50" i="8"/>
  <c r="G115" i="8"/>
  <c r="I115" i="8" s="1"/>
  <c r="AG140" i="8" l="1"/>
  <c r="H131" i="8"/>
  <c r="G49" i="8"/>
  <c r="I49" i="8" s="1"/>
  <c r="G48" i="8"/>
  <c r="I48" i="8" s="1"/>
  <c r="G47" i="8"/>
  <c r="I47" i="8" s="1"/>
  <c r="G46" i="8"/>
  <c r="I46" i="8" s="1"/>
  <c r="G44" i="8"/>
  <c r="I44" i="8" s="1"/>
  <c r="G43" i="8"/>
  <c r="I43" i="8" s="1"/>
  <c r="G41" i="8"/>
  <c r="I41" i="8" s="1"/>
  <c r="G40" i="8"/>
  <c r="I40" i="8" s="1"/>
  <c r="G39" i="8"/>
  <c r="I39" i="8" s="1"/>
  <c r="G38" i="8"/>
  <c r="I38" i="8" s="1"/>
  <c r="G37" i="8"/>
  <c r="I37" i="8" s="1"/>
  <c r="G36" i="8"/>
  <c r="I36" i="8" s="1"/>
  <c r="G35" i="8"/>
  <c r="I35" i="8" s="1"/>
  <c r="G34" i="8"/>
  <c r="I34" i="8" s="1"/>
  <c r="G33" i="8"/>
  <c r="I33" i="8" s="1"/>
  <c r="G32" i="8"/>
  <c r="I32" i="8" s="1"/>
  <c r="G31" i="8"/>
  <c r="I31" i="8" s="1"/>
  <c r="G30" i="8"/>
  <c r="I30" i="8" s="1"/>
  <c r="G28" i="8"/>
  <c r="I28" i="8" s="1"/>
  <c r="G26" i="8"/>
  <c r="I26" i="8" s="1"/>
  <c r="G29" i="8" l="1"/>
  <c r="I29" i="8" s="1"/>
  <c r="G27" i="8"/>
  <c r="I27" i="8" s="1"/>
  <c r="G18" i="8" l="1"/>
  <c r="I18" i="8" s="1"/>
  <c r="G6" i="8" l="1"/>
  <c r="I6" i="8" s="1"/>
  <c r="G128" i="8" l="1"/>
  <c r="I128" i="8" s="1"/>
  <c r="G127" i="8"/>
  <c r="I127" i="8" s="1"/>
  <c r="G126" i="8"/>
  <c r="I126" i="8" s="1"/>
  <c r="G125" i="8"/>
  <c r="I125" i="8" s="1"/>
  <c r="G124" i="8"/>
  <c r="I124" i="8" s="1"/>
  <c r="G123" i="8"/>
  <c r="I123" i="8" s="1"/>
  <c r="G122" i="8"/>
  <c r="I122" i="8" s="1"/>
  <c r="G121" i="8"/>
  <c r="I121" i="8" s="1"/>
  <c r="G120" i="8"/>
  <c r="I120" i="8" s="1"/>
  <c r="G119" i="8"/>
  <c r="I119" i="8" s="1"/>
  <c r="G118" i="8"/>
  <c r="I118" i="8" s="1"/>
  <c r="G117" i="8"/>
  <c r="I117" i="8" s="1"/>
  <c r="G116" i="8"/>
  <c r="I116" i="8" s="1"/>
  <c r="G113" i="8"/>
  <c r="I113" i="8" s="1"/>
  <c r="G112" i="8"/>
  <c r="I112" i="8" s="1"/>
  <c r="G111" i="8"/>
  <c r="I111" i="8" s="1"/>
  <c r="G110" i="8"/>
  <c r="I110" i="8" s="1"/>
  <c r="G109" i="8"/>
  <c r="I109" i="8" s="1"/>
  <c r="G108" i="8"/>
  <c r="I108" i="8" s="1"/>
  <c r="G107" i="8"/>
  <c r="I107" i="8" s="1"/>
  <c r="G106" i="8"/>
  <c r="I106" i="8" s="1"/>
  <c r="G105" i="8"/>
  <c r="I105" i="8" s="1"/>
  <c r="G104" i="8"/>
  <c r="I104" i="8" s="1"/>
  <c r="G103" i="8"/>
  <c r="I103" i="8" s="1"/>
  <c r="G102" i="8"/>
  <c r="I102" i="8" s="1"/>
  <c r="G101" i="8"/>
  <c r="I101" i="8" s="1"/>
  <c r="G100" i="8"/>
  <c r="I100" i="8" s="1"/>
  <c r="G99" i="8"/>
  <c r="I99" i="8" s="1"/>
  <c r="G98" i="8"/>
  <c r="G96" i="8"/>
  <c r="I96" i="8" s="1"/>
  <c r="G95" i="8"/>
  <c r="I95" i="8" s="1"/>
  <c r="G94" i="8"/>
  <c r="I94" i="8" s="1"/>
  <c r="G93" i="8"/>
  <c r="I93" i="8" s="1"/>
  <c r="G92" i="8"/>
  <c r="I92" i="8" s="1"/>
  <c r="G91" i="8"/>
  <c r="I91" i="8" s="1"/>
  <c r="G89" i="8"/>
  <c r="I89" i="8" s="1"/>
  <c r="G88" i="8"/>
  <c r="I88" i="8" s="1"/>
  <c r="G87" i="8"/>
  <c r="I87" i="8" s="1"/>
  <c r="G86" i="8"/>
  <c r="I86" i="8" s="1"/>
  <c r="G85" i="8"/>
  <c r="I85" i="8" s="1"/>
  <c r="G84" i="8"/>
  <c r="I84" i="8" s="1"/>
  <c r="G83" i="8"/>
  <c r="I83" i="8" s="1"/>
  <c r="G82" i="8"/>
  <c r="I82" i="8" s="1"/>
  <c r="G81" i="8"/>
  <c r="I81" i="8" s="1"/>
  <c r="G80" i="8"/>
  <c r="I80" i="8" s="1"/>
  <c r="G79" i="8"/>
  <c r="I79" i="8" s="1"/>
  <c r="G78" i="8"/>
  <c r="I78" i="8" s="1"/>
  <c r="G76" i="8"/>
  <c r="I76" i="8" s="1"/>
  <c r="I75" i="8"/>
  <c r="G74" i="8"/>
  <c r="I74" i="8" s="1"/>
  <c r="G73" i="8"/>
  <c r="I73" i="8" s="1"/>
  <c r="G72" i="8"/>
  <c r="I72" i="8" s="1"/>
  <c r="G71" i="8"/>
  <c r="I71" i="8" s="1"/>
  <c r="G70" i="8"/>
  <c r="I70" i="8" s="1"/>
  <c r="G69" i="8"/>
  <c r="I69" i="8" s="1"/>
  <c r="G68" i="8"/>
  <c r="I68" i="8" s="1"/>
  <c r="G67" i="8"/>
  <c r="I67" i="8" s="1"/>
  <c r="G66" i="8"/>
  <c r="I66" i="8" s="1"/>
  <c r="G65" i="8"/>
  <c r="I65" i="8" s="1"/>
  <c r="G64" i="8"/>
  <c r="I64" i="8" s="1"/>
  <c r="G63" i="8"/>
  <c r="I63" i="8" s="1"/>
  <c r="G62" i="8"/>
  <c r="I62" i="8" s="1"/>
  <c r="G60" i="8"/>
  <c r="I60" i="8" s="1"/>
  <c r="G59" i="8"/>
  <c r="I59" i="8" s="1"/>
  <c r="G58" i="8"/>
  <c r="I58" i="8" s="1"/>
  <c r="G57" i="8"/>
  <c r="I57" i="8" s="1"/>
  <c r="G56" i="8"/>
  <c r="I56" i="8" s="1"/>
  <c r="G54" i="8"/>
  <c r="I54" i="8" s="1"/>
  <c r="G53" i="8"/>
  <c r="I53" i="8" s="1"/>
  <c r="I51" i="8"/>
  <c r="G25" i="8"/>
  <c r="I25" i="8" s="1"/>
  <c r="G7" i="8"/>
  <c r="I7" i="8" s="1"/>
  <c r="G8" i="8"/>
  <c r="I8" i="8" s="1"/>
  <c r="G9" i="8"/>
  <c r="I9" i="8" s="1"/>
  <c r="G11" i="8"/>
  <c r="I11" i="8" s="1"/>
  <c r="G12" i="8"/>
  <c r="I12" i="8" s="1"/>
  <c r="I13" i="8"/>
  <c r="G14" i="8"/>
  <c r="I14" i="8" s="1"/>
  <c r="G15" i="8"/>
  <c r="I15" i="8" s="1"/>
  <c r="G16" i="8"/>
  <c r="I16" i="8" s="1"/>
  <c r="G17" i="8"/>
  <c r="I17" i="8" s="1"/>
  <c r="G19" i="8"/>
  <c r="I19" i="8" s="1"/>
  <c r="G20" i="8"/>
  <c r="I20" i="8" s="1"/>
  <c r="G21" i="8"/>
  <c r="I21" i="8" s="1"/>
  <c r="G22" i="8"/>
  <c r="I22" i="8" s="1"/>
  <c r="G23" i="8"/>
  <c r="I23" i="8" s="1"/>
  <c r="G42" i="8"/>
  <c r="I42" i="8" s="1"/>
  <c r="G55" i="8" l="1"/>
  <c r="I55" i="8" s="1"/>
  <c r="AH136" i="8"/>
  <c r="G45" i="8"/>
  <c r="I45" i="8" s="1"/>
  <c r="I50" i="8" s="1"/>
  <c r="I98" i="8"/>
  <c r="AH133" i="8" s="1"/>
  <c r="G114" i="8"/>
  <c r="K61" i="8"/>
  <c r="AJ139" i="8" s="1"/>
  <c r="AF24" i="8"/>
  <c r="AH137" i="8" l="1"/>
  <c r="G129" i="8"/>
  <c r="I114" i="8"/>
  <c r="G61" i="8"/>
  <c r="I61" i="8" s="1"/>
  <c r="I129" i="8" l="1"/>
  <c r="AH134" i="8"/>
  <c r="J129" i="8"/>
  <c r="AE139" i="8" l="1"/>
  <c r="AC139" i="8"/>
  <c r="AA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AE138" i="8"/>
  <c r="AC138" i="8"/>
  <c r="AB138" i="8"/>
  <c r="Y138" i="8"/>
  <c r="X138" i="8"/>
  <c r="W138" i="8"/>
  <c r="V138" i="8"/>
  <c r="U138" i="8"/>
  <c r="T138" i="8"/>
  <c r="S138" i="8"/>
  <c r="R138" i="8"/>
  <c r="Q138" i="8"/>
  <c r="P138" i="8"/>
  <c r="O138" i="8"/>
  <c r="N138" i="8"/>
  <c r="M138" i="8"/>
  <c r="L138" i="8"/>
  <c r="AE137" i="8"/>
  <c r="AC137" i="8"/>
  <c r="AA137" i="8"/>
  <c r="Z137" i="8"/>
  <c r="V137" i="8"/>
  <c r="P137" i="8"/>
  <c r="O137" i="8"/>
  <c r="N137" i="8"/>
  <c r="M137" i="8"/>
  <c r="L137" i="8"/>
  <c r="K137" i="8"/>
  <c r="AE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J136" i="8"/>
  <c r="AE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AC134" i="8"/>
  <c r="AA134" i="8"/>
  <c r="Z134" i="8"/>
  <c r="Y134" i="8"/>
  <c r="V134" i="8"/>
  <c r="U134" i="8"/>
  <c r="P134" i="8"/>
  <c r="O134" i="8"/>
  <c r="N134" i="8"/>
  <c r="M134" i="8"/>
  <c r="L134" i="8"/>
  <c r="K134" i="8"/>
  <c r="J134" i="8"/>
  <c r="AD133" i="8"/>
  <c r="AC133" i="8"/>
  <c r="AB133" i="8"/>
  <c r="Z133" i="8"/>
  <c r="Y133" i="8"/>
  <c r="W133" i="8"/>
  <c r="U133" i="8"/>
  <c r="P133" i="8"/>
  <c r="O133" i="8"/>
  <c r="M133" i="8"/>
  <c r="L133" i="8"/>
  <c r="K133" i="8"/>
  <c r="J133" i="8"/>
  <c r="AD129" i="8"/>
  <c r="AC129" i="8"/>
  <c r="Z129" i="8"/>
  <c r="Y129" i="8"/>
  <c r="U129" i="8"/>
  <c r="P129" i="8"/>
  <c r="O129" i="8"/>
  <c r="M129" i="8"/>
  <c r="L129" i="8"/>
  <c r="AB134" i="8"/>
  <c r="W129" i="8"/>
  <c r="AF133" i="8"/>
  <c r="AE97" i="8"/>
  <c r="AD97" i="8"/>
  <c r="AA97" i="8"/>
  <c r="Z97" i="8"/>
  <c r="Y97" i="8"/>
  <c r="X97" i="8"/>
  <c r="W97" i="8"/>
  <c r="V97" i="8"/>
  <c r="U97" i="8"/>
  <c r="T97" i="8"/>
  <c r="S97" i="8"/>
  <c r="R97" i="8"/>
  <c r="Q97" i="8"/>
  <c r="P97" i="8"/>
  <c r="O97" i="8"/>
  <c r="N97" i="8"/>
  <c r="M97" i="8"/>
  <c r="L97" i="8"/>
  <c r="J135" i="8"/>
  <c r="AE77" i="8"/>
  <c r="AD77" i="8"/>
  <c r="AC77" i="8"/>
  <c r="AA77" i="8"/>
  <c r="X77" i="8"/>
  <c r="W77" i="8"/>
  <c r="V77" i="8"/>
  <c r="U77" i="8"/>
  <c r="T77" i="8"/>
  <c r="S77" i="8"/>
  <c r="R77" i="8"/>
  <c r="Q77" i="8"/>
  <c r="P77" i="8"/>
  <c r="O77" i="8"/>
  <c r="N77" i="8"/>
  <c r="M77" i="8"/>
  <c r="L77" i="8"/>
  <c r="Y139" i="8"/>
  <c r="AE50" i="8"/>
  <c r="AC50" i="8"/>
  <c r="AA50" i="8"/>
  <c r="Z50" i="8"/>
  <c r="V50" i="8"/>
  <c r="P50" i="8"/>
  <c r="O50" i="8"/>
  <c r="N50" i="8"/>
  <c r="M50" i="8"/>
  <c r="L50" i="8"/>
  <c r="K50" i="8"/>
  <c r="Y137" i="8"/>
  <c r="AE24" i="8"/>
  <c r="AD24" i="8"/>
  <c r="AC24" i="8"/>
  <c r="AB24" i="8"/>
  <c r="Y24" i="8"/>
  <c r="X24" i="8"/>
  <c r="V24" i="8"/>
  <c r="U24" i="8"/>
  <c r="T24" i="8"/>
  <c r="S24" i="8"/>
  <c r="Q24" i="8"/>
  <c r="P24" i="8"/>
  <c r="O24" i="8"/>
  <c r="N24" i="8"/>
  <c r="M24" i="8"/>
  <c r="L24" i="8"/>
  <c r="J138" i="8"/>
  <c r="AB135" i="8" l="1"/>
  <c r="AF134" i="8"/>
  <c r="K139" i="8"/>
  <c r="Z138" i="8"/>
  <c r="AA138" i="8"/>
  <c r="AE134" i="8"/>
  <c r="AF136" i="8"/>
  <c r="M140" i="8"/>
  <c r="W134" i="8"/>
  <c r="O131" i="8"/>
  <c r="R134" i="8"/>
  <c r="Z139" i="8"/>
  <c r="K129" i="8"/>
  <c r="L131" i="8"/>
  <c r="P131" i="8"/>
  <c r="S137" i="8"/>
  <c r="AF135" i="8"/>
  <c r="AF129" i="8"/>
  <c r="M131" i="8"/>
  <c r="AF138" i="8"/>
  <c r="AC135" i="8"/>
  <c r="AC140" i="8" s="1"/>
  <c r="Q134" i="8"/>
  <c r="X134" i="8"/>
  <c r="O140" i="8"/>
  <c r="P140" i="8"/>
  <c r="S134" i="8"/>
  <c r="L140" i="8"/>
  <c r="W24" i="8"/>
  <c r="AA24" i="8"/>
  <c r="AD137" i="8"/>
  <c r="AD140" i="8" s="1"/>
  <c r="AD50" i="8"/>
  <c r="AD131" i="8" s="1"/>
  <c r="W137" i="8"/>
  <c r="W50" i="8"/>
  <c r="AF137" i="8"/>
  <c r="AF50" i="8"/>
  <c r="X137" i="8"/>
  <c r="X50" i="8"/>
  <c r="T137" i="8"/>
  <c r="T50" i="8"/>
  <c r="AB137" i="8"/>
  <c r="AB50" i="8"/>
  <c r="J24" i="8"/>
  <c r="R24" i="8"/>
  <c r="Z24" i="8"/>
  <c r="U137" i="8"/>
  <c r="U140" i="8" s="1"/>
  <c r="U50" i="8"/>
  <c r="U131" i="8" s="1"/>
  <c r="S50" i="8"/>
  <c r="AF139" i="8"/>
  <c r="AF77" i="8"/>
  <c r="Z77" i="8"/>
  <c r="K77" i="8"/>
  <c r="Y50" i="8"/>
  <c r="AB139" i="8"/>
  <c r="AB77" i="8"/>
  <c r="Y77" i="8"/>
  <c r="AB97" i="8"/>
  <c r="AF97" i="8"/>
  <c r="S133" i="8"/>
  <c r="S129" i="8"/>
  <c r="AE133" i="8"/>
  <c r="AE129" i="8"/>
  <c r="AE131" i="8" s="1"/>
  <c r="AC97" i="8"/>
  <c r="AC131" i="8" s="1"/>
  <c r="N129" i="8"/>
  <c r="N131" i="8" s="1"/>
  <c r="N133" i="8"/>
  <c r="N140" i="8" s="1"/>
  <c r="T129" i="8"/>
  <c r="T133" i="8"/>
  <c r="T134" i="8"/>
  <c r="J97" i="8"/>
  <c r="Q133" i="8"/>
  <c r="Q129" i="8"/>
  <c r="V133" i="8"/>
  <c r="V140" i="8" s="1"/>
  <c r="V129" i="8"/>
  <c r="V131" i="8" s="1"/>
  <c r="R129" i="8"/>
  <c r="R133" i="8"/>
  <c r="X129" i="8"/>
  <c r="X133" i="8"/>
  <c r="AA133" i="8"/>
  <c r="AA129" i="8"/>
  <c r="K136" i="8"/>
  <c r="Y140" i="8"/>
  <c r="AB129" i="8"/>
  <c r="Z140" i="8" l="1"/>
  <c r="AA140" i="8"/>
  <c r="S140" i="8"/>
  <c r="AE140" i="8"/>
  <c r="X140" i="8"/>
  <c r="AB140" i="8"/>
  <c r="W140" i="8"/>
  <c r="S131" i="8"/>
  <c r="AF140" i="8"/>
  <c r="AB131" i="8"/>
  <c r="Y131" i="8"/>
  <c r="T131" i="8"/>
  <c r="X131" i="8"/>
  <c r="Z131" i="8"/>
  <c r="AF131" i="8"/>
  <c r="AA131" i="8"/>
  <c r="W131" i="8"/>
  <c r="T140" i="8"/>
  <c r="Q137" i="8" l="1"/>
  <c r="Q140" i="8" s="1"/>
  <c r="Q50" i="8"/>
  <c r="Q131" i="8" s="1"/>
  <c r="R50" i="8"/>
  <c r="R131" i="8" s="1"/>
  <c r="R137" i="8" l="1"/>
  <c r="R140" i="8" s="1"/>
  <c r="J50" i="8" l="1"/>
  <c r="J137" i="8"/>
  <c r="G50" i="8"/>
  <c r="K135" i="8" l="1"/>
  <c r="K97" i="8"/>
  <c r="G90" i="8"/>
  <c r="G97" i="8" l="1"/>
  <c r="I90" i="8"/>
  <c r="I97" i="8" l="1"/>
  <c r="AH135" i="8"/>
  <c r="J139" i="8" l="1"/>
  <c r="J140" i="8" s="1"/>
  <c r="J77" i="8"/>
  <c r="J131" i="8" s="1"/>
  <c r="G52" i="8"/>
  <c r="G77" i="8" l="1"/>
  <c r="I52" i="8"/>
  <c r="AH139" i="8" s="1"/>
  <c r="I77" i="8" l="1"/>
  <c r="K24" i="8"/>
  <c r="K131" i="8" s="1"/>
  <c r="AJ138" i="8"/>
  <c r="AJ140" i="8" s="1"/>
  <c r="K138" i="8"/>
  <c r="K140" i="8" s="1"/>
  <c r="G10" i="8"/>
  <c r="G24" i="8"/>
  <c r="G131" i="8" s="1"/>
  <c r="G133" i="8" l="1"/>
  <c r="H138" i="8"/>
  <c r="H139" i="8"/>
  <c r="H136" i="8"/>
  <c r="G136" i="8"/>
  <c r="G134" i="8"/>
  <c r="H137" i="8"/>
  <c r="H134" i="8"/>
  <c r="G137" i="8"/>
  <c r="I10" i="8"/>
  <c r="G139" i="8"/>
  <c r="H133" i="8"/>
  <c r="G138" i="8"/>
  <c r="H135" i="8"/>
  <c r="G135" i="8"/>
  <c r="I138" i="8" l="1"/>
  <c r="I24" i="8"/>
  <c r="I133" i="8"/>
  <c r="AH138" i="8"/>
  <c r="AH140" i="8" s="1"/>
  <c r="G140" i="8"/>
  <c r="H140" i="8"/>
  <c r="I135" i="8"/>
  <c r="I131" i="8" l="1"/>
  <c r="I136" i="8"/>
  <c r="I137" i="8"/>
  <c r="I134" i="8"/>
  <c r="I139" i="8"/>
  <c r="I140" i="8" l="1"/>
</calcChain>
</file>

<file path=xl/comments1.xml><?xml version="1.0" encoding="utf-8"?>
<comments xmlns="http://schemas.openxmlformats.org/spreadsheetml/2006/main">
  <authors>
    <author>Planeación</author>
  </authors>
  <commentList>
    <comment ref="AD31" authorId="0" shapeId="0">
      <text>
        <r>
          <rPr>
            <b/>
            <sz val="11"/>
            <color indexed="81"/>
            <rFont val="Tahoma"/>
            <family val="2"/>
          </rPr>
          <t>Planeación:</t>
        </r>
        <r>
          <rPr>
            <sz val="11"/>
            <color indexed="81"/>
            <rFont val="Tahoma"/>
            <family val="2"/>
          </rPr>
          <t xml:space="preserve">
D. Educación y Cultura Ambiental $88.067.217 D. Ciencias Salud $31.302.788
     </t>
        </r>
      </text>
    </comment>
    <comment ref="AJ63" authorId="0" shapeId="0">
      <text>
        <r>
          <rPr>
            <b/>
            <sz val="11"/>
            <color indexed="81"/>
            <rFont val="Tahoma"/>
            <charset val="1"/>
          </rPr>
          <t>Planeación:</t>
        </r>
        <r>
          <rPr>
            <sz val="11"/>
            <color indexed="81"/>
            <rFont val="Tahoma"/>
            <charset val="1"/>
          </rPr>
          <t xml:space="preserve">
se expidio cp 008 por $89.000.000</t>
        </r>
      </text>
    </comment>
    <comment ref="AB89" authorId="0" shapeId="0">
      <text>
        <r>
          <rPr>
            <b/>
            <sz val="11"/>
            <color indexed="81"/>
            <rFont val="Tahoma"/>
            <family val="2"/>
          </rPr>
          <t>Planeación:</t>
        </r>
        <r>
          <rPr>
            <sz val="11"/>
            <color indexed="81"/>
            <rFont val="Tahoma"/>
            <family val="2"/>
          </rPr>
          <t xml:space="preserve">
cinexcusa 
</t>
        </r>
      </text>
    </comment>
  </commentList>
</comments>
</file>

<file path=xl/sharedStrings.xml><?xml version="1.0" encoding="utf-8"?>
<sst xmlns="http://schemas.openxmlformats.org/spreadsheetml/2006/main" count="449" uniqueCount="366">
  <si>
    <t>CONVENIOS</t>
  </si>
  <si>
    <t>IVA</t>
  </si>
  <si>
    <t>RECURSOS DOCTORADOS</t>
  </si>
  <si>
    <t>EST. LA PLATA</t>
  </si>
  <si>
    <t>RECURSOS PROPIOS</t>
  </si>
  <si>
    <t>PROYECTO</t>
  </si>
  <si>
    <t xml:space="preserve">SF-PY2. Oferta Académica </t>
  </si>
  <si>
    <t>PY.2  Dotación de Equipos y muebles</t>
  </si>
  <si>
    <t>PY. 4 Fortalecimiento de los sistemas de gestión</t>
  </si>
  <si>
    <t>PY.5 Formación y Capacitación del Personal Administrativo y Operativo</t>
  </si>
  <si>
    <t>TOTAL SUBSISTEMA ADMINISTRATIVO</t>
  </si>
  <si>
    <t>ADMINISTRATIVO</t>
  </si>
  <si>
    <t>Construcción  de edificios</t>
  </si>
  <si>
    <t>Construcción de  campos deportivos</t>
  </si>
  <si>
    <t>Adecuar planta física existente</t>
  </si>
  <si>
    <t>Mantener edificaciones y campos deportivos</t>
  </si>
  <si>
    <t>Mantenimiento Preventivo y Correctivo Laboratorios de Docencia</t>
  </si>
  <si>
    <t>Dotación de vidriería, reactivos e insumos para laboratorios de docencia</t>
  </si>
  <si>
    <t>Dotación de vidriería, reactivos e insumos para laboratorios de investigación</t>
  </si>
  <si>
    <t>Dotación de Aulas de equipos y muebles</t>
  </si>
  <si>
    <t>Mantenimiento dotación de aulas</t>
  </si>
  <si>
    <t>Dotación de oficinas</t>
  </si>
  <si>
    <t>Mantenimiento de las oficinas</t>
  </si>
  <si>
    <t>Acceso a bases de datos (bibliografía)</t>
  </si>
  <si>
    <t>Desarrollo de Aplicativos</t>
  </si>
  <si>
    <t>Mantenimiento y adecuaciones a aplicativos</t>
  </si>
  <si>
    <t>Adquisición y Renovación de licencias</t>
  </si>
  <si>
    <t>Desarrollo del Sistema de gestión de Calidad</t>
  </si>
  <si>
    <t>Desarrollo documental de los requisitos generales para la competencias de los laboratorios de prueba y calibración</t>
  </si>
  <si>
    <t>Desarrollar el Sistema de seguridad y salud en el trabajo</t>
  </si>
  <si>
    <t>Mantener y mejorar el Sistema de gestión de seguridad de la información</t>
  </si>
  <si>
    <t>Mantener y mejorar el Sistema de gestión documental</t>
  </si>
  <si>
    <t>Mantener y mejorar el Sistema de gestión de Planeación</t>
  </si>
  <si>
    <t>Definir y desarrollar Plan de formación</t>
  </si>
  <si>
    <t xml:space="preserve">Definir y desarrollar Plan de capacitación </t>
  </si>
  <si>
    <t>Atención Médica a Estudiantes</t>
  </si>
  <si>
    <t>Atención Psicológico a Estudiantes</t>
  </si>
  <si>
    <t>Representación - Competitiva</t>
  </si>
  <si>
    <t>Recreación y Aprovechamiento del Tiempo Libre</t>
  </si>
  <si>
    <t>Formación en modalidades artístiscas</t>
  </si>
  <si>
    <t>Puestas en escena de los grupos artísticos</t>
  </si>
  <si>
    <t>Becas, descuentos y exenciones de matrículas</t>
  </si>
  <si>
    <t>Servicio de Restaurante</t>
  </si>
  <si>
    <t>Acompañamiento académico</t>
  </si>
  <si>
    <t>Acompañamiento sicosocial</t>
  </si>
  <si>
    <t>Nuevos programas académicos de pregrado presenciales y virtuales.</t>
  </si>
  <si>
    <t>Formación de alto nivel Doctorados</t>
  </si>
  <si>
    <t xml:space="preserve">Estudios de Nivel Pos doctoral </t>
  </si>
  <si>
    <t>Actualización curricular pertinente y coherente con el PEU, PEF, PEP.</t>
  </si>
  <si>
    <t xml:space="preserve">Portal y Observatorio Laboral, para enlace laboral y orientar proyectos de emprendimiento. </t>
  </si>
  <si>
    <t>Programa de Seguimiento, evaluación y encuentros de graduados</t>
  </si>
  <si>
    <t>Fomento de proyectos para  asociaciones, convenios, movilidad  y vinculación a proyección social e investigación para graduados.</t>
  </si>
  <si>
    <t>Talleres de formación</t>
  </si>
  <si>
    <t>Grupos escolares</t>
  </si>
  <si>
    <t>Semilleros</t>
  </si>
  <si>
    <t>Trabajos de grado</t>
  </si>
  <si>
    <t>Mediana cuantía</t>
  </si>
  <si>
    <t>Mayor cuantía</t>
  </si>
  <si>
    <t>Doctorados</t>
  </si>
  <si>
    <t>Ponencias</t>
  </si>
  <si>
    <t>Vinculación y Desarrollo en redes académicas, científicas e investigativas</t>
  </si>
  <si>
    <t>Fortalecimiento de los Grupos e Investigadores</t>
  </si>
  <si>
    <t>Artículos en Revistas Indexadas</t>
  </si>
  <si>
    <t>Consolidación e Implementación del Plan Estratégico de Ciencia, Tecnología e Innovación -PECTI</t>
  </si>
  <si>
    <t>Registro</t>
  </si>
  <si>
    <t>Validación</t>
  </si>
  <si>
    <t>Desarrollo de proyectos</t>
  </si>
  <si>
    <t>Revistas Científicas</t>
  </si>
  <si>
    <t>Publicación de libros desde la Editorial de la Universidad</t>
  </si>
  <si>
    <t>Fortalecimiento de la gestión de la Internacionalización</t>
  </si>
  <si>
    <t>Operación y desarrollo del Centro de Emprendimiento e Innovación</t>
  </si>
  <si>
    <t xml:space="preserve">Operación y desarrollo del Consultorio Empresarial y Contable </t>
  </si>
  <si>
    <t>Unidades de Servicios de Atención Psicológica (USAP): Orientación y acompañamiento psicosocial Neiva</t>
  </si>
  <si>
    <t xml:space="preserve">Operación y desarrollo  del Consultorio Jurídico. </t>
  </si>
  <si>
    <t>Unidad de desarrollo de software y contenidos digitales</t>
  </si>
  <si>
    <t>Proyectos de Proyeccion Social</t>
  </si>
  <si>
    <t xml:space="preserve">Eventos de Proyección Social </t>
  </si>
  <si>
    <t>Prensa</t>
  </si>
  <si>
    <t>Radio</t>
  </si>
  <si>
    <t>Televisión</t>
  </si>
  <si>
    <t>Investigación y generación de conocimiento sobre  politicas publicas regionales</t>
  </si>
  <si>
    <t>SUBSISTEMA</t>
  </si>
  <si>
    <t>SIGLA</t>
  </si>
  <si>
    <t>ACTIVIDADES</t>
  </si>
  <si>
    <t>RUBRO</t>
  </si>
  <si>
    <t>RESPONSABLE</t>
  </si>
  <si>
    <t>ESTAMPILLA UNIVERSIDAD LEY 1697/13</t>
  </si>
  <si>
    <t>R. NACIÓN</t>
  </si>
  <si>
    <t>RECURSOS CREE 2017</t>
  </si>
  <si>
    <t>R. NACIÓN PLAN DE FOMENTO</t>
  </si>
  <si>
    <t>RECURSOS CRÉDITO</t>
  </si>
  <si>
    <t>RENDIMIENTOS FINANCIEROS</t>
  </si>
  <si>
    <t>D. COMPLEMENTARIOS</t>
  </si>
  <si>
    <t>EST.DPTO. NEIVA</t>
  </si>
  <si>
    <t>EST.DPTO. GARZÓN</t>
  </si>
  <si>
    <t>EST.DPTO. PITALITO</t>
  </si>
  <si>
    <t>EST.DPTO. LA PLATA</t>
  </si>
  <si>
    <t>EST. NEIVA</t>
  </si>
  <si>
    <t>EST. GARZÓN</t>
  </si>
  <si>
    <t>EST. PITALITO</t>
  </si>
  <si>
    <t xml:space="preserve">EXCEDENTES  USCO </t>
  </si>
  <si>
    <t>FTO. BTAR.</t>
  </si>
  <si>
    <t>CONV. ASOCOOPH</t>
  </si>
  <si>
    <t>EXCED. FAC.</t>
  </si>
  <si>
    <t>FORMACION</t>
  </si>
  <si>
    <t>SF-PY1.1</t>
  </si>
  <si>
    <t>SF-PY1.2</t>
  </si>
  <si>
    <t>V.ACADEMICA</t>
  </si>
  <si>
    <t>SF-PY2.1</t>
  </si>
  <si>
    <t>SF-PY2.2</t>
  </si>
  <si>
    <t>SF-PY2.3</t>
  </si>
  <si>
    <t>SF-PY2.4</t>
  </si>
  <si>
    <t>SF-PY3.3</t>
  </si>
  <si>
    <t>SF-PY3.4</t>
  </si>
  <si>
    <t>SF-PY3.5</t>
  </si>
  <si>
    <t>SF-PY4.1</t>
  </si>
  <si>
    <t>SF-PY4.2</t>
  </si>
  <si>
    <t>SF-PY4.3</t>
  </si>
  <si>
    <t>SF-PY5.1</t>
  </si>
  <si>
    <t>SF-PY6.1</t>
  </si>
  <si>
    <t>SF-PY6.2</t>
  </si>
  <si>
    <t>TOTAL SUBSISTEMA DE FORMACION</t>
  </si>
  <si>
    <t>INVESTIGACION</t>
  </si>
  <si>
    <t>SI-PY1.1</t>
  </si>
  <si>
    <t>VIPS</t>
  </si>
  <si>
    <t>SI-PY1.2</t>
  </si>
  <si>
    <t>SI-PY2.1</t>
  </si>
  <si>
    <t>SI-PY2.2</t>
  </si>
  <si>
    <t xml:space="preserve">VIPS </t>
  </si>
  <si>
    <t>SI-PY2.3</t>
  </si>
  <si>
    <t>SI-PY2.4</t>
  </si>
  <si>
    <t>SI-PY2.5</t>
  </si>
  <si>
    <t>SI-PY2.6</t>
  </si>
  <si>
    <t>SI-PY2.7</t>
  </si>
  <si>
    <t>SI-PY3.1</t>
  </si>
  <si>
    <t>SI-PY3.2</t>
  </si>
  <si>
    <t>SI-PY3.3</t>
  </si>
  <si>
    <t>SI-PY3.4</t>
  </si>
  <si>
    <t>SI-PY4.1</t>
  </si>
  <si>
    <t>SI-PY4.2</t>
  </si>
  <si>
    <t>SI-PY5.1</t>
  </si>
  <si>
    <t>SI-PY6.1</t>
  </si>
  <si>
    <t>SI-PY6.2</t>
  </si>
  <si>
    <t>TOTAL SUBSISTEMA: DE INVESTIGACIÓN</t>
  </si>
  <si>
    <t>PROYECCION SOCIAL</t>
  </si>
  <si>
    <t>SP-PY1.1</t>
  </si>
  <si>
    <t>SP-PY1.2</t>
  </si>
  <si>
    <t>SP-PY1.3</t>
  </si>
  <si>
    <t>SP-PY1.4</t>
  </si>
  <si>
    <t>SP-PY2.1</t>
  </si>
  <si>
    <t>SP-PY3.1</t>
  </si>
  <si>
    <t>SP-PY3.2</t>
  </si>
  <si>
    <t>SP-PY3.3</t>
  </si>
  <si>
    <t>SP-PY3.4</t>
  </si>
  <si>
    <t>SP-PY3.5</t>
  </si>
  <si>
    <t>SP-PY4.1</t>
  </si>
  <si>
    <t>SP-PY4.2</t>
  </si>
  <si>
    <t>SP-PY5.1</t>
  </si>
  <si>
    <t>SP-PY6.1</t>
  </si>
  <si>
    <t>TOTAL SUBSISTEMA DE PROYECCION SOCIAL</t>
  </si>
  <si>
    <t>BIENESTAR UNIVERSITARIO</t>
  </si>
  <si>
    <t>SB-PY1.   Universidad Saludable.</t>
  </si>
  <si>
    <t>SB-PY1.1</t>
  </si>
  <si>
    <t>VIC. ADTIVA.</t>
  </si>
  <si>
    <t>SB-PY1.2</t>
  </si>
  <si>
    <t>SB-PY1.3</t>
  </si>
  <si>
    <t>SB-PY1.4</t>
  </si>
  <si>
    <t>SB-PY2.1</t>
  </si>
  <si>
    <t>SB-PY3.1</t>
  </si>
  <si>
    <t>SB-PY4.1</t>
  </si>
  <si>
    <t>SB-PY4.2</t>
  </si>
  <si>
    <t>SB-PY4.3</t>
  </si>
  <si>
    <t>SB-PY5.1</t>
  </si>
  <si>
    <t>TOTAL SUBSISTEMA BIENESTAR UNIVERSITARIO</t>
  </si>
  <si>
    <t>SA-PY2.1</t>
  </si>
  <si>
    <t>SA-PY2.2</t>
  </si>
  <si>
    <t>SA-PY2.3</t>
  </si>
  <si>
    <t>SA-PY2.4</t>
  </si>
  <si>
    <t>SA-PY2.5</t>
  </si>
  <si>
    <t>SA-PY2.6</t>
  </si>
  <si>
    <t>SA-PY2.7</t>
  </si>
  <si>
    <t>SA-PY2.8</t>
  </si>
  <si>
    <t>SA-PY2.10</t>
  </si>
  <si>
    <t>SA-PY2.12</t>
  </si>
  <si>
    <t>SA-PY3.5</t>
  </si>
  <si>
    <t>TOTALES</t>
  </si>
  <si>
    <t>CONSTRUCCIONES</t>
  </si>
  <si>
    <t>ADQUISICION EQUIPOS</t>
  </si>
  <si>
    <t>CAPACITACION</t>
  </si>
  <si>
    <t>INVESTIGACIONES</t>
  </si>
  <si>
    <t>PLANEACION</t>
  </si>
  <si>
    <t>EXTENSION</t>
  </si>
  <si>
    <t>Promocion de la cultura  participativa y la democracia deliberativa en la comunidad  universitaria</t>
  </si>
  <si>
    <t>SF-PY1. Identidad con la Teolología y gobierno Institucional</t>
  </si>
  <si>
    <t>Nuevos programas académicos de postgrado presenciales y virtuales.</t>
  </si>
  <si>
    <t>Nuevos programas académicos articulados en distintos niveles , ciclos propedéuticos, metodologias y modalidades. PAEME.</t>
  </si>
  <si>
    <t>Programas académicos articulados en distintos niveles con la educación media.</t>
  </si>
  <si>
    <t>SF-PY3. Desarrollo Profesoral.</t>
  </si>
  <si>
    <t xml:space="preserve"> Formación de alto nivel en Maestrías</t>
  </si>
  <si>
    <t>SF-PY3.1</t>
  </si>
  <si>
    <t>SF-PY3.2</t>
  </si>
  <si>
    <t>Capacitación y actualización individual y colectiva en pedagogías, didácticas, estudios sociales, culturales y estéticos</t>
  </si>
  <si>
    <t>Capacitación en lenguas extranjeras</t>
  </si>
  <si>
    <t>Procesos de autoevaluación de programas de pregrado y postgrado.</t>
  </si>
  <si>
    <t>SF-PY5.  Relevo Generacional con Excelencia Académica.</t>
  </si>
  <si>
    <t>Diseño y puesta en marcha politica de relevo generacional.</t>
  </si>
  <si>
    <t>SF-PY6.Fortalecimiento de los Vínculos Universidad - Graduados.</t>
  </si>
  <si>
    <t>SF-PY6.3</t>
  </si>
  <si>
    <t>SI-PY1. Formación en Investigación.</t>
  </si>
  <si>
    <t>SI-PY2.  Desarrollo proyectos Internos de investigación.</t>
  </si>
  <si>
    <t xml:space="preserve"> Menor cuantía</t>
  </si>
  <si>
    <t>Jóvenes Investigadores</t>
  </si>
  <si>
    <t>SI-PY3.  Fortalecimiento de  las capacidades investigativas.</t>
  </si>
  <si>
    <t xml:space="preserve"> Eventos académico- científicos</t>
  </si>
  <si>
    <t xml:space="preserve"> Fortalecimiento de los Centros  e Institutos de Investigación</t>
  </si>
  <si>
    <t xml:space="preserve"> Vigilancia Tecnológica</t>
  </si>
  <si>
    <t>SI-PY3.5</t>
  </si>
  <si>
    <t>SI-PY3.6</t>
  </si>
  <si>
    <t>SI-PY3.7</t>
  </si>
  <si>
    <t>SI-PY3.8</t>
  </si>
  <si>
    <t>SI-PY3.9</t>
  </si>
  <si>
    <t>SI-PY3.10</t>
  </si>
  <si>
    <t>Apoyo al desarrollo de doctorados.</t>
  </si>
  <si>
    <t>Apoyo laboratorios de investigación</t>
  </si>
  <si>
    <t>SI-PY4.   Propiedad Intelectual.</t>
  </si>
  <si>
    <t>SI-PY5. Proyectos de investigación a través de Convenios</t>
  </si>
  <si>
    <t>SI-PY6.  Fortalecimiento de procesos Editoriales Institucionales</t>
  </si>
  <si>
    <t>Procesos editoriales</t>
  </si>
  <si>
    <t>SI-PY6.3</t>
  </si>
  <si>
    <t>SP-PY1.  Internacionalización académico-investigativa y de la extensión.</t>
  </si>
  <si>
    <t xml:space="preserve"> Fomento a la internacionalización en casa</t>
  </si>
  <si>
    <t xml:space="preserve"> Fortalecimiento de la articulación interinstitucional</t>
  </si>
  <si>
    <t xml:space="preserve"> Fortalecimiento de la movilidad académica e investigativa</t>
  </si>
  <si>
    <t>SP-PY2.   Estructuración y Desarrollo de las unidades de atención especializada de la Universidad Surcolombiana.</t>
  </si>
  <si>
    <t>SP-PY2.2</t>
  </si>
  <si>
    <t>SP-PY2.3</t>
  </si>
  <si>
    <t>SP-PY2.5</t>
  </si>
  <si>
    <t>SP-PY2.4</t>
  </si>
  <si>
    <t>SP-PY2.6</t>
  </si>
  <si>
    <t>SP-PY2.7</t>
  </si>
  <si>
    <t>SP-PY2.8</t>
  </si>
  <si>
    <t xml:space="preserve"> Unidades de Servicios de Atención Psicológica (USAP): Consultorio clínico Neiva. </t>
  </si>
  <si>
    <t xml:space="preserve"> Unidades de Servicios de Atención Psicológica (USAP): Orientación y acompañamiento psicosocial Sedes</t>
  </si>
  <si>
    <t xml:space="preserve"> Operación y desarrollo del Centro de Conciliación</t>
  </si>
  <si>
    <t xml:space="preserve">SP-PY3. Reformulación y fortalecimiento de las modalidades y formas de Proyección Social. </t>
  </si>
  <si>
    <t xml:space="preserve"> Formación continuada</t>
  </si>
  <si>
    <t xml:space="preserve"> Convenio de Proyección social</t>
  </si>
  <si>
    <t xml:space="preserve"> Apoyo a estudiantes en prácticas, pasantías y judicaturas</t>
  </si>
  <si>
    <t>SP-PY4.3</t>
  </si>
  <si>
    <t>SP-PY4.4</t>
  </si>
  <si>
    <t>Comunicación Organizacional</t>
  </si>
  <si>
    <t>SP-PY5.  Estructuración y Desarrollo de la agenda Social Regional.</t>
  </si>
  <si>
    <t>SP-PY5.2</t>
  </si>
  <si>
    <t>SP-PY5.3</t>
  </si>
  <si>
    <t>SP-PY5.4</t>
  </si>
  <si>
    <t>Construcción de una  Agenda Prospectiva para el desarrollo Social y humano del Departamento del Huila</t>
  </si>
  <si>
    <t xml:space="preserve"> Creación y puesta en funcionamiento del Observatorio Regional de Políticas Públicas</t>
  </si>
  <si>
    <t>SP-PY6.Regionalización.</t>
  </si>
  <si>
    <t>Fortalecimiento de las sedes regionales</t>
  </si>
  <si>
    <t>SB-PY1.5</t>
  </si>
  <si>
    <t>SB-PY1.6</t>
  </si>
  <si>
    <t>SB-PY1.7</t>
  </si>
  <si>
    <t xml:space="preserve"> Atención Odontológica a Estudiantes</t>
  </si>
  <si>
    <t xml:space="preserve"> PyP - Promoción y prevención médica</t>
  </si>
  <si>
    <t xml:space="preserve"> PyP - Promoción y Prevención odontológica</t>
  </si>
  <si>
    <t xml:space="preserve"> PyP - Promoción y prevención sicológica en Población Vulnerable.</t>
  </si>
  <si>
    <t xml:space="preserve"> Formación sanología para la comunidad universitaria "USCO SALUDABLE".</t>
  </si>
  <si>
    <t>SB-PY2. Actividad física, deporte y recreación.</t>
  </si>
  <si>
    <t>SB-PY2.2</t>
  </si>
  <si>
    <t>SB-PY2.3</t>
  </si>
  <si>
    <t xml:space="preserve"> Formación Deportiva en las diferentes disciplinas.</t>
  </si>
  <si>
    <t>SB-PY3.  Cultura con responsabilidad y compromiso.</t>
  </si>
  <si>
    <t>SB-PY3.2</t>
  </si>
  <si>
    <t>SB-PY4.Desarrollo humano.</t>
  </si>
  <si>
    <t>Interacción entre los integrantes de la comunidad universitaria.</t>
  </si>
  <si>
    <t xml:space="preserve"> Atención a la población con enfoque diferencial.</t>
  </si>
  <si>
    <t xml:space="preserve"> Inducción institucional a estudiantes nuevos.</t>
  </si>
  <si>
    <t>SB-PY5.  Fomento a la permanencia y graduación.</t>
  </si>
  <si>
    <t>SB-PY5.2</t>
  </si>
  <si>
    <t>SB-PY5.3</t>
  </si>
  <si>
    <t>SB-PY5.4</t>
  </si>
  <si>
    <t>SA.PY.1  Desarrollo Planta Fisica.</t>
  </si>
  <si>
    <t>SA-PY1.1</t>
  </si>
  <si>
    <t>SA-PY1.2</t>
  </si>
  <si>
    <t>SA-PY1.3</t>
  </si>
  <si>
    <t>SA-PY1.4</t>
  </si>
  <si>
    <t>SA-PY1.5</t>
  </si>
  <si>
    <t>Adecuar accesos para discapacitados</t>
  </si>
  <si>
    <t>SA-PY2.9</t>
  </si>
  <si>
    <t>SA-PY2.11</t>
  </si>
  <si>
    <t>Dotación de equipos los laboratorios y talleres para Docencia</t>
  </si>
  <si>
    <t>Dotación de equipos y aplicativos para laboratorios de Investigación</t>
  </si>
  <si>
    <t>Mantenimiento de equipos y aplicativos para laboratorios de Investigación</t>
  </si>
  <si>
    <t>Adquirir bibliografía fisica y Digital</t>
  </si>
  <si>
    <t>SA-PY3.  Desarrollo Tecnológico.</t>
  </si>
  <si>
    <t>SA-PY3.1</t>
  </si>
  <si>
    <t>SA-PY3.2</t>
  </si>
  <si>
    <t>SA-PY3.3</t>
  </si>
  <si>
    <t>SA-PY3.4</t>
  </si>
  <si>
    <t>SA-PY4.1</t>
  </si>
  <si>
    <t>SA-PY4.2</t>
  </si>
  <si>
    <t>SA-PY4.3</t>
  </si>
  <si>
    <t>SA-PY4.4</t>
  </si>
  <si>
    <t>SA-PY4.5</t>
  </si>
  <si>
    <t>SA-PY4.6</t>
  </si>
  <si>
    <t>SA-PY4.7</t>
  </si>
  <si>
    <t>Desarrollo d el Sistema de gestión Ambiental</t>
  </si>
  <si>
    <t>SA-PY5.1</t>
  </si>
  <si>
    <t>SA-PY5.2</t>
  </si>
  <si>
    <t>TOTAL ASIGNADO</t>
  </si>
  <si>
    <t>UNIVERSIDAD SURCOLOMBIANA</t>
  </si>
  <si>
    <t>PLAN DE ACCIÓN VIGENCIA 2020</t>
  </si>
  <si>
    <t>TOTAL PLAN DE ACCION 2020</t>
  </si>
  <si>
    <t>VIC. ACADÉMICA
FACECO
EDUCACIÓN
FACIEN</t>
  </si>
  <si>
    <t>OFICINA ASESORA DE PLANECIÓN</t>
  </si>
  <si>
    <t>VIPS
FACECO</t>
  </si>
  <si>
    <t>Inducción y Reinducción con docentes, estudiantes, Administrativos y Directivos de la Universidad, dobre misión, visión, principios y valores.</t>
  </si>
  <si>
    <t>SP-PY4.  Comunicación estratégica e imagen institucional</t>
  </si>
  <si>
    <t>PDI</t>
  </si>
  <si>
    <t>POR ASIGNAR</t>
  </si>
  <si>
    <t>V. ACADÉMICA</t>
  </si>
  <si>
    <t>V. ACADÉMICA
FACECO
EDUCACIÓN</t>
  </si>
  <si>
    <t>V. ACADÉMICA
FACECO
EDUCACIÓN
FACIEN</t>
  </si>
  <si>
    <t>V. ACADÉMICA
FACECO
FACIEN</t>
  </si>
  <si>
    <t>V. ACADÉMICA
FACECO</t>
  </si>
  <si>
    <t>V. ACADÉMICA
FACECO
EDUCACIÓN  F.C.J Y P.
FACIEN</t>
  </si>
  <si>
    <t>V. ACADÉMICA
EDUCACIÓN</t>
  </si>
  <si>
    <t>VIPS
FACIEN</t>
  </si>
  <si>
    <t>VIPS INGENIERÍA
EDUCACIÓN FACIEN</t>
  </si>
  <si>
    <t>VIPS
EDUCACIÓN
FACIEN 
F.C.J. Y P.</t>
  </si>
  <si>
    <t xml:space="preserve">VIPS  FACECO 
  FACIEN 
</t>
  </si>
  <si>
    <t>VIPS
INGENIERÍA</t>
  </si>
  <si>
    <t>VIPS, 
FACECO,  F.C.J.P.
FACIEN</t>
  </si>
  <si>
    <t xml:space="preserve">VIPS INGENIERÍA FACECO 
EDUCACIÓN
F.C.S. Y H.
F.C.J. Y P.  FACIEN 
</t>
  </si>
  <si>
    <t xml:space="preserve">VIPS  SALUD FACECO 
EDUCACIÓN
F.C.S. Y H.
F.C.J. Y P.  FACIEN 
</t>
  </si>
  <si>
    <t xml:space="preserve">VIPS  FACECO 
EDUCACIÓN
</t>
  </si>
  <si>
    <t xml:space="preserve">VIPS   
EDUCACIÓN
</t>
  </si>
  <si>
    <t xml:space="preserve">VIPS  INGENIERÍA 
EDUCACIÓN
F.C.J. Y P.  FACIEN 
</t>
  </si>
  <si>
    <t>VIC. ADTIVA. 
EDICACIÓN</t>
  </si>
  <si>
    <t>VIC. ADTIVA. 
FACECO EDUCACIÓN FACIEN</t>
  </si>
  <si>
    <t>VIC. ADTIVA. 
INGENIERÍA FACECO EDUCACIÓN F.C.S. Y H. FACIEN</t>
  </si>
  <si>
    <t>VIC. ADTIVA. 
FACECO EDUCACIÓN  F.C.J. Y P.  FACIEN</t>
  </si>
  <si>
    <t>VIC. ADTIVA. 
EDUCACIÓN  FACIEN</t>
  </si>
  <si>
    <t xml:space="preserve">VIC. ADTIVA. 
EDUCACIÓN  </t>
  </si>
  <si>
    <t xml:space="preserve">VIC. ADTIVA. INGENIERÍA
FACECO </t>
  </si>
  <si>
    <t>VIC. ADTIVA. 
INGENIERÍA FACECO EDUCACIÓN F.C.S. Y H.       F.C.J. Y P.</t>
  </si>
  <si>
    <t xml:space="preserve">VIC. ADTIVA. 
  F.C.J. Y P.  </t>
  </si>
  <si>
    <t>VIC. ADTIVA. 
INGENIERÍA FACECO EDUCACIÓN  F.C.S. Y H.      F.C.J. Y P.  FACIEN</t>
  </si>
  <si>
    <t xml:space="preserve">VIC. ADTIVA. 
  EDUCACIÓN  </t>
  </si>
  <si>
    <t>VIC. ADTIVA. EDUCACIÓN</t>
  </si>
  <si>
    <t xml:space="preserve">
VIPS   INGENIERÍA
</t>
  </si>
  <si>
    <t xml:space="preserve">
VIPS INGENIERÍA FACECO 
EDUCACIÓN
F.C.J. Y P.  FACIEN 
</t>
  </si>
  <si>
    <t xml:space="preserve">
VIPS 
F.C.J. Y P. 
</t>
  </si>
  <si>
    <t>Formación y capacitación  en formulación, seguimiento y evaluación de políticas públicas</t>
  </si>
  <si>
    <t>Adquisición de equipos con destino a información y comunicación</t>
  </si>
  <si>
    <t>Mantenimiento de equipos con destino a información y comunicación</t>
  </si>
  <si>
    <t>VIC. ADTIVA. 
FACECO   FACIEN</t>
  </si>
  <si>
    <t>SF-PY4.   Autoevaluación y Acreditación Académico e Institucional.</t>
  </si>
  <si>
    <t>Procesos de autoevaluación y mejoramiento de la calidad para la renovación de  acreditación de alta calidad institucional.</t>
  </si>
  <si>
    <t>SALUD</t>
  </si>
  <si>
    <t>INGENIERÍA</t>
  </si>
  <si>
    <t>FACECO</t>
  </si>
  <si>
    <t>EDUCACIÓN</t>
  </si>
  <si>
    <t>F.C.S. Y HUMANAS</t>
  </si>
  <si>
    <t>F.C.J. Y P.</t>
  </si>
  <si>
    <t>F. C.E. Y NATURALES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</si>
</sst>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$&quot;\ * #,##0_-;\-&quot;$&quot;\ * #,##0_-;_-&quot;$&quot;\ * &quot;-&quot;_-;_-@_-"/>
    <numFmt numFmtId="41" formatCode="_-* #,##0_-;\-* #,##0_-;_-* &quot;-&quot;_-;_-@_-"/>
    <numFmt numFmtId="43" formatCode="_-* #,##0.00_-;\-* #,##0.00_-;_-* &quot;-&quot;??_-;_-@_-"/>
    <numFmt numFmtId="164" formatCode="_(&quot;$&quot;\ * #,##0_);_(&quot;$&quot;\ * \(#,##0\);_(&quot;$&quot;\ * &quot;-&quot;_);_(@_)"/>
    <numFmt numFmtId="165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1"/>
      <color indexed="81"/>
      <name val="Tahoma"/>
      <charset val="1"/>
    </font>
    <font>
      <b/>
      <sz val="11"/>
      <color indexed="81"/>
      <name val="Tahoma"/>
      <charset val="1"/>
    </font>
    <font>
      <sz val="10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2" fillId="0" borderId="0"/>
    <xf numFmtId="0" fontId="4" fillId="0" borderId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8" fillId="0" borderId="0"/>
  </cellStyleXfs>
  <cellXfs count="217">
    <xf numFmtId="0" fontId="0" fillId="0" borderId="0" xfId="0"/>
    <xf numFmtId="0" fontId="11" fillId="0" borderId="0" xfId="0" applyFont="1"/>
    <xf numFmtId="0" fontId="0" fillId="3" borderId="1" xfId="0" applyFill="1" applyBorder="1" applyAlignment="1">
      <alignment textRotation="255"/>
    </xf>
    <xf numFmtId="3" fontId="12" fillId="3" borderId="1" xfId="0" applyNumberFormat="1" applyFont="1" applyFill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vertical="center" wrapText="1"/>
    </xf>
    <xf numFmtId="0" fontId="0" fillId="2" borderId="0" xfId="0" applyFill="1"/>
    <xf numFmtId="0" fontId="0" fillId="3" borderId="1" xfId="0" applyFill="1" applyBorder="1" applyAlignment="1"/>
    <xf numFmtId="3" fontId="12" fillId="3" borderId="11" xfId="0" applyNumberFormat="1" applyFont="1" applyFill="1" applyBorder="1" applyAlignment="1">
      <alignment horizontal="center" vertical="center" wrapText="1"/>
    </xf>
    <xf numFmtId="3" fontId="3" fillId="3" borderId="11" xfId="0" applyNumberFormat="1" applyFont="1" applyFill="1" applyBorder="1" applyAlignment="1">
      <alignment horizontal="right" vertical="center" wrapText="1"/>
    </xf>
    <xf numFmtId="0" fontId="0" fillId="3" borderId="1" xfId="0" applyFill="1" applyBorder="1"/>
    <xf numFmtId="0" fontId="0" fillId="3" borderId="11" xfId="0" applyFill="1" applyBorder="1"/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3" fontId="9" fillId="2" borderId="10" xfId="0" applyNumberFormat="1" applyFont="1" applyFill="1" applyBorder="1" applyAlignment="1">
      <alignment horizontal="right" vertical="center" wrapText="1"/>
    </xf>
    <xf numFmtId="3" fontId="9" fillId="2" borderId="5" xfId="0" applyNumberFormat="1" applyFont="1" applyFill="1" applyBorder="1" applyAlignment="1">
      <alignment horizontal="right" vertical="center" wrapText="1"/>
    </xf>
    <xf numFmtId="3" fontId="5" fillId="2" borderId="10" xfId="0" applyNumberFormat="1" applyFont="1" applyFill="1" applyBorder="1" applyAlignment="1">
      <alignment horizontal="right" vertical="center" wrapText="1"/>
    </xf>
    <xf numFmtId="3" fontId="5" fillId="0" borderId="5" xfId="0" applyNumberFormat="1" applyFont="1" applyFill="1" applyBorder="1" applyAlignment="1">
      <alignment horizontal="right" vertical="center" wrapText="1"/>
    </xf>
    <xf numFmtId="3" fontId="0" fillId="0" borderId="5" xfId="0" applyNumberFormat="1" applyBorder="1" applyAlignment="1">
      <alignment horizontal="right" vertical="center"/>
    </xf>
    <xf numFmtId="0" fontId="4" fillId="2" borderId="3" xfId="0" applyFont="1" applyFill="1" applyBorder="1" applyAlignment="1">
      <alignment vertical="center" wrapText="1"/>
    </xf>
    <xf numFmtId="0" fontId="0" fillId="2" borderId="3" xfId="0" applyFill="1" applyBorder="1"/>
    <xf numFmtId="3" fontId="7" fillId="0" borderId="3" xfId="0" applyNumberFormat="1" applyFont="1" applyFill="1" applyBorder="1"/>
    <xf numFmtId="3" fontId="7" fillId="0" borderId="1" xfId="0" applyNumberFormat="1" applyFont="1" applyFill="1" applyBorder="1"/>
    <xf numFmtId="3" fontId="4" fillId="2" borderId="3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3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vertical="center" wrapText="1"/>
    </xf>
    <xf numFmtId="3" fontId="4" fillId="0" borderId="1" xfId="0" applyNumberFormat="1" applyFont="1" applyBorder="1" applyAlignment="1">
      <alignment vertical="center" wrapText="1"/>
    </xf>
    <xf numFmtId="3" fontId="5" fillId="0" borderId="1" xfId="0" applyNumberFormat="1" applyFont="1" applyBorder="1" applyAlignment="1">
      <alignment vertical="center" wrapText="1"/>
    </xf>
    <xf numFmtId="3" fontId="4" fillId="0" borderId="6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right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2" borderId="1" xfId="0" applyFont="1" applyFill="1" applyBorder="1" applyAlignment="1">
      <alignment horizontal="right" vertical="center" wrapText="1"/>
    </xf>
    <xf numFmtId="0" fontId="0" fillId="0" borderId="11" xfId="0" applyBorder="1"/>
    <xf numFmtId="3" fontId="0" fillId="0" borderId="11" xfId="0" applyNumberFormat="1" applyBorder="1"/>
    <xf numFmtId="3" fontId="5" fillId="0" borderId="11" xfId="0" applyNumberFormat="1" applyFont="1" applyBorder="1"/>
    <xf numFmtId="3" fontId="5" fillId="2" borderId="11" xfId="0" applyNumberFormat="1" applyFont="1" applyFill="1" applyBorder="1"/>
    <xf numFmtId="3" fontId="0" fillId="0" borderId="0" xfId="0" applyNumberFormat="1"/>
    <xf numFmtId="0" fontId="11" fillId="4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0" xfId="0" applyBorder="1"/>
    <xf numFmtId="0" fontId="10" fillId="0" borderId="0" xfId="0" applyFont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38" fontId="11" fillId="5" borderId="1" xfId="0" applyNumberFormat="1" applyFont="1" applyFill="1" applyBorder="1" applyAlignment="1">
      <alignment horizontal="center" vertical="center"/>
    </xf>
    <xf numFmtId="38" fontId="3" fillId="3" borderId="2" xfId="0" applyNumberFormat="1" applyFont="1" applyFill="1" applyBorder="1" applyAlignment="1">
      <alignment vertical="center" wrapText="1"/>
    </xf>
    <xf numFmtId="38" fontId="3" fillId="3" borderId="11" xfId="0" applyNumberFormat="1" applyFont="1" applyFill="1" applyBorder="1" applyAlignment="1">
      <alignment horizontal="right" vertical="center" wrapText="1"/>
    </xf>
    <xf numFmtId="38" fontId="9" fillId="5" borderId="10" xfId="0" applyNumberFormat="1" applyFont="1" applyFill="1" applyBorder="1" applyAlignment="1">
      <alignment horizontal="right" vertical="center" wrapText="1"/>
    </xf>
    <xf numFmtId="38" fontId="7" fillId="5" borderId="3" xfId="0" applyNumberFormat="1" applyFont="1" applyFill="1" applyBorder="1"/>
    <xf numFmtId="3" fontId="4" fillId="5" borderId="6" xfId="0" applyNumberFormat="1" applyFont="1" applyFill="1" applyBorder="1" applyAlignment="1">
      <alignment vertical="center" wrapText="1"/>
    </xf>
    <xf numFmtId="3" fontId="5" fillId="5" borderId="5" xfId="0" applyNumberFormat="1" applyFont="1" applyFill="1" applyBorder="1" applyAlignment="1">
      <alignment horizontal="right" vertical="center" wrapText="1"/>
    </xf>
    <xf numFmtId="3" fontId="5" fillId="5" borderId="11" xfId="0" applyNumberFormat="1" applyFont="1" applyFill="1" applyBorder="1"/>
    <xf numFmtId="0" fontId="11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center" vertical="center" wrapText="1"/>
    </xf>
    <xf numFmtId="3" fontId="12" fillId="6" borderId="1" xfId="0" applyNumberFormat="1" applyFont="1" applyFill="1" applyBorder="1" applyAlignment="1">
      <alignment horizontal="center" vertical="center" wrapText="1"/>
    </xf>
    <xf numFmtId="3" fontId="2" fillId="6" borderId="1" xfId="0" applyNumberFormat="1" applyFont="1" applyFill="1" applyBorder="1" applyAlignment="1">
      <alignment horizontal="right" vertical="center" wrapText="1"/>
    </xf>
    <xf numFmtId="38" fontId="2" fillId="6" borderId="1" xfId="0" applyNumberFormat="1" applyFont="1" applyFill="1" applyBorder="1" applyAlignment="1">
      <alignment horizontal="right" vertical="center" wrapText="1"/>
    </xf>
    <xf numFmtId="0" fontId="0" fillId="6" borderId="0" xfId="0" applyFill="1"/>
    <xf numFmtId="3" fontId="20" fillId="6" borderId="1" xfId="0" applyNumberFormat="1" applyFont="1" applyFill="1" applyBorder="1" applyAlignment="1">
      <alignment horizontal="right" vertical="center" wrapText="1"/>
    </xf>
    <xf numFmtId="0" fontId="0" fillId="6" borderId="4" xfId="0" applyFill="1" applyBorder="1" applyAlignment="1">
      <alignment vertical="center" textRotation="255"/>
    </xf>
    <xf numFmtId="0" fontId="7" fillId="6" borderId="1" xfId="0" applyFont="1" applyFill="1" applyBorder="1" applyAlignment="1">
      <alignment horizontal="left" vertical="center" wrapText="1"/>
    </xf>
    <xf numFmtId="0" fontId="0" fillId="7" borderId="4" xfId="0" applyFill="1" applyBorder="1" applyAlignment="1">
      <alignment vertical="center" textRotation="255"/>
    </xf>
    <xf numFmtId="0" fontId="7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3" fontId="12" fillId="7" borderId="1" xfId="0" applyNumberFormat="1" applyFont="1" applyFill="1" applyBorder="1" applyAlignment="1">
      <alignment horizontal="center" vertical="center" wrapText="1"/>
    </xf>
    <xf numFmtId="3" fontId="2" fillId="7" borderId="1" xfId="0" applyNumberFormat="1" applyFont="1" applyFill="1" applyBorder="1" applyAlignment="1">
      <alignment horizontal="right" vertical="center" wrapText="1"/>
    </xf>
    <xf numFmtId="38" fontId="2" fillId="7" borderId="1" xfId="0" applyNumberFormat="1" applyFont="1" applyFill="1" applyBorder="1" applyAlignment="1">
      <alignment horizontal="right" vertical="center" wrapText="1"/>
    </xf>
    <xf numFmtId="0" fontId="0" fillId="7" borderId="0" xfId="0" applyFill="1"/>
    <xf numFmtId="0" fontId="0" fillId="8" borderId="4" xfId="0" applyFill="1" applyBorder="1" applyAlignment="1">
      <alignment vertical="center" textRotation="255"/>
    </xf>
    <xf numFmtId="0" fontId="4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horizontal="center" vertical="center" wrapText="1"/>
    </xf>
    <xf numFmtId="3" fontId="12" fillId="8" borderId="1" xfId="0" applyNumberFormat="1" applyFont="1" applyFill="1" applyBorder="1" applyAlignment="1">
      <alignment horizontal="center" vertical="center" wrapText="1"/>
    </xf>
    <xf numFmtId="3" fontId="2" fillId="8" borderId="1" xfId="0" applyNumberFormat="1" applyFont="1" applyFill="1" applyBorder="1" applyAlignment="1">
      <alignment horizontal="right" vertical="center" wrapText="1"/>
    </xf>
    <xf numFmtId="38" fontId="2" fillId="8" borderId="1" xfId="0" applyNumberFormat="1" applyFont="1" applyFill="1" applyBorder="1" applyAlignment="1">
      <alignment horizontal="right" vertical="center" wrapText="1"/>
    </xf>
    <xf numFmtId="0" fontId="0" fillId="8" borderId="0" xfId="0" applyFill="1"/>
    <xf numFmtId="0" fontId="0" fillId="9" borderId="4" xfId="0" applyFill="1" applyBorder="1" applyAlignment="1">
      <alignment vertical="center" textRotation="255"/>
    </xf>
    <xf numFmtId="0" fontId="4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horizontal="center" vertical="center" wrapText="1"/>
    </xf>
    <xf numFmtId="3" fontId="12" fillId="9" borderId="1" xfId="0" applyNumberFormat="1" applyFont="1" applyFill="1" applyBorder="1" applyAlignment="1">
      <alignment horizontal="center" vertical="center" wrapText="1"/>
    </xf>
    <xf numFmtId="3" fontId="2" fillId="9" borderId="1" xfId="0" applyNumberFormat="1" applyFont="1" applyFill="1" applyBorder="1" applyAlignment="1">
      <alignment horizontal="right" vertical="center" wrapText="1"/>
    </xf>
    <xf numFmtId="38" fontId="2" fillId="9" borderId="1" xfId="0" applyNumberFormat="1" applyFont="1" applyFill="1" applyBorder="1" applyAlignment="1">
      <alignment horizontal="right" vertical="center" wrapText="1"/>
    </xf>
    <xf numFmtId="0" fontId="0" fillId="9" borderId="0" xfId="0" applyFill="1"/>
    <xf numFmtId="0" fontId="0" fillId="10" borderId="4" xfId="0" applyFill="1" applyBorder="1" applyAlignment="1">
      <alignment vertical="center" textRotation="255"/>
    </xf>
    <xf numFmtId="0" fontId="7" fillId="10" borderId="1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center" vertical="center" wrapText="1"/>
    </xf>
    <xf numFmtId="3" fontId="12" fillId="10" borderId="1" xfId="0" applyNumberFormat="1" applyFont="1" applyFill="1" applyBorder="1" applyAlignment="1">
      <alignment horizontal="center" vertical="center" wrapText="1"/>
    </xf>
    <xf numFmtId="3" fontId="2" fillId="10" borderId="1" xfId="0" applyNumberFormat="1" applyFont="1" applyFill="1" applyBorder="1" applyAlignment="1">
      <alignment horizontal="right" vertical="center" wrapText="1"/>
    </xf>
    <xf numFmtId="38" fontId="2" fillId="10" borderId="1" xfId="0" applyNumberFormat="1" applyFont="1" applyFill="1" applyBorder="1" applyAlignment="1">
      <alignment horizontal="right" vertical="center" wrapText="1"/>
    </xf>
    <xf numFmtId="0" fontId="0" fillId="10" borderId="0" xfId="0" applyFill="1"/>
    <xf numFmtId="0" fontId="0" fillId="11" borderId="4" xfId="0" applyFill="1" applyBorder="1" applyAlignment="1">
      <alignment vertical="center" textRotation="255"/>
    </xf>
    <xf numFmtId="0" fontId="5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horizontal="center" vertical="center" wrapText="1"/>
    </xf>
    <xf numFmtId="3" fontId="12" fillId="11" borderId="1" xfId="0" applyNumberFormat="1" applyFont="1" applyFill="1" applyBorder="1" applyAlignment="1">
      <alignment horizontal="center" vertical="center" wrapText="1"/>
    </xf>
    <xf numFmtId="3" fontId="2" fillId="11" borderId="1" xfId="0" applyNumberFormat="1" applyFont="1" applyFill="1" applyBorder="1" applyAlignment="1">
      <alignment horizontal="right" vertical="center" wrapText="1"/>
    </xf>
    <xf numFmtId="38" fontId="2" fillId="11" borderId="1" xfId="0" applyNumberFormat="1" applyFont="1" applyFill="1" applyBorder="1" applyAlignment="1">
      <alignment horizontal="right" vertical="center" wrapText="1"/>
    </xf>
    <xf numFmtId="0" fontId="0" fillId="11" borderId="0" xfId="0" applyFill="1"/>
    <xf numFmtId="0" fontId="5" fillId="6" borderId="1" xfId="0" applyFont="1" applyFill="1" applyBorder="1" applyAlignment="1">
      <alignment horizontal="center" vertical="center" wrapText="1"/>
    </xf>
    <xf numFmtId="0" fontId="0" fillId="12" borderId="4" xfId="0" applyFill="1" applyBorder="1" applyAlignment="1">
      <alignment vertical="center" textRotation="255"/>
    </xf>
    <xf numFmtId="0" fontId="5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vertical="center" wrapText="1"/>
    </xf>
    <xf numFmtId="0" fontId="7" fillId="12" borderId="1" xfId="0" applyFont="1" applyFill="1" applyBorder="1" applyAlignment="1">
      <alignment horizontal="center" vertical="center" wrapText="1"/>
    </xf>
    <xf numFmtId="3" fontId="12" fillId="12" borderId="1" xfId="0" applyNumberFormat="1" applyFont="1" applyFill="1" applyBorder="1" applyAlignment="1">
      <alignment horizontal="center" vertical="center" wrapText="1"/>
    </xf>
    <xf numFmtId="3" fontId="2" fillId="12" borderId="1" xfId="0" applyNumberFormat="1" applyFont="1" applyFill="1" applyBorder="1" applyAlignment="1">
      <alignment horizontal="right" vertical="center" wrapText="1"/>
    </xf>
    <xf numFmtId="38" fontId="2" fillId="12" borderId="1" xfId="0" applyNumberFormat="1" applyFont="1" applyFill="1" applyBorder="1" applyAlignment="1">
      <alignment horizontal="right" vertical="center" wrapText="1"/>
    </xf>
    <xf numFmtId="0" fontId="0" fillId="12" borderId="0" xfId="0" applyFill="1"/>
    <xf numFmtId="0" fontId="4" fillId="10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12" borderId="2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13" borderId="4" xfId="0" applyFill="1" applyBorder="1" applyAlignment="1">
      <alignment vertical="center" textRotation="255"/>
    </xf>
    <xf numFmtId="0" fontId="5" fillId="13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vertical="center" wrapText="1"/>
    </xf>
    <xf numFmtId="0" fontId="7" fillId="13" borderId="1" xfId="0" applyFont="1" applyFill="1" applyBorder="1" applyAlignment="1">
      <alignment horizontal="center" vertical="center" wrapText="1"/>
    </xf>
    <xf numFmtId="3" fontId="12" fillId="13" borderId="1" xfId="0" applyNumberFormat="1" applyFont="1" applyFill="1" applyBorder="1" applyAlignment="1">
      <alignment horizontal="center" vertical="center" wrapText="1"/>
    </xf>
    <xf numFmtId="3" fontId="2" fillId="13" borderId="1" xfId="0" applyNumberFormat="1" applyFont="1" applyFill="1" applyBorder="1" applyAlignment="1">
      <alignment horizontal="right" vertical="center" wrapText="1"/>
    </xf>
    <xf numFmtId="38" fontId="2" fillId="13" borderId="1" xfId="0" applyNumberFormat="1" applyFont="1" applyFill="1" applyBorder="1" applyAlignment="1">
      <alignment horizontal="right" vertical="center" wrapText="1"/>
    </xf>
    <xf numFmtId="0" fontId="0" fillId="13" borderId="0" xfId="0" applyFill="1"/>
    <xf numFmtId="0" fontId="0" fillId="14" borderId="2" xfId="0" applyFill="1" applyBorder="1" applyAlignment="1">
      <alignment vertical="center" textRotation="255"/>
    </xf>
    <xf numFmtId="0" fontId="4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vertical="center" wrapText="1"/>
    </xf>
    <xf numFmtId="0" fontId="7" fillId="14" borderId="1" xfId="0" applyFont="1" applyFill="1" applyBorder="1" applyAlignment="1">
      <alignment horizontal="center" vertical="center" wrapText="1"/>
    </xf>
    <xf numFmtId="3" fontId="12" fillId="14" borderId="1" xfId="0" applyNumberFormat="1" applyFont="1" applyFill="1" applyBorder="1" applyAlignment="1">
      <alignment horizontal="center" vertical="center" wrapText="1"/>
    </xf>
    <xf numFmtId="3" fontId="2" fillId="14" borderId="1" xfId="0" applyNumberFormat="1" applyFont="1" applyFill="1" applyBorder="1" applyAlignment="1">
      <alignment horizontal="right" vertical="center" wrapText="1"/>
    </xf>
    <xf numFmtId="38" fontId="2" fillId="14" borderId="1" xfId="0" applyNumberFormat="1" applyFont="1" applyFill="1" applyBorder="1" applyAlignment="1">
      <alignment horizontal="right" vertical="center" wrapText="1"/>
    </xf>
    <xf numFmtId="3" fontId="5" fillId="14" borderId="1" xfId="0" applyNumberFormat="1" applyFont="1" applyFill="1" applyBorder="1" applyAlignment="1">
      <alignment horizontal="right" vertical="center" wrapText="1"/>
    </xf>
    <xf numFmtId="0" fontId="0" fillId="14" borderId="0" xfId="0" applyFill="1"/>
    <xf numFmtId="0" fontId="0" fillId="14" borderId="4" xfId="0" applyFill="1" applyBorder="1" applyAlignment="1">
      <alignment vertical="center" textRotation="255"/>
    </xf>
    <xf numFmtId="0" fontId="5" fillId="14" borderId="1" xfId="0" applyFont="1" applyFill="1" applyBorder="1" applyAlignment="1">
      <alignment horizontal="center" vertical="center" wrapText="1"/>
    </xf>
    <xf numFmtId="3" fontId="2" fillId="14" borderId="1" xfId="1" applyNumberFormat="1" applyFont="1" applyFill="1" applyBorder="1" applyAlignment="1">
      <alignment vertical="center"/>
    </xf>
    <xf numFmtId="0" fontId="7" fillId="14" borderId="1" xfId="0" applyFont="1" applyFill="1" applyBorder="1" applyAlignment="1">
      <alignment horizontal="left" vertical="center" wrapText="1"/>
    </xf>
    <xf numFmtId="0" fontId="0" fillId="14" borderId="4" xfId="0" applyFill="1" applyBorder="1" applyAlignment="1">
      <alignment horizontal="center" vertical="center" textRotation="255"/>
    </xf>
    <xf numFmtId="0" fontId="5" fillId="14" borderId="5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vertical="center" wrapText="1"/>
    </xf>
    <xf numFmtId="0" fontId="7" fillId="14" borderId="5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vertical="center" wrapText="1"/>
    </xf>
    <xf numFmtId="0" fontId="7" fillId="15" borderId="1" xfId="0" applyFont="1" applyFill="1" applyBorder="1" applyAlignment="1">
      <alignment horizontal="center" vertical="center" wrapText="1"/>
    </xf>
    <xf numFmtId="3" fontId="12" fillId="15" borderId="1" xfId="0" applyNumberFormat="1" applyFont="1" applyFill="1" applyBorder="1" applyAlignment="1">
      <alignment horizontal="center" vertical="center" wrapText="1"/>
    </xf>
    <xf numFmtId="3" fontId="2" fillId="15" borderId="1" xfId="0" applyNumberFormat="1" applyFont="1" applyFill="1" applyBorder="1" applyAlignment="1">
      <alignment horizontal="right" vertical="center" wrapText="1"/>
    </xf>
    <xf numFmtId="38" fontId="2" fillId="15" borderId="1" xfId="0" applyNumberFormat="1" applyFont="1" applyFill="1" applyBorder="1" applyAlignment="1">
      <alignment horizontal="right" vertical="center" wrapText="1"/>
    </xf>
    <xf numFmtId="0" fontId="0" fillId="15" borderId="0" xfId="0" applyFill="1"/>
    <xf numFmtId="3" fontId="5" fillId="15" borderId="1" xfId="0" applyNumberFormat="1" applyFont="1" applyFill="1" applyBorder="1" applyAlignment="1">
      <alignment horizontal="right" vertical="center" wrapText="1"/>
    </xf>
    <xf numFmtId="38" fontId="2" fillId="15" borderId="5" xfId="0" applyNumberFormat="1" applyFont="1" applyFill="1" applyBorder="1" applyAlignment="1">
      <alignment horizontal="right" vertical="center" wrapText="1"/>
    </xf>
    <xf numFmtId="3" fontId="2" fillId="15" borderId="5" xfId="0" applyNumberFormat="1" applyFont="1" applyFill="1" applyBorder="1" applyAlignment="1">
      <alignment horizontal="right" vertical="center" wrapText="1"/>
    </xf>
    <xf numFmtId="0" fontId="5" fillId="10" borderId="1" xfId="0" applyFont="1" applyFill="1" applyBorder="1" applyAlignment="1">
      <alignment horizontal="center" vertical="center" wrapText="1"/>
    </xf>
    <xf numFmtId="3" fontId="5" fillId="10" borderId="1" xfId="0" applyNumberFormat="1" applyFont="1" applyFill="1" applyBorder="1" applyAlignment="1">
      <alignment horizontal="right" vertical="center" wrapText="1"/>
    </xf>
    <xf numFmtId="3" fontId="2" fillId="10" borderId="5" xfId="0" applyNumberFormat="1" applyFont="1" applyFill="1" applyBorder="1" applyAlignment="1">
      <alignment horizontal="right" vertical="center" wrapText="1"/>
    </xf>
    <xf numFmtId="0" fontId="7" fillId="10" borderId="2" xfId="0" applyFont="1" applyFill="1" applyBorder="1" applyAlignment="1">
      <alignment vertical="center" wrapText="1"/>
    </xf>
    <xf numFmtId="0" fontId="7" fillId="10" borderId="2" xfId="0" applyFont="1" applyFill="1" applyBorder="1" applyAlignment="1">
      <alignment horizontal="left" vertical="center" wrapText="1"/>
    </xf>
    <xf numFmtId="3" fontId="5" fillId="10" borderId="5" xfId="0" applyNumberFormat="1" applyFont="1" applyFill="1" applyBorder="1" applyAlignment="1">
      <alignment horizontal="right" vertical="center" wrapText="1"/>
    </xf>
    <xf numFmtId="0" fontId="0" fillId="10" borderId="1" xfId="0" applyFill="1" applyBorder="1"/>
    <xf numFmtId="0" fontId="4" fillId="10" borderId="2" xfId="0" applyFont="1" applyFill="1" applyBorder="1" applyAlignment="1">
      <alignment horizontal="center" vertical="center" wrapText="1"/>
    </xf>
    <xf numFmtId="3" fontId="2" fillId="10" borderId="1" xfId="1" applyNumberFormat="1" applyFont="1" applyFill="1" applyBorder="1" applyAlignment="1">
      <alignment vertical="center"/>
    </xf>
    <xf numFmtId="0" fontId="7" fillId="10" borderId="9" xfId="0" applyFont="1" applyFill="1" applyBorder="1" applyAlignment="1">
      <alignment vertical="center" wrapText="1"/>
    </xf>
    <xf numFmtId="3" fontId="2" fillId="10" borderId="2" xfId="0" applyNumberFormat="1" applyFont="1" applyFill="1" applyBorder="1" applyAlignment="1">
      <alignment horizontal="right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vertical="center" wrapText="1"/>
    </xf>
    <xf numFmtId="0" fontId="12" fillId="16" borderId="1" xfId="0" applyFont="1" applyFill="1" applyBorder="1" applyAlignment="1">
      <alignment horizontal="center" vertical="center" wrapText="1"/>
    </xf>
    <xf numFmtId="3" fontId="12" fillId="16" borderId="1" xfId="0" applyNumberFormat="1" applyFont="1" applyFill="1" applyBorder="1" applyAlignment="1">
      <alignment horizontal="center" vertical="center" wrapText="1"/>
    </xf>
    <xf numFmtId="3" fontId="2" fillId="16" borderId="1" xfId="0" applyNumberFormat="1" applyFont="1" applyFill="1" applyBorder="1" applyAlignment="1">
      <alignment horizontal="right" vertical="center" wrapText="1"/>
    </xf>
    <xf numFmtId="38" fontId="2" fillId="16" borderId="1" xfId="0" applyNumberFormat="1" applyFont="1" applyFill="1" applyBorder="1" applyAlignment="1">
      <alignment horizontal="right" vertical="center" wrapText="1"/>
    </xf>
    <xf numFmtId="0" fontId="0" fillId="16" borderId="1" xfId="0" applyFill="1" applyBorder="1"/>
    <xf numFmtId="0" fontId="0" fillId="16" borderId="0" xfId="0" applyFill="1"/>
    <xf numFmtId="0" fontId="7" fillId="16" borderId="2" xfId="0" applyFont="1" applyFill="1" applyBorder="1" applyAlignment="1">
      <alignment vertical="center" wrapText="1"/>
    </xf>
    <xf numFmtId="3" fontId="5" fillId="16" borderId="1" xfId="0" applyNumberFormat="1" applyFont="1" applyFill="1" applyBorder="1" applyAlignment="1">
      <alignment horizontal="right" vertical="center" wrapText="1"/>
    </xf>
    <xf numFmtId="0" fontId="0" fillId="16" borderId="4" xfId="0" applyFill="1" applyBorder="1" applyAlignment="1">
      <alignment horizontal="center" vertical="center" textRotation="255"/>
    </xf>
    <xf numFmtId="0" fontId="11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255"/>
    </xf>
    <xf numFmtId="0" fontId="7" fillId="0" borderId="2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textRotation="255"/>
    </xf>
    <xf numFmtId="0" fontId="0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5" xfId="0" applyFont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textRotation="255"/>
    </xf>
    <xf numFmtId="0" fontId="0" fillId="2" borderId="4" xfId="0" applyFill="1" applyBorder="1" applyAlignment="1">
      <alignment horizontal="center" vertical="center" textRotation="255"/>
    </xf>
    <xf numFmtId="0" fontId="0" fillId="2" borderId="5" xfId="0" applyFill="1" applyBorder="1" applyAlignment="1">
      <alignment horizontal="center" vertical="center" textRotation="255"/>
    </xf>
    <xf numFmtId="0" fontId="7" fillId="0" borderId="15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0" borderId="4" xfId="0" applyBorder="1" applyAlignment="1">
      <alignment horizontal="center" vertical="center" textRotation="255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3" borderId="8" xfId="0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</cellXfs>
  <cellStyles count="11">
    <cellStyle name="Millares [0] 2" xfId="6"/>
    <cellStyle name="Millares 2" xfId="5"/>
    <cellStyle name="Millares 3" xfId="9"/>
    <cellStyle name="Moneda [0] 2" xfId="4"/>
    <cellStyle name="Moneda [0] 3" xfId="8"/>
    <cellStyle name="Normal" xfId="0" builtinId="0"/>
    <cellStyle name="Normal 2" xfId="3"/>
    <cellStyle name="Normal 2 2" xfId="1"/>
    <cellStyle name="Normal 2 2 2" xfId="2"/>
    <cellStyle name="Normal 3" xfId="7"/>
    <cellStyle name="Normal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LANEACI&#211;N%20USCO\AJUSTES%20PDI\CONSEJO%20SUPERIOR\AJUSTES%20PDI%20SF%202020%202024%20CONSEJO%20SUPER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LANEACI&#211;N%20USCO\AJUSTES%20PDI\CONSEJO%20SUPERIOR\AJUSTES%20PDI%20SI%202020%202024%20CONSEJO%20SUPERIO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LANEACI&#211;N%20USCO\2020\PLAN%20OPERATIVO%20ANUAL%20DE%20INVERSI&#211;N%202020%20con%20ajustes%20PD.I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LANEACI&#211;N%20USCO\AJUSTES%20PDI\CONSEJO%20SUPERIOR\AJUSTES%20PDI%20SP%202020%202024%20CONSEJO%20SUPERIO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LANEACI&#211;N%20USCO\AJUSTES%20PDI\CONSEJO%20SUPERIOR\AJUSTES%20PDI%20SB%202020%202024%20%20CONSEJO%20SUPERIO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LANEACI&#211;N%20USCO\AJUSTES%20PDI\CONSEJO%20SUPERIOR\AJUSTES%20PDI%20SA%202020%202024%20CONSEJO%20SUPER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"/>
      <sheetName val="COSTOS 2020 2024"/>
      <sheetName val="Hoja1"/>
    </sheetNames>
    <sheetDataSet>
      <sheetData sheetId="0">
        <row r="5">
          <cell r="F5">
            <v>100000000</v>
          </cell>
        </row>
        <row r="6">
          <cell r="F6">
            <v>40000000</v>
          </cell>
        </row>
        <row r="12">
          <cell r="F12">
            <v>15000000</v>
          </cell>
        </row>
        <row r="13">
          <cell r="F13">
            <v>20000000</v>
          </cell>
        </row>
        <row r="14">
          <cell r="F14">
            <v>346400000</v>
          </cell>
        </row>
        <row r="15">
          <cell r="F15">
            <v>225000000</v>
          </cell>
        </row>
        <row r="22">
          <cell r="F22">
            <v>15000000</v>
          </cell>
        </row>
        <row r="23">
          <cell r="F23">
            <v>1166707400.67272</v>
          </cell>
        </row>
        <row r="24">
          <cell r="F24">
            <v>90000000</v>
          </cell>
        </row>
        <row r="25">
          <cell r="F25">
            <v>628000000</v>
          </cell>
        </row>
        <row r="26">
          <cell r="F26">
            <v>80000000</v>
          </cell>
        </row>
        <row r="32">
          <cell r="F32">
            <v>150000000</v>
          </cell>
        </row>
        <row r="33">
          <cell r="F33">
            <v>51000000</v>
          </cell>
        </row>
        <row r="34">
          <cell r="F34">
            <v>100000000</v>
          </cell>
        </row>
        <row r="40">
          <cell r="F40">
            <v>20000000</v>
          </cell>
        </row>
        <row r="46">
          <cell r="F46">
            <v>20000000</v>
          </cell>
        </row>
        <row r="47">
          <cell r="F47">
            <v>150000000</v>
          </cell>
        </row>
        <row r="48">
          <cell r="F48">
            <v>100000000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"/>
      <sheetName val="SI COSTOS 2020 2024"/>
      <sheetName val="JUSTIFICACION"/>
      <sheetName val="PROYECTO"/>
    </sheetNames>
    <sheetDataSet>
      <sheetData sheetId="0">
        <row r="5">
          <cell r="F5">
            <v>140000000</v>
          </cell>
        </row>
        <row r="7">
          <cell r="F7">
            <v>36000000</v>
          </cell>
        </row>
        <row r="13">
          <cell r="F13">
            <v>215800000</v>
          </cell>
        </row>
        <row r="14">
          <cell r="F14">
            <v>41500000</v>
          </cell>
        </row>
        <row r="15">
          <cell r="F15">
            <v>996000000</v>
          </cell>
        </row>
        <row r="16">
          <cell r="F16">
            <v>597600000</v>
          </cell>
        </row>
        <row r="17">
          <cell r="F17">
            <v>500000000</v>
          </cell>
        </row>
        <row r="18">
          <cell r="F18">
            <v>300000000</v>
          </cell>
        </row>
        <row r="19">
          <cell r="F19">
            <v>327960000</v>
          </cell>
        </row>
        <row r="25">
          <cell r="F25">
            <v>168000000</v>
          </cell>
        </row>
        <row r="26">
          <cell r="F26">
            <v>212500000</v>
          </cell>
        </row>
        <row r="27">
          <cell r="F27">
            <v>14000000</v>
          </cell>
        </row>
        <row r="28">
          <cell r="F28">
            <v>210000000</v>
          </cell>
        </row>
        <row r="29">
          <cell r="F29">
            <v>500000000</v>
          </cell>
        </row>
        <row r="30">
          <cell r="F30">
            <v>292500000</v>
          </cell>
        </row>
        <row r="31">
          <cell r="F31">
            <v>60000000</v>
          </cell>
        </row>
        <row r="32">
          <cell r="F32">
            <v>36000000</v>
          </cell>
        </row>
        <row r="33">
          <cell r="F33">
            <v>110500000</v>
          </cell>
        </row>
        <row r="34">
          <cell r="F34">
            <v>62000000</v>
          </cell>
        </row>
        <row r="36">
          <cell r="F36">
            <v>324000000</v>
          </cell>
        </row>
        <row r="37">
          <cell r="F37">
            <v>600000000</v>
          </cell>
        </row>
        <row r="43">
          <cell r="F43">
            <v>56000000</v>
          </cell>
        </row>
        <row r="44">
          <cell r="F44">
            <v>50000000</v>
          </cell>
        </row>
        <row r="50">
          <cell r="F50">
            <v>2200000000</v>
          </cell>
        </row>
        <row r="56">
          <cell r="F56">
            <v>198000000</v>
          </cell>
        </row>
        <row r="57">
          <cell r="F57">
            <v>100000000</v>
          </cell>
        </row>
        <row r="58">
          <cell r="F58">
            <v>197242000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"/>
      <sheetName val="PLAN OPERATIVO 2020- 9 dic -EXC"/>
      <sheetName val="PLAN OPERATIVO 2020 ajustes PDI"/>
    </sheetNames>
    <sheetDataSet>
      <sheetData sheetId="0" refreshError="1"/>
      <sheetData sheetId="1" refreshError="1"/>
      <sheetData sheetId="2" refreshError="1">
        <row r="14">
          <cell r="S14">
            <v>65574140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"/>
      <sheetName val="COSTOS 2020 2024"/>
      <sheetName val="Hoja1"/>
    </sheetNames>
    <sheetDataSet>
      <sheetData sheetId="0">
        <row r="5">
          <cell r="F5">
            <v>30000000</v>
          </cell>
        </row>
        <row r="6">
          <cell r="F6">
            <v>70000000</v>
          </cell>
        </row>
        <row r="7">
          <cell r="F7">
            <v>40000000</v>
          </cell>
        </row>
        <row r="8">
          <cell r="F8">
            <v>329420000</v>
          </cell>
        </row>
        <row r="14">
          <cell r="F14">
            <v>381000000</v>
          </cell>
        </row>
        <row r="17">
          <cell r="F17">
            <v>25000000</v>
          </cell>
        </row>
        <row r="18">
          <cell r="F18">
            <v>144500000</v>
          </cell>
        </row>
        <row r="21">
          <cell r="F21">
            <v>0</v>
          </cell>
        </row>
        <row r="22">
          <cell r="F22">
            <v>57321000</v>
          </cell>
        </row>
        <row r="23">
          <cell r="F23">
            <v>36144000</v>
          </cell>
        </row>
        <row r="24">
          <cell r="F24">
            <v>85000000</v>
          </cell>
        </row>
        <row r="29">
          <cell r="F29">
            <v>168000000</v>
          </cell>
        </row>
        <row r="31">
          <cell r="F31">
            <v>76000000</v>
          </cell>
        </row>
        <row r="40">
          <cell r="F40">
            <v>750000000</v>
          </cell>
        </row>
        <row r="41">
          <cell r="F41">
            <v>300000000</v>
          </cell>
        </row>
        <row r="42">
          <cell r="F42">
            <v>200000000</v>
          </cell>
        </row>
        <row r="43">
          <cell r="F43">
            <v>350000000</v>
          </cell>
        </row>
        <row r="45">
          <cell r="F45">
            <v>285000000</v>
          </cell>
        </row>
        <row r="47">
          <cell r="F47">
            <v>253000000</v>
          </cell>
        </row>
        <row r="49">
          <cell r="F49">
            <v>420000000</v>
          </cell>
        </row>
        <row r="51">
          <cell r="F51">
            <v>1530000000</v>
          </cell>
        </row>
        <row r="53">
          <cell r="F53">
            <v>200000000</v>
          </cell>
        </row>
        <row r="59">
          <cell r="F59">
            <v>154600000</v>
          </cell>
        </row>
        <row r="62">
          <cell r="F62">
            <v>148300000</v>
          </cell>
        </row>
        <row r="63">
          <cell r="F63">
            <v>90200000</v>
          </cell>
        </row>
        <row r="64">
          <cell r="F64">
            <v>167900000</v>
          </cell>
        </row>
        <row r="71">
          <cell r="F71">
            <v>130000000</v>
          </cell>
        </row>
        <row r="72">
          <cell r="F72">
            <v>10000000</v>
          </cell>
        </row>
        <row r="73">
          <cell r="F73">
            <v>8000000</v>
          </cell>
        </row>
        <row r="74">
          <cell r="F74">
            <v>25000000</v>
          </cell>
        </row>
        <row r="80">
          <cell r="F80">
            <v>173643500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 2020 2024"/>
      <sheetName val="COSTOS PDI 2020 2024"/>
      <sheetName val="ACCION"/>
      <sheetName val="Hoja1"/>
      <sheetName val="JUSTIFICACION"/>
      <sheetName val="PROYECTO"/>
      <sheetName val="SBIENESTAR 2020 2024"/>
      <sheetName val="Hoja2"/>
    </sheetNames>
    <sheetDataSet>
      <sheetData sheetId="0" refreshError="1">
        <row r="5">
          <cell r="F5">
            <v>120000000</v>
          </cell>
        </row>
        <row r="6">
          <cell r="F6">
            <v>85000000</v>
          </cell>
        </row>
        <row r="7">
          <cell r="F7">
            <v>100000000</v>
          </cell>
        </row>
        <row r="8">
          <cell r="F8">
            <v>20000000</v>
          </cell>
        </row>
        <row r="11">
          <cell r="F11">
            <v>17000000</v>
          </cell>
        </row>
        <row r="14">
          <cell r="F14">
            <v>41000000</v>
          </cell>
        </row>
        <row r="17">
          <cell r="F17">
            <v>141000000</v>
          </cell>
        </row>
        <row r="25">
          <cell r="F25">
            <v>97200000</v>
          </cell>
        </row>
        <row r="27">
          <cell r="F27">
            <v>421000000</v>
          </cell>
        </row>
        <row r="28">
          <cell r="F28">
            <v>130000000</v>
          </cell>
        </row>
        <row r="35">
          <cell r="F35">
            <v>205624500</v>
          </cell>
        </row>
        <row r="37">
          <cell r="F37">
            <v>411249000</v>
          </cell>
        </row>
        <row r="43">
          <cell r="F43">
            <v>70000000</v>
          </cell>
        </row>
        <row r="45">
          <cell r="F45">
            <v>96000000</v>
          </cell>
        </row>
        <row r="46">
          <cell r="F46">
            <v>20000000</v>
          </cell>
        </row>
        <row r="52">
          <cell r="F52">
            <v>65000000</v>
          </cell>
        </row>
        <row r="53">
          <cell r="F53">
            <v>1662500000</v>
          </cell>
        </row>
        <row r="55">
          <cell r="F55">
            <v>780000000</v>
          </cell>
        </row>
        <row r="56">
          <cell r="F56">
            <v>200000000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DMTIVO"/>
      <sheetName val="SADMTIVO 2020 2024"/>
      <sheetName val="SADMTIVO PROPUESTA 2020 202 (2"/>
      <sheetName val="SADMTIVO PROPUESTA 2020 2024"/>
      <sheetName val="SA 2020 2024"/>
      <sheetName val="COSTOS PDI 2020 2024"/>
      <sheetName val="PLAN ACCIÓN VICEADM"/>
      <sheetName val="PLAN DE ACCIÓN 2020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F5">
            <v>11100000000</v>
          </cell>
        </row>
        <row r="6">
          <cell r="F6">
            <v>0</v>
          </cell>
        </row>
        <row r="7">
          <cell r="F7">
            <v>50000000</v>
          </cell>
        </row>
        <row r="8">
          <cell r="F8">
            <v>600040000</v>
          </cell>
        </row>
        <row r="9">
          <cell r="F9">
            <v>300000000</v>
          </cell>
        </row>
        <row r="15">
          <cell r="F15">
            <v>1200000000</v>
          </cell>
        </row>
        <row r="16">
          <cell r="F16">
            <v>600000000</v>
          </cell>
        </row>
        <row r="17">
          <cell r="F17">
            <v>300000000</v>
          </cell>
        </row>
        <row r="18">
          <cell r="F18">
            <v>1250000000</v>
          </cell>
        </row>
        <row r="19">
          <cell r="F19">
            <v>255000000</v>
          </cell>
        </row>
        <row r="20">
          <cell r="F20">
            <v>270000000</v>
          </cell>
        </row>
        <row r="21">
          <cell r="F21">
            <v>759000000</v>
          </cell>
        </row>
        <row r="22">
          <cell r="F22">
            <v>100000000</v>
          </cell>
        </row>
        <row r="23">
          <cell r="F23">
            <v>504000000</v>
          </cell>
        </row>
        <row r="24">
          <cell r="F24">
            <v>252000000</v>
          </cell>
        </row>
        <row r="25">
          <cell r="F25">
            <v>246000000</v>
          </cell>
        </row>
        <row r="26">
          <cell r="F26">
            <v>600000000</v>
          </cell>
        </row>
        <row r="32">
          <cell r="F32">
            <v>815000000</v>
          </cell>
        </row>
        <row r="33">
          <cell r="F33">
            <v>200000000</v>
          </cell>
        </row>
        <row r="34">
          <cell r="F34">
            <v>281000000</v>
          </cell>
        </row>
        <row r="35">
          <cell r="F35">
            <v>470000000</v>
          </cell>
        </row>
        <row r="36">
          <cell r="F36">
            <v>500000000</v>
          </cell>
        </row>
        <row r="42">
          <cell r="F42">
            <v>220000000</v>
          </cell>
        </row>
        <row r="43">
          <cell r="F43">
            <v>150000000</v>
          </cell>
        </row>
        <row r="44">
          <cell r="F44">
            <v>280000000</v>
          </cell>
        </row>
        <row r="45">
          <cell r="F45">
            <v>200000000</v>
          </cell>
        </row>
        <row r="46">
          <cell r="F46">
            <v>200000000</v>
          </cell>
        </row>
        <row r="47">
          <cell r="F47">
            <v>200000000</v>
          </cell>
        </row>
        <row r="48">
          <cell r="F48">
            <v>200000000</v>
          </cell>
        </row>
        <row r="54">
          <cell r="F54">
            <v>180000000</v>
          </cell>
        </row>
        <row r="55">
          <cell r="F55">
            <v>80000000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41"/>
  <sheetViews>
    <sheetView showGridLines="0" tabSelected="1" topLeftCell="Y1" zoomScaleNormal="100" zoomScalePageLayoutView="50" workbookViewId="0">
      <pane ySplit="5" topLeftCell="A123" activePane="bottomLeft" state="frozen"/>
      <selection activeCell="B5" sqref="B5"/>
      <selection pane="bottomLeft" activeCell="AJ128" sqref="AJ128"/>
    </sheetView>
  </sheetViews>
  <sheetFormatPr baseColWidth="10" defaultRowHeight="15" x14ac:dyDescent="0.25"/>
  <cols>
    <col min="1" max="1" width="7.42578125" hidden="1" customWidth="1"/>
    <col min="2" max="2" width="21" hidden="1" customWidth="1"/>
    <col min="3" max="3" width="9" customWidth="1"/>
    <col min="4" max="4" width="41.140625" customWidth="1"/>
    <col min="5" max="5" width="6.42578125" customWidth="1"/>
    <col min="6" max="6" width="14.7109375" customWidth="1"/>
    <col min="7" max="7" width="13.42578125" customWidth="1"/>
    <col min="8" max="8" width="16.5703125" customWidth="1"/>
    <col min="9" max="9" width="16" customWidth="1"/>
    <col min="10" max="10" width="12.42578125" customWidth="1"/>
    <col min="11" max="11" width="12.5703125" customWidth="1"/>
    <col min="12" max="12" width="12" customWidth="1"/>
    <col min="13" max="13" width="12.7109375" customWidth="1"/>
    <col min="14" max="14" width="14.42578125" customWidth="1"/>
    <col min="15" max="16" width="12.28515625" customWidth="1"/>
    <col min="17" max="17" width="13.140625" customWidth="1"/>
    <col min="18" max="18" width="11.140625" customWidth="1"/>
    <col min="19" max="19" width="10.85546875" customWidth="1"/>
    <col min="20" max="20" width="11.42578125" customWidth="1"/>
    <col min="21" max="21" width="12" customWidth="1"/>
    <col min="22" max="23" width="11.140625" customWidth="1"/>
    <col min="24" max="24" width="11.7109375" customWidth="1"/>
    <col min="25" max="25" width="12.5703125" customWidth="1"/>
    <col min="26" max="26" width="13.140625" customWidth="1"/>
    <col min="27" max="27" width="12.7109375" customWidth="1"/>
    <col min="28" max="28" width="12.42578125" customWidth="1"/>
    <col min="29" max="29" width="12.7109375" customWidth="1"/>
    <col min="30" max="30" width="11.42578125" customWidth="1"/>
    <col min="31" max="31" width="12.42578125" customWidth="1"/>
    <col min="32" max="32" width="12.7109375" customWidth="1"/>
    <col min="33" max="33" width="14.28515625" customWidth="1"/>
    <col min="34" max="34" width="17" customWidth="1"/>
    <col min="35" max="35" width="11.42578125" customWidth="1"/>
    <col min="36" max="36" width="12.28515625" bestFit="1" customWidth="1"/>
    <col min="37" max="38" width="11.42578125" customWidth="1"/>
    <col min="39" max="39" width="13.28515625" bestFit="1" customWidth="1"/>
    <col min="40" max="59" width="11.42578125" customWidth="1"/>
  </cols>
  <sheetData>
    <row r="1" spans="1:39" ht="15.75" hidden="1" x14ac:dyDescent="0.25">
      <c r="B1" s="41"/>
      <c r="C1" s="204" t="s">
        <v>310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</row>
    <row r="2" spans="1:39" ht="18" hidden="1" customHeight="1" x14ac:dyDescent="0.25">
      <c r="B2" s="42"/>
      <c r="C2" s="205" t="s">
        <v>314</v>
      </c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</row>
    <row r="3" spans="1:39" ht="15" hidden="1" customHeight="1" x14ac:dyDescent="0.25">
      <c r="B3" s="40"/>
      <c r="C3" s="205" t="s">
        <v>311</v>
      </c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</row>
    <row r="4" spans="1:39" ht="15" customHeight="1" x14ac:dyDescent="0.25">
      <c r="A4" s="173" t="s">
        <v>81</v>
      </c>
      <c r="B4" s="173" t="s">
        <v>5</v>
      </c>
      <c r="C4" s="173" t="s">
        <v>82</v>
      </c>
      <c r="D4" s="173" t="s">
        <v>83</v>
      </c>
      <c r="E4" s="174" t="s">
        <v>84</v>
      </c>
      <c r="F4" s="173" t="s">
        <v>85</v>
      </c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</row>
    <row r="5" spans="1:39" s="1" customFormat="1" ht="36" customHeight="1" x14ac:dyDescent="0.2">
      <c r="A5" s="173"/>
      <c r="B5" s="173"/>
      <c r="C5" s="173"/>
      <c r="D5" s="173"/>
      <c r="E5" s="174"/>
      <c r="F5" s="173"/>
      <c r="G5" s="43" t="s">
        <v>309</v>
      </c>
      <c r="H5" s="44" t="s">
        <v>318</v>
      </c>
      <c r="I5" s="44" t="s">
        <v>319</v>
      </c>
      <c r="J5" s="39" t="s">
        <v>86</v>
      </c>
      <c r="K5" s="39" t="s">
        <v>87</v>
      </c>
      <c r="L5" s="39" t="s">
        <v>88</v>
      </c>
      <c r="M5" s="39" t="s">
        <v>89</v>
      </c>
      <c r="N5" s="39" t="s">
        <v>90</v>
      </c>
      <c r="O5" s="39" t="s">
        <v>91</v>
      </c>
      <c r="P5" s="39" t="s">
        <v>92</v>
      </c>
      <c r="Q5" s="39" t="s">
        <v>93</v>
      </c>
      <c r="R5" s="39" t="s">
        <v>94</v>
      </c>
      <c r="S5" s="39" t="s">
        <v>95</v>
      </c>
      <c r="T5" s="39" t="s">
        <v>96</v>
      </c>
      <c r="U5" s="39" t="s">
        <v>97</v>
      </c>
      <c r="V5" s="39" t="s">
        <v>98</v>
      </c>
      <c r="W5" s="39" t="s">
        <v>99</v>
      </c>
      <c r="X5" s="39" t="s">
        <v>3</v>
      </c>
      <c r="Y5" s="39" t="s">
        <v>0</v>
      </c>
      <c r="Z5" s="39" t="s">
        <v>1</v>
      </c>
      <c r="AA5" s="39" t="s">
        <v>4</v>
      </c>
      <c r="AB5" s="39" t="s">
        <v>100</v>
      </c>
      <c r="AC5" s="39" t="s">
        <v>101</v>
      </c>
      <c r="AD5" s="39" t="s">
        <v>2</v>
      </c>
      <c r="AE5" s="39" t="s">
        <v>102</v>
      </c>
      <c r="AF5" s="39" t="s">
        <v>103</v>
      </c>
      <c r="AG5" s="52" t="s">
        <v>359</v>
      </c>
      <c r="AH5" s="52" t="s">
        <v>360</v>
      </c>
      <c r="AI5" s="52" t="s">
        <v>361</v>
      </c>
      <c r="AJ5" s="52" t="s">
        <v>362</v>
      </c>
      <c r="AK5" s="52" t="s">
        <v>363</v>
      </c>
      <c r="AL5" s="52" t="s">
        <v>364</v>
      </c>
      <c r="AM5" s="52" t="s">
        <v>365</v>
      </c>
    </row>
    <row r="6" spans="1:39" s="60" customFormat="1" ht="46.9" customHeight="1" x14ac:dyDescent="0.25">
      <c r="A6" s="178" t="s">
        <v>104</v>
      </c>
      <c r="B6" s="179" t="s">
        <v>193</v>
      </c>
      <c r="C6" s="54" t="s">
        <v>105</v>
      </c>
      <c r="D6" s="55" t="s">
        <v>316</v>
      </c>
      <c r="E6" s="56">
        <v>510</v>
      </c>
      <c r="F6" s="57" t="s">
        <v>321</v>
      </c>
      <c r="G6" s="58">
        <f>SUM(J6:AF6)</f>
        <v>65000000</v>
      </c>
      <c r="H6" s="59">
        <f>+[1]SF!$F5</f>
        <v>100000000</v>
      </c>
      <c r="I6" s="59">
        <f>+H6-G6</f>
        <v>35000000</v>
      </c>
      <c r="J6" s="58"/>
      <c r="K6" s="58">
        <v>25000000</v>
      </c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>
        <f>SUM(AG6:AM6)</f>
        <v>40000000</v>
      </c>
      <c r="AG6" s="58"/>
      <c r="AH6" s="58"/>
      <c r="AI6" s="58">
        <v>30000000</v>
      </c>
      <c r="AJ6" s="58">
        <v>10000000</v>
      </c>
      <c r="AK6" s="58"/>
      <c r="AL6" s="58"/>
      <c r="AM6" s="58"/>
    </row>
    <row r="7" spans="1:39" s="60" customFormat="1" ht="33.6" customHeight="1" x14ac:dyDescent="0.25">
      <c r="A7" s="175"/>
      <c r="B7" s="180"/>
      <c r="C7" s="54" t="s">
        <v>106</v>
      </c>
      <c r="D7" s="55" t="s">
        <v>192</v>
      </c>
      <c r="E7" s="56">
        <v>510</v>
      </c>
      <c r="F7" s="57" t="s">
        <v>320</v>
      </c>
      <c r="G7" s="58">
        <f t="shared" ref="G7:G70" si="0">SUM(J7:AF7)</f>
        <v>25000000</v>
      </c>
      <c r="H7" s="59">
        <f>+[1]SF!$F6</f>
        <v>40000000</v>
      </c>
      <c r="I7" s="59">
        <f t="shared" ref="I7:I23" si="1">+H7-G7</f>
        <v>15000000</v>
      </c>
      <c r="J7" s="58"/>
      <c r="K7" s="61">
        <v>25000000</v>
      </c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>
        <f t="shared" ref="AF7:AF8" si="2">SUM(AG7:AM7)</f>
        <v>0</v>
      </c>
      <c r="AG7" s="58"/>
      <c r="AH7" s="58"/>
      <c r="AI7" s="58"/>
      <c r="AJ7" s="58"/>
      <c r="AK7" s="58"/>
      <c r="AL7" s="58"/>
      <c r="AM7" s="58"/>
    </row>
    <row r="8" spans="1:39" s="60" customFormat="1" ht="50.45" customHeight="1" x14ac:dyDescent="0.25">
      <c r="A8" s="62"/>
      <c r="B8" s="181" t="s">
        <v>6</v>
      </c>
      <c r="C8" s="54" t="s">
        <v>108</v>
      </c>
      <c r="D8" s="55" t="s">
        <v>45</v>
      </c>
      <c r="E8" s="56">
        <v>510</v>
      </c>
      <c r="F8" s="57" t="s">
        <v>322</v>
      </c>
      <c r="G8" s="58">
        <f t="shared" si="0"/>
        <v>10083517</v>
      </c>
      <c r="H8" s="59">
        <f>+[1]SF!$F12</f>
        <v>15000000</v>
      </c>
      <c r="I8" s="59">
        <f t="shared" si="1"/>
        <v>4916483</v>
      </c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>
        <f t="shared" si="2"/>
        <v>10083517</v>
      </c>
      <c r="AG8" s="58"/>
      <c r="AH8" s="58"/>
      <c r="AI8" s="58">
        <v>3000000</v>
      </c>
      <c r="AJ8" s="58">
        <v>5083517</v>
      </c>
      <c r="AK8" s="58"/>
      <c r="AL8" s="58"/>
      <c r="AM8" s="58">
        <v>2000000</v>
      </c>
    </row>
    <row r="9" spans="1:39" s="60" customFormat="1" ht="40.15" customHeight="1" x14ac:dyDescent="0.25">
      <c r="A9" s="62"/>
      <c r="B9" s="181"/>
      <c r="C9" s="54" t="s">
        <v>109</v>
      </c>
      <c r="D9" s="63" t="s">
        <v>194</v>
      </c>
      <c r="E9" s="56">
        <v>510</v>
      </c>
      <c r="F9" s="57" t="s">
        <v>323</v>
      </c>
      <c r="G9" s="58">
        <f t="shared" si="0"/>
        <v>20000000</v>
      </c>
      <c r="H9" s="59">
        <f>+[1]SF!$F13</f>
        <v>20000000</v>
      </c>
      <c r="I9" s="59">
        <f t="shared" si="1"/>
        <v>0</v>
      </c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>
        <f>SUM(AG9:AM9)</f>
        <v>20000000</v>
      </c>
      <c r="AG9" s="58"/>
      <c r="AH9" s="58"/>
      <c r="AI9" s="58">
        <v>7000000</v>
      </c>
      <c r="AJ9" s="58"/>
      <c r="AK9" s="58"/>
      <c r="AL9" s="58"/>
      <c r="AM9" s="58">
        <v>13000000</v>
      </c>
    </row>
    <row r="10" spans="1:39" s="78" customFormat="1" ht="44.45" customHeight="1" x14ac:dyDescent="0.25">
      <c r="A10" s="71"/>
      <c r="B10" s="181"/>
      <c r="C10" s="72" t="s">
        <v>110</v>
      </c>
      <c r="D10" s="73" t="s">
        <v>195</v>
      </c>
      <c r="E10" s="74">
        <v>510</v>
      </c>
      <c r="F10" s="75" t="s">
        <v>320</v>
      </c>
      <c r="G10" s="76">
        <f t="shared" si="0"/>
        <v>35000000</v>
      </c>
      <c r="H10" s="77">
        <f>+[1]SF!$F14</f>
        <v>346400000</v>
      </c>
      <c r="I10" s="77">
        <f t="shared" si="1"/>
        <v>311400000</v>
      </c>
      <c r="J10" s="76"/>
      <c r="K10" s="76">
        <f>30083517+4916483</f>
        <v>35000000</v>
      </c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>
        <f>SUM(AG10:AM10)</f>
        <v>0</v>
      </c>
      <c r="AG10" s="76"/>
      <c r="AH10" s="76"/>
      <c r="AI10" s="76"/>
      <c r="AJ10" s="76"/>
      <c r="AK10" s="76"/>
      <c r="AL10" s="76"/>
      <c r="AM10" s="76"/>
    </row>
    <row r="11" spans="1:39" s="86" customFormat="1" ht="28.9" customHeight="1" x14ac:dyDescent="0.25">
      <c r="A11" s="79"/>
      <c r="B11" s="181"/>
      <c r="C11" s="80" t="s">
        <v>111</v>
      </c>
      <c r="D11" s="81" t="s">
        <v>196</v>
      </c>
      <c r="E11" s="82">
        <v>510</v>
      </c>
      <c r="F11" s="83" t="s">
        <v>320</v>
      </c>
      <c r="G11" s="84">
        <f t="shared" si="0"/>
        <v>15000000</v>
      </c>
      <c r="H11" s="85">
        <f>+[1]SF!$F15</f>
        <v>225000000</v>
      </c>
      <c r="I11" s="85">
        <f t="shared" si="1"/>
        <v>210000000</v>
      </c>
      <c r="J11" s="84"/>
      <c r="K11" s="84">
        <v>15000000</v>
      </c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>
        <f t="shared" ref="AF11:AF12" si="3">SUM(AG11:AM11)</f>
        <v>0</v>
      </c>
      <c r="AG11" s="84"/>
      <c r="AH11" s="84"/>
      <c r="AI11" s="84"/>
      <c r="AJ11" s="84"/>
      <c r="AK11" s="84"/>
      <c r="AL11" s="84"/>
      <c r="AM11" s="84"/>
    </row>
    <row r="12" spans="1:39" s="101" customFormat="1" ht="20.45" customHeight="1" x14ac:dyDescent="0.25">
      <c r="A12" s="94"/>
      <c r="B12" s="184" t="s">
        <v>197</v>
      </c>
      <c r="C12" s="95" t="s">
        <v>199</v>
      </c>
      <c r="D12" s="96" t="s">
        <v>198</v>
      </c>
      <c r="E12" s="97">
        <v>310</v>
      </c>
      <c r="F12" s="98" t="s">
        <v>320</v>
      </c>
      <c r="G12" s="99">
        <f t="shared" si="0"/>
        <v>0</v>
      </c>
      <c r="H12" s="100">
        <f>+[1]SF!$F22</f>
        <v>15000000</v>
      </c>
      <c r="I12" s="100">
        <f t="shared" si="1"/>
        <v>15000000</v>
      </c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>
        <f t="shared" si="3"/>
        <v>0</v>
      </c>
      <c r="AG12" s="99"/>
      <c r="AH12" s="99"/>
      <c r="AI12" s="99"/>
      <c r="AJ12" s="99"/>
      <c r="AK12" s="99"/>
      <c r="AL12" s="99"/>
      <c r="AM12" s="99"/>
    </row>
    <row r="13" spans="1:39" s="60" customFormat="1" ht="29.45" customHeight="1" x14ac:dyDescent="0.25">
      <c r="A13" s="62"/>
      <c r="B13" s="185"/>
      <c r="C13" s="102" t="s">
        <v>200</v>
      </c>
      <c r="D13" s="55" t="s">
        <v>46</v>
      </c>
      <c r="E13" s="56">
        <v>310</v>
      </c>
      <c r="F13" s="57" t="s">
        <v>324</v>
      </c>
      <c r="G13" s="58">
        <f>SUM(J13:AF13)</f>
        <v>120000000</v>
      </c>
      <c r="H13" s="59">
        <f>+[1]SF!$F23</f>
        <v>1166707400.67272</v>
      </c>
      <c r="I13" s="59">
        <f t="shared" si="1"/>
        <v>1046707400.67272</v>
      </c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>
        <v>100000000</v>
      </c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>
        <f>SUM(AG13:AM13)</f>
        <v>20000000</v>
      </c>
      <c r="AG13" s="58"/>
      <c r="AH13" s="58"/>
      <c r="AI13" s="58">
        <v>20000000</v>
      </c>
      <c r="AJ13" s="58"/>
      <c r="AK13" s="58"/>
      <c r="AL13" s="58"/>
      <c r="AM13" s="58"/>
    </row>
    <row r="14" spans="1:39" s="60" customFormat="1" ht="21" customHeight="1" x14ac:dyDescent="0.25">
      <c r="A14" s="62"/>
      <c r="B14" s="185"/>
      <c r="C14" s="54" t="s">
        <v>112</v>
      </c>
      <c r="D14" s="55" t="s">
        <v>47</v>
      </c>
      <c r="E14" s="56">
        <v>310</v>
      </c>
      <c r="F14" s="57" t="s">
        <v>320</v>
      </c>
      <c r="G14" s="58">
        <f t="shared" si="0"/>
        <v>50000000</v>
      </c>
      <c r="H14" s="59">
        <f>+[1]SF!$F24</f>
        <v>90000000</v>
      </c>
      <c r="I14" s="59">
        <f t="shared" si="1"/>
        <v>40000000</v>
      </c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>
        <v>50000000</v>
      </c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>
        <f>SUM(AG14:AM14)</f>
        <v>0</v>
      </c>
      <c r="AG14" s="58"/>
      <c r="AH14" s="58"/>
      <c r="AI14" s="58"/>
      <c r="AJ14" s="58"/>
      <c r="AK14" s="58"/>
      <c r="AL14" s="58"/>
      <c r="AM14" s="58"/>
    </row>
    <row r="15" spans="1:39" s="60" customFormat="1" ht="48" customHeight="1" x14ac:dyDescent="0.25">
      <c r="A15" s="62"/>
      <c r="B15" s="185"/>
      <c r="C15" s="54" t="s">
        <v>113</v>
      </c>
      <c r="D15" s="55" t="s">
        <v>201</v>
      </c>
      <c r="E15" s="56">
        <v>310</v>
      </c>
      <c r="F15" s="57" t="s">
        <v>322</v>
      </c>
      <c r="G15" s="58">
        <f t="shared" si="0"/>
        <v>260000000</v>
      </c>
      <c r="H15" s="59">
        <f>+[1]SF!$F25</f>
        <v>628000000</v>
      </c>
      <c r="I15" s="59">
        <f>+H15-G15</f>
        <v>368000000</v>
      </c>
      <c r="J15" s="58"/>
      <c r="K15" s="58">
        <v>120000000</v>
      </c>
      <c r="L15" s="58"/>
      <c r="M15" s="58"/>
      <c r="N15" s="58"/>
      <c r="O15" s="58"/>
      <c r="P15" s="58"/>
      <c r="Q15" s="58"/>
      <c r="R15" s="58"/>
      <c r="S15" s="58"/>
      <c r="T15" s="58"/>
      <c r="U15" s="58">
        <v>100000000</v>
      </c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>
        <f t="shared" ref="AF15" si="4">SUM(AG15:AM15)</f>
        <v>40000000</v>
      </c>
      <c r="AG15" s="58"/>
      <c r="AH15" s="58"/>
      <c r="AI15" s="58">
        <v>15000000</v>
      </c>
      <c r="AJ15" s="58">
        <v>5000000</v>
      </c>
      <c r="AK15" s="58"/>
      <c r="AL15" s="58"/>
      <c r="AM15" s="58">
        <v>20000000</v>
      </c>
    </row>
    <row r="16" spans="1:39" s="60" customFormat="1" ht="26.25" customHeight="1" x14ac:dyDescent="0.25">
      <c r="A16" s="62"/>
      <c r="B16" s="186"/>
      <c r="C16" s="54" t="s">
        <v>114</v>
      </c>
      <c r="D16" s="55" t="s">
        <v>202</v>
      </c>
      <c r="E16" s="56">
        <v>310</v>
      </c>
      <c r="F16" s="57" t="s">
        <v>320</v>
      </c>
      <c r="G16" s="58">
        <f t="shared" si="0"/>
        <v>20000000</v>
      </c>
      <c r="H16" s="59">
        <f>+[1]SF!$F26</f>
        <v>80000000</v>
      </c>
      <c r="I16" s="59">
        <f t="shared" si="1"/>
        <v>60000000</v>
      </c>
      <c r="J16" s="58"/>
      <c r="K16" s="58">
        <v>20000000</v>
      </c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>
        <f>SUM(AG16:AM16)</f>
        <v>0</v>
      </c>
      <c r="AG16" s="58"/>
      <c r="AH16" s="58"/>
      <c r="AI16" s="58"/>
      <c r="AJ16" s="58"/>
      <c r="AK16" s="58"/>
      <c r="AL16" s="58"/>
      <c r="AM16" s="58"/>
    </row>
    <row r="17" spans="1:39" s="110" customFormat="1" ht="61.9" customHeight="1" x14ac:dyDescent="0.25">
      <c r="A17" s="103"/>
      <c r="B17" s="179" t="s">
        <v>357</v>
      </c>
      <c r="C17" s="104" t="s">
        <v>115</v>
      </c>
      <c r="D17" s="105" t="s">
        <v>203</v>
      </c>
      <c r="E17" s="106">
        <v>510</v>
      </c>
      <c r="F17" s="107" t="s">
        <v>325</v>
      </c>
      <c r="G17" s="108">
        <f t="shared" si="0"/>
        <v>150000000</v>
      </c>
      <c r="H17" s="109">
        <f>+[1]SF!$F32</f>
        <v>150000000</v>
      </c>
      <c r="I17" s="109">
        <f t="shared" si="1"/>
        <v>0</v>
      </c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>
        <v>69969309</v>
      </c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>
        <f t="shared" ref="AF17" si="5">SUM(AG17:AM17)</f>
        <v>80030691</v>
      </c>
      <c r="AG17" s="108"/>
      <c r="AH17" s="108"/>
      <c r="AI17" s="108">
        <v>15000000</v>
      </c>
      <c r="AJ17" s="108">
        <v>25000000</v>
      </c>
      <c r="AK17" s="108"/>
      <c r="AL17" s="108">
        <v>20030691</v>
      </c>
      <c r="AM17" s="108">
        <v>20000000</v>
      </c>
    </row>
    <row r="18" spans="1:39" s="93" customFormat="1" ht="33.6" customHeight="1" x14ac:dyDescent="0.25">
      <c r="A18" s="87"/>
      <c r="B18" s="180"/>
      <c r="C18" s="111" t="s">
        <v>116</v>
      </c>
      <c r="D18" s="88" t="s">
        <v>48</v>
      </c>
      <c r="E18" s="89">
        <v>510</v>
      </c>
      <c r="F18" s="90" t="s">
        <v>320</v>
      </c>
      <c r="G18" s="91">
        <f>SUM(J18:AF18)</f>
        <v>51000000</v>
      </c>
      <c r="H18" s="92">
        <f>+[1]SF!$F33</f>
        <v>51000000</v>
      </c>
      <c r="I18" s="92">
        <f t="shared" si="1"/>
        <v>0</v>
      </c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>
        <v>51000000</v>
      </c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>
        <f>SUM(AG18:AM18)</f>
        <v>0</v>
      </c>
      <c r="AG18" s="91"/>
      <c r="AH18" s="91"/>
      <c r="AI18" s="91"/>
      <c r="AJ18" s="91"/>
      <c r="AK18" s="91"/>
      <c r="AL18" s="91"/>
      <c r="AM18" s="91"/>
    </row>
    <row r="19" spans="1:39" s="110" customFormat="1" ht="45.75" customHeight="1" x14ac:dyDescent="0.25">
      <c r="A19" s="103"/>
      <c r="B19" s="182"/>
      <c r="C19" s="112" t="s">
        <v>117</v>
      </c>
      <c r="D19" s="105" t="s">
        <v>358</v>
      </c>
      <c r="E19" s="106">
        <v>510</v>
      </c>
      <c r="F19" s="107" t="s">
        <v>320</v>
      </c>
      <c r="G19" s="108">
        <f t="shared" si="0"/>
        <v>100000000</v>
      </c>
      <c r="H19" s="109">
        <f>+[1]SF!$F34</f>
        <v>100000000</v>
      </c>
      <c r="I19" s="109">
        <f t="shared" si="1"/>
        <v>0</v>
      </c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>
        <v>100000000</v>
      </c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>
        <f t="shared" ref="AF19:AF20" si="6">SUM(AG19:AM19)</f>
        <v>0</v>
      </c>
      <c r="AG19" s="108"/>
      <c r="AH19" s="108"/>
      <c r="AI19" s="108"/>
      <c r="AJ19" s="108"/>
      <c r="AK19" s="108"/>
      <c r="AL19" s="108"/>
      <c r="AM19" s="108"/>
    </row>
    <row r="20" spans="1:39" s="110" customFormat="1" ht="48" customHeight="1" x14ac:dyDescent="0.25">
      <c r="A20" s="103"/>
      <c r="B20" s="113" t="s">
        <v>204</v>
      </c>
      <c r="C20" s="104" t="s">
        <v>118</v>
      </c>
      <c r="D20" s="105" t="s">
        <v>205</v>
      </c>
      <c r="E20" s="106">
        <v>510</v>
      </c>
      <c r="F20" s="107" t="s">
        <v>326</v>
      </c>
      <c r="G20" s="108">
        <f t="shared" si="0"/>
        <v>20000000</v>
      </c>
      <c r="H20" s="109">
        <f>+[1]SF!$F$40</f>
        <v>20000000</v>
      </c>
      <c r="I20" s="109">
        <f t="shared" si="1"/>
        <v>0</v>
      </c>
      <c r="J20" s="108"/>
      <c r="K20" s="108">
        <v>17000000</v>
      </c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>
        <f t="shared" si="6"/>
        <v>3000000</v>
      </c>
      <c r="AG20" s="108"/>
      <c r="AH20" s="108"/>
      <c r="AI20" s="108"/>
      <c r="AJ20" s="108">
        <v>3000000</v>
      </c>
      <c r="AK20" s="108"/>
      <c r="AL20" s="108"/>
      <c r="AM20" s="108"/>
    </row>
    <row r="21" spans="1:39" s="70" customFormat="1" ht="30" customHeight="1" x14ac:dyDescent="0.25">
      <c r="A21" s="64"/>
      <c r="B21" s="179" t="s">
        <v>206</v>
      </c>
      <c r="C21" s="114" t="s">
        <v>119</v>
      </c>
      <c r="D21" s="65" t="s">
        <v>49</v>
      </c>
      <c r="E21" s="66">
        <v>510</v>
      </c>
      <c r="F21" s="67" t="s">
        <v>107</v>
      </c>
      <c r="G21" s="68">
        <f t="shared" si="0"/>
        <v>10000000</v>
      </c>
      <c r="H21" s="69">
        <f>+[1]SF!$F46</f>
        <v>20000000</v>
      </c>
      <c r="I21" s="69">
        <f>+H21-G21</f>
        <v>10000000</v>
      </c>
      <c r="J21" s="68"/>
      <c r="K21" s="68">
        <v>10000000</v>
      </c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>
        <f>SUM(AG21:AM21)</f>
        <v>0</v>
      </c>
      <c r="AG21" s="68"/>
      <c r="AH21" s="68"/>
      <c r="AI21" s="68"/>
      <c r="AJ21" s="68"/>
      <c r="AK21" s="68"/>
      <c r="AL21" s="68"/>
      <c r="AM21" s="68"/>
    </row>
    <row r="22" spans="1:39" s="70" customFormat="1" ht="57" customHeight="1" x14ac:dyDescent="0.25">
      <c r="A22" s="64"/>
      <c r="B22" s="180"/>
      <c r="C22" s="114" t="s">
        <v>120</v>
      </c>
      <c r="D22" s="65" t="s">
        <v>50</v>
      </c>
      <c r="E22" s="66">
        <v>510</v>
      </c>
      <c r="F22" s="67" t="s">
        <v>313</v>
      </c>
      <c r="G22" s="68">
        <f t="shared" si="0"/>
        <v>87000000</v>
      </c>
      <c r="H22" s="69">
        <f>+[1]SF!$F47</f>
        <v>150000000</v>
      </c>
      <c r="I22" s="69">
        <f t="shared" si="1"/>
        <v>63000000</v>
      </c>
      <c r="J22" s="68"/>
      <c r="K22" s="68">
        <v>50000000</v>
      </c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>
        <f t="shared" ref="AF22:AF85" si="7">SUM(AG22:AM22)</f>
        <v>37000000</v>
      </c>
      <c r="AG22" s="68"/>
      <c r="AH22" s="68"/>
      <c r="AI22" s="68">
        <v>4000000</v>
      </c>
      <c r="AJ22" s="68">
        <v>28000000</v>
      </c>
      <c r="AK22" s="68"/>
      <c r="AL22" s="68"/>
      <c r="AM22" s="68">
        <v>5000000</v>
      </c>
    </row>
    <row r="23" spans="1:39" s="122" customFormat="1" ht="45" customHeight="1" x14ac:dyDescent="0.25">
      <c r="A23" s="115"/>
      <c r="B23" s="182"/>
      <c r="C23" s="116" t="s">
        <v>207</v>
      </c>
      <c r="D23" s="117" t="s">
        <v>51</v>
      </c>
      <c r="E23" s="118">
        <v>510</v>
      </c>
      <c r="F23" s="119" t="s">
        <v>107</v>
      </c>
      <c r="G23" s="120">
        <f t="shared" si="0"/>
        <v>31000000</v>
      </c>
      <c r="H23" s="121">
        <f>+[1]SF!$F48</f>
        <v>100000000</v>
      </c>
      <c r="I23" s="121">
        <f t="shared" si="1"/>
        <v>69000000</v>
      </c>
      <c r="J23" s="120"/>
      <c r="K23" s="120">
        <v>19114092</v>
      </c>
      <c r="L23" s="120"/>
      <c r="M23" s="120"/>
      <c r="N23" s="120"/>
      <c r="O23" s="120"/>
      <c r="P23" s="120"/>
      <c r="Q23" s="120"/>
      <c r="R23" s="120"/>
      <c r="S23" s="120"/>
      <c r="T23" s="120"/>
      <c r="U23" s="120">
        <v>11885908</v>
      </c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>
        <f t="shared" si="7"/>
        <v>0</v>
      </c>
      <c r="AG23" s="120"/>
      <c r="AH23" s="120"/>
      <c r="AI23" s="120"/>
      <c r="AJ23" s="120"/>
      <c r="AK23" s="120"/>
      <c r="AL23" s="120"/>
      <c r="AM23" s="120"/>
    </row>
    <row r="24" spans="1:39" s="5" customFormat="1" ht="17.25" customHeight="1" x14ac:dyDescent="0.25">
      <c r="A24" s="2"/>
      <c r="B24" s="213" t="s">
        <v>121</v>
      </c>
      <c r="C24" s="213"/>
      <c r="D24" s="213"/>
      <c r="E24" s="213"/>
      <c r="F24" s="3"/>
      <c r="G24" s="4">
        <f t="shared" ref="G24:AE24" si="8">SUM(G6:G23)</f>
        <v>1069083517</v>
      </c>
      <c r="H24" s="45">
        <f t="shared" si="8"/>
        <v>3317107400.67272</v>
      </c>
      <c r="I24" s="45">
        <f t="shared" si="8"/>
        <v>2248023883.67272</v>
      </c>
      <c r="J24" s="4">
        <f t="shared" si="8"/>
        <v>0</v>
      </c>
      <c r="K24" s="4">
        <f t="shared" si="8"/>
        <v>336114092</v>
      </c>
      <c r="L24" s="4">
        <f t="shared" si="8"/>
        <v>0</v>
      </c>
      <c r="M24" s="4">
        <f t="shared" si="8"/>
        <v>0</v>
      </c>
      <c r="N24" s="4">
        <f t="shared" si="8"/>
        <v>0</v>
      </c>
      <c r="O24" s="4">
        <f t="shared" si="8"/>
        <v>0</v>
      </c>
      <c r="P24" s="4">
        <f t="shared" si="8"/>
        <v>0</v>
      </c>
      <c r="Q24" s="4">
        <f t="shared" si="8"/>
        <v>0</v>
      </c>
      <c r="R24" s="4">
        <f t="shared" si="8"/>
        <v>0</v>
      </c>
      <c r="S24" s="4">
        <f t="shared" si="8"/>
        <v>0</v>
      </c>
      <c r="T24" s="4">
        <f t="shared" si="8"/>
        <v>0</v>
      </c>
      <c r="U24" s="4">
        <f t="shared" si="8"/>
        <v>482855217</v>
      </c>
      <c r="V24" s="4">
        <f t="shared" si="8"/>
        <v>0</v>
      </c>
      <c r="W24" s="4">
        <f t="shared" si="8"/>
        <v>0</v>
      </c>
      <c r="X24" s="4">
        <f t="shared" si="8"/>
        <v>0</v>
      </c>
      <c r="Y24" s="4">
        <f t="shared" si="8"/>
        <v>0</v>
      </c>
      <c r="Z24" s="4">
        <f t="shared" si="8"/>
        <v>0</v>
      </c>
      <c r="AA24" s="4">
        <f t="shared" si="8"/>
        <v>0</v>
      </c>
      <c r="AB24" s="4">
        <f t="shared" si="8"/>
        <v>0</v>
      </c>
      <c r="AC24" s="4">
        <f t="shared" si="8"/>
        <v>0</v>
      </c>
      <c r="AD24" s="4">
        <f t="shared" si="8"/>
        <v>0</v>
      </c>
      <c r="AE24" s="4">
        <f t="shared" si="8"/>
        <v>0</v>
      </c>
      <c r="AF24" s="4">
        <f>SUM(AF6:AF23)</f>
        <v>250114208</v>
      </c>
      <c r="AG24" s="4">
        <f t="shared" ref="AG24:AM24" si="9">SUM(AG6:AG23)</f>
        <v>0</v>
      </c>
      <c r="AH24" s="4">
        <f t="shared" si="9"/>
        <v>0</v>
      </c>
      <c r="AI24" s="4">
        <f t="shared" si="9"/>
        <v>94000000</v>
      </c>
      <c r="AJ24" s="4">
        <f t="shared" si="9"/>
        <v>76083517</v>
      </c>
      <c r="AK24" s="4">
        <f t="shared" si="9"/>
        <v>0</v>
      </c>
      <c r="AL24" s="4">
        <f t="shared" si="9"/>
        <v>20030691</v>
      </c>
      <c r="AM24" s="4">
        <f t="shared" si="9"/>
        <v>60000000</v>
      </c>
    </row>
    <row r="25" spans="1:39" s="131" customFormat="1" ht="24" customHeight="1" x14ac:dyDescent="0.25">
      <c r="A25" s="123" t="s">
        <v>122</v>
      </c>
      <c r="B25" s="176" t="s">
        <v>208</v>
      </c>
      <c r="C25" s="124" t="s">
        <v>123</v>
      </c>
      <c r="D25" s="125" t="s">
        <v>52</v>
      </c>
      <c r="E25" s="126">
        <v>410</v>
      </c>
      <c r="F25" s="127" t="s">
        <v>327</v>
      </c>
      <c r="G25" s="128">
        <f t="shared" si="0"/>
        <v>140000000</v>
      </c>
      <c r="H25" s="129">
        <f>+[2]SI!$F$5</f>
        <v>140000000</v>
      </c>
      <c r="I25" s="129">
        <f>+H25-G25</f>
        <v>0</v>
      </c>
      <c r="J25" s="128"/>
      <c r="K25" s="128"/>
      <c r="L25" s="128"/>
      <c r="M25" s="128"/>
      <c r="N25" s="128"/>
      <c r="O25" s="128"/>
      <c r="P25" s="128"/>
      <c r="Q25" s="128">
        <f>41000000+20000000-1000000</f>
        <v>60000000</v>
      </c>
      <c r="R25" s="128">
        <v>15000000</v>
      </c>
      <c r="S25" s="128">
        <v>15000000</v>
      </c>
      <c r="T25" s="128">
        <v>15000000</v>
      </c>
      <c r="U25" s="130"/>
      <c r="V25" s="130"/>
      <c r="W25" s="130"/>
      <c r="X25" s="130"/>
      <c r="Y25" s="130"/>
      <c r="Z25" s="128"/>
      <c r="AA25" s="130"/>
      <c r="AB25" s="130"/>
      <c r="AC25" s="130"/>
      <c r="AD25" s="130"/>
      <c r="AE25" s="130"/>
      <c r="AF25" s="128">
        <f t="shared" si="7"/>
        <v>35000000</v>
      </c>
      <c r="AG25" s="128"/>
      <c r="AH25" s="128"/>
      <c r="AI25" s="128"/>
      <c r="AJ25" s="128"/>
      <c r="AK25" s="128"/>
      <c r="AL25" s="128"/>
      <c r="AM25" s="128">
        <v>35000000</v>
      </c>
    </row>
    <row r="26" spans="1:39" s="131" customFormat="1" ht="25.15" customHeight="1" x14ac:dyDescent="0.25">
      <c r="A26" s="132"/>
      <c r="B26" s="183"/>
      <c r="C26" s="124" t="s">
        <v>125</v>
      </c>
      <c r="D26" s="125" t="s">
        <v>53</v>
      </c>
      <c r="E26" s="126">
        <v>410</v>
      </c>
      <c r="F26" s="127" t="s">
        <v>327</v>
      </c>
      <c r="G26" s="128">
        <f t="shared" si="0"/>
        <v>36000000</v>
      </c>
      <c r="H26" s="129">
        <f>+[2]SI!$F$7</f>
        <v>36000000</v>
      </c>
      <c r="I26" s="129">
        <f t="shared" ref="I26:I49" si="10">+H26-G26</f>
        <v>0</v>
      </c>
      <c r="J26" s="128"/>
      <c r="K26" s="128"/>
      <c r="L26" s="128"/>
      <c r="M26" s="128"/>
      <c r="N26" s="128"/>
      <c r="O26" s="128"/>
      <c r="P26" s="128"/>
      <c r="Q26" s="128">
        <v>1000000</v>
      </c>
      <c r="R26" s="130"/>
      <c r="S26" s="130"/>
      <c r="T26" s="130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>
        <f t="shared" si="7"/>
        <v>35000000</v>
      </c>
      <c r="AG26" s="128"/>
      <c r="AH26" s="128"/>
      <c r="AI26" s="128"/>
      <c r="AJ26" s="128"/>
      <c r="AK26" s="128"/>
      <c r="AL26" s="128"/>
      <c r="AM26" s="128">
        <v>35000000</v>
      </c>
    </row>
    <row r="27" spans="1:39" s="131" customFormat="1" ht="36" customHeight="1" x14ac:dyDescent="0.25">
      <c r="A27" s="132"/>
      <c r="B27" s="214" t="s">
        <v>209</v>
      </c>
      <c r="C27" s="133" t="s">
        <v>126</v>
      </c>
      <c r="D27" s="125" t="s">
        <v>54</v>
      </c>
      <c r="E27" s="126">
        <v>410</v>
      </c>
      <c r="F27" s="127" t="s">
        <v>328</v>
      </c>
      <c r="G27" s="128">
        <f t="shared" si="0"/>
        <v>215800000</v>
      </c>
      <c r="H27" s="129">
        <f>+[2]SI!$F13</f>
        <v>215800000</v>
      </c>
      <c r="I27" s="129">
        <f t="shared" si="10"/>
        <v>0</v>
      </c>
      <c r="J27" s="128"/>
      <c r="K27" s="128"/>
      <c r="L27" s="128"/>
      <c r="M27" s="128"/>
      <c r="N27" s="128"/>
      <c r="O27" s="128"/>
      <c r="P27" s="128"/>
      <c r="Q27" s="128"/>
      <c r="R27" s="128">
        <v>20000000</v>
      </c>
      <c r="S27" s="128">
        <v>40000000</v>
      </c>
      <c r="T27" s="128">
        <v>20000000</v>
      </c>
      <c r="U27" s="128"/>
      <c r="V27" s="128"/>
      <c r="W27" s="128"/>
      <c r="X27" s="128"/>
      <c r="Y27" s="128"/>
      <c r="Z27" s="128"/>
      <c r="AA27" s="128"/>
      <c r="AB27" s="128">
        <v>41846492</v>
      </c>
      <c r="AC27" s="128"/>
      <c r="AD27" s="128"/>
      <c r="AE27" s="128"/>
      <c r="AF27" s="128">
        <f t="shared" si="7"/>
        <v>93953508</v>
      </c>
      <c r="AG27" s="128"/>
      <c r="AH27" s="128">
        <v>25000000</v>
      </c>
      <c r="AI27" s="128"/>
      <c r="AJ27" s="128">
        <v>43000000</v>
      </c>
      <c r="AK27" s="128"/>
      <c r="AL27" s="128"/>
      <c r="AM27" s="128">
        <v>25953508</v>
      </c>
    </row>
    <row r="28" spans="1:39" s="131" customFormat="1" ht="18" customHeight="1" x14ac:dyDescent="0.25">
      <c r="A28" s="132"/>
      <c r="B28" s="214"/>
      <c r="C28" s="124" t="s">
        <v>127</v>
      </c>
      <c r="D28" s="125" t="s">
        <v>55</v>
      </c>
      <c r="E28" s="126">
        <v>410</v>
      </c>
      <c r="F28" s="127" t="s">
        <v>128</v>
      </c>
      <c r="G28" s="128">
        <f t="shared" si="0"/>
        <v>41500000</v>
      </c>
      <c r="H28" s="129">
        <f>+[2]SI!$F14</f>
        <v>41500000</v>
      </c>
      <c r="I28" s="129">
        <f t="shared" si="10"/>
        <v>0</v>
      </c>
      <c r="J28" s="128"/>
      <c r="K28" s="128"/>
      <c r="L28" s="128"/>
      <c r="M28" s="128"/>
      <c r="N28" s="128"/>
      <c r="O28" s="128"/>
      <c r="P28" s="128"/>
      <c r="Q28" s="128">
        <f>31500000+10000000</f>
        <v>41500000</v>
      </c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>
        <f t="shared" si="7"/>
        <v>0</v>
      </c>
      <c r="AG28" s="128"/>
      <c r="AH28" s="128"/>
      <c r="AI28" s="128"/>
      <c r="AJ28" s="128"/>
      <c r="AK28" s="128"/>
      <c r="AL28" s="128"/>
      <c r="AM28" s="128"/>
    </row>
    <row r="29" spans="1:39" s="131" customFormat="1" ht="19.149999999999999" customHeight="1" x14ac:dyDescent="0.25">
      <c r="A29" s="132"/>
      <c r="B29" s="214"/>
      <c r="C29" s="124" t="s">
        <v>129</v>
      </c>
      <c r="D29" s="125" t="s">
        <v>210</v>
      </c>
      <c r="E29" s="126">
        <v>410</v>
      </c>
      <c r="F29" s="127" t="s">
        <v>128</v>
      </c>
      <c r="G29" s="128">
        <f t="shared" si="0"/>
        <v>996000000</v>
      </c>
      <c r="H29" s="129">
        <f>+[2]SI!$F15</f>
        <v>996000000</v>
      </c>
      <c r="I29" s="129">
        <f t="shared" si="10"/>
        <v>0</v>
      </c>
      <c r="J29" s="128"/>
      <c r="K29" s="128"/>
      <c r="L29" s="128"/>
      <c r="M29" s="128"/>
      <c r="N29" s="128"/>
      <c r="O29" s="128"/>
      <c r="P29" s="128"/>
      <c r="Q29" s="128">
        <f>896000000+20000000+16846492</f>
        <v>932846492</v>
      </c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>
        <v>63153508</v>
      </c>
      <c r="AC29" s="128"/>
      <c r="AD29" s="128"/>
      <c r="AE29" s="128"/>
      <c r="AF29" s="128">
        <f t="shared" si="7"/>
        <v>0</v>
      </c>
      <c r="AG29" s="128"/>
      <c r="AH29" s="128"/>
      <c r="AI29" s="128"/>
      <c r="AJ29" s="128"/>
      <c r="AK29" s="128"/>
      <c r="AL29" s="128"/>
      <c r="AM29" s="128"/>
    </row>
    <row r="30" spans="1:39" s="131" customFormat="1" ht="21" customHeight="1" x14ac:dyDescent="0.25">
      <c r="A30" s="132"/>
      <c r="B30" s="214"/>
      <c r="C30" s="124" t="s">
        <v>130</v>
      </c>
      <c r="D30" s="125" t="s">
        <v>56</v>
      </c>
      <c r="E30" s="126">
        <v>410</v>
      </c>
      <c r="F30" s="127" t="s">
        <v>124</v>
      </c>
      <c r="G30" s="128">
        <f t="shared" si="0"/>
        <v>597600000</v>
      </c>
      <c r="H30" s="129">
        <f>+[2]SI!$F16</f>
        <v>597600000</v>
      </c>
      <c r="I30" s="129">
        <f t="shared" si="10"/>
        <v>0</v>
      </c>
      <c r="J30" s="128"/>
      <c r="K30" s="128"/>
      <c r="L30" s="128"/>
      <c r="M30" s="128"/>
      <c r="N30" s="128"/>
      <c r="O30" s="128"/>
      <c r="P30" s="128"/>
      <c r="Q30" s="128">
        <f>517600000+20000000</f>
        <v>537600000</v>
      </c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>
        <v>60000000</v>
      </c>
      <c r="AC30" s="128"/>
      <c r="AD30" s="128"/>
      <c r="AE30" s="128"/>
      <c r="AF30" s="128">
        <f t="shared" si="7"/>
        <v>0</v>
      </c>
      <c r="AG30" s="128"/>
      <c r="AH30" s="128"/>
      <c r="AI30" s="128"/>
      <c r="AJ30" s="128"/>
      <c r="AK30" s="128"/>
      <c r="AL30" s="128"/>
      <c r="AM30" s="128"/>
    </row>
    <row r="31" spans="1:39" s="131" customFormat="1" ht="21" customHeight="1" x14ac:dyDescent="0.25">
      <c r="A31" s="132"/>
      <c r="B31" s="214"/>
      <c r="C31" s="124" t="s">
        <v>131</v>
      </c>
      <c r="D31" s="125" t="s">
        <v>57</v>
      </c>
      <c r="E31" s="126">
        <v>410</v>
      </c>
      <c r="F31" s="127" t="s">
        <v>124</v>
      </c>
      <c r="G31" s="128">
        <f t="shared" si="0"/>
        <v>499045108</v>
      </c>
      <c r="H31" s="129">
        <f>+[2]SI!$F17</f>
        <v>500000000</v>
      </c>
      <c r="I31" s="129">
        <f t="shared" si="10"/>
        <v>954892</v>
      </c>
      <c r="J31" s="128"/>
      <c r="K31" s="128"/>
      <c r="L31" s="128"/>
      <c r="M31" s="128"/>
      <c r="N31" s="128"/>
      <c r="O31" s="128"/>
      <c r="P31" s="128"/>
      <c r="Q31" s="128">
        <f>469045108+10000000</f>
        <v>479045108</v>
      </c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>
        <v>20000000</v>
      </c>
      <c r="AC31" s="128"/>
      <c r="AD31" s="128"/>
      <c r="AE31" s="128"/>
      <c r="AF31" s="128">
        <f t="shared" si="7"/>
        <v>0</v>
      </c>
      <c r="AG31" s="128"/>
      <c r="AH31" s="128"/>
      <c r="AI31" s="128"/>
      <c r="AJ31" s="128"/>
      <c r="AK31" s="128"/>
      <c r="AL31" s="128"/>
      <c r="AM31" s="128"/>
    </row>
    <row r="32" spans="1:39" s="131" customFormat="1" ht="21" customHeight="1" x14ac:dyDescent="0.25">
      <c r="A32" s="132"/>
      <c r="B32" s="214"/>
      <c r="C32" s="124" t="s">
        <v>132</v>
      </c>
      <c r="D32" s="125" t="s">
        <v>58</v>
      </c>
      <c r="E32" s="126">
        <v>410</v>
      </c>
      <c r="F32" s="127" t="s">
        <v>128</v>
      </c>
      <c r="G32" s="128">
        <f t="shared" si="0"/>
        <v>300000000</v>
      </c>
      <c r="H32" s="129">
        <f>+[2]SI!$F18</f>
        <v>300000000</v>
      </c>
      <c r="I32" s="129">
        <f t="shared" si="10"/>
        <v>0</v>
      </c>
      <c r="J32" s="128"/>
      <c r="K32" s="128"/>
      <c r="L32" s="128"/>
      <c r="M32" s="128"/>
      <c r="N32" s="128"/>
      <c r="O32" s="128"/>
      <c r="P32" s="128"/>
      <c r="Q32" s="128">
        <v>200000000</v>
      </c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>
        <v>100000000</v>
      </c>
      <c r="AC32" s="128"/>
      <c r="AD32" s="128"/>
      <c r="AE32" s="128"/>
      <c r="AF32" s="128">
        <f t="shared" si="7"/>
        <v>0</v>
      </c>
      <c r="AG32" s="128"/>
      <c r="AH32" s="128"/>
      <c r="AI32" s="128"/>
      <c r="AJ32" s="128"/>
      <c r="AK32" s="128"/>
      <c r="AL32" s="128"/>
      <c r="AM32" s="128"/>
    </row>
    <row r="33" spans="1:39" s="131" customFormat="1" ht="25.9" customHeight="1" x14ac:dyDescent="0.25">
      <c r="A33" s="132"/>
      <c r="B33" s="214"/>
      <c r="C33" s="124" t="s">
        <v>133</v>
      </c>
      <c r="D33" s="125" t="s">
        <v>211</v>
      </c>
      <c r="E33" s="126">
        <v>410</v>
      </c>
      <c r="F33" s="127" t="s">
        <v>350</v>
      </c>
      <c r="G33" s="128">
        <f t="shared" si="0"/>
        <v>327960000</v>
      </c>
      <c r="H33" s="129">
        <f>+[2]SI!$F19</f>
        <v>327960000</v>
      </c>
      <c r="I33" s="129">
        <f t="shared" si="10"/>
        <v>0</v>
      </c>
      <c r="J33" s="128"/>
      <c r="K33" s="128"/>
      <c r="L33" s="128"/>
      <c r="M33" s="128"/>
      <c r="N33" s="128"/>
      <c r="O33" s="128"/>
      <c r="P33" s="128"/>
      <c r="Q33" s="128">
        <v>317960000</v>
      </c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>
        <v>5000000</v>
      </c>
      <c r="AC33" s="128"/>
      <c r="AD33" s="128"/>
      <c r="AE33" s="128"/>
      <c r="AF33" s="128">
        <f t="shared" si="7"/>
        <v>5000000</v>
      </c>
      <c r="AG33" s="128"/>
      <c r="AH33" s="128">
        <v>5000000</v>
      </c>
      <c r="AI33" s="128"/>
      <c r="AJ33" s="128"/>
      <c r="AK33" s="128"/>
      <c r="AL33" s="128"/>
      <c r="AM33" s="128"/>
    </row>
    <row r="34" spans="1:39" s="131" customFormat="1" ht="35.25" customHeight="1" x14ac:dyDescent="0.25">
      <c r="A34" s="175" t="s">
        <v>122</v>
      </c>
      <c r="B34" s="176" t="s">
        <v>212</v>
      </c>
      <c r="C34" s="124" t="s">
        <v>134</v>
      </c>
      <c r="D34" s="125" t="s">
        <v>213</v>
      </c>
      <c r="E34" s="126">
        <v>410</v>
      </c>
      <c r="F34" s="127" t="s">
        <v>329</v>
      </c>
      <c r="G34" s="128">
        <f t="shared" si="0"/>
        <v>85878679</v>
      </c>
      <c r="H34" s="129">
        <f>+[2]SI!$F25</f>
        <v>168000000</v>
      </c>
      <c r="I34" s="129">
        <f t="shared" si="10"/>
        <v>82121321</v>
      </c>
      <c r="J34" s="128"/>
      <c r="K34" s="128"/>
      <c r="L34" s="128"/>
      <c r="M34" s="128"/>
      <c r="N34" s="128"/>
      <c r="O34" s="128"/>
      <c r="P34" s="128"/>
      <c r="Q34" s="128">
        <v>11878679</v>
      </c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>
        <v>50000000</v>
      </c>
      <c r="AC34" s="128"/>
      <c r="AD34" s="128"/>
      <c r="AE34" s="128"/>
      <c r="AF34" s="128">
        <f t="shared" si="7"/>
        <v>24000000</v>
      </c>
      <c r="AG34" s="128"/>
      <c r="AH34" s="128">
        <v>4000000</v>
      </c>
      <c r="AI34" s="128"/>
      <c r="AJ34" s="128">
        <v>10000000</v>
      </c>
      <c r="AK34" s="128"/>
      <c r="AL34" s="128">
        <v>10000000</v>
      </c>
      <c r="AM34" s="128"/>
    </row>
    <row r="35" spans="1:39" s="131" customFormat="1" ht="48.75" customHeight="1" x14ac:dyDescent="0.25">
      <c r="A35" s="175"/>
      <c r="B35" s="177"/>
      <c r="C35" s="124" t="s">
        <v>135</v>
      </c>
      <c r="D35" s="125" t="s">
        <v>59</v>
      </c>
      <c r="E35" s="126">
        <v>410</v>
      </c>
      <c r="F35" s="127" t="s">
        <v>351</v>
      </c>
      <c r="G35" s="128">
        <f t="shared" si="0"/>
        <v>62242642</v>
      </c>
      <c r="H35" s="129">
        <f>+[2]SI!$F26</f>
        <v>212500000</v>
      </c>
      <c r="I35" s="129">
        <f t="shared" si="10"/>
        <v>150257358</v>
      </c>
      <c r="J35" s="128"/>
      <c r="K35" s="128"/>
      <c r="L35" s="128"/>
      <c r="M35" s="128"/>
      <c r="N35" s="128"/>
      <c r="O35" s="128"/>
      <c r="P35" s="128"/>
      <c r="Q35" s="128">
        <f>18121321-10000000</f>
        <v>8121321</v>
      </c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>
        <f>20000000-20000000</f>
        <v>0</v>
      </c>
      <c r="AC35" s="128"/>
      <c r="AD35" s="128"/>
      <c r="AE35" s="128"/>
      <c r="AF35" s="128">
        <f t="shared" si="7"/>
        <v>54121321</v>
      </c>
      <c r="AG35" s="128"/>
      <c r="AH35" s="128">
        <v>5371321</v>
      </c>
      <c r="AI35" s="128">
        <v>20000000</v>
      </c>
      <c r="AJ35" s="128">
        <v>25000000</v>
      </c>
      <c r="AK35" s="128"/>
      <c r="AL35" s="128">
        <v>3750000</v>
      </c>
      <c r="AM35" s="128"/>
    </row>
    <row r="36" spans="1:39" s="131" customFormat="1" ht="30" customHeight="1" x14ac:dyDescent="0.25">
      <c r="A36" s="175"/>
      <c r="B36" s="177"/>
      <c r="C36" s="124" t="s">
        <v>136</v>
      </c>
      <c r="D36" s="125" t="s">
        <v>60</v>
      </c>
      <c r="E36" s="126">
        <v>410</v>
      </c>
      <c r="F36" s="127" t="s">
        <v>352</v>
      </c>
      <c r="G36" s="128">
        <f t="shared" si="0"/>
        <v>3000000</v>
      </c>
      <c r="H36" s="129">
        <f>+[2]SI!$F27</f>
        <v>14000000</v>
      </c>
      <c r="I36" s="129">
        <f t="shared" si="10"/>
        <v>11000000</v>
      </c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>
        <f t="shared" si="7"/>
        <v>3000000</v>
      </c>
      <c r="AG36" s="128"/>
      <c r="AH36" s="128"/>
      <c r="AI36" s="128"/>
      <c r="AJ36" s="128"/>
      <c r="AK36" s="128"/>
      <c r="AL36" s="128">
        <v>3000000</v>
      </c>
      <c r="AM36" s="128"/>
    </row>
    <row r="37" spans="1:39" s="131" customFormat="1" ht="32.450000000000003" customHeight="1" x14ac:dyDescent="0.25">
      <c r="A37" s="175"/>
      <c r="B37" s="177"/>
      <c r="C37" s="124" t="s">
        <v>137</v>
      </c>
      <c r="D37" s="125" t="s">
        <v>214</v>
      </c>
      <c r="E37" s="126">
        <v>410</v>
      </c>
      <c r="F37" s="127" t="s">
        <v>330</v>
      </c>
      <c r="G37" s="128">
        <f t="shared" si="0"/>
        <v>135000000</v>
      </c>
      <c r="H37" s="129">
        <f>+[2]SI!$F28+[2]SI!$F$29</f>
        <v>710000000</v>
      </c>
      <c r="I37" s="129">
        <f t="shared" si="10"/>
        <v>575000000</v>
      </c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>
        <v>100000000</v>
      </c>
      <c r="AC37" s="128"/>
      <c r="AD37" s="128"/>
      <c r="AE37" s="128"/>
      <c r="AF37" s="128">
        <f t="shared" si="7"/>
        <v>35000000</v>
      </c>
      <c r="AG37" s="128"/>
      <c r="AH37" s="128"/>
      <c r="AI37" s="128">
        <v>5000000</v>
      </c>
      <c r="AJ37" s="128"/>
      <c r="AK37" s="128"/>
      <c r="AL37" s="128"/>
      <c r="AM37" s="128">
        <v>30000000</v>
      </c>
    </row>
    <row r="38" spans="1:39" s="131" customFormat="1" ht="32.450000000000003" customHeight="1" x14ac:dyDescent="0.25">
      <c r="A38" s="175"/>
      <c r="B38" s="177"/>
      <c r="C38" s="124" t="s">
        <v>216</v>
      </c>
      <c r="D38" s="125" t="s">
        <v>61</v>
      </c>
      <c r="E38" s="126">
        <v>410</v>
      </c>
      <c r="F38" s="127" t="s">
        <v>330</v>
      </c>
      <c r="G38" s="128">
        <f t="shared" si="0"/>
        <v>265000000</v>
      </c>
      <c r="H38" s="129">
        <f>+[2]SI!$F30+[2]SI!$F$31</f>
        <v>352500000</v>
      </c>
      <c r="I38" s="129">
        <f t="shared" si="10"/>
        <v>87500000</v>
      </c>
      <c r="J38" s="128"/>
      <c r="K38" s="128"/>
      <c r="L38" s="128"/>
      <c r="M38" s="128"/>
      <c r="N38" s="128"/>
      <c r="O38" s="128"/>
      <c r="P38" s="128"/>
      <c r="Q38" s="128">
        <v>10000000</v>
      </c>
      <c r="R38" s="128">
        <v>45000000</v>
      </c>
      <c r="S38" s="128">
        <v>60000000</v>
      </c>
      <c r="T38" s="128">
        <v>60000000</v>
      </c>
      <c r="U38" s="128"/>
      <c r="V38" s="128"/>
      <c r="W38" s="128"/>
      <c r="X38" s="128"/>
      <c r="Y38" s="128"/>
      <c r="Z38" s="128"/>
      <c r="AA38" s="128"/>
      <c r="AB38" s="128">
        <f>50000000+20000000</f>
        <v>70000000</v>
      </c>
      <c r="AC38" s="128"/>
      <c r="AD38" s="128"/>
      <c r="AE38" s="128"/>
      <c r="AF38" s="128">
        <f>SUM(AG38:AM38)</f>
        <v>20000000</v>
      </c>
      <c r="AG38" s="128"/>
      <c r="AH38" s="128"/>
      <c r="AI38" s="128">
        <v>15000000</v>
      </c>
      <c r="AJ38" s="128"/>
      <c r="AK38" s="128"/>
      <c r="AL38" s="128"/>
      <c r="AM38" s="128">
        <v>5000000</v>
      </c>
    </row>
    <row r="39" spans="1:39" s="131" customFormat="1" ht="22.15" customHeight="1" x14ac:dyDescent="0.25">
      <c r="A39" s="175"/>
      <c r="B39" s="177"/>
      <c r="C39" s="124" t="s">
        <v>217</v>
      </c>
      <c r="D39" s="125" t="s">
        <v>215</v>
      </c>
      <c r="E39" s="126">
        <v>410</v>
      </c>
      <c r="F39" s="127" t="s">
        <v>124</v>
      </c>
      <c r="G39" s="128">
        <f t="shared" si="0"/>
        <v>0</v>
      </c>
      <c r="H39" s="129">
        <f>+[2]SI!$F32</f>
        <v>36000000</v>
      </c>
      <c r="I39" s="129">
        <f t="shared" si="10"/>
        <v>36000000</v>
      </c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>
        <f t="shared" si="7"/>
        <v>0</v>
      </c>
      <c r="AG39" s="128"/>
      <c r="AH39" s="128"/>
      <c r="AI39" s="128"/>
      <c r="AJ39" s="128"/>
      <c r="AK39" s="128"/>
      <c r="AL39" s="128"/>
      <c r="AM39" s="128"/>
    </row>
    <row r="40" spans="1:39" s="131" customFormat="1" ht="21.6" customHeight="1" x14ac:dyDescent="0.25">
      <c r="A40" s="175"/>
      <c r="B40" s="177"/>
      <c r="C40" s="124" t="s">
        <v>218</v>
      </c>
      <c r="D40" s="125" t="s">
        <v>62</v>
      </c>
      <c r="E40" s="126">
        <v>410</v>
      </c>
      <c r="F40" s="127" t="s">
        <v>124</v>
      </c>
      <c r="G40" s="128">
        <f t="shared" si="0"/>
        <v>50000000</v>
      </c>
      <c r="H40" s="129">
        <f>+[2]SI!$F33</f>
        <v>110500000</v>
      </c>
      <c r="I40" s="129">
        <f t="shared" si="10"/>
        <v>60500000</v>
      </c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>
        <v>50000000</v>
      </c>
      <c r="AC40" s="128"/>
      <c r="AD40" s="128"/>
      <c r="AE40" s="128"/>
      <c r="AF40" s="128">
        <f t="shared" si="7"/>
        <v>0</v>
      </c>
      <c r="AG40" s="128"/>
      <c r="AH40" s="128"/>
      <c r="AI40" s="128"/>
      <c r="AJ40" s="128"/>
      <c r="AK40" s="128"/>
      <c r="AL40" s="128"/>
      <c r="AM40" s="128"/>
    </row>
    <row r="41" spans="1:39" s="131" customFormat="1" ht="22.5" customHeight="1" x14ac:dyDescent="0.25">
      <c r="A41" s="175"/>
      <c r="B41" s="177"/>
      <c r="C41" s="124" t="s">
        <v>219</v>
      </c>
      <c r="D41" s="125" t="s">
        <v>63</v>
      </c>
      <c r="E41" s="126">
        <v>410</v>
      </c>
      <c r="F41" s="127" t="s">
        <v>124</v>
      </c>
      <c r="G41" s="128">
        <f t="shared" si="0"/>
        <v>0</v>
      </c>
      <c r="H41" s="129">
        <f>+[2]SI!$F34</f>
        <v>62000000</v>
      </c>
      <c r="I41" s="129">
        <f t="shared" si="10"/>
        <v>62000000</v>
      </c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>
        <f t="shared" si="7"/>
        <v>0</v>
      </c>
      <c r="AG41" s="128"/>
      <c r="AH41" s="128"/>
      <c r="AI41" s="128"/>
      <c r="AJ41" s="128"/>
      <c r="AK41" s="128"/>
      <c r="AL41" s="128"/>
      <c r="AM41" s="128"/>
    </row>
    <row r="42" spans="1:39" s="131" customFormat="1" ht="19.899999999999999" customHeight="1" x14ac:dyDescent="0.25">
      <c r="A42" s="175"/>
      <c r="B42" s="177"/>
      <c r="C42" s="124" t="s">
        <v>220</v>
      </c>
      <c r="D42" s="125" t="s">
        <v>223</v>
      </c>
      <c r="E42" s="126">
        <v>410</v>
      </c>
      <c r="F42" s="127" t="s">
        <v>124</v>
      </c>
      <c r="G42" s="128">
        <f t="shared" si="0"/>
        <v>57222221</v>
      </c>
      <c r="H42" s="129">
        <f>+[2]SI!$F36</f>
        <v>324000000</v>
      </c>
      <c r="I42" s="129">
        <f t="shared" si="10"/>
        <v>266777779</v>
      </c>
      <c r="J42" s="128"/>
      <c r="K42" s="128"/>
      <c r="L42" s="128"/>
      <c r="M42" s="128"/>
      <c r="N42" s="128"/>
      <c r="O42" s="128"/>
      <c r="P42" s="128"/>
      <c r="Q42" s="128">
        <v>4000000</v>
      </c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>
        <f>53000000+222221</f>
        <v>53222221</v>
      </c>
      <c r="AC42" s="128"/>
      <c r="AD42" s="128"/>
      <c r="AE42" s="128"/>
      <c r="AF42" s="128">
        <f t="shared" si="7"/>
        <v>0</v>
      </c>
      <c r="AG42" s="128"/>
      <c r="AH42" s="128"/>
      <c r="AI42" s="128"/>
      <c r="AJ42" s="128"/>
      <c r="AK42" s="128"/>
      <c r="AL42" s="128"/>
      <c r="AM42" s="128"/>
    </row>
    <row r="43" spans="1:39" s="131" customFormat="1" ht="21" customHeight="1" x14ac:dyDescent="0.25">
      <c r="A43" s="175"/>
      <c r="B43" s="177"/>
      <c r="C43" s="124" t="s">
        <v>221</v>
      </c>
      <c r="D43" s="125" t="s">
        <v>222</v>
      </c>
      <c r="E43" s="126">
        <v>410</v>
      </c>
      <c r="F43" s="127" t="s">
        <v>124</v>
      </c>
      <c r="G43" s="128">
        <f t="shared" si="0"/>
        <v>74000000</v>
      </c>
      <c r="H43" s="129">
        <f>+[2]SI!$F37</f>
        <v>600000000</v>
      </c>
      <c r="I43" s="129">
        <f t="shared" si="10"/>
        <v>526000000</v>
      </c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>
        <v>74000000</v>
      </c>
      <c r="AC43" s="128"/>
      <c r="AD43" s="128"/>
      <c r="AE43" s="128"/>
      <c r="AF43" s="128">
        <f t="shared" si="7"/>
        <v>0</v>
      </c>
      <c r="AG43" s="128"/>
      <c r="AH43" s="128"/>
      <c r="AI43" s="128"/>
      <c r="AJ43" s="128"/>
      <c r="AK43" s="128"/>
      <c r="AL43" s="128"/>
      <c r="AM43" s="128"/>
    </row>
    <row r="44" spans="1:39" s="131" customFormat="1" ht="18.600000000000001" customHeight="1" x14ac:dyDescent="0.25">
      <c r="A44" s="175"/>
      <c r="B44" s="176" t="s">
        <v>224</v>
      </c>
      <c r="C44" s="124" t="s">
        <v>138</v>
      </c>
      <c r="D44" s="125" t="s">
        <v>64</v>
      </c>
      <c r="E44" s="126">
        <v>410</v>
      </c>
      <c r="F44" s="127" t="s">
        <v>124</v>
      </c>
      <c r="G44" s="128">
        <f t="shared" si="0"/>
        <v>56000000</v>
      </c>
      <c r="H44" s="129">
        <f>+[2]SI!$F43</f>
        <v>56000000</v>
      </c>
      <c r="I44" s="129">
        <f t="shared" si="10"/>
        <v>0</v>
      </c>
      <c r="J44" s="128"/>
      <c r="K44" s="128"/>
      <c r="L44" s="128"/>
      <c r="M44" s="128"/>
      <c r="N44" s="128"/>
      <c r="O44" s="128"/>
      <c r="P44" s="128"/>
      <c r="Q44" s="128">
        <v>56000000</v>
      </c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>
        <f t="shared" si="7"/>
        <v>0</v>
      </c>
      <c r="AG44" s="128"/>
      <c r="AH44" s="128"/>
      <c r="AI44" s="128"/>
      <c r="AJ44" s="128"/>
      <c r="AK44" s="128"/>
      <c r="AL44" s="128"/>
      <c r="AM44" s="128"/>
    </row>
    <row r="45" spans="1:39" s="131" customFormat="1" ht="17.45" customHeight="1" x14ac:dyDescent="0.25">
      <c r="A45" s="175"/>
      <c r="B45" s="183"/>
      <c r="C45" s="124" t="s">
        <v>139</v>
      </c>
      <c r="D45" s="125" t="s">
        <v>65</v>
      </c>
      <c r="E45" s="126">
        <v>410</v>
      </c>
      <c r="F45" s="127" t="s">
        <v>124</v>
      </c>
      <c r="G45" s="128">
        <f t="shared" si="0"/>
        <v>50000000</v>
      </c>
      <c r="H45" s="129">
        <f>+[2]SI!$F44</f>
        <v>50000000</v>
      </c>
      <c r="I45" s="129">
        <f t="shared" si="10"/>
        <v>0</v>
      </c>
      <c r="J45" s="128"/>
      <c r="K45" s="128"/>
      <c r="L45" s="128"/>
      <c r="M45" s="128"/>
      <c r="N45" s="128"/>
      <c r="O45" s="128"/>
      <c r="P45" s="128"/>
      <c r="Q45" s="128">
        <f>+'[3]PLAN OPERATIVO 2020 ajustes PDI'!$S$14-Q44</f>
        <v>9574140</v>
      </c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34">
        <v>40425860</v>
      </c>
      <c r="AC45" s="128"/>
      <c r="AD45" s="128"/>
      <c r="AE45" s="128"/>
      <c r="AF45" s="128">
        <f t="shared" si="7"/>
        <v>0</v>
      </c>
      <c r="AG45" s="128"/>
      <c r="AH45" s="128"/>
      <c r="AI45" s="128"/>
      <c r="AJ45" s="128"/>
      <c r="AK45" s="128"/>
      <c r="AL45" s="128"/>
      <c r="AM45" s="128"/>
    </row>
    <row r="46" spans="1:39" s="131" customFormat="1" ht="21.75" customHeight="1" x14ac:dyDescent="0.25">
      <c r="A46" s="175"/>
      <c r="B46" s="135" t="s">
        <v>225</v>
      </c>
      <c r="C46" s="124" t="s">
        <v>140</v>
      </c>
      <c r="D46" s="125" t="s">
        <v>66</v>
      </c>
      <c r="E46" s="126">
        <v>410</v>
      </c>
      <c r="F46" s="127" t="s">
        <v>124</v>
      </c>
      <c r="G46" s="128">
        <f t="shared" si="0"/>
        <v>2000000000</v>
      </c>
      <c r="H46" s="129">
        <f>+[2]SI!$F$50</f>
        <v>2200000000</v>
      </c>
      <c r="I46" s="129">
        <f t="shared" si="10"/>
        <v>200000000</v>
      </c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>
        <v>2000000000</v>
      </c>
      <c r="Z46" s="128"/>
      <c r="AA46" s="128"/>
      <c r="AB46" s="128"/>
      <c r="AC46" s="128"/>
      <c r="AD46" s="128"/>
      <c r="AE46" s="128"/>
      <c r="AF46" s="128">
        <f t="shared" si="7"/>
        <v>0</v>
      </c>
      <c r="AG46" s="128"/>
      <c r="AH46" s="128"/>
      <c r="AI46" s="128"/>
      <c r="AJ46" s="128"/>
      <c r="AK46" s="128"/>
      <c r="AL46" s="128"/>
      <c r="AM46" s="128"/>
    </row>
    <row r="47" spans="1:39" s="131" customFormat="1" ht="23.45" customHeight="1" x14ac:dyDescent="0.25">
      <c r="A47" s="136"/>
      <c r="B47" s="176" t="s">
        <v>226</v>
      </c>
      <c r="C47" s="124" t="s">
        <v>141</v>
      </c>
      <c r="D47" s="125" t="s">
        <v>227</v>
      </c>
      <c r="E47" s="126">
        <v>410</v>
      </c>
      <c r="F47" s="127" t="s">
        <v>331</v>
      </c>
      <c r="G47" s="128">
        <f t="shared" si="0"/>
        <v>114808000</v>
      </c>
      <c r="H47" s="129">
        <f>+[2]SI!$F56</f>
        <v>198000000</v>
      </c>
      <c r="I47" s="129">
        <f t="shared" si="10"/>
        <v>83192000</v>
      </c>
      <c r="J47" s="128"/>
      <c r="K47" s="128">
        <f>70000000+32208000</f>
        <v>102208000</v>
      </c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>
        <f>SUM(AG47:AM47)</f>
        <v>12600000</v>
      </c>
      <c r="AG47" s="128"/>
      <c r="AH47" s="128">
        <v>12600000</v>
      </c>
      <c r="AI47" s="128"/>
      <c r="AJ47" s="128"/>
      <c r="AK47" s="128"/>
      <c r="AL47" s="128"/>
      <c r="AM47" s="128"/>
    </row>
    <row r="48" spans="1:39" s="131" customFormat="1" ht="35.450000000000003" customHeight="1" x14ac:dyDescent="0.25">
      <c r="A48" s="136"/>
      <c r="B48" s="177"/>
      <c r="C48" s="124" t="s">
        <v>142</v>
      </c>
      <c r="D48" s="125" t="s">
        <v>67</v>
      </c>
      <c r="E48" s="126">
        <v>410</v>
      </c>
      <c r="F48" s="127" t="s">
        <v>332</v>
      </c>
      <c r="G48" s="128">
        <f t="shared" si="0"/>
        <v>87400000</v>
      </c>
      <c r="H48" s="129">
        <f>+[2]SI!$F57</f>
        <v>100000000</v>
      </c>
      <c r="I48" s="129">
        <f t="shared" si="10"/>
        <v>12600000</v>
      </c>
      <c r="J48" s="128"/>
      <c r="K48" s="128">
        <f>60000000-32208000</f>
        <v>27792000</v>
      </c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>
        <f>SUM(AG48:AM48)</f>
        <v>59608000</v>
      </c>
      <c r="AG48" s="128"/>
      <c r="AH48" s="128"/>
      <c r="AI48" s="128">
        <v>27000000</v>
      </c>
      <c r="AJ48" s="128"/>
      <c r="AK48" s="128"/>
      <c r="AL48" s="128">
        <v>22608000</v>
      </c>
      <c r="AM48" s="128">
        <v>10000000</v>
      </c>
    </row>
    <row r="49" spans="1:39" s="131" customFormat="1" ht="24.6" customHeight="1" x14ac:dyDescent="0.25">
      <c r="A49" s="136"/>
      <c r="B49" s="183"/>
      <c r="C49" s="124" t="s">
        <v>228</v>
      </c>
      <c r="D49" s="125" t="s">
        <v>68</v>
      </c>
      <c r="E49" s="126">
        <v>410</v>
      </c>
      <c r="F49" s="127" t="s">
        <v>315</v>
      </c>
      <c r="G49" s="128">
        <f t="shared" si="0"/>
        <v>74000000</v>
      </c>
      <c r="H49" s="129">
        <f>+[2]SI!$F58</f>
        <v>197242000</v>
      </c>
      <c r="I49" s="129">
        <f t="shared" si="10"/>
        <v>123242000</v>
      </c>
      <c r="J49" s="128"/>
      <c r="K49" s="128">
        <v>70000000</v>
      </c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>
        <f t="shared" si="7"/>
        <v>4000000</v>
      </c>
      <c r="AG49" s="128"/>
      <c r="AH49" s="128"/>
      <c r="AI49" s="128">
        <v>4000000</v>
      </c>
      <c r="AJ49" s="128"/>
      <c r="AK49" s="128"/>
      <c r="AL49" s="128"/>
      <c r="AM49" s="128"/>
    </row>
    <row r="50" spans="1:39" s="5" customFormat="1" ht="17.45" customHeight="1" thickBot="1" x14ac:dyDescent="0.3">
      <c r="A50" s="6"/>
      <c r="B50" s="215" t="s">
        <v>143</v>
      </c>
      <c r="C50" s="215"/>
      <c r="D50" s="215"/>
      <c r="E50" s="215"/>
      <c r="F50" s="7"/>
      <c r="G50" s="8">
        <f t="shared" ref="G50:AF50" si="11">SUM(G25:G49)</f>
        <v>6268456650</v>
      </c>
      <c r="H50" s="8">
        <f t="shared" si="11"/>
        <v>8545602000</v>
      </c>
      <c r="I50" s="8">
        <f t="shared" si="11"/>
        <v>2277145350</v>
      </c>
      <c r="J50" s="8">
        <f t="shared" si="11"/>
        <v>0</v>
      </c>
      <c r="K50" s="8">
        <f t="shared" si="11"/>
        <v>200000000</v>
      </c>
      <c r="L50" s="8">
        <f t="shared" si="11"/>
        <v>0</v>
      </c>
      <c r="M50" s="8">
        <f t="shared" si="11"/>
        <v>0</v>
      </c>
      <c r="N50" s="8">
        <f t="shared" si="11"/>
        <v>0</v>
      </c>
      <c r="O50" s="8">
        <f t="shared" si="11"/>
        <v>0</v>
      </c>
      <c r="P50" s="8">
        <f t="shared" si="11"/>
        <v>0</v>
      </c>
      <c r="Q50" s="8">
        <f t="shared" si="11"/>
        <v>2669525740</v>
      </c>
      <c r="R50" s="8">
        <f t="shared" si="11"/>
        <v>80000000</v>
      </c>
      <c r="S50" s="8">
        <f t="shared" si="11"/>
        <v>115000000</v>
      </c>
      <c r="T50" s="8">
        <f t="shared" si="11"/>
        <v>95000000</v>
      </c>
      <c r="U50" s="8">
        <f t="shared" si="11"/>
        <v>0</v>
      </c>
      <c r="V50" s="8">
        <f t="shared" si="11"/>
        <v>0</v>
      </c>
      <c r="W50" s="8">
        <f t="shared" si="11"/>
        <v>0</v>
      </c>
      <c r="X50" s="8">
        <f t="shared" si="11"/>
        <v>0</v>
      </c>
      <c r="Y50" s="8">
        <f t="shared" si="11"/>
        <v>2000000000</v>
      </c>
      <c r="Z50" s="8">
        <f t="shared" si="11"/>
        <v>0</v>
      </c>
      <c r="AA50" s="8">
        <f t="shared" si="11"/>
        <v>0</v>
      </c>
      <c r="AB50" s="8">
        <f t="shared" si="11"/>
        <v>727648081</v>
      </c>
      <c r="AC50" s="8">
        <f t="shared" si="11"/>
        <v>0</v>
      </c>
      <c r="AD50" s="8">
        <f t="shared" si="11"/>
        <v>0</v>
      </c>
      <c r="AE50" s="8">
        <f t="shared" si="11"/>
        <v>0</v>
      </c>
      <c r="AF50" s="8">
        <f t="shared" si="11"/>
        <v>381282829</v>
      </c>
      <c r="AG50" s="8">
        <f t="shared" ref="AG50:AM50" si="12">SUM(AG25:AG49)</f>
        <v>0</v>
      </c>
      <c r="AH50" s="8">
        <f t="shared" si="12"/>
        <v>51971321</v>
      </c>
      <c r="AI50" s="8">
        <f t="shared" si="12"/>
        <v>71000000</v>
      </c>
      <c r="AJ50" s="8">
        <f t="shared" si="12"/>
        <v>78000000</v>
      </c>
      <c r="AK50" s="8">
        <f t="shared" si="12"/>
        <v>0</v>
      </c>
      <c r="AL50" s="8">
        <f t="shared" si="12"/>
        <v>39358000</v>
      </c>
      <c r="AM50" s="8">
        <f t="shared" si="12"/>
        <v>140953508</v>
      </c>
    </row>
    <row r="51" spans="1:39" s="131" customFormat="1" ht="27.75" customHeight="1" thickTop="1" x14ac:dyDescent="0.25">
      <c r="A51" s="192" t="s">
        <v>144</v>
      </c>
      <c r="B51" s="190" t="s">
        <v>229</v>
      </c>
      <c r="C51" s="137" t="s">
        <v>145</v>
      </c>
      <c r="D51" s="138" t="s">
        <v>69</v>
      </c>
      <c r="E51" s="139">
        <v>520</v>
      </c>
      <c r="F51" s="127" t="s">
        <v>315</v>
      </c>
      <c r="G51" s="128">
        <f>SUM(J51:AF51)</f>
        <v>26000000</v>
      </c>
      <c r="H51" s="129">
        <f>+[4]SP!$F5</f>
        <v>30000000</v>
      </c>
      <c r="I51" s="129">
        <f>+H51-G51</f>
        <v>4000000</v>
      </c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>
        <f t="shared" si="7"/>
        <v>26000000</v>
      </c>
      <c r="AG51" s="128"/>
      <c r="AH51" s="128"/>
      <c r="AI51" s="128">
        <v>26000000</v>
      </c>
      <c r="AJ51" s="128"/>
      <c r="AK51" s="128"/>
      <c r="AL51" s="128"/>
      <c r="AM51" s="128"/>
    </row>
    <row r="52" spans="1:39" s="131" customFormat="1" ht="21.6" customHeight="1" x14ac:dyDescent="0.25">
      <c r="A52" s="193"/>
      <c r="B52" s="177"/>
      <c r="C52" s="133" t="s">
        <v>146</v>
      </c>
      <c r="D52" s="125" t="s">
        <v>230</v>
      </c>
      <c r="E52" s="126">
        <v>520</v>
      </c>
      <c r="F52" s="127" t="s">
        <v>124</v>
      </c>
      <c r="G52" s="128">
        <f t="shared" si="0"/>
        <v>70000000</v>
      </c>
      <c r="H52" s="129">
        <f>+[4]SP!$F6</f>
        <v>70000000</v>
      </c>
      <c r="I52" s="129">
        <f t="shared" ref="I52:I76" si="13">+H52-G52</f>
        <v>0</v>
      </c>
      <c r="J52" s="128"/>
      <c r="K52" s="128">
        <f>66500000+3500000</f>
        <v>70000000</v>
      </c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>
        <f t="shared" si="7"/>
        <v>0</v>
      </c>
      <c r="AG52" s="128"/>
      <c r="AH52" s="128"/>
      <c r="AI52" s="128"/>
      <c r="AJ52" s="128"/>
      <c r="AK52" s="128"/>
      <c r="AL52" s="128"/>
      <c r="AM52" s="128"/>
    </row>
    <row r="53" spans="1:39" s="131" customFormat="1" ht="21.6" customHeight="1" x14ac:dyDescent="0.25">
      <c r="A53" s="193"/>
      <c r="B53" s="177"/>
      <c r="C53" s="133" t="s">
        <v>147</v>
      </c>
      <c r="D53" s="125" t="s">
        <v>231</v>
      </c>
      <c r="E53" s="126">
        <v>520</v>
      </c>
      <c r="F53" s="127" t="s">
        <v>124</v>
      </c>
      <c r="G53" s="128">
        <f t="shared" si="0"/>
        <v>25674107</v>
      </c>
      <c r="H53" s="129">
        <f>+[4]SP!$F7</f>
        <v>40000000</v>
      </c>
      <c r="I53" s="129">
        <f t="shared" si="13"/>
        <v>14325893</v>
      </c>
      <c r="J53" s="128"/>
      <c r="K53" s="128">
        <f>14174107+11500000</f>
        <v>25674107</v>
      </c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>
        <f t="shared" si="7"/>
        <v>0</v>
      </c>
      <c r="AG53" s="128"/>
      <c r="AH53" s="128"/>
      <c r="AI53" s="128"/>
      <c r="AJ53" s="128"/>
      <c r="AK53" s="128"/>
      <c r="AL53" s="128"/>
      <c r="AM53" s="128"/>
    </row>
    <row r="54" spans="1:39" s="131" customFormat="1" ht="60" customHeight="1" x14ac:dyDescent="0.25">
      <c r="A54" s="193"/>
      <c r="B54" s="183"/>
      <c r="C54" s="133" t="s">
        <v>148</v>
      </c>
      <c r="D54" s="125" t="s">
        <v>232</v>
      </c>
      <c r="E54" s="126">
        <v>520</v>
      </c>
      <c r="F54" s="127" t="s">
        <v>333</v>
      </c>
      <c r="G54" s="128">
        <f t="shared" si="0"/>
        <v>200651786</v>
      </c>
      <c r="H54" s="129">
        <f>+[4]SP!$F8</f>
        <v>329420000</v>
      </c>
      <c r="I54" s="129">
        <f t="shared" si="13"/>
        <v>128768214</v>
      </c>
      <c r="J54" s="128"/>
      <c r="K54" s="128">
        <v>105825893</v>
      </c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>
        <f t="shared" si="7"/>
        <v>94825893</v>
      </c>
      <c r="AG54" s="128"/>
      <c r="AH54" s="128">
        <v>10000000</v>
      </c>
      <c r="AI54" s="128">
        <v>20000000</v>
      </c>
      <c r="AJ54" s="128">
        <v>30000000</v>
      </c>
      <c r="AK54" s="128">
        <v>6825893</v>
      </c>
      <c r="AL54" s="128">
        <v>8000000</v>
      </c>
      <c r="AM54" s="128">
        <v>20000000</v>
      </c>
    </row>
    <row r="55" spans="1:39" s="146" customFormat="1" ht="28.9" customHeight="1" x14ac:dyDescent="0.25">
      <c r="A55" s="193"/>
      <c r="B55" s="176" t="s">
        <v>233</v>
      </c>
      <c r="C55" s="140" t="s">
        <v>149</v>
      </c>
      <c r="D55" s="141" t="s">
        <v>70</v>
      </c>
      <c r="E55" s="142">
        <v>520</v>
      </c>
      <c r="F55" s="143" t="s">
        <v>124</v>
      </c>
      <c r="G55" s="144">
        <f t="shared" si="0"/>
        <v>80000000</v>
      </c>
      <c r="H55" s="145">
        <f>+[4]SP!$F$14+[4]SP!$F$17</f>
        <v>406000000</v>
      </c>
      <c r="I55" s="145">
        <f t="shared" si="13"/>
        <v>326000000</v>
      </c>
      <c r="J55" s="144"/>
      <c r="K55" s="144">
        <f>80000000</f>
        <v>80000000</v>
      </c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>
        <f t="shared" si="7"/>
        <v>0</v>
      </c>
      <c r="AG55" s="144"/>
      <c r="AH55" s="144"/>
      <c r="AI55" s="144"/>
      <c r="AJ55" s="144"/>
      <c r="AK55" s="144"/>
      <c r="AL55" s="144"/>
      <c r="AM55" s="144"/>
    </row>
    <row r="56" spans="1:39" s="146" customFormat="1" ht="21" customHeight="1" x14ac:dyDescent="0.25">
      <c r="A56" s="193"/>
      <c r="B56" s="177"/>
      <c r="C56" s="140" t="s">
        <v>234</v>
      </c>
      <c r="D56" s="141" t="s">
        <v>71</v>
      </c>
      <c r="E56" s="142">
        <v>520</v>
      </c>
      <c r="F56" s="143" t="s">
        <v>124</v>
      </c>
      <c r="G56" s="144">
        <f t="shared" si="0"/>
        <v>40000000</v>
      </c>
      <c r="H56" s="145">
        <f>+[4]SP!$F$18</f>
        <v>144500000</v>
      </c>
      <c r="I56" s="145">
        <f t="shared" si="13"/>
        <v>104500000</v>
      </c>
      <c r="J56" s="144"/>
      <c r="K56" s="144">
        <v>40000000</v>
      </c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>
        <f t="shared" si="7"/>
        <v>0</v>
      </c>
      <c r="AG56" s="144"/>
      <c r="AH56" s="144"/>
      <c r="AI56" s="144"/>
      <c r="AJ56" s="144"/>
      <c r="AK56" s="144"/>
      <c r="AL56" s="144"/>
      <c r="AM56" s="144"/>
    </row>
    <row r="57" spans="1:39" s="146" customFormat="1" ht="33.6" customHeight="1" x14ac:dyDescent="0.25">
      <c r="A57" s="193"/>
      <c r="B57" s="177"/>
      <c r="C57" s="140" t="s">
        <v>235</v>
      </c>
      <c r="D57" s="141" t="s">
        <v>241</v>
      </c>
      <c r="E57" s="142">
        <v>520</v>
      </c>
      <c r="F57" s="143" t="s">
        <v>124</v>
      </c>
      <c r="G57" s="144">
        <f t="shared" si="0"/>
        <v>0</v>
      </c>
      <c r="H57" s="145">
        <f>+[4]SP!$F$21</f>
        <v>0</v>
      </c>
      <c r="I57" s="145">
        <f t="shared" si="13"/>
        <v>0</v>
      </c>
      <c r="J57" s="144"/>
      <c r="K57" s="144">
        <v>0</v>
      </c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>
        <f t="shared" si="7"/>
        <v>0</v>
      </c>
      <c r="AG57" s="144"/>
      <c r="AH57" s="144"/>
      <c r="AI57" s="144"/>
      <c r="AJ57" s="144"/>
      <c r="AK57" s="144"/>
      <c r="AL57" s="144"/>
      <c r="AM57" s="144"/>
    </row>
    <row r="58" spans="1:39" s="146" customFormat="1" ht="23.25" customHeight="1" x14ac:dyDescent="0.25">
      <c r="A58" s="193"/>
      <c r="B58" s="177"/>
      <c r="C58" s="140" t="s">
        <v>237</v>
      </c>
      <c r="D58" s="141" t="s">
        <v>72</v>
      </c>
      <c r="E58" s="142">
        <v>520</v>
      </c>
      <c r="F58" s="143" t="s">
        <v>124</v>
      </c>
      <c r="G58" s="144">
        <f t="shared" si="0"/>
        <v>25000000</v>
      </c>
      <c r="H58" s="145">
        <f>+[4]SP!$F$22</f>
        <v>57321000</v>
      </c>
      <c r="I58" s="145">
        <f t="shared" si="13"/>
        <v>32321000</v>
      </c>
      <c r="J58" s="144"/>
      <c r="K58" s="144">
        <v>25000000</v>
      </c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>
        <f t="shared" si="7"/>
        <v>0</v>
      </c>
      <c r="AG58" s="144"/>
      <c r="AH58" s="144"/>
      <c r="AI58" s="144"/>
      <c r="AJ58" s="144"/>
      <c r="AK58" s="144"/>
      <c r="AL58" s="144"/>
      <c r="AM58" s="144"/>
    </row>
    <row r="59" spans="1:39" s="146" customFormat="1" ht="29.25" customHeight="1" x14ac:dyDescent="0.25">
      <c r="A59" s="193"/>
      <c r="B59" s="177"/>
      <c r="C59" s="140" t="s">
        <v>236</v>
      </c>
      <c r="D59" s="141" t="s">
        <v>242</v>
      </c>
      <c r="E59" s="142">
        <v>520</v>
      </c>
      <c r="F59" s="143" t="s">
        <v>124</v>
      </c>
      <c r="G59" s="144">
        <f t="shared" si="0"/>
        <v>10000000</v>
      </c>
      <c r="H59" s="145">
        <f>+[4]SP!$F$23</f>
        <v>36144000</v>
      </c>
      <c r="I59" s="145">
        <f t="shared" si="13"/>
        <v>26144000</v>
      </c>
      <c r="J59" s="144"/>
      <c r="K59" s="144">
        <v>10000000</v>
      </c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4">
        <f t="shared" si="7"/>
        <v>0</v>
      </c>
      <c r="AG59" s="144"/>
      <c r="AH59" s="144"/>
      <c r="AI59" s="144"/>
      <c r="AJ59" s="144"/>
      <c r="AK59" s="144"/>
      <c r="AL59" s="144"/>
      <c r="AM59" s="144"/>
    </row>
    <row r="60" spans="1:39" s="146" customFormat="1" ht="19.899999999999999" customHeight="1" x14ac:dyDescent="0.25">
      <c r="A60" s="193"/>
      <c r="B60" s="177"/>
      <c r="C60" s="140" t="s">
        <v>238</v>
      </c>
      <c r="D60" s="141" t="s">
        <v>243</v>
      </c>
      <c r="E60" s="142">
        <v>520</v>
      </c>
      <c r="F60" s="143" t="s">
        <v>124</v>
      </c>
      <c r="G60" s="144">
        <f t="shared" si="0"/>
        <v>54000000</v>
      </c>
      <c r="H60" s="145">
        <f>+[4]SP!$F$24</f>
        <v>85000000</v>
      </c>
      <c r="I60" s="145">
        <f t="shared" si="13"/>
        <v>31000000</v>
      </c>
      <c r="J60" s="144"/>
      <c r="K60" s="144">
        <v>54000000</v>
      </c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>
        <f t="shared" si="7"/>
        <v>0</v>
      </c>
      <c r="AG60" s="144"/>
      <c r="AH60" s="144"/>
      <c r="AI60" s="144"/>
      <c r="AJ60" s="144"/>
      <c r="AK60" s="144"/>
      <c r="AL60" s="144"/>
      <c r="AM60" s="144"/>
    </row>
    <row r="61" spans="1:39" s="146" customFormat="1" ht="16.899999999999999" customHeight="1" x14ac:dyDescent="0.25">
      <c r="A61" s="193"/>
      <c r="B61" s="177"/>
      <c r="C61" s="140" t="s">
        <v>239</v>
      </c>
      <c r="D61" s="141" t="s">
        <v>73</v>
      </c>
      <c r="E61" s="142">
        <v>520</v>
      </c>
      <c r="F61" s="143" t="s">
        <v>124</v>
      </c>
      <c r="G61" s="144">
        <f t="shared" si="0"/>
        <v>80407500</v>
      </c>
      <c r="H61" s="145">
        <f>+[4]SP!$F$29</f>
        <v>168000000</v>
      </c>
      <c r="I61" s="145">
        <f t="shared" si="13"/>
        <v>87592500</v>
      </c>
      <c r="J61" s="144"/>
      <c r="K61" s="144">
        <f>64000000+16407500</f>
        <v>80407500</v>
      </c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>
        <f t="shared" si="7"/>
        <v>0</v>
      </c>
      <c r="AG61" s="144"/>
      <c r="AH61" s="144"/>
      <c r="AI61" s="144"/>
      <c r="AJ61" s="144"/>
      <c r="AK61" s="144"/>
      <c r="AL61" s="144"/>
      <c r="AM61" s="144"/>
    </row>
    <row r="62" spans="1:39" s="146" customFormat="1" ht="19.149999999999999" customHeight="1" x14ac:dyDescent="0.25">
      <c r="A62" s="193"/>
      <c r="B62" s="183"/>
      <c r="C62" s="140" t="s">
        <v>240</v>
      </c>
      <c r="D62" s="141" t="s">
        <v>74</v>
      </c>
      <c r="E62" s="142">
        <v>520</v>
      </c>
      <c r="F62" s="143" t="s">
        <v>124</v>
      </c>
      <c r="G62" s="144">
        <f t="shared" si="0"/>
        <v>30000000</v>
      </c>
      <c r="H62" s="145">
        <f>+[4]SP!$F$31</f>
        <v>76000000</v>
      </c>
      <c r="I62" s="145">
        <f t="shared" si="13"/>
        <v>46000000</v>
      </c>
      <c r="J62" s="144"/>
      <c r="K62" s="144">
        <v>30000000</v>
      </c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>
        <f t="shared" si="7"/>
        <v>0</v>
      </c>
      <c r="AG62" s="144"/>
      <c r="AH62" s="144"/>
      <c r="AI62" s="144"/>
      <c r="AJ62" s="144"/>
      <c r="AK62" s="144"/>
      <c r="AL62" s="144"/>
      <c r="AM62" s="144"/>
    </row>
    <row r="63" spans="1:39" s="146" customFormat="1" ht="54" customHeight="1" x14ac:dyDescent="0.25">
      <c r="A63" s="193"/>
      <c r="B63" s="176" t="s">
        <v>244</v>
      </c>
      <c r="C63" s="140" t="s">
        <v>150</v>
      </c>
      <c r="D63" s="141" t="s">
        <v>75</v>
      </c>
      <c r="E63" s="142">
        <v>520</v>
      </c>
      <c r="F63" s="143" t="s">
        <v>334</v>
      </c>
      <c r="G63" s="144">
        <f t="shared" si="0"/>
        <v>394189478</v>
      </c>
      <c r="H63" s="145">
        <f>+[4]SP!$F$40+[4]SP!$F$41+[4]SP!$F$42</f>
        <v>1250000000</v>
      </c>
      <c r="I63" s="145">
        <f t="shared" si="13"/>
        <v>855810522</v>
      </c>
      <c r="J63" s="147"/>
      <c r="K63" s="144">
        <f>50000000+25885908</f>
        <v>75885908</v>
      </c>
      <c r="L63" s="144"/>
      <c r="M63" s="144"/>
      <c r="N63" s="147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>
        <f t="shared" si="7"/>
        <v>318303570</v>
      </c>
      <c r="AG63" s="144">
        <v>60000000</v>
      </c>
      <c r="AH63" s="144"/>
      <c r="AI63" s="144">
        <v>100000000</v>
      </c>
      <c r="AJ63" s="144">
        <v>104000000</v>
      </c>
      <c r="AK63" s="144">
        <v>27303570</v>
      </c>
      <c r="AL63" s="144">
        <v>27000000</v>
      </c>
      <c r="AM63" s="144"/>
    </row>
    <row r="64" spans="1:39" s="146" customFormat="1" ht="21" customHeight="1" x14ac:dyDescent="0.25">
      <c r="A64" s="193"/>
      <c r="B64" s="177"/>
      <c r="C64" s="140" t="s">
        <v>151</v>
      </c>
      <c r="D64" s="141" t="s">
        <v>245</v>
      </c>
      <c r="E64" s="142">
        <v>520</v>
      </c>
      <c r="F64" s="143" t="s">
        <v>124</v>
      </c>
      <c r="G64" s="144">
        <f t="shared" si="0"/>
        <v>0</v>
      </c>
      <c r="H64" s="148">
        <f>+[4]SP!$F$43+[4]SP!$F$45+[4]SP!$F$47</f>
        <v>888000000</v>
      </c>
      <c r="I64" s="145">
        <f t="shared" si="13"/>
        <v>888000000</v>
      </c>
      <c r="J64" s="149"/>
      <c r="K64" s="144"/>
      <c r="L64" s="147"/>
      <c r="M64" s="147"/>
      <c r="N64" s="147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>
        <f t="shared" si="7"/>
        <v>0</v>
      </c>
      <c r="AG64" s="144"/>
      <c r="AH64" s="144"/>
      <c r="AI64" s="144"/>
      <c r="AJ64" s="144"/>
      <c r="AK64" s="144"/>
      <c r="AL64" s="144"/>
      <c r="AM64" s="144"/>
    </row>
    <row r="65" spans="1:39" s="146" customFormat="1" ht="24" customHeight="1" x14ac:dyDescent="0.25">
      <c r="A65" s="193"/>
      <c r="B65" s="177"/>
      <c r="C65" s="140" t="s">
        <v>152</v>
      </c>
      <c r="D65" s="141" t="s">
        <v>76</v>
      </c>
      <c r="E65" s="142">
        <v>520</v>
      </c>
      <c r="F65" s="143" t="s">
        <v>335</v>
      </c>
      <c r="G65" s="144">
        <f t="shared" si="0"/>
        <v>69000000</v>
      </c>
      <c r="H65" s="145">
        <f>+[4]SP!$F$49</f>
        <v>420000000</v>
      </c>
      <c r="I65" s="145">
        <f t="shared" si="13"/>
        <v>351000000</v>
      </c>
      <c r="J65" s="147"/>
      <c r="K65" s="144">
        <f>25885908-25885908</f>
        <v>0</v>
      </c>
      <c r="L65" s="147"/>
      <c r="M65" s="147"/>
      <c r="N65" s="147"/>
      <c r="O65" s="147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>
        <f t="shared" si="7"/>
        <v>69000000</v>
      </c>
      <c r="AG65" s="144"/>
      <c r="AH65" s="144"/>
      <c r="AI65" s="144">
        <v>59000000</v>
      </c>
      <c r="AJ65" s="144">
        <v>10000000</v>
      </c>
      <c r="AK65" s="144"/>
      <c r="AL65" s="144"/>
      <c r="AM65" s="144"/>
    </row>
    <row r="66" spans="1:39" s="146" customFormat="1" ht="21" customHeight="1" x14ac:dyDescent="0.25">
      <c r="A66" s="193"/>
      <c r="B66" s="177"/>
      <c r="C66" s="140" t="s">
        <v>153</v>
      </c>
      <c r="D66" s="141" t="s">
        <v>246</v>
      </c>
      <c r="E66" s="142">
        <v>520</v>
      </c>
      <c r="F66" s="143" t="s">
        <v>124</v>
      </c>
      <c r="G66" s="144">
        <f t="shared" si="0"/>
        <v>1500000000</v>
      </c>
      <c r="H66" s="145">
        <f>+[4]SP!$F$51</f>
        <v>1530000000</v>
      </c>
      <c r="I66" s="145">
        <f t="shared" si="13"/>
        <v>30000000</v>
      </c>
      <c r="J66" s="147"/>
      <c r="K66" s="144"/>
      <c r="L66" s="147"/>
      <c r="M66" s="147"/>
      <c r="N66" s="147"/>
      <c r="O66" s="147"/>
      <c r="P66" s="144"/>
      <c r="Q66" s="144"/>
      <c r="R66" s="144"/>
      <c r="S66" s="144"/>
      <c r="T66" s="144"/>
      <c r="U66" s="144"/>
      <c r="V66" s="144"/>
      <c r="W66" s="144"/>
      <c r="X66" s="144"/>
      <c r="Y66" s="144">
        <v>1500000000</v>
      </c>
      <c r="Z66" s="144"/>
      <c r="AA66" s="144"/>
      <c r="AB66" s="144"/>
      <c r="AC66" s="144"/>
      <c r="AD66" s="144"/>
      <c r="AE66" s="144"/>
      <c r="AF66" s="144">
        <f t="shared" si="7"/>
        <v>0</v>
      </c>
      <c r="AG66" s="144"/>
      <c r="AH66" s="144"/>
      <c r="AI66" s="144"/>
      <c r="AJ66" s="144"/>
      <c r="AK66" s="144"/>
      <c r="AL66" s="144"/>
      <c r="AM66" s="144"/>
    </row>
    <row r="67" spans="1:39" s="146" customFormat="1" ht="26.45" customHeight="1" x14ac:dyDescent="0.25">
      <c r="A67" s="193"/>
      <c r="B67" s="183"/>
      <c r="C67" s="140" t="s">
        <v>154</v>
      </c>
      <c r="D67" s="141" t="s">
        <v>247</v>
      </c>
      <c r="E67" s="142">
        <v>520</v>
      </c>
      <c r="F67" s="143" t="s">
        <v>336</v>
      </c>
      <c r="G67" s="144">
        <f t="shared" si="0"/>
        <v>53000000</v>
      </c>
      <c r="H67" s="145">
        <f>+[4]SP!$F$53</f>
        <v>200000000</v>
      </c>
      <c r="I67" s="145">
        <f t="shared" si="13"/>
        <v>147000000</v>
      </c>
      <c r="J67" s="147"/>
      <c r="K67" s="144">
        <v>50000000</v>
      </c>
      <c r="L67" s="144"/>
      <c r="M67" s="144"/>
      <c r="N67" s="147"/>
      <c r="O67" s="147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4"/>
      <c r="AC67" s="144"/>
      <c r="AD67" s="144"/>
      <c r="AE67" s="144"/>
      <c r="AF67" s="144">
        <f t="shared" si="7"/>
        <v>3000000</v>
      </c>
      <c r="AG67" s="144"/>
      <c r="AH67" s="144"/>
      <c r="AI67" s="144"/>
      <c r="AJ67" s="144">
        <v>3000000</v>
      </c>
      <c r="AK67" s="144"/>
      <c r="AL67" s="144"/>
      <c r="AM67" s="144"/>
    </row>
    <row r="68" spans="1:39" s="146" customFormat="1" ht="19.149999999999999" customHeight="1" x14ac:dyDescent="0.25">
      <c r="A68" s="192" t="s">
        <v>144</v>
      </c>
      <c r="B68" s="176" t="s">
        <v>317</v>
      </c>
      <c r="C68" s="140" t="s">
        <v>155</v>
      </c>
      <c r="D68" s="141" t="s">
        <v>77</v>
      </c>
      <c r="E68" s="142">
        <v>520</v>
      </c>
      <c r="F68" s="143" t="s">
        <v>124</v>
      </c>
      <c r="G68" s="144">
        <f t="shared" si="0"/>
        <v>70000000</v>
      </c>
      <c r="H68" s="145">
        <f>+[4]SP!$F$59</f>
        <v>154600000</v>
      </c>
      <c r="I68" s="145">
        <f t="shared" si="13"/>
        <v>84600000</v>
      </c>
      <c r="J68" s="147"/>
      <c r="K68" s="144">
        <v>70000000</v>
      </c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  <c r="AC68" s="144"/>
      <c r="AD68" s="144"/>
      <c r="AE68" s="144"/>
      <c r="AF68" s="144">
        <f t="shared" si="7"/>
        <v>0</v>
      </c>
      <c r="AG68" s="144"/>
      <c r="AH68" s="144"/>
      <c r="AI68" s="144"/>
      <c r="AJ68" s="144"/>
      <c r="AK68" s="144"/>
      <c r="AL68" s="144"/>
      <c r="AM68" s="144"/>
    </row>
    <row r="69" spans="1:39" s="146" customFormat="1" ht="20.45" customHeight="1" x14ac:dyDescent="0.25">
      <c r="A69" s="193"/>
      <c r="B69" s="177"/>
      <c r="C69" s="140" t="s">
        <v>156</v>
      </c>
      <c r="D69" s="141" t="s">
        <v>78</v>
      </c>
      <c r="E69" s="142">
        <v>520</v>
      </c>
      <c r="F69" s="143" t="s">
        <v>124</v>
      </c>
      <c r="G69" s="144">
        <f t="shared" si="0"/>
        <v>60000000</v>
      </c>
      <c r="H69" s="145">
        <f>+[4]SP!$F$62</f>
        <v>148300000</v>
      </c>
      <c r="I69" s="145">
        <f t="shared" si="13"/>
        <v>88300000</v>
      </c>
      <c r="J69" s="147"/>
      <c r="K69" s="144">
        <v>60000000</v>
      </c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9"/>
      <c r="AA69" s="144"/>
      <c r="AB69" s="144"/>
      <c r="AC69" s="144"/>
      <c r="AD69" s="144"/>
      <c r="AE69" s="144"/>
      <c r="AF69" s="144">
        <f t="shared" si="7"/>
        <v>0</v>
      </c>
      <c r="AG69" s="144"/>
      <c r="AH69" s="144"/>
      <c r="AI69" s="144"/>
      <c r="AJ69" s="144"/>
      <c r="AK69" s="144"/>
      <c r="AL69" s="144"/>
      <c r="AM69" s="144"/>
    </row>
    <row r="70" spans="1:39" s="146" customFormat="1" ht="17.45" customHeight="1" x14ac:dyDescent="0.25">
      <c r="A70" s="193"/>
      <c r="B70" s="177"/>
      <c r="C70" s="140" t="s">
        <v>248</v>
      </c>
      <c r="D70" s="141" t="s">
        <v>79</v>
      </c>
      <c r="E70" s="142">
        <v>520</v>
      </c>
      <c r="F70" s="143" t="s">
        <v>124</v>
      </c>
      <c r="G70" s="144">
        <f t="shared" si="0"/>
        <v>50000000</v>
      </c>
      <c r="H70" s="145">
        <f>+[4]SP!$F$63</f>
        <v>90200000</v>
      </c>
      <c r="I70" s="145">
        <f t="shared" si="13"/>
        <v>40200000</v>
      </c>
      <c r="J70" s="147"/>
      <c r="K70" s="144">
        <v>50000000</v>
      </c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9"/>
      <c r="AA70" s="144"/>
      <c r="AB70" s="144"/>
      <c r="AC70" s="144"/>
      <c r="AD70" s="144"/>
      <c r="AE70" s="144"/>
      <c r="AF70" s="144">
        <f t="shared" si="7"/>
        <v>0</v>
      </c>
      <c r="AG70" s="144"/>
      <c r="AH70" s="144"/>
      <c r="AI70" s="144"/>
      <c r="AJ70" s="144"/>
      <c r="AK70" s="144"/>
      <c r="AL70" s="144"/>
      <c r="AM70" s="144"/>
    </row>
    <row r="71" spans="1:39" s="146" customFormat="1" ht="37.5" customHeight="1" x14ac:dyDescent="0.25">
      <c r="A71" s="193"/>
      <c r="B71" s="177"/>
      <c r="C71" s="140" t="s">
        <v>249</v>
      </c>
      <c r="D71" s="141" t="s">
        <v>250</v>
      </c>
      <c r="E71" s="142">
        <v>520</v>
      </c>
      <c r="F71" s="143" t="s">
        <v>337</v>
      </c>
      <c r="G71" s="144">
        <f t="shared" ref="G71:G76" si="14">SUM(J71:AF71)</f>
        <v>129967784</v>
      </c>
      <c r="H71" s="145">
        <f>+[4]SP!$F$64</f>
        <v>167900000</v>
      </c>
      <c r="I71" s="145">
        <f t="shared" si="13"/>
        <v>37932216</v>
      </c>
      <c r="J71" s="147"/>
      <c r="K71" s="144">
        <v>65055559</v>
      </c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9"/>
      <c r="AA71" s="144"/>
      <c r="AB71" s="144"/>
      <c r="AC71" s="144"/>
      <c r="AD71" s="144"/>
      <c r="AE71" s="144"/>
      <c r="AF71" s="144">
        <f t="shared" si="7"/>
        <v>64912225</v>
      </c>
      <c r="AG71" s="144"/>
      <c r="AH71" s="144">
        <v>15000000</v>
      </c>
      <c r="AI71" s="144"/>
      <c r="AJ71" s="144">
        <v>30812637</v>
      </c>
      <c r="AK71" s="144"/>
      <c r="AL71" s="144">
        <v>14099588</v>
      </c>
      <c r="AM71" s="144">
        <v>5000000</v>
      </c>
    </row>
    <row r="72" spans="1:39" s="93" customFormat="1" ht="28.15" customHeight="1" x14ac:dyDescent="0.25">
      <c r="A72" s="193"/>
      <c r="B72" s="176" t="s">
        <v>251</v>
      </c>
      <c r="C72" s="150" t="s">
        <v>157</v>
      </c>
      <c r="D72" s="88" t="s">
        <v>255</v>
      </c>
      <c r="E72" s="89">
        <v>520</v>
      </c>
      <c r="F72" s="90" t="s">
        <v>124</v>
      </c>
      <c r="G72" s="91">
        <f t="shared" si="14"/>
        <v>130000000</v>
      </c>
      <c r="H72" s="92">
        <f>+[4]SP!$F71</f>
        <v>130000000</v>
      </c>
      <c r="I72" s="92">
        <f t="shared" si="13"/>
        <v>0</v>
      </c>
      <c r="J72" s="151"/>
      <c r="K72" s="91">
        <v>130000000</v>
      </c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152"/>
      <c r="AA72" s="91"/>
      <c r="AB72" s="91"/>
      <c r="AC72" s="91"/>
      <c r="AD72" s="91"/>
      <c r="AE72" s="91"/>
      <c r="AF72" s="91">
        <f t="shared" si="7"/>
        <v>0</v>
      </c>
      <c r="AG72" s="91"/>
      <c r="AH72" s="91"/>
      <c r="AI72" s="91"/>
      <c r="AJ72" s="91"/>
      <c r="AK72" s="91"/>
      <c r="AL72" s="91"/>
      <c r="AM72" s="91"/>
    </row>
    <row r="73" spans="1:39" s="93" customFormat="1" ht="28.15" customHeight="1" x14ac:dyDescent="0.25">
      <c r="A73" s="193"/>
      <c r="B73" s="177"/>
      <c r="C73" s="150" t="s">
        <v>252</v>
      </c>
      <c r="D73" s="153" t="s">
        <v>353</v>
      </c>
      <c r="E73" s="89">
        <v>520</v>
      </c>
      <c r="F73" s="90" t="s">
        <v>124</v>
      </c>
      <c r="G73" s="91">
        <f t="shared" si="14"/>
        <v>10000000</v>
      </c>
      <c r="H73" s="92">
        <f>+[4]SP!$F72</f>
        <v>10000000</v>
      </c>
      <c r="I73" s="92">
        <f t="shared" si="13"/>
        <v>0</v>
      </c>
      <c r="J73" s="151"/>
      <c r="K73" s="91">
        <v>10000000</v>
      </c>
      <c r="L73" s="152"/>
      <c r="M73" s="152"/>
      <c r="N73" s="152"/>
      <c r="O73" s="152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152"/>
      <c r="AA73" s="91"/>
      <c r="AB73" s="91"/>
      <c r="AC73" s="91"/>
      <c r="AD73" s="91"/>
      <c r="AE73" s="91"/>
      <c r="AF73" s="91">
        <f t="shared" si="7"/>
        <v>0</v>
      </c>
      <c r="AG73" s="91"/>
      <c r="AH73" s="91"/>
      <c r="AI73" s="91"/>
      <c r="AJ73" s="91"/>
      <c r="AK73" s="91"/>
      <c r="AL73" s="91"/>
      <c r="AM73" s="91"/>
    </row>
    <row r="74" spans="1:39" s="93" customFormat="1" ht="33" customHeight="1" x14ac:dyDescent="0.25">
      <c r="A74" s="193"/>
      <c r="B74" s="177"/>
      <c r="C74" s="150" t="s">
        <v>253</v>
      </c>
      <c r="D74" s="153" t="s">
        <v>80</v>
      </c>
      <c r="E74" s="89">
        <v>520</v>
      </c>
      <c r="F74" s="90" t="s">
        <v>124</v>
      </c>
      <c r="G74" s="91">
        <f t="shared" si="14"/>
        <v>8000000</v>
      </c>
      <c r="H74" s="92">
        <f>+[4]SP!$F73</f>
        <v>8000000</v>
      </c>
      <c r="I74" s="92">
        <f t="shared" si="13"/>
        <v>0</v>
      </c>
      <c r="J74" s="151"/>
      <c r="K74" s="91">
        <v>8000000</v>
      </c>
      <c r="L74" s="152"/>
      <c r="M74" s="152"/>
      <c r="N74" s="152"/>
      <c r="O74" s="152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152"/>
      <c r="AA74" s="91"/>
      <c r="AB74" s="91"/>
      <c r="AC74" s="91"/>
      <c r="AD74" s="91"/>
      <c r="AE74" s="91"/>
      <c r="AF74" s="91">
        <f t="shared" si="7"/>
        <v>0</v>
      </c>
      <c r="AG74" s="91"/>
      <c r="AH74" s="91"/>
      <c r="AI74" s="91"/>
      <c r="AJ74" s="91"/>
      <c r="AK74" s="91"/>
      <c r="AL74" s="91"/>
      <c r="AM74" s="91"/>
    </row>
    <row r="75" spans="1:39" s="93" customFormat="1" ht="30" customHeight="1" x14ac:dyDescent="0.25">
      <c r="A75" s="193"/>
      <c r="B75" s="183"/>
      <c r="C75" s="150" t="s">
        <v>254</v>
      </c>
      <c r="D75" s="153" t="s">
        <v>256</v>
      </c>
      <c r="E75" s="89">
        <v>520</v>
      </c>
      <c r="F75" s="90" t="s">
        <v>124</v>
      </c>
      <c r="G75" s="91">
        <f>SUM(J75:AF75)</f>
        <v>25000000</v>
      </c>
      <c r="H75" s="92">
        <f>+[4]SP!$F74</f>
        <v>25000000</v>
      </c>
      <c r="I75" s="92">
        <f t="shared" si="13"/>
        <v>0</v>
      </c>
      <c r="J75" s="151"/>
      <c r="K75" s="91">
        <v>25000000</v>
      </c>
      <c r="L75" s="152"/>
      <c r="M75" s="152"/>
      <c r="N75" s="152"/>
      <c r="O75" s="152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152"/>
      <c r="AA75" s="91"/>
      <c r="AB75" s="91"/>
      <c r="AC75" s="91"/>
      <c r="AD75" s="91"/>
      <c r="AE75" s="91"/>
      <c r="AF75" s="91">
        <f t="shared" si="7"/>
        <v>0</v>
      </c>
      <c r="AG75" s="91"/>
      <c r="AH75" s="91"/>
      <c r="AI75" s="91"/>
      <c r="AJ75" s="91"/>
      <c r="AK75" s="91"/>
      <c r="AL75" s="91"/>
      <c r="AM75" s="91"/>
    </row>
    <row r="76" spans="1:39" s="93" customFormat="1" ht="22.15" customHeight="1" x14ac:dyDescent="0.25">
      <c r="A76" s="193"/>
      <c r="B76" s="154" t="s">
        <v>257</v>
      </c>
      <c r="C76" s="150" t="s">
        <v>158</v>
      </c>
      <c r="D76" s="154" t="s">
        <v>258</v>
      </c>
      <c r="E76" s="89">
        <v>520</v>
      </c>
      <c r="F76" s="90" t="s">
        <v>124</v>
      </c>
      <c r="G76" s="91">
        <f t="shared" si="14"/>
        <v>100000000</v>
      </c>
      <c r="H76" s="92">
        <f>+[4]SP!$F$80</f>
        <v>173643500</v>
      </c>
      <c r="I76" s="92">
        <f t="shared" si="13"/>
        <v>73643500</v>
      </c>
      <c r="J76" s="151"/>
      <c r="K76" s="91">
        <v>100000000</v>
      </c>
      <c r="L76" s="152"/>
      <c r="M76" s="152"/>
      <c r="N76" s="155"/>
      <c r="O76" s="152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2"/>
      <c r="AA76" s="91"/>
      <c r="AB76" s="91"/>
      <c r="AC76" s="151"/>
      <c r="AD76" s="151"/>
      <c r="AE76" s="151"/>
      <c r="AF76" s="91">
        <f t="shared" si="7"/>
        <v>0</v>
      </c>
      <c r="AG76" s="91"/>
      <c r="AH76" s="91"/>
      <c r="AI76" s="91"/>
      <c r="AJ76" s="91"/>
      <c r="AK76" s="91"/>
      <c r="AL76" s="91"/>
      <c r="AM76" s="91"/>
    </row>
    <row r="77" spans="1:39" s="5" customFormat="1" ht="16.899999999999999" customHeight="1" thickBot="1" x14ac:dyDescent="0.3">
      <c r="A77" s="9"/>
      <c r="B77" s="194" t="s">
        <v>159</v>
      </c>
      <c r="C77" s="195"/>
      <c r="D77" s="195"/>
      <c r="E77" s="195"/>
      <c r="F77" s="196"/>
      <c r="G77" s="8">
        <f t="shared" ref="G77:AF77" si="15">SUM(G51:G76)</f>
        <v>3240890655</v>
      </c>
      <c r="H77" s="46">
        <f t="shared" si="15"/>
        <v>6638028500</v>
      </c>
      <c r="I77" s="46">
        <f t="shared" si="15"/>
        <v>3397137845</v>
      </c>
      <c r="J77" s="8">
        <f t="shared" si="15"/>
        <v>0</v>
      </c>
      <c r="K77" s="8">
        <f t="shared" si="15"/>
        <v>1164848967</v>
      </c>
      <c r="L77" s="8">
        <f t="shared" si="15"/>
        <v>0</v>
      </c>
      <c r="M77" s="8">
        <f t="shared" si="15"/>
        <v>0</v>
      </c>
      <c r="N77" s="8">
        <f t="shared" si="15"/>
        <v>0</v>
      </c>
      <c r="O77" s="8">
        <f t="shared" si="15"/>
        <v>0</v>
      </c>
      <c r="P77" s="8">
        <f t="shared" si="15"/>
        <v>0</v>
      </c>
      <c r="Q77" s="8">
        <f t="shared" si="15"/>
        <v>0</v>
      </c>
      <c r="R77" s="8">
        <f t="shared" si="15"/>
        <v>0</v>
      </c>
      <c r="S77" s="8">
        <f t="shared" si="15"/>
        <v>0</v>
      </c>
      <c r="T77" s="8">
        <f t="shared" si="15"/>
        <v>0</v>
      </c>
      <c r="U77" s="8">
        <f t="shared" si="15"/>
        <v>0</v>
      </c>
      <c r="V77" s="8">
        <f t="shared" si="15"/>
        <v>0</v>
      </c>
      <c r="W77" s="8">
        <f t="shared" si="15"/>
        <v>0</v>
      </c>
      <c r="X77" s="8">
        <f t="shared" si="15"/>
        <v>0</v>
      </c>
      <c r="Y77" s="8">
        <f t="shared" si="15"/>
        <v>1500000000</v>
      </c>
      <c r="Z77" s="8">
        <f t="shared" si="15"/>
        <v>0</v>
      </c>
      <c r="AA77" s="8">
        <f t="shared" si="15"/>
        <v>0</v>
      </c>
      <c r="AB77" s="8">
        <f t="shared" si="15"/>
        <v>0</v>
      </c>
      <c r="AC77" s="8">
        <f t="shared" si="15"/>
        <v>0</v>
      </c>
      <c r="AD77" s="8">
        <f t="shared" si="15"/>
        <v>0</v>
      </c>
      <c r="AE77" s="8">
        <f t="shared" si="15"/>
        <v>0</v>
      </c>
      <c r="AF77" s="8">
        <f t="shared" si="15"/>
        <v>576041688</v>
      </c>
      <c r="AG77" s="8">
        <f t="shared" ref="AG77:AM77" si="16">SUM(AG51:AG76)</f>
        <v>60000000</v>
      </c>
      <c r="AH77" s="8">
        <f t="shared" si="16"/>
        <v>25000000</v>
      </c>
      <c r="AI77" s="8">
        <f t="shared" si="16"/>
        <v>205000000</v>
      </c>
      <c r="AJ77" s="8">
        <f t="shared" si="16"/>
        <v>177812637</v>
      </c>
      <c r="AK77" s="8">
        <f t="shared" si="16"/>
        <v>34129463</v>
      </c>
      <c r="AL77" s="8">
        <f t="shared" si="16"/>
        <v>49099588</v>
      </c>
      <c r="AM77" s="8">
        <f t="shared" si="16"/>
        <v>25000000</v>
      </c>
    </row>
    <row r="78" spans="1:39" s="93" customFormat="1" ht="26.25" customHeight="1" thickTop="1" x14ac:dyDescent="0.25">
      <c r="A78" s="187" t="s">
        <v>160</v>
      </c>
      <c r="B78" s="190" t="s">
        <v>161</v>
      </c>
      <c r="C78" s="111" t="s">
        <v>162</v>
      </c>
      <c r="D78" s="88" t="s">
        <v>35</v>
      </c>
      <c r="E78" s="89">
        <v>301</v>
      </c>
      <c r="F78" s="90" t="s">
        <v>163</v>
      </c>
      <c r="G78" s="91">
        <f t="shared" ref="G78:G96" si="17">SUM(J78:AF78)</f>
        <v>75000000</v>
      </c>
      <c r="H78" s="92">
        <f>+'[5]SB 2020 2024'!$F$5</f>
        <v>120000000</v>
      </c>
      <c r="I78" s="92">
        <f>+H78-G78</f>
        <v>45000000</v>
      </c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>
        <v>75000000</v>
      </c>
      <c r="AA78" s="91"/>
      <c r="AB78" s="91"/>
      <c r="AC78" s="91"/>
      <c r="AD78" s="91"/>
      <c r="AE78" s="91"/>
      <c r="AF78" s="91">
        <f t="shared" si="7"/>
        <v>0</v>
      </c>
      <c r="AG78" s="156"/>
      <c r="AH78" s="156"/>
      <c r="AI78" s="156"/>
      <c r="AJ78" s="156"/>
      <c r="AK78" s="156"/>
      <c r="AL78" s="156"/>
      <c r="AM78" s="156"/>
    </row>
    <row r="79" spans="1:39" s="93" customFormat="1" ht="21.75" customHeight="1" x14ac:dyDescent="0.25">
      <c r="A79" s="188"/>
      <c r="B79" s="177"/>
      <c r="C79" s="111" t="s">
        <v>164</v>
      </c>
      <c r="D79" s="88" t="s">
        <v>262</v>
      </c>
      <c r="E79" s="89">
        <v>301</v>
      </c>
      <c r="F79" s="90" t="s">
        <v>163</v>
      </c>
      <c r="G79" s="91">
        <f t="shared" si="17"/>
        <v>60000000</v>
      </c>
      <c r="H79" s="92">
        <f>+'[5]SB 2020 2024'!$F$6</f>
        <v>85000000</v>
      </c>
      <c r="I79" s="92">
        <f t="shared" ref="I79:I96" si="18">+H79-G79</f>
        <v>25000000</v>
      </c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>
        <v>60000000</v>
      </c>
      <c r="AA79" s="91"/>
      <c r="AB79" s="91"/>
      <c r="AC79" s="91"/>
      <c r="AD79" s="91"/>
      <c r="AE79" s="91"/>
      <c r="AF79" s="91">
        <f t="shared" si="7"/>
        <v>0</v>
      </c>
      <c r="AG79" s="156"/>
      <c r="AH79" s="156"/>
      <c r="AI79" s="156"/>
      <c r="AJ79" s="156"/>
      <c r="AK79" s="156"/>
      <c r="AL79" s="156"/>
      <c r="AM79" s="156"/>
    </row>
    <row r="80" spans="1:39" s="93" customFormat="1" ht="19.5" customHeight="1" x14ac:dyDescent="0.25">
      <c r="A80" s="188"/>
      <c r="B80" s="177"/>
      <c r="C80" s="111" t="s">
        <v>165</v>
      </c>
      <c r="D80" s="88" t="s">
        <v>36</v>
      </c>
      <c r="E80" s="89">
        <v>301</v>
      </c>
      <c r="F80" s="90" t="s">
        <v>163</v>
      </c>
      <c r="G80" s="91">
        <f t="shared" si="17"/>
        <v>60000000</v>
      </c>
      <c r="H80" s="92">
        <f>+'[5]SB 2020 2024'!$F$7</f>
        <v>100000000</v>
      </c>
      <c r="I80" s="92">
        <f t="shared" si="18"/>
        <v>40000000</v>
      </c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>
        <v>60000000</v>
      </c>
      <c r="AA80" s="91"/>
      <c r="AB80" s="91"/>
      <c r="AC80" s="91"/>
      <c r="AD80" s="91"/>
      <c r="AE80" s="91"/>
      <c r="AF80" s="91">
        <f t="shared" si="7"/>
        <v>0</v>
      </c>
      <c r="AG80" s="156"/>
      <c r="AH80" s="156"/>
      <c r="AI80" s="156"/>
      <c r="AJ80" s="156"/>
      <c r="AK80" s="156"/>
      <c r="AL80" s="156"/>
      <c r="AM80" s="156"/>
    </row>
    <row r="81" spans="1:39" s="93" customFormat="1" ht="21" customHeight="1" x14ac:dyDescent="0.25">
      <c r="A81" s="188"/>
      <c r="B81" s="177"/>
      <c r="C81" s="111" t="s">
        <v>166</v>
      </c>
      <c r="D81" s="88" t="s">
        <v>263</v>
      </c>
      <c r="E81" s="89">
        <v>301</v>
      </c>
      <c r="F81" s="90" t="s">
        <v>163</v>
      </c>
      <c r="G81" s="91">
        <f t="shared" si="17"/>
        <v>10000000</v>
      </c>
      <c r="H81" s="92">
        <f>+'[5]SB 2020 2024'!$F$8</f>
        <v>20000000</v>
      </c>
      <c r="I81" s="92">
        <f t="shared" si="18"/>
        <v>10000000</v>
      </c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>
        <v>10000000</v>
      </c>
      <c r="AA81" s="91"/>
      <c r="AB81" s="91"/>
      <c r="AC81" s="91"/>
      <c r="AD81" s="91"/>
      <c r="AE81" s="91"/>
      <c r="AF81" s="91">
        <f t="shared" si="7"/>
        <v>0</v>
      </c>
      <c r="AG81" s="91"/>
      <c r="AH81" s="91"/>
      <c r="AI81" s="91"/>
      <c r="AJ81" s="91"/>
      <c r="AK81" s="91"/>
      <c r="AL81" s="91"/>
      <c r="AM81" s="91"/>
    </row>
    <row r="82" spans="1:39" s="93" customFormat="1" ht="19.899999999999999" customHeight="1" x14ac:dyDescent="0.25">
      <c r="A82" s="188"/>
      <c r="B82" s="177"/>
      <c r="C82" s="111" t="s">
        <v>259</v>
      </c>
      <c r="D82" s="88" t="s">
        <v>264</v>
      </c>
      <c r="E82" s="89">
        <v>301</v>
      </c>
      <c r="F82" s="90" t="s">
        <v>163</v>
      </c>
      <c r="G82" s="91">
        <f t="shared" si="17"/>
        <v>10000000</v>
      </c>
      <c r="H82" s="92">
        <f>+'[5]SB 2020 2024'!$F$11</f>
        <v>17000000</v>
      </c>
      <c r="I82" s="92">
        <f t="shared" si="18"/>
        <v>7000000</v>
      </c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>
        <v>10000000</v>
      </c>
      <c r="AA82" s="91"/>
      <c r="AB82" s="91"/>
      <c r="AC82" s="91"/>
      <c r="AD82" s="91"/>
      <c r="AE82" s="91"/>
      <c r="AF82" s="91">
        <f t="shared" si="7"/>
        <v>0</v>
      </c>
      <c r="AG82" s="91"/>
      <c r="AH82" s="91"/>
      <c r="AI82" s="91"/>
      <c r="AJ82" s="91"/>
      <c r="AK82" s="91"/>
      <c r="AL82" s="91"/>
      <c r="AM82" s="91"/>
    </row>
    <row r="83" spans="1:39" s="93" customFormat="1" ht="33.6" customHeight="1" x14ac:dyDescent="0.25">
      <c r="A83" s="188"/>
      <c r="B83" s="177"/>
      <c r="C83" s="111" t="s">
        <v>260</v>
      </c>
      <c r="D83" s="88" t="s">
        <v>265</v>
      </c>
      <c r="E83" s="89">
        <v>301</v>
      </c>
      <c r="F83" s="90" t="s">
        <v>163</v>
      </c>
      <c r="G83" s="91">
        <f t="shared" si="17"/>
        <v>15000000</v>
      </c>
      <c r="H83" s="92">
        <f>+'[5]SB 2020 2024'!$F$14</f>
        <v>41000000</v>
      </c>
      <c r="I83" s="92">
        <f t="shared" si="18"/>
        <v>26000000</v>
      </c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>
        <v>15000000</v>
      </c>
      <c r="AA83" s="91"/>
      <c r="AB83" s="91"/>
      <c r="AC83" s="91"/>
      <c r="AD83" s="91"/>
      <c r="AE83" s="91"/>
      <c r="AF83" s="91">
        <f t="shared" si="7"/>
        <v>0</v>
      </c>
      <c r="AG83" s="91"/>
      <c r="AH83" s="91"/>
      <c r="AI83" s="91"/>
      <c r="AJ83" s="91"/>
      <c r="AK83" s="91"/>
      <c r="AL83" s="91"/>
      <c r="AM83" s="91"/>
    </row>
    <row r="84" spans="1:39" s="93" customFormat="1" ht="36" customHeight="1" x14ac:dyDescent="0.25">
      <c r="A84" s="188"/>
      <c r="B84" s="183"/>
      <c r="C84" s="111" t="s">
        <v>261</v>
      </c>
      <c r="D84" s="88" t="s">
        <v>266</v>
      </c>
      <c r="E84" s="89">
        <v>301</v>
      </c>
      <c r="F84" s="90" t="s">
        <v>163</v>
      </c>
      <c r="G84" s="91">
        <f t="shared" si="17"/>
        <v>70000000</v>
      </c>
      <c r="H84" s="92">
        <f>+'[5]SB 2020 2024'!$F$17</f>
        <v>141000000</v>
      </c>
      <c r="I84" s="92">
        <f t="shared" si="18"/>
        <v>71000000</v>
      </c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>
        <v>70000000</v>
      </c>
      <c r="AA84" s="91"/>
      <c r="AB84" s="91"/>
      <c r="AC84" s="91"/>
      <c r="AD84" s="91"/>
      <c r="AE84" s="91"/>
      <c r="AF84" s="91">
        <f t="shared" si="7"/>
        <v>0</v>
      </c>
      <c r="AG84" s="91"/>
      <c r="AH84" s="91"/>
      <c r="AI84" s="91"/>
      <c r="AJ84" s="91"/>
      <c r="AK84" s="91"/>
      <c r="AL84" s="91"/>
      <c r="AM84" s="91"/>
    </row>
    <row r="85" spans="1:39" s="93" customFormat="1" ht="26.45" customHeight="1" x14ac:dyDescent="0.25">
      <c r="A85" s="188"/>
      <c r="B85" s="176" t="s">
        <v>267</v>
      </c>
      <c r="C85" s="157" t="s">
        <v>167</v>
      </c>
      <c r="D85" s="88" t="s">
        <v>270</v>
      </c>
      <c r="E85" s="89">
        <v>301</v>
      </c>
      <c r="F85" s="90" t="s">
        <v>338</v>
      </c>
      <c r="G85" s="91">
        <f t="shared" si="17"/>
        <v>51200000</v>
      </c>
      <c r="H85" s="92">
        <f>+'[5]SB 2020 2024'!$F$25</f>
        <v>97200000</v>
      </c>
      <c r="I85" s="92">
        <f t="shared" si="18"/>
        <v>46000000</v>
      </c>
      <c r="J85" s="91">
        <v>48200000</v>
      </c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>
        <f t="shared" si="7"/>
        <v>3000000</v>
      </c>
      <c r="AG85" s="91"/>
      <c r="AH85" s="91"/>
      <c r="AI85" s="91"/>
      <c r="AJ85" s="91">
        <v>3000000</v>
      </c>
      <c r="AK85" s="91"/>
      <c r="AL85" s="91"/>
      <c r="AM85" s="91"/>
    </row>
    <row r="86" spans="1:39" s="93" customFormat="1" ht="20.25" customHeight="1" x14ac:dyDescent="0.25">
      <c r="A86" s="188"/>
      <c r="B86" s="177"/>
      <c r="C86" s="157" t="s">
        <v>268</v>
      </c>
      <c r="D86" s="88" t="s">
        <v>37</v>
      </c>
      <c r="E86" s="89">
        <v>301</v>
      </c>
      <c r="F86" s="90" t="s">
        <v>163</v>
      </c>
      <c r="G86" s="91">
        <f t="shared" si="17"/>
        <v>300000000</v>
      </c>
      <c r="H86" s="92">
        <f>+'[5]SB 2020 2024'!$F$27</f>
        <v>421000000</v>
      </c>
      <c r="I86" s="92">
        <f t="shared" si="18"/>
        <v>121000000</v>
      </c>
      <c r="J86" s="91">
        <v>300000000</v>
      </c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>
        <f t="shared" ref="AF86:AF128" si="19">SUM(AG86:AM86)</f>
        <v>0</v>
      </c>
      <c r="AG86" s="91"/>
      <c r="AH86" s="91"/>
      <c r="AI86" s="91"/>
      <c r="AJ86" s="91"/>
      <c r="AK86" s="91"/>
      <c r="AL86" s="91"/>
      <c r="AM86" s="91"/>
    </row>
    <row r="87" spans="1:39" s="93" customFormat="1" ht="39.75" customHeight="1" x14ac:dyDescent="0.25">
      <c r="A87" s="188"/>
      <c r="B87" s="183"/>
      <c r="C87" s="157" t="s">
        <v>269</v>
      </c>
      <c r="D87" s="88" t="s">
        <v>38</v>
      </c>
      <c r="E87" s="89">
        <v>301</v>
      </c>
      <c r="F87" s="90" t="s">
        <v>356</v>
      </c>
      <c r="G87" s="91">
        <f t="shared" si="17"/>
        <v>108000000</v>
      </c>
      <c r="H87" s="92">
        <f>+'[5]SB 2020 2024'!$F$28</f>
        <v>130000000</v>
      </c>
      <c r="I87" s="92">
        <f t="shared" si="18"/>
        <v>22000000</v>
      </c>
      <c r="J87" s="91">
        <v>100000000</v>
      </c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>
        <f t="shared" si="19"/>
        <v>8000000</v>
      </c>
      <c r="AG87" s="91"/>
      <c r="AH87" s="91"/>
      <c r="AI87" s="91">
        <v>7000000</v>
      </c>
      <c r="AJ87" s="91"/>
      <c r="AK87" s="91"/>
      <c r="AL87" s="91"/>
      <c r="AM87" s="91">
        <v>1000000</v>
      </c>
    </row>
    <row r="88" spans="1:39" s="93" customFormat="1" ht="19.149999999999999" customHeight="1" x14ac:dyDescent="0.25">
      <c r="A88" s="188"/>
      <c r="B88" s="176" t="s">
        <v>271</v>
      </c>
      <c r="C88" s="111" t="s">
        <v>168</v>
      </c>
      <c r="D88" s="88" t="s">
        <v>39</v>
      </c>
      <c r="E88" s="89">
        <v>301</v>
      </c>
      <c r="F88" s="90" t="s">
        <v>163</v>
      </c>
      <c r="G88" s="91">
        <f t="shared" si="17"/>
        <v>126665755</v>
      </c>
      <c r="H88" s="92">
        <f>+'[5]SB 2020 2024'!$F35</f>
        <v>205624500</v>
      </c>
      <c r="I88" s="92">
        <f t="shared" si="18"/>
        <v>78958745</v>
      </c>
      <c r="J88" s="158">
        <v>24792255</v>
      </c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>
        <v>101873500</v>
      </c>
      <c r="AA88" s="91"/>
      <c r="AB88" s="91"/>
      <c r="AC88" s="91"/>
      <c r="AD88" s="91"/>
      <c r="AE88" s="91"/>
      <c r="AF88" s="91">
        <f t="shared" si="19"/>
        <v>0</v>
      </c>
      <c r="AG88" s="91"/>
      <c r="AH88" s="91"/>
      <c r="AI88" s="91"/>
      <c r="AJ88" s="91"/>
      <c r="AK88" s="91"/>
      <c r="AL88" s="91"/>
      <c r="AM88" s="91"/>
    </row>
    <row r="89" spans="1:39" s="93" customFormat="1" ht="37.5" customHeight="1" x14ac:dyDescent="0.25">
      <c r="A89" s="188"/>
      <c r="B89" s="183"/>
      <c r="C89" s="111" t="s">
        <v>272</v>
      </c>
      <c r="D89" s="88" t="s">
        <v>40</v>
      </c>
      <c r="E89" s="89">
        <v>301</v>
      </c>
      <c r="F89" s="90" t="s">
        <v>339</v>
      </c>
      <c r="G89" s="91">
        <f t="shared" si="17"/>
        <v>315000000</v>
      </c>
      <c r="H89" s="92">
        <f>+'[5]SB 2020 2024'!$F$37</f>
        <v>411249000</v>
      </c>
      <c r="I89" s="92">
        <f t="shared" si="18"/>
        <v>96249000</v>
      </c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>
        <v>300000000</v>
      </c>
      <c r="AA89" s="91"/>
      <c r="AB89" s="91"/>
      <c r="AC89" s="91"/>
      <c r="AD89" s="91"/>
      <c r="AE89" s="91"/>
      <c r="AF89" s="91">
        <f t="shared" si="19"/>
        <v>15000000</v>
      </c>
      <c r="AG89" s="91"/>
      <c r="AH89" s="91"/>
      <c r="AI89" s="91">
        <v>7000000</v>
      </c>
      <c r="AJ89" s="91">
        <v>3000000</v>
      </c>
      <c r="AK89" s="91"/>
      <c r="AL89" s="91"/>
      <c r="AM89" s="91">
        <v>5000000</v>
      </c>
    </row>
    <row r="90" spans="1:39" s="93" customFormat="1" ht="56.25" customHeight="1" x14ac:dyDescent="0.25">
      <c r="A90" s="188"/>
      <c r="B90" s="176" t="s">
        <v>273</v>
      </c>
      <c r="C90" s="111" t="s">
        <v>169</v>
      </c>
      <c r="D90" s="88" t="s">
        <v>274</v>
      </c>
      <c r="E90" s="89">
        <v>301</v>
      </c>
      <c r="F90" s="90" t="s">
        <v>340</v>
      </c>
      <c r="G90" s="91">
        <f t="shared" si="17"/>
        <v>70000000</v>
      </c>
      <c r="H90" s="92">
        <f>+'[5]SB 2020 2024'!$F43</f>
        <v>70000000</v>
      </c>
      <c r="I90" s="92">
        <f t="shared" si="18"/>
        <v>0</v>
      </c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>
        <v>898810</v>
      </c>
      <c r="AD90" s="91"/>
      <c r="AE90" s="91"/>
      <c r="AF90" s="91">
        <f t="shared" si="19"/>
        <v>69101190</v>
      </c>
      <c r="AG90" s="91"/>
      <c r="AH90" s="91">
        <v>4000000</v>
      </c>
      <c r="AI90" s="91">
        <v>25000000</v>
      </c>
      <c r="AJ90" s="91">
        <v>26000000</v>
      </c>
      <c r="AK90" s="91">
        <v>9101190</v>
      </c>
      <c r="AL90" s="91"/>
      <c r="AM90" s="91">
        <v>5000000</v>
      </c>
    </row>
    <row r="91" spans="1:39" s="93" customFormat="1" ht="21" customHeight="1" x14ac:dyDescent="0.25">
      <c r="A91" s="188"/>
      <c r="B91" s="177"/>
      <c r="C91" s="111" t="s">
        <v>170</v>
      </c>
      <c r="D91" s="88" t="s">
        <v>275</v>
      </c>
      <c r="E91" s="89">
        <v>301</v>
      </c>
      <c r="F91" s="90" t="s">
        <v>163</v>
      </c>
      <c r="G91" s="91">
        <f t="shared" si="17"/>
        <v>95999999</v>
      </c>
      <c r="H91" s="92">
        <f>+'[5]SB 2020 2024'!$F45</f>
        <v>96000000</v>
      </c>
      <c r="I91" s="92">
        <f t="shared" si="18"/>
        <v>1</v>
      </c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>
        <f>56000000+39999999</f>
        <v>95999999</v>
      </c>
      <c r="AD91" s="91"/>
      <c r="AE91" s="91"/>
      <c r="AF91" s="91">
        <f t="shared" si="19"/>
        <v>0</v>
      </c>
      <c r="AG91" s="156"/>
      <c r="AH91" s="156"/>
      <c r="AI91" s="156"/>
      <c r="AJ91" s="156"/>
      <c r="AK91" s="156"/>
      <c r="AL91" s="156"/>
      <c r="AM91" s="156"/>
    </row>
    <row r="92" spans="1:39" s="93" customFormat="1" ht="19.149999999999999" customHeight="1" x14ac:dyDescent="0.25">
      <c r="A92" s="188"/>
      <c r="B92" s="183"/>
      <c r="C92" s="111" t="s">
        <v>171</v>
      </c>
      <c r="D92" s="88" t="s">
        <v>276</v>
      </c>
      <c r="E92" s="89">
        <v>301</v>
      </c>
      <c r="F92" s="90" t="s">
        <v>163</v>
      </c>
      <c r="G92" s="91">
        <f t="shared" si="17"/>
        <v>20000000</v>
      </c>
      <c r="H92" s="92">
        <f>+'[5]SB 2020 2024'!$F46</f>
        <v>20000000</v>
      </c>
      <c r="I92" s="92">
        <f>+H92-G92</f>
        <v>0</v>
      </c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>
        <v>20000000</v>
      </c>
      <c r="AD92" s="91"/>
      <c r="AE92" s="91"/>
      <c r="AF92" s="91">
        <f t="shared" si="19"/>
        <v>0</v>
      </c>
      <c r="AG92" s="156"/>
      <c r="AH92" s="156"/>
      <c r="AI92" s="156"/>
      <c r="AJ92" s="156"/>
      <c r="AK92" s="156"/>
      <c r="AL92" s="156"/>
      <c r="AM92" s="156"/>
    </row>
    <row r="93" spans="1:39" s="93" customFormat="1" ht="22.15" customHeight="1" x14ac:dyDescent="0.25">
      <c r="A93" s="188"/>
      <c r="B93" s="202" t="s">
        <v>277</v>
      </c>
      <c r="C93" s="111" t="s">
        <v>172</v>
      </c>
      <c r="D93" s="88" t="s">
        <v>41</v>
      </c>
      <c r="E93" s="89">
        <v>301</v>
      </c>
      <c r="F93" s="90" t="s">
        <v>163</v>
      </c>
      <c r="G93" s="91">
        <f t="shared" si="17"/>
        <v>65000000</v>
      </c>
      <c r="H93" s="92">
        <f>+'[5]SB 2020 2024'!$F52</f>
        <v>65000000</v>
      </c>
      <c r="I93" s="92">
        <f t="shared" si="18"/>
        <v>0</v>
      </c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>
        <v>65000000</v>
      </c>
      <c r="AA93" s="91"/>
      <c r="AB93" s="91"/>
      <c r="AC93" s="91"/>
      <c r="AD93" s="91"/>
      <c r="AE93" s="91"/>
      <c r="AF93" s="91">
        <f t="shared" si="19"/>
        <v>0</v>
      </c>
      <c r="AG93" s="156"/>
      <c r="AH93" s="156"/>
      <c r="AI93" s="156"/>
      <c r="AJ93" s="156"/>
      <c r="AK93" s="156"/>
      <c r="AL93" s="156"/>
      <c r="AM93" s="156"/>
    </row>
    <row r="94" spans="1:39" s="93" customFormat="1" ht="21" customHeight="1" x14ac:dyDescent="0.25">
      <c r="A94" s="188"/>
      <c r="B94" s="212"/>
      <c r="C94" s="111" t="s">
        <v>278</v>
      </c>
      <c r="D94" s="159" t="s">
        <v>42</v>
      </c>
      <c r="E94" s="89">
        <v>301</v>
      </c>
      <c r="F94" s="90" t="s">
        <v>163</v>
      </c>
      <c r="G94" s="91">
        <f t="shared" si="17"/>
        <v>1662500000</v>
      </c>
      <c r="H94" s="92">
        <f>+'[5]SB 2020 2024'!$F53</f>
        <v>1662500000</v>
      </c>
      <c r="I94" s="92">
        <f t="shared" si="18"/>
        <v>0</v>
      </c>
      <c r="J94" s="160"/>
      <c r="K94" s="160"/>
      <c r="L94" s="160"/>
      <c r="M94" s="91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58">
        <v>1662500000</v>
      </c>
      <c r="AD94" s="160"/>
      <c r="AE94" s="160"/>
      <c r="AF94" s="91">
        <f t="shared" si="19"/>
        <v>0</v>
      </c>
      <c r="AG94" s="156"/>
      <c r="AH94" s="156"/>
      <c r="AI94" s="156"/>
      <c r="AJ94" s="156"/>
      <c r="AK94" s="156"/>
      <c r="AL94" s="156"/>
      <c r="AM94" s="156"/>
    </row>
    <row r="95" spans="1:39" s="93" customFormat="1" ht="21" customHeight="1" x14ac:dyDescent="0.25">
      <c r="A95" s="188"/>
      <c r="B95" s="212"/>
      <c r="C95" s="111" t="s">
        <v>279</v>
      </c>
      <c r="D95" s="159" t="s">
        <v>43</v>
      </c>
      <c r="E95" s="89">
        <v>301</v>
      </c>
      <c r="F95" s="90" t="s">
        <v>163</v>
      </c>
      <c r="G95" s="91">
        <f t="shared" si="17"/>
        <v>277695151</v>
      </c>
      <c r="H95" s="92">
        <f>+'[5]SB 2020 2024'!$F55</f>
        <v>780000000</v>
      </c>
      <c r="I95" s="92">
        <f t="shared" si="18"/>
        <v>502304849</v>
      </c>
      <c r="J95" s="160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>
        <v>228191795</v>
      </c>
      <c r="AA95" s="160"/>
      <c r="AB95" s="160"/>
      <c r="AC95" s="91">
        <v>49503356</v>
      </c>
      <c r="AD95" s="160"/>
      <c r="AE95" s="160"/>
      <c r="AF95" s="91">
        <f t="shared" si="19"/>
        <v>0</v>
      </c>
      <c r="AG95" s="156"/>
      <c r="AH95" s="156"/>
      <c r="AI95" s="156"/>
      <c r="AJ95" s="156"/>
      <c r="AK95" s="156"/>
      <c r="AL95" s="156"/>
      <c r="AM95" s="156"/>
    </row>
    <row r="96" spans="1:39" s="93" customFormat="1" ht="22.5" customHeight="1" x14ac:dyDescent="0.25">
      <c r="A96" s="189"/>
      <c r="B96" s="203"/>
      <c r="C96" s="111" t="s">
        <v>280</v>
      </c>
      <c r="D96" s="159" t="s">
        <v>44</v>
      </c>
      <c r="E96" s="89">
        <v>301</v>
      </c>
      <c r="F96" s="90" t="s">
        <v>163</v>
      </c>
      <c r="G96" s="91">
        <f t="shared" si="17"/>
        <v>200000000</v>
      </c>
      <c r="H96" s="92">
        <f>+'[5]SB 2020 2024'!$F56</f>
        <v>200000000</v>
      </c>
      <c r="I96" s="92">
        <f t="shared" si="18"/>
        <v>0</v>
      </c>
      <c r="J96" s="160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>
        <v>200000000</v>
      </c>
      <c r="AA96" s="160"/>
      <c r="AB96" s="160"/>
      <c r="AC96" s="91"/>
      <c r="AD96" s="160"/>
      <c r="AE96" s="160"/>
      <c r="AF96" s="91">
        <f t="shared" si="19"/>
        <v>0</v>
      </c>
      <c r="AG96" s="156"/>
      <c r="AH96" s="156"/>
      <c r="AI96" s="156"/>
      <c r="AJ96" s="156"/>
      <c r="AK96" s="156"/>
      <c r="AL96" s="156"/>
      <c r="AM96" s="156"/>
    </row>
    <row r="97" spans="1:39" s="5" customFormat="1" ht="21" customHeight="1" thickBot="1" x14ac:dyDescent="0.3">
      <c r="A97" s="9"/>
      <c r="B97" s="199" t="s">
        <v>173</v>
      </c>
      <c r="C97" s="200"/>
      <c r="D97" s="200"/>
      <c r="E97" s="200"/>
      <c r="F97" s="201"/>
      <c r="G97" s="8">
        <f t="shared" ref="G97:AF97" si="20">SUM(G78:G96)</f>
        <v>3592060905</v>
      </c>
      <c r="H97" s="8">
        <f t="shared" si="20"/>
        <v>4682573500</v>
      </c>
      <c r="I97" s="8">
        <f t="shared" si="20"/>
        <v>1090512595</v>
      </c>
      <c r="J97" s="8">
        <f t="shared" si="20"/>
        <v>472992255</v>
      </c>
      <c r="K97" s="8">
        <f t="shared" si="20"/>
        <v>0</v>
      </c>
      <c r="L97" s="8">
        <f t="shared" si="20"/>
        <v>0</v>
      </c>
      <c r="M97" s="8">
        <f t="shared" si="20"/>
        <v>0</v>
      </c>
      <c r="N97" s="8">
        <f t="shared" si="20"/>
        <v>0</v>
      </c>
      <c r="O97" s="8">
        <f t="shared" si="20"/>
        <v>0</v>
      </c>
      <c r="P97" s="8">
        <f t="shared" si="20"/>
        <v>0</v>
      </c>
      <c r="Q97" s="8">
        <f t="shared" si="20"/>
        <v>0</v>
      </c>
      <c r="R97" s="8">
        <f t="shared" si="20"/>
        <v>0</v>
      </c>
      <c r="S97" s="8">
        <f t="shared" si="20"/>
        <v>0</v>
      </c>
      <c r="T97" s="8">
        <f t="shared" si="20"/>
        <v>0</v>
      </c>
      <c r="U97" s="8">
        <f t="shared" si="20"/>
        <v>0</v>
      </c>
      <c r="V97" s="8">
        <f t="shared" si="20"/>
        <v>0</v>
      </c>
      <c r="W97" s="8">
        <f t="shared" si="20"/>
        <v>0</v>
      </c>
      <c r="X97" s="8">
        <f t="shared" si="20"/>
        <v>0</v>
      </c>
      <c r="Y97" s="8">
        <f t="shared" si="20"/>
        <v>0</v>
      </c>
      <c r="Z97" s="8">
        <f t="shared" si="20"/>
        <v>1195065295</v>
      </c>
      <c r="AA97" s="8">
        <f t="shared" si="20"/>
        <v>0</v>
      </c>
      <c r="AB97" s="8">
        <f t="shared" si="20"/>
        <v>0</v>
      </c>
      <c r="AC97" s="8">
        <f t="shared" si="20"/>
        <v>1828902165</v>
      </c>
      <c r="AD97" s="8">
        <f t="shared" si="20"/>
        <v>0</v>
      </c>
      <c r="AE97" s="8">
        <f t="shared" si="20"/>
        <v>0</v>
      </c>
      <c r="AF97" s="8">
        <f t="shared" si="20"/>
        <v>95101190</v>
      </c>
      <c r="AG97" s="8">
        <f t="shared" ref="AG97:AM97" si="21">SUM(AG78:AG96)</f>
        <v>0</v>
      </c>
      <c r="AH97" s="8">
        <f t="shared" si="21"/>
        <v>4000000</v>
      </c>
      <c r="AI97" s="8">
        <f t="shared" si="21"/>
        <v>39000000</v>
      </c>
      <c r="AJ97" s="8">
        <f t="shared" si="21"/>
        <v>32000000</v>
      </c>
      <c r="AK97" s="8">
        <f t="shared" si="21"/>
        <v>9101190</v>
      </c>
      <c r="AL97" s="8">
        <f t="shared" si="21"/>
        <v>0</v>
      </c>
      <c r="AM97" s="8">
        <f t="shared" si="21"/>
        <v>11000000</v>
      </c>
    </row>
    <row r="98" spans="1:39" s="93" customFormat="1" ht="20.45" customHeight="1" thickTop="1" x14ac:dyDescent="0.25">
      <c r="A98" s="175"/>
      <c r="B98" s="191" t="s">
        <v>281</v>
      </c>
      <c r="C98" s="111" t="s">
        <v>282</v>
      </c>
      <c r="D98" s="88" t="s">
        <v>12</v>
      </c>
      <c r="E98" s="161">
        <v>111</v>
      </c>
      <c r="F98" s="90" t="s">
        <v>163</v>
      </c>
      <c r="G98" s="91">
        <f t="shared" ref="G98:G128" si="22">SUM(J98:AF98)</f>
        <v>11060870646</v>
      </c>
      <c r="H98" s="92">
        <f>+'[6]SA 2020 2024'!$F5</f>
        <v>11100000000</v>
      </c>
      <c r="I98" s="92">
        <f>+H98-G98</f>
        <v>39129354</v>
      </c>
      <c r="J98" s="91"/>
      <c r="K98" s="91"/>
      <c r="L98" s="91"/>
      <c r="M98" s="91"/>
      <c r="N98" s="91">
        <v>10500000000</v>
      </c>
      <c r="O98" s="91"/>
      <c r="P98" s="91"/>
      <c r="Q98" s="91"/>
      <c r="R98" s="91">
        <f>206360820-56360820</f>
        <v>150000000</v>
      </c>
      <c r="S98" s="91">
        <f>141360820-41360820</f>
        <v>100000000</v>
      </c>
      <c r="T98" s="91">
        <v>161360820</v>
      </c>
      <c r="U98" s="91"/>
      <c r="V98" s="91"/>
      <c r="W98" s="91"/>
      <c r="X98" s="91">
        <v>149509826</v>
      </c>
      <c r="Y98" s="91"/>
      <c r="Z98" s="91"/>
      <c r="AA98" s="91"/>
      <c r="AB98" s="91"/>
      <c r="AC98" s="91"/>
      <c r="AD98" s="91"/>
      <c r="AE98" s="91"/>
      <c r="AF98" s="91">
        <f t="shared" si="19"/>
        <v>0</v>
      </c>
      <c r="AG98" s="156"/>
      <c r="AH98" s="156"/>
      <c r="AI98" s="156"/>
      <c r="AJ98" s="156"/>
      <c r="AK98" s="156"/>
      <c r="AL98" s="156"/>
      <c r="AM98" s="156"/>
    </row>
    <row r="99" spans="1:39" s="169" customFormat="1" ht="19.899999999999999" customHeight="1" x14ac:dyDescent="0.25">
      <c r="A99" s="175"/>
      <c r="B99" s="191"/>
      <c r="C99" s="162" t="s">
        <v>283</v>
      </c>
      <c r="D99" s="163" t="s">
        <v>13</v>
      </c>
      <c r="E99" s="164">
        <v>111</v>
      </c>
      <c r="F99" s="165" t="s">
        <v>163</v>
      </c>
      <c r="G99" s="166">
        <f t="shared" si="22"/>
        <v>0</v>
      </c>
      <c r="H99" s="167">
        <f>+'[6]SA 2020 2024'!$F6</f>
        <v>0</v>
      </c>
      <c r="I99" s="167">
        <f t="shared" ref="I99:I128" si="23">+H99-G99</f>
        <v>0</v>
      </c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  <c r="Z99" s="166"/>
      <c r="AA99" s="166"/>
      <c r="AB99" s="166"/>
      <c r="AC99" s="166"/>
      <c r="AD99" s="166"/>
      <c r="AE99" s="166"/>
      <c r="AF99" s="166">
        <f t="shared" si="19"/>
        <v>0</v>
      </c>
      <c r="AG99" s="168"/>
      <c r="AH99" s="168"/>
      <c r="AI99" s="168"/>
      <c r="AJ99" s="168"/>
      <c r="AK99" s="168"/>
      <c r="AL99" s="168"/>
      <c r="AM99" s="168"/>
    </row>
    <row r="100" spans="1:39" s="169" customFormat="1" ht="19.899999999999999" customHeight="1" x14ac:dyDescent="0.25">
      <c r="A100" s="175"/>
      <c r="B100" s="191"/>
      <c r="C100" s="162" t="s">
        <v>284</v>
      </c>
      <c r="D100" s="163" t="s">
        <v>287</v>
      </c>
      <c r="E100" s="164">
        <v>111</v>
      </c>
      <c r="F100" s="165" t="s">
        <v>163</v>
      </c>
      <c r="G100" s="166">
        <f t="shared" si="22"/>
        <v>0</v>
      </c>
      <c r="H100" s="167">
        <f>+'[6]SA 2020 2024'!$F7</f>
        <v>50000000</v>
      </c>
      <c r="I100" s="167">
        <f t="shared" si="23"/>
        <v>50000000</v>
      </c>
      <c r="J100" s="166"/>
      <c r="K100" s="166"/>
      <c r="L100" s="166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  <c r="AA100" s="166"/>
      <c r="AB100" s="166"/>
      <c r="AC100" s="166"/>
      <c r="AD100" s="166"/>
      <c r="AE100" s="166"/>
      <c r="AF100" s="166">
        <f t="shared" si="19"/>
        <v>0</v>
      </c>
      <c r="AG100" s="168"/>
      <c r="AH100" s="168"/>
      <c r="AI100" s="168"/>
      <c r="AJ100" s="168"/>
      <c r="AK100" s="168"/>
      <c r="AL100" s="168"/>
      <c r="AM100" s="168"/>
    </row>
    <row r="101" spans="1:39" s="169" customFormat="1" ht="34.5" customHeight="1" x14ac:dyDescent="0.25">
      <c r="A101" s="175"/>
      <c r="B101" s="191"/>
      <c r="C101" s="162" t="s">
        <v>285</v>
      </c>
      <c r="D101" s="170" t="s">
        <v>14</v>
      </c>
      <c r="E101" s="164">
        <v>111</v>
      </c>
      <c r="F101" s="165" t="s">
        <v>341</v>
      </c>
      <c r="G101" s="166">
        <f t="shared" si="22"/>
        <v>429830142</v>
      </c>
      <c r="H101" s="167">
        <f>+'[6]SA 2020 2024'!$F8</f>
        <v>600040000</v>
      </c>
      <c r="I101" s="167">
        <f t="shared" si="23"/>
        <v>170209858</v>
      </c>
      <c r="J101" s="166"/>
      <c r="K101" s="166"/>
      <c r="L101" s="166"/>
      <c r="M101" s="166"/>
      <c r="N101" s="166"/>
      <c r="O101" s="166"/>
      <c r="P101" s="166"/>
      <c r="Q101" s="166"/>
      <c r="R101" s="166">
        <v>56360820</v>
      </c>
      <c r="S101" s="166">
        <v>41360820</v>
      </c>
      <c r="T101" s="166"/>
      <c r="U101" s="166"/>
      <c r="V101" s="166">
        <v>64000000</v>
      </c>
      <c r="W101" s="166">
        <v>182170491</v>
      </c>
      <c r="X101" s="166"/>
      <c r="Y101" s="166"/>
      <c r="Z101" s="166"/>
      <c r="AA101" s="166"/>
      <c r="AB101" s="166"/>
      <c r="AC101" s="166"/>
      <c r="AD101" s="166"/>
      <c r="AE101" s="166"/>
      <c r="AF101" s="166">
        <f t="shared" si="19"/>
        <v>85938011</v>
      </c>
      <c r="AG101" s="166"/>
      <c r="AH101" s="166"/>
      <c r="AI101" s="166">
        <v>12000000</v>
      </c>
      <c r="AJ101" s="166">
        <v>25000000</v>
      </c>
      <c r="AK101" s="166"/>
      <c r="AL101" s="166">
        <v>7000000</v>
      </c>
      <c r="AM101" s="166">
        <v>41938011</v>
      </c>
    </row>
    <row r="102" spans="1:39" s="169" customFormat="1" ht="24" customHeight="1" x14ac:dyDescent="0.25">
      <c r="A102" s="175"/>
      <c r="B102" s="191"/>
      <c r="C102" s="162" t="s">
        <v>286</v>
      </c>
      <c r="D102" s="163" t="s">
        <v>15</v>
      </c>
      <c r="E102" s="164">
        <v>111</v>
      </c>
      <c r="F102" s="165" t="s">
        <v>163</v>
      </c>
      <c r="G102" s="166">
        <f t="shared" si="22"/>
        <v>0</v>
      </c>
      <c r="H102" s="167">
        <f>+'[6]SA 2020 2024'!$F9</f>
        <v>300000000</v>
      </c>
      <c r="I102" s="167">
        <f t="shared" si="23"/>
        <v>300000000</v>
      </c>
      <c r="J102" s="171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  <c r="AA102" s="166"/>
      <c r="AB102" s="166"/>
      <c r="AC102" s="166"/>
      <c r="AD102" s="166"/>
      <c r="AE102" s="166"/>
      <c r="AF102" s="166">
        <f t="shared" si="19"/>
        <v>0</v>
      </c>
      <c r="AG102" s="166"/>
      <c r="AH102" s="166"/>
      <c r="AI102" s="166"/>
      <c r="AJ102" s="166"/>
      <c r="AK102" s="166"/>
      <c r="AL102" s="162"/>
      <c r="AM102" s="166"/>
    </row>
    <row r="103" spans="1:39" s="169" customFormat="1" ht="36" customHeight="1" x14ac:dyDescent="0.25">
      <c r="A103" s="175"/>
      <c r="B103" s="191" t="s">
        <v>7</v>
      </c>
      <c r="C103" s="162" t="s">
        <v>174</v>
      </c>
      <c r="D103" s="163" t="s">
        <v>290</v>
      </c>
      <c r="E103" s="164">
        <v>211</v>
      </c>
      <c r="F103" s="165" t="s">
        <v>342</v>
      </c>
      <c r="G103" s="166">
        <f t="shared" si="22"/>
        <v>240000000</v>
      </c>
      <c r="H103" s="167">
        <f>+'[6]SA 2020 2024'!$F15</f>
        <v>1200000000</v>
      </c>
      <c r="I103" s="167">
        <f t="shared" si="23"/>
        <v>960000000</v>
      </c>
      <c r="J103" s="171"/>
      <c r="K103" s="166"/>
      <c r="L103" s="166"/>
      <c r="M103" s="166"/>
      <c r="N103" s="166"/>
      <c r="O103" s="166"/>
      <c r="P103" s="166"/>
      <c r="Q103" s="166"/>
      <c r="R103" s="166">
        <v>40000000</v>
      </c>
      <c r="S103" s="166">
        <v>70000000</v>
      </c>
      <c r="T103" s="166">
        <v>70000000</v>
      </c>
      <c r="U103" s="166"/>
      <c r="V103" s="166"/>
      <c r="W103" s="166"/>
      <c r="X103" s="166"/>
      <c r="Y103" s="166"/>
      <c r="Z103" s="166"/>
      <c r="AA103" s="166"/>
      <c r="AB103" s="166"/>
      <c r="AC103" s="166"/>
      <c r="AD103" s="166"/>
      <c r="AE103" s="166"/>
      <c r="AF103" s="166">
        <f t="shared" si="19"/>
        <v>60000000</v>
      </c>
      <c r="AG103" s="166"/>
      <c r="AH103" s="166"/>
      <c r="AI103" s="166"/>
      <c r="AJ103" s="166">
        <v>10000000</v>
      </c>
      <c r="AK103" s="166"/>
      <c r="AL103" s="166"/>
      <c r="AM103" s="166">
        <v>50000000</v>
      </c>
    </row>
    <row r="104" spans="1:39" s="169" customFormat="1" ht="29.45" customHeight="1" x14ac:dyDescent="0.25">
      <c r="A104" s="175"/>
      <c r="B104" s="191"/>
      <c r="C104" s="162" t="s">
        <v>175</v>
      </c>
      <c r="D104" s="163" t="s">
        <v>16</v>
      </c>
      <c r="E104" s="164">
        <v>211</v>
      </c>
      <c r="F104" s="165" t="s">
        <v>343</v>
      </c>
      <c r="G104" s="166">
        <f t="shared" si="22"/>
        <v>38000000</v>
      </c>
      <c r="H104" s="167">
        <f>+'[6]SA 2020 2024'!$F16</f>
        <v>600000000</v>
      </c>
      <c r="I104" s="167">
        <f t="shared" si="23"/>
        <v>562000000</v>
      </c>
      <c r="J104" s="171"/>
      <c r="K104" s="166"/>
      <c r="L104" s="166"/>
      <c r="M104" s="166"/>
      <c r="N104" s="166"/>
      <c r="O104" s="166"/>
      <c r="P104" s="166"/>
      <c r="Q104" s="166"/>
      <c r="R104" s="166">
        <v>10000000</v>
      </c>
      <c r="S104" s="166">
        <v>10000000</v>
      </c>
      <c r="T104" s="166">
        <v>10000000</v>
      </c>
      <c r="U104" s="166"/>
      <c r="V104" s="166"/>
      <c r="W104" s="166"/>
      <c r="X104" s="166"/>
      <c r="Y104" s="166"/>
      <c r="Z104" s="166"/>
      <c r="AA104" s="166"/>
      <c r="AB104" s="166"/>
      <c r="AC104" s="166"/>
      <c r="AD104" s="166"/>
      <c r="AE104" s="166"/>
      <c r="AF104" s="166">
        <f t="shared" si="19"/>
        <v>8000000</v>
      </c>
      <c r="AG104" s="166"/>
      <c r="AH104" s="166"/>
      <c r="AI104" s="166"/>
      <c r="AJ104" s="166">
        <v>8000000</v>
      </c>
      <c r="AK104" s="166"/>
      <c r="AL104" s="166"/>
      <c r="AM104" s="166"/>
    </row>
    <row r="105" spans="1:39" s="169" customFormat="1" ht="30" customHeight="1" x14ac:dyDescent="0.25">
      <c r="A105" s="175"/>
      <c r="B105" s="191"/>
      <c r="C105" s="162" t="s">
        <v>176</v>
      </c>
      <c r="D105" s="163" t="s">
        <v>17</v>
      </c>
      <c r="E105" s="164">
        <v>211</v>
      </c>
      <c r="F105" s="165" t="s">
        <v>163</v>
      </c>
      <c r="G105" s="166">
        <f t="shared" si="22"/>
        <v>0</v>
      </c>
      <c r="H105" s="167">
        <f>+'[6]SA 2020 2024'!$F17</f>
        <v>300000000</v>
      </c>
      <c r="I105" s="167">
        <f t="shared" si="23"/>
        <v>300000000</v>
      </c>
      <c r="J105" s="171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  <c r="AA105" s="166"/>
      <c r="AB105" s="166"/>
      <c r="AC105" s="166"/>
      <c r="AD105" s="166"/>
      <c r="AE105" s="166"/>
      <c r="AF105" s="166">
        <f t="shared" si="19"/>
        <v>0</v>
      </c>
      <c r="AG105" s="166"/>
      <c r="AH105" s="166"/>
      <c r="AI105" s="166"/>
      <c r="AJ105" s="166"/>
      <c r="AK105" s="166"/>
      <c r="AL105" s="166"/>
      <c r="AM105" s="166"/>
    </row>
    <row r="106" spans="1:39" s="169" customFormat="1" ht="28.15" customHeight="1" x14ac:dyDescent="0.25">
      <c r="A106" s="172"/>
      <c r="B106" s="191"/>
      <c r="C106" s="162" t="s">
        <v>177</v>
      </c>
      <c r="D106" s="163" t="s">
        <v>291</v>
      </c>
      <c r="E106" s="164">
        <v>211</v>
      </c>
      <c r="F106" s="165" t="s">
        <v>163</v>
      </c>
      <c r="G106" s="166">
        <f t="shared" si="22"/>
        <v>0</v>
      </c>
      <c r="H106" s="167">
        <f>+'[6]SA 2020 2024'!$F18</f>
        <v>1250000000</v>
      </c>
      <c r="I106" s="167">
        <f t="shared" si="23"/>
        <v>1250000000</v>
      </c>
      <c r="J106" s="171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  <c r="AD106" s="166"/>
      <c r="AE106" s="166"/>
      <c r="AF106" s="166">
        <f t="shared" si="19"/>
        <v>0</v>
      </c>
      <c r="AG106" s="166"/>
      <c r="AH106" s="166"/>
      <c r="AI106" s="166"/>
      <c r="AJ106" s="166"/>
      <c r="AK106" s="166"/>
      <c r="AL106" s="166"/>
      <c r="AM106" s="166"/>
    </row>
    <row r="107" spans="1:39" s="169" customFormat="1" ht="30" customHeight="1" x14ac:dyDescent="0.25">
      <c r="A107" s="172"/>
      <c r="B107" s="191"/>
      <c r="C107" s="162" t="s">
        <v>178</v>
      </c>
      <c r="D107" s="163" t="s">
        <v>292</v>
      </c>
      <c r="E107" s="164">
        <v>211</v>
      </c>
      <c r="F107" s="165" t="s">
        <v>163</v>
      </c>
      <c r="G107" s="166">
        <f t="shared" si="22"/>
        <v>0</v>
      </c>
      <c r="H107" s="167">
        <f>+'[6]SA 2020 2024'!$F19</f>
        <v>255000000</v>
      </c>
      <c r="I107" s="167">
        <f t="shared" si="23"/>
        <v>255000000</v>
      </c>
      <c r="J107" s="171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  <c r="AA107" s="166"/>
      <c r="AB107" s="166"/>
      <c r="AC107" s="166"/>
      <c r="AD107" s="166"/>
      <c r="AE107" s="166"/>
      <c r="AF107" s="166">
        <f t="shared" si="19"/>
        <v>0</v>
      </c>
      <c r="AG107" s="166"/>
      <c r="AH107" s="166"/>
      <c r="AI107" s="166"/>
      <c r="AJ107" s="166"/>
      <c r="AK107" s="166"/>
      <c r="AL107" s="166"/>
      <c r="AM107" s="166"/>
    </row>
    <row r="108" spans="1:39" s="169" customFormat="1" ht="30.6" customHeight="1" x14ac:dyDescent="0.25">
      <c r="A108" s="175" t="s">
        <v>11</v>
      </c>
      <c r="B108" s="191"/>
      <c r="C108" s="162" t="s">
        <v>179</v>
      </c>
      <c r="D108" s="163" t="s">
        <v>18</v>
      </c>
      <c r="E108" s="164">
        <v>211</v>
      </c>
      <c r="F108" s="165" t="s">
        <v>163</v>
      </c>
      <c r="G108" s="166">
        <f t="shared" si="22"/>
        <v>0</v>
      </c>
      <c r="H108" s="167">
        <f>+'[6]SA 2020 2024'!$F20</f>
        <v>270000000</v>
      </c>
      <c r="I108" s="167">
        <f t="shared" si="23"/>
        <v>270000000</v>
      </c>
      <c r="J108" s="171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  <c r="AA108" s="166"/>
      <c r="AB108" s="166"/>
      <c r="AC108" s="166"/>
      <c r="AD108" s="166"/>
      <c r="AE108" s="166"/>
      <c r="AF108" s="166">
        <f t="shared" si="19"/>
        <v>0</v>
      </c>
      <c r="AG108" s="166"/>
      <c r="AH108" s="166"/>
      <c r="AI108" s="166"/>
      <c r="AJ108" s="166"/>
      <c r="AK108" s="166"/>
      <c r="AL108" s="166"/>
      <c r="AM108" s="166"/>
    </row>
    <row r="109" spans="1:39" s="169" customFormat="1" ht="40.15" customHeight="1" x14ac:dyDescent="0.25">
      <c r="A109" s="175"/>
      <c r="B109" s="191"/>
      <c r="C109" s="162" t="s">
        <v>180</v>
      </c>
      <c r="D109" s="163" t="s">
        <v>19</v>
      </c>
      <c r="E109" s="164">
        <v>211</v>
      </c>
      <c r="F109" s="165" t="s">
        <v>344</v>
      </c>
      <c r="G109" s="166">
        <f t="shared" si="22"/>
        <v>272057071</v>
      </c>
      <c r="H109" s="167">
        <f>+'[6]SA 2020 2024'!$F21</f>
        <v>759000000</v>
      </c>
      <c r="I109" s="167">
        <f t="shared" si="23"/>
        <v>486942929</v>
      </c>
      <c r="J109" s="171"/>
      <c r="K109" s="166"/>
      <c r="L109" s="166"/>
      <c r="M109" s="166"/>
      <c r="N109" s="166"/>
      <c r="O109" s="166">
        <v>80000000</v>
      </c>
      <c r="P109" s="166"/>
      <c r="Q109" s="166"/>
      <c r="R109" s="166">
        <v>45000000</v>
      </c>
      <c r="S109" s="166">
        <v>30123239</v>
      </c>
      <c r="T109" s="166">
        <v>45000000</v>
      </c>
      <c r="U109" s="166"/>
      <c r="V109" s="166"/>
      <c r="W109" s="166"/>
      <c r="X109" s="166"/>
      <c r="Y109" s="166"/>
      <c r="Z109" s="166"/>
      <c r="AA109" s="166"/>
      <c r="AB109" s="166"/>
      <c r="AC109" s="166"/>
      <c r="AD109" s="166"/>
      <c r="AE109" s="166"/>
      <c r="AF109" s="166">
        <f t="shared" si="19"/>
        <v>71933832</v>
      </c>
      <c r="AG109" s="166"/>
      <c r="AH109" s="166">
        <v>35933832</v>
      </c>
      <c r="AI109" s="166">
        <v>36000000</v>
      </c>
      <c r="AJ109" s="166"/>
      <c r="AK109" s="166"/>
      <c r="AL109" s="166"/>
      <c r="AM109" s="166"/>
    </row>
    <row r="110" spans="1:39" s="169" customFormat="1" ht="20.45" customHeight="1" x14ac:dyDescent="0.25">
      <c r="A110" s="175"/>
      <c r="B110" s="191"/>
      <c r="C110" s="162" t="s">
        <v>181</v>
      </c>
      <c r="D110" s="163" t="s">
        <v>20</v>
      </c>
      <c r="E110" s="164">
        <v>211</v>
      </c>
      <c r="F110" s="165" t="s">
        <v>163</v>
      </c>
      <c r="G110" s="166">
        <f t="shared" si="22"/>
        <v>0</v>
      </c>
      <c r="H110" s="167">
        <f>+'[6]SA 2020 2024'!$F22</f>
        <v>100000000</v>
      </c>
      <c r="I110" s="167">
        <f t="shared" si="23"/>
        <v>100000000</v>
      </c>
      <c r="J110" s="171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  <c r="AA110" s="166"/>
      <c r="AB110" s="166"/>
      <c r="AC110" s="166"/>
      <c r="AD110" s="166"/>
      <c r="AE110" s="166"/>
      <c r="AF110" s="166">
        <f t="shared" si="19"/>
        <v>0</v>
      </c>
      <c r="AG110" s="166"/>
      <c r="AH110" s="166"/>
      <c r="AI110" s="166"/>
      <c r="AJ110" s="166"/>
      <c r="AK110" s="166"/>
      <c r="AL110" s="166"/>
      <c r="AM110" s="166"/>
    </row>
    <row r="111" spans="1:39" s="169" customFormat="1" ht="59.25" customHeight="1" x14ac:dyDescent="0.25">
      <c r="A111" s="175"/>
      <c r="B111" s="191"/>
      <c r="C111" s="162" t="s">
        <v>288</v>
      </c>
      <c r="D111" s="163" t="s">
        <v>21</v>
      </c>
      <c r="E111" s="164">
        <v>211</v>
      </c>
      <c r="F111" s="165" t="s">
        <v>345</v>
      </c>
      <c r="G111" s="166">
        <f t="shared" si="22"/>
        <v>124450919</v>
      </c>
      <c r="H111" s="167">
        <f>+'[6]SA 2020 2024'!$F23</f>
        <v>504000000</v>
      </c>
      <c r="I111" s="167">
        <f t="shared" si="23"/>
        <v>379549081</v>
      </c>
      <c r="J111" s="171"/>
      <c r="K111" s="166"/>
      <c r="L111" s="166"/>
      <c r="M111" s="166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  <c r="Y111" s="166"/>
      <c r="Z111" s="166"/>
      <c r="AA111" s="166"/>
      <c r="AB111" s="166"/>
      <c r="AC111" s="166"/>
      <c r="AD111" s="166"/>
      <c r="AE111" s="166"/>
      <c r="AF111" s="166">
        <f t="shared" si="19"/>
        <v>124450919</v>
      </c>
      <c r="AG111" s="166"/>
      <c r="AH111" s="166">
        <v>6000000</v>
      </c>
      <c r="AI111" s="166">
        <v>40046159</v>
      </c>
      <c r="AJ111" s="166">
        <f>30000000+5000000</f>
        <v>35000000</v>
      </c>
      <c r="AK111" s="166">
        <v>36404760</v>
      </c>
      <c r="AL111" s="166">
        <v>7000000</v>
      </c>
      <c r="AM111" s="166"/>
    </row>
    <row r="112" spans="1:39" s="169" customFormat="1" ht="25.15" customHeight="1" x14ac:dyDescent="0.25">
      <c r="A112" s="175"/>
      <c r="B112" s="191"/>
      <c r="C112" s="162" t="s">
        <v>182</v>
      </c>
      <c r="D112" s="163" t="s">
        <v>22</v>
      </c>
      <c r="E112" s="164">
        <v>211</v>
      </c>
      <c r="F112" s="165" t="s">
        <v>346</v>
      </c>
      <c r="G112" s="166">
        <f t="shared" si="22"/>
        <v>3000000</v>
      </c>
      <c r="H112" s="167">
        <f>+'[6]SA 2020 2024'!$F24</f>
        <v>252000000</v>
      </c>
      <c r="I112" s="167">
        <f t="shared" si="23"/>
        <v>249000000</v>
      </c>
      <c r="J112" s="171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  <c r="Z112" s="166"/>
      <c r="AA112" s="166"/>
      <c r="AB112" s="166"/>
      <c r="AC112" s="166"/>
      <c r="AD112" s="166"/>
      <c r="AE112" s="166"/>
      <c r="AF112" s="166">
        <f t="shared" si="19"/>
        <v>3000000</v>
      </c>
      <c r="AG112" s="166"/>
      <c r="AH112" s="166"/>
      <c r="AI112" s="166"/>
      <c r="AJ112" s="166"/>
      <c r="AK112" s="166"/>
      <c r="AL112" s="166">
        <v>3000000</v>
      </c>
      <c r="AM112" s="166"/>
    </row>
    <row r="113" spans="1:39" s="169" customFormat="1" ht="51.75" customHeight="1" x14ac:dyDescent="0.25">
      <c r="A113" s="175"/>
      <c r="B113" s="202" t="s">
        <v>7</v>
      </c>
      <c r="C113" s="162" t="s">
        <v>289</v>
      </c>
      <c r="D113" s="163" t="s">
        <v>293</v>
      </c>
      <c r="E113" s="164">
        <v>211</v>
      </c>
      <c r="F113" s="165" t="s">
        <v>347</v>
      </c>
      <c r="G113" s="166">
        <f t="shared" si="22"/>
        <v>246000000</v>
      </c>
      <c r="H113" s="167">
        <f>+'[6]SA 2020 2024'!$F25</f>
        <v>246000000</v>
      </c>
      <c r="I113" s="167">
        <f t="shared" si="23"/>
        <v>0</v>
      </c>
      <c r="J113" s="171"/>
      <c r="K113" s="166"/>
      <c r="L113" s="166"/>
      <c r="M113" s="166"/>
      <c r="N113" s="166"/>
      <c r="O113" s="166"/>
      <c r="P113" s="166"/>
      <c r="Q113" s="166"/>
      <c r="R113" s="166"/>
      <c r="S113" s="166">
        <f>265157791-250281030</f>
        <v>14876761</v>
      </c>
      <c r="T113" s="166"/>
      <c r="U113" s="166"/>
      <c r="V113" s="166"/>
      <c r="W113" s="166"/>
      <c r="X113" s="166"/>
      <c r="Y113" s="166"/>
      <c r="Z113" s="166"/>
      <c r="AA113" s="166"/>
      <c r="AB113" s="166"/>
      <c r="AC113" s="166"/>
      <c r="AD113" s="166"/>
      <c r="AE113" s="166"/>
      <c r="AF113" s="166">
        <f t="shared" si="19"/>
        <v>231123239</v>
      </c>
      <c r="AG113" s="166"/>
      <c r="AH113" s="166">
        <v>17557879</v>
      </c>
      <c r="AI113" s="166">
        <v>71006594</v>
      </c>
      <c r="AJ113" s="166">
        <v>66270879</v>
      </c>
      <c r="AK113" s="166">
        <v>11376487</v>
      </c>
      <c r="AL113" s="166">
        <v>17926897</v>
      </c>
      <c r="AM113" s="166">
        <v>46984503</v>
      </c>
    </row>
    <row r="114" spans="1:39" s="169" customFormat="1" ht="22.15" customHeight="1" x14ac:dyDescent="0.25">
      <c r="A114" s="175"/>
      <c r="B114" s="203"/>
      <c r="C114" s="162" t="s">
        <v>183</v>
      </c>
      <c r="D114" s="163" t="s">
        <v>23</v>
      </c>
      <c r="E114" s="164">
        <v>211</v>
      </c>
      <c r="F114" s="165" t="s">
        <v>348</v>
      </c>
      <c r="G114" s="166">
        <f t="shared" si="22"/>
        <v>280157791</v>
      </c>
      <c r="H114" s="167">
        <f>+'[6]SA 2020 2024'!$F26</f>
        <v>600000000</v>
      </c>
      <c r="I114" s="167">
        <f t="shared" si="23"/>
        <v>319842209</v>
      </c>
      <c r="J114" s="171"/>
      <c r="K114" s="166"/>
      <c r="L114" s="166"/>
      <c r="M114" s="166"/>
      <c r="N114" s="166"/>
      <c r="O114" s="166"/>
      <c r="P114" s="166">
        <f>250281030+14876761</f>
        <v>265157791</v>
      </c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  <c r="AA114" s="166"/>
      <c r="AB114" s="166"/>
      <c r="AC114" s="166"/>
      <c r="AD114" s="166"/>
      <c r="AE114" s="166"/>
      <c r="AF114" s="166">
        <f t="shared" si="19"/>
        <v>15000000</v>
      </c>
      <c r="AG114" s="166"/>
      <c r="AH114" s="166"/>
      <c r="AI114" s="166"/>
      <c r="AJ114" s="166">
        <f>7000000+8000000</f>
        <v>15000000</v>
      </c>
      <c r="AK114" s="166"/>
      <c r="AL114" s="166"/>
      <c r="AM114" s="166"/>
    </row>
    <row r="115" spans="1:39" s="169" customFormat="1" ht="27.6" customHeight="1" x14ac:dyDescent="0.25">
      <c r="A115" s="175"/>
      <c r="B115" s="176" t="s">
        <v>294</v>
      </c>
      <c r="C115" s="162" t="s">
        <v>295</v>
      </c>
      <c r="D115" s="163" t="s">
        <v>354</v>
      </c>
      <c r="E115" s="164">
        <v>211</v>
      </c>
      <c r="F115" s="165" t="s">
        <v>163</v>
      </c>
      <c r="G115" s="166">
        <f t="shared" si="22"/>
        <v>0</v>
      </c>
      <c r="H115" s="167">
        <f>+'[6]SA 2020 2024'!$F32</f>
        <v>815000000</v>
      </c>
      <c r="I115" s="167">
        <f t="shared" si="23"/>
        <v>815000000</v>
      </c>
      <c r="J115" s="171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  <c r="AA115" s="166"/>
      <c r="AB115" s="166"/>
      <c r="AC115" s="166"/>
      <c r="AD115" s="166"/>
      <c r="AE115" s="166"/>
      <c r="AF115" s="166">
        <f t="shared" si="19"/>
        <v>0</v>
      </c>
      <c r="AG115" s="166"/>
      <c r="AH115" s="166"/>
      <c r="AI115" s="166"/>
      <c r="AJ115" s="166"/>
      <c r="AK115" s="166"/>
      <c r="AL115" s="166"/>
      <c r="AM115" s="166"/>
    </row>
    <row r="116" spans="1:39" s="169" customFormat="1" ht="30" customHeight="1" x14ac:dyDescent="0.25">
      <c r="A116" s="175"/>
      <c r="B116" s="177"/>
      <c r="C116" s="162" t="s">
        <v>296</v>
      </c>
      <c r="D116" s="163" t="s">
        <v>355</v>
      </c>
      <c r="E116" s="164">
        <v>211</v>
      </c>
      <c r="F116" s="165" t="s">
        <v>163</v>
      </c>
      <c r="G116" s="166">
        <f t="shared" si="22"/>
        <v>70000000</v>
      </c>
      <c r="H116" s="167">
        <f>+'[6]SA 2020 2024'!$F33</f>
        <v>200000000</v>
      </c>
      <c r="I116" s="167">
        <f t="shared" si="23"/>
        <v>130000000</v>
      </c>
      <c r="J116" s="171"/>
      <c r="K116" s="166">
        <v>70000000</v>
      </c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  <c r="AA116" s="166"/>
      <c r="AB116" s="166"/>
      <c r="AC116" s="166"/>
      <c r="AD116" s="166"/>
      <c r="AE116" s="166"/>
      <c r="AF116" s="166">
        <f t="shared" si="19"/>
        <v>0</v>
      </c>
      <c r="AG116" s="166"/>
      <c r="AH116" s="166"/>
      <c r="AI116" s="166"/>
      <c r="AJ116" s="166"/>
      <c r="AK116" s="166"/>
      <c r="AL116" s="166"/>
      <c r="AM116" s="166"/>
    </row>
    <row r="117" spans="1:39" s="169" customFormat="1" ht="19.899999999999999" customHeight="1" x14ac:dyDescent="0.25">
      <c r="A117" s="175"/>
      <c r="B117" s="177"/>
      <c r="C117" s="162" t="s">
        <v>297</v>
      </c>
      <c r="D117" s="163" t="s">
        <v>24</v>
      </c>
      <c r="E117" s="164">
        <v>211</v>
      </c>
      <c r="F117" s="165" t="s">
        <v>163</v>
      </c>
      <c r="G117" s="166">
        <f t="shared" si="22"/>
        <v>0</v>
      </c>
      <c r="H117" s="167">
        <f>+'[6]SA 2020 2024'!$F34</f>
        <v>281000000</v>
      </c>
      <c r="I117" s="167">
        <f t="shared" si="23"/>
        <v>281000000</v>
      </c>
      <c r="J117" s="171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  <c r="AA117" s="166"/>
      <c r="AB117" s="166"/>
      <c r="AC117" s="166"/>
      <c r="AD117" s="166"/>
      <c r="AE117" s="166"/>
      <c r="AF117" s="166">
        <f t="shared" si="19"/>
        <v>0</v>
      </c>
      <c r="AG117" s="166"/>
      <c r="AH117" s="166"/>
      <c r="AI117" s="166"/>
      <c r="AJ117" s="166"/>
      <c r="AK117" s="166"/>
      <c r="AL117" s="166"/>
      <c r="AM117" s="166"/>
    </row>
    <row r="118" spans="1:39" s="169" customFormat="1" ht="22.5" customHeight="1" x14ac:dyDescent="0.25">
      <c r="A118" s="175"/>
      <c r="B118" s="177"/>
      <c r="C118" s="162" t="s">
        <v>298</v>
      </c>
      <c r="D118" s="163" t="s">
        <v>25</v>
      </c>
      <c r="E118" s="164">
        <v>211</v>
      </c>
      <c r="F118" s="165" t="s">
        <v>163</v>
      </c>
      <c r="G118" s="166">
        <f t="shared" si="22"/>
        <v>400000000</v>
      </c>
      <c r="H118" s="167">
        <f>+'[6]SA 2020 2024'!$F35</f>
        <v>470000000</v>
      </c>
      <c r="I118" s="167">
        <f t="shared" si="23"/>
        <v>70000000</v>
      </c>
      <c r="J118" s="171"/>
      <c r="K118" s="166">
        <v>400000000</v>
      </c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  <c r="AA118" s="166"/>
      <c r="AB118" s="166"/>
      <c r="AC118" s="166"/>
      <c r="AD118" s="166"/>
      <c r="AE118" s="166"/>
      <c r="AF118" s="166">
        <f t="shared" si="19"/>
        <v>0</v>
      </c>
      <c r="AG118" s="166"/>
      <c r="AH118" s="166"/>
      <c r="AI118" s="166"/>
      <c r="AJ118" s="166"/>
      <c r="AK118" s="166"/>
      <c r="AL118" s="166"/>
      <c r="AM118" s="166"/>
    </row>
    <row r="119" spans="1:39" s="169" customFormat="1" ht="21.6" customHeight="1" x14ac:dyDescent="0.25">
      <c r="A119" s="175"/>
      <c r="B119" s="183"/>
      <c r="C119" s="162" t="s">
        <v>184</v>
      </c>
      <c r="D119" s="163" t="s">
        <v>26</v>
      </c>
      <c r="E119" s="164">
        <v>211</v>
      </c>
      <c r="F119" s="165" t="s">
        <v>163</v>
      </c>
      <c r="G119" s="166">
        <f t="shared" si="22"/>
        <v>110000000</v>
      </c>
      <c r="H119" s="167">
        <f>+'[6]SA 2020 2024'!$F36</f>
        <v>500000000</v>
      </c>
      <c r="I119" s="167">
        <f t="shared" si="23"/>
        <v>390000000</v>
      </c>
      <c r="J119" s="171"/>
      <c r="K119" s="166">
        <v>110000000</v>
      </c>
      <c r="L119" s="166"/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  <c r="Z119" s="166"/>
      <c r="AA119" s="166"/>
      <c r="AB119" s="166"/>
      <c r="AC119" s="166"/>
      <c r="AD119" s="166"/>
      <c r="AE119" s="166"/>
      <c r="AF119" s="166">
        <f t="shared" si="19"/>
        <v>0</v>
      </c>
      <c r="AG119" s="166"/>
      <c r="AH119" s="166"/>
      <c r="AI119" s="166"/>
      <c r="AJ119" s="166"/>
      <c r="AK119" s="166"/>
      <c r="AL119" s="166"/>
      <c r="AM119" s="166"/>
    </row>
    <row r="120" spans="1:39" s="169" customFormat="1" ht="21" customHeight="1" x14ac:dyDescent="0.25">
      <c r="A120" s="175"/>
      <c r="B120" s="191" t="s">
        <v>8</v>
      </c>
      <c r="C120" s="162" t="s">
        <v>299</v>
      </c>
      <c r="D120" s="163" t="s">
        <v>27</v>
      </c>
      <c r="E120" s="164">
        <v>510</v>
      </c>
      <c r="F120" s="165" t="s">
        <v>163</v>
      </c>
      <c r="G120" s="166">
        <f t="shared" si="22"/>
        <v>100000000</v>
      </c>
      <c r="H120" s="167">
        <f>+'[6]SA 2020 2024'!$F42</f>
        <v>220000000</v>
      </c>
      <c r="I120" s="167">
        <f t="shared" si="23"/>
        <v>120000000</v>
      </c>
      <c r="J120" s="171"/>
      <c r="K120" s="166">
        <v>100000000</v>
      </c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  <c r="AA120" s="166"/>
      <c r="AB120" s="166"/>
      <c r="AC120" s="166"/>
      <c r="AD120" s="166"/>
      <c r="AE120" s="166"/>
      <c r="AF120" s="166">
        <f t="shared" si="19"/>
        <v>0</v>
      </c>
      <c r="AG120" s="166"/>
      <c r="AH120" s="166"/>
      <c r="AI120" s="166"/>
      <c r="AJ120" s="166"/>
      <c r="AK120" s="166"/>
      <c r="AL120" s="166"/>
      <c r="AM120" s="166"/>
    </row>
    <row r="121" spans="1:39" s="169" customFormat="1" ht="42" customHeight="1" x14ac:dyDescent="0.25">
      <c r="A121" s="175"/>
      <c r="B121" s="191"/>
      <c r="C121" s="162" t="s">
        <v>300</v>
      </c>
      <c r="D121" s="163" t="s">
        <v>28</v>
      </c>
      <c r="E121" s="164">
        <v>510</v>
      </c>
      <c r="F121" s="165" t="s">
        <v>163</v>
      </c>
      <c r="G121" s="166">
        <f t="shared" si="22"/>
        <v>10000000</v>
      </c>
      <c r="H121" s="167">
        <f>+'[6]SA 2020 2024'!$F43</f>
        <v>150000000</v>
      </c>
      <c r="I121" s="167">
        <f t="shared" si="23"/>
        <v>140000000</v>
      </c>
      <c r="J121" s="171"/>
      <c r="K121" s="166">
        <v>10000000</v>
      </c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66"/>
      <c r="Z121" s="166"/>
      <c r="AA121" s="166"/>
      <c r="AB121" s="166"/>
      <c r="AC121" s="166"/>
      <c r="AD121" s="166"/>
      <c r="AE121" s="166"/>
      <c r="AF121" s="166">
        <f t="shared" si="19"/>
        <v>0</v>
      </c>
      <c r="AG121" s="166"/>
      <c r="AH121" s="166"/>
      <c r="AI121" s="166"/>
      <c r="AJ121" s="166"/>
      <c r="AK121" s="166"/>
      <c r="AL121" s="166"/>
      <c r="AM121" s="166"/>
    </row>
    <row r="122" spans="1:39" s="169" customFormat="1" ht="21" customHeight="1" x14ac:dyDescent="0.25">
      <c r="A122" s="175"/>
      <c r="B122" s="191"/>
      <c r="C122" s="162" t="s">
        <v>301</v>
      </c>
      <c r="D122" s="163" t="s">
        <v>306</v>
      </c>
      <c r="E122" s="164">
        <v>510</v>
      </c>
      <c r="F122" s="165" t="s">
        <v>163</v>
      </c>
      <c r="G122" s="166">
        <f t="shared" si="22"/>
        <v>100000000</v>
      </c>
      <c r="H122" s="167">
        <f>+'[6]SA 2020 2024'!$F44</f>
        <v>280000000</v>
      </c>
      <c r="I122" s="167">
        <f t="shared" si="23"/>
        <v>180000000</v>
      </c>
      <c r="J122" s="171"/>
      <c r="K122" s="166">
        <v>100000000</v>
      </c>
      <c r="L122" s="166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  <c r="Z122" s="166"/>
      <c r="AA122" s="166"/>
      <c r="AB122" s="166"/>
      <c r="AC122" s="166"/>
      <c r="AD122" s="166"/>
      <c r="AE122" s="166"/>
      <c r="AF122" s="166">
        <f t="shared" si="19"/>
        <v>0</v>
      </c>
      <c r="AG122" s="166"/>
      <c r="AH122" s="166"/>
      <c r="AI122" s="166"/>
      <c r="AJ122" s="166"/>
      <c r="AK122" s="166"/>
      <c r="AL122" s="166"/>
      <c r="AM122" s="166"/>
    </row>
    <row r="123" spans="1:39" s="169" customFormat="1" ht="30" customHeight="1" x14ac:dyDescent="0.25">
      <c r="A123" s="175"/>
      <c r="B123" s="191"/>
      <c r="C123" s="162" t="s">
        <v>302</v>
      </c>
      <c r="D123" s="163" t="s">
        <v>29</v>
      </c>
      <c r="E123" s="164">
        <v>510</v>
      </c>
      <c r="F123" s="165" t="s">
        <v>163</v>
      </c>
      <c r="G123" s="166">
        <f t="shared" si="22"/>
        <v>100000000</v>
      </c>
      <c r="H123" s="167">
        <f>+'[6]SA 2020 2024'!$F45</f>
        <v>200000000</v>
      </c>
      <c r="I123" s="167">
        <f t="shared" si="23"/>
        <v>100000000</v>
      </c>
      <c r="J123" s="171"/>
      <c r="K123" s="166">
        <v>100000000</v>
      </c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  <c r="Y123" s="166"/>
      <c r="Z123" s="166"/>
      <c r="AA123" s="166"/>
      <c r="AB123" s="166"/>
      <c r="AC123" s="166"/>
      <c r="AD123" s="166"/>
      <c r="AE123" s="166"/>
      <c r="AF123" s="166">
        <f t="shared" si="19"/>
        <v>0</v>
      </c>
      <c r="AG123" s="166"/>
      <c r="AH123" s="166"/>
      <c r="AI123" s="166"/>
      <c r="AJ123" s="166"/>
      <c r="AK123" s="166"/>
      <c r="AL123" s="166"/>
      <c r="AM123" s="166"/>
    </row>
    <row r="124" spans="1:39" s="169" customFormat="1" ht="32.450000000000003" customHeight="1" x14ac:dyDescent="0.25">
      <c r="A124" s="175"/>
      <c r="B124" s="191"/>
      <c r="C124" s="162" t="s">
        <v>303</v>
      </c>
      <c r="D124" s="163" t="s">
        <v>30</v>
      </c>
      <c r="E124" s="164">
        <v>510</v>
      </c>
      <c r="F124" s="165" t="s">
        <v>163</v>
      </c>
      <c r="G124" s="166">
        <f t="shared" si="22"/>
        <v>100000000</v>
      </c>
      <c r="H124" s="167">
        <f>+'[6]SA 2020 2024'!$F46</f>
        <v>200000000</v>
      </c>
      <c r="I124" s="167">
        <f t="shared" si="23"/>
        <v>100000000</v>
      </c>
      <c r="J124" s="171"/>
      <c r="K124" s="166">
        <v>100000000</v>
      </c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  <c r="Z124" s="166"/>
      <c r="AA124" s="166"/>
      <c r="AB124" s="166"/>
      <c r="AC124" s="166"/>
      <c r="AD124" s="166"/>
      <c r="AE124" s="166"/>
      <c r="AF124" s="166">
        <f t="shared" si="19"/>
        <v>0</v>
      </c>
      <c r="AG124" s="166"/>
      <c r="AH124" s="166"/>
      <c r="AI124" s="166"/>
      <c r="AJ124" s="166"/>
      <c r="AK124" s="166"/>
      <c r="AL124" s="166"/>
      <c r="AM124" s="166"/>
    </row>
    <row r="125" spans="1:39" s="169" customFormat="1" ht="21.6" customHeight="1" x14ac:dyDescent="0.25">
      <c r="A125" s="175"/>
      <c r="B125" s="191"/>
      <c r="C125" s="162" t="s">
        <v>304</v>
      </c>
      <c r="D125" s="163" t="s">
        <v>31</v>
      </c>
      <c r="E125" s="164">
        <v>510</v>
      </c>
      <c r="F125" s="165" t="s">
        <v>163</v>
      </c>
      <c r="G125" s="166">
        <f t="shared" si="22"/>
        <v>49407500</v>
      </c>
      <c r="H125" s="167">
        <f>+'[6]SA 2020 2024'!$F47</f>
        <v>200000000</v>
      </c>
      <c r="I125" s="167">
        <f t="shared" si="23"/>
        <v>150592500</v>
      </c>
      <c r="J125" s="171"/>
      <c r="K125" s="166">
        <v>49407500</v>
      </c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  <c r="Z125" s="166"/>
      <c r="AA125" s="166"/>
      <c r="AB125" s="166"/>
      <c r="AC125" s="166"/>
      <c r="AD125" s="166"/>
      <c r="AE125" s="166"/>
      <c r="AF125" s="166">
        <f t="shared" si="19"/>
        <v>0</v>
      </c>
      <c r="AG125" s="166"/>
      <c r="AH125" s="166"/>
      <c r="AI125" s="166"/>
      <c r="AJ125" s="166"/>
      <c r="AK125" s="166"/>
      <c r="AL125" s="166"/>
      <c r="AM125" s="166"/>
    </row>
    <row r="126" spans="1:39" s="169" customFormat="1" ht="31.5" customHeight="1" x14ac:dyDescent="0.25">
      <c r="A126" s="175"/>
      <c r="B126" s="191"/>
      <c r="C126" s="162" t="s">
        <v>305</v>
      </c>
      <c r="D126" s="163" t="s">
        <v>32</v>
      </c>
      <c r="E126" s="164">
        <v>510</v>
      </c>
      <c r="F126" s="165" t="s">
        <v>163</v>
      </c>
      <c r="G126" s="166">
        <f t="shared" si="22"/>
        <v>180000000</v>
      </c>
      <c r="H126" s="167">
        <f>+'[6]SA 2020 2024'!$F48</f>
        <v>200000000</v>
      </c>
      <c r="I126" s="167">
        <f t="shared" si="23"/>
        <v>20000000</v>
      </c>
      <c r="J126" s="171"/>
      <c r="K126" s="166">
        <v>100000000</v>
      </c>
      <c r="L126" s="166"/>
      <c r="M126" s="166"/>
      <c r="N126" s="166"/>
      <c r="O126" s="166">
        <v>80000000</v>
      </c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  <c r="Z126" s="166"/>
      <c r="AA126" s="166"/>
      <c r="AB126" s="166"/>
      <c r="AC126" s="166"/>
      <c r="AD126" s="166"/>
      <c r="AE126" s="166"/>
      <c r="AF126" s="166">
        <f t="shared" si="19"/>
        <v>0</v>
      </c>
      <c r="AG126" s="166"/>
      <c r="AH126" s="166"/>
      <c r="AI126" s="166"/>
      <c r="AJ126" s="166"/>
      <c r="AK126" s="166"/>
      <c r="AL126" s="166"/>
      <c r="AM126" s="166"/>
    </row>
    <row r="127" spans="1:39" s="169" customFormat="1" ht="23.45" customHeight="1" x14ac:dyDescent="0.25">
      <c r="A127" s="175"/>
      <c r="B127" s="176" t="s">
        <v>9</v>
      </c>
      <c r="C127" s="162" t="s">
        <v>307</v>
      </c>
      <c r="D127" s="163" t="s">
        <v>33</v>
      </c>
      <c r="E127" s="164">
        <v>310</v>
      </c>
      <c r="F127" s="165" t="s">
        <v>163</v>
      </c>
      <c r="G127" s="166">
        <f t="shared" si="22"/>
        <v>157000000</v>
      </c>
      <c r="H127" s="167">
        <f>+'[6]SA 2020 2024'!$F54</f>
        <v>180000000</v>
      </c>
      <c r="I127" s="167">
        <f t="shared" si="23"/>
        <v>23000000</v>
      </c>
      <c r="J127" s="171"/>
      <c r="K127" s="166">
        <v>157000000</v>
      </c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  <c r="AA127" s="166"/>
      <c r="AB127" s="166"/>
      <c r="AC127" s="166"/>
      <c r="AD127" s="166"/>
      <c r="AE127" s="166"/>
      <c r="AF127" s="166">
        <f t="shared" si="19"/>
        <v>0</v>
      </c>
      <c r="AG127" s="166"/>
      <c r="AH127" s="166"/>
      <c r="AI127" s="166"/>
      <c r="AJ127" s="166"/>
      <c r="AK127" s="166"/>
      <c r="AL127" s="166"/>
      <c r="AM127" s="166"/>
    </row>
    <row r="128" spans="1:39" s="169" customFormat="1" ht="49.5" customHeight="1" x14ac:dyDescent="0.25">
      <c r="A128" s="175"/>
      <c r="B128" s="183"/>
      <c r="C128" s="162" t="s">
        <v>308</v>
      </c>
      <c r="D128" s="163" t="s">
        <v>34</v>
      </c>
      <c r="E128" s="164">
        <v>310</v>
      </c>
      <c r="F128" s="165" t="s">
        <v>349</v>
      </c>
      <c r="G128" s="166">
        <f t="shared" si="22"/>
        <v>80000000</v>
      </c>
      <c r="H128" s="167">
        <f>+'[6]SA 2020 2024'!$F55</f>
        <v>80000000</v>
      </c>
      <c r="I128" s="167">
        <f t="shared" si="23"/>
        <v>0</v>
      </c>
      <c r="J128" s="171"/>
      <c r="K128" s="166">
        <f>80000000-7000000</f>
        <v>73000000</v>
      </c>
      <c r="L128" s="166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  <c r="Z128" s="166"/>
      <c r="AA128" s="166"/>
      <c r="AB128" s="166"/>
      <c r="AC128" s="166"/>
      <c r="AD128" s="166"/>
      <c r="AE128" s="166"/>
      <c r="AF128" s="166">
        <f t="shared" si="19"/>
        <v>7000000</v>
      </c>
      <c r="AG128" s="166"/>
      <c r="AH128" s="166"/>
      <c r="AI128" s="166"/>
      <c r="AJ128" s="166">
        <v>7000000</v>
      </c>
      <c r="AK128" s="166"/>
      <c r="AL128" s="166"/>
      <c r="AM128" s="166"/>
    </row>
    <row r="129" spans="1:39" s="5" customFormat="1" ht="20.25" customHeight="1" thickBot="1" x14ac:dyDescent="0.3">
      <c r="A129" s="10"/>
      <c r="B129" s="206" t="s">
        <v>10</v>
      </c>
      <c r="C129" s="207"/>
      <c r="D129" s="208"/>
      <c r="E129" s="11"/>
      <c r="F129" s="12"/>
      <c r="G129" s="8">
        <f t="shared" ref="G129:AF129" si="24">SUM(G98:G128)</f>
        <v>14150774069</v>
      </c>
      <c r="H129" s="8">
        <f t="shared" si="24"/>
        <v>22362040000</v>
      </c>
      <c r="I129" s="8">
        <f t="shared" si="24"/>
        <v>8211265931</v>
      </c>
      <c r="J129" s="8">
        <f t="shared" si="24"/>
        <v>0</v>
      </c>
      <c r="K129" s="8">
        <f t="shared" si="24"/>
        <v>1369407500</v>
      </c>
      <c r="L129" s="8">
        <f t="shared" si="24"/>
        <v>0</v>
      </c>
      <c r="M129" s="8">
        <f t="shared" si="24"/>
        <v>0</v>
      </c>
      <c r="N129" s="8">
        <f t="shared" si="24"/>
        <v>10500000000</v>
      </c>
      <c r="O129" s="8">
        <f t="shared" si="24"/>
        <v>160000000</v>
      </c>
      <c r="P129" s="8">
        <f t="shared" si="24"/>
        <v>265157791</v>
      </c>
      <c r="Q129" s="8">
        <f t="shared" si="24"/>
        <v>0</v>
      </c>
      <c r="R129" s="8">
        <f t="shared" si="24"/>
        <v>301360820</v>
      </c>
      <c r="S129" s="8">
        <f t="shared" si="24"/>
        <v>266360820</v>
      </c>
      <c r="T129" s="8">
        <f t="shared" si="24"/>
        <v>286360820</v>
      </c>
      <c r="U129" s="8">
        <f t="shared" si="24"/>
        <v>0</v>
      </c>
      <c r="V129" s="8">
        <f t="shared" si="24"/>
        <v>64000000</v>
      </c>
      <c r="W129" s="8">
        <f t="shared" si="24"/>
        <v>182170491</v>
      </c>
      <c r="X129" s="8">
        <f t="shared" si="24"/>
        <v>149509826</v>
      </c>
      <c r="Y129" s="8">
        <f t="shared" si="24"/>
        <v>0</v>
      </c>
      <c r="Z129" s="8">
        <f t="shared" si="24"/>
        <v>0</v>
      </c>
      <c r="AA129" s="8">
        <f t="shared" si="24"/>
        <v>0</v>
      </c>
      <c r="AB129" s="8">
        <f t="shared" si="24"/>
        <v>0</v>
      </c>
      <c r="AC129" s="8">
        <f t="shared" si="24"/>
        <v>0</v>
      </c>
      <c r="AD129" s="8">
        <f t="shared" si="24"/>
        <v>0</v>
      </c>
      <c r="AE129" s="8">
        <f t="shared" si="24"/>
        <v>0</v>
      </c>
      <c r="AF129" s="8">
        <f t="shared" si="24"/>
        <v>606446001</v>
      </c>
      <c r="AG129" s="8">
        <f t="shared" ref="AG129:AM129" si="25">SUM(AG98:AG128)</f>
        <v>0</v>
      </c>
      <c r="AH129" s="8">
        <f t="shared" si="25"/>
        <v>59491711</v>
      </c>
      <c r="AI129" s="8">
        <f t="shared" si="25"/>
        <v>159052753</v>
      </c>
      <c r="AJ129" s="8">
        <f t="shared" si="25"/>
        <v>166270879</v>
      </c>
      <c r="AK129" s="8">
        <f t="shared" si="25"/>
        <v>47781247</v>
      </c>
      <c r="AL129" s="8">
        <f t="shared" si="25"/>
        <v>34926897</v>
      </c>
      <c r="AM129" s="8">
        <f t="shared" si="25"/>
        <v>138922514</v>
      </c>
    </row>
    <row r="130" spans="1:39" ht="5.25" customHeight="1" thickTop="1" x14ac:dyDescent="0.25">
      <c r="C130" s="13"/>
      <c r="D130" s="13"/>
      <c r="E130" s="13"/>
      <c r="F130" s="13"/>
      <c r="G130" s="14"/>
      <c r="H130" s="47"/>
      <c r="I130" s="47"/>
      <c r="J130" s="14"/>
      <c r="K130" s="15"/>
      <c r="L130" s="14"/>
      <c r="M130" s="14"/>
      <c r="N130" s="14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53"/>
      <c r="AH130" s="53"/>
      <c r="AI130" s="53"/>
      <c r="AJ130" s="53"/>
      <c r="AK130" s="53"/>
      <c r="AL130" s="53"/>
      <c r="AM130" s="53"/>
    </row>
    <row r="131" spans="1:39" ht="19.5" customHeight="1" x14ac:dyDescent="0.25">
      <c r="C131" s="209" t="s">
        <v>185</v>
      </c>
      <c r="D131" s="210"/>
      <c r="E131" s="211"/>
      <c r="F131" s="18"/>
      <c r="G131" s="17">
        <f t="shared" ref="G131:AF131" si="26">G24+G50+G77+G97+G129</f>
        <v>28321265796</v>
      </c>
      <c r="H131" s="50">
        <f t="shared" si="26"/>
        <v>45545351400.672722</v>
      </c>
      <c r="I131" s="50">
        <f t="shared" si="26"/>
        <v>17224085604.672722</v>
      </c>
      <c r="J131" s="17">
        <f t="shared" si="26"/>
        <v>472992255</v>
      </c>
      <c r="K131" s="17">
        <f t="shared" si="26"/>
        <v>3070370559</v>
      </c>
      <c r="L131" s="17">
        <f t="shared" si="26"/>
        <v>0</v>
      </c>
      <c r="M131" s="17">
        <f t="shared" si="26"/>
        <v>0</v>
      </c>
      <c r="N131" s="17">
        <f t="shared" si="26"/>
        <v>10500000000</v>
      </c>
      <c r="O131" s="17">
        <f t="shared" si="26"/>
        <v>160000000</v>
      </c>
      <c r="P131" s="17">
        <f t="shared" si="26"/>
        <v>265157791</v>
      </c>
      <c r="Q131" s="17">
        <f t="shared" si="26"/>
        <v>2669525740</v>
      </c>
      <c r="R131" s="17">
        <f t="shared" si="26"/>
        <v>381360820</v>
      </c>
      <c r="S131" s="17">
        <f t="shared" si="26"/>
        <v>381360820</v>
      </c>
      <c r="T131" s="17">
        <f t="shared" si="26"/>
        <v>381360820</v>
      </c>
      <c r="U131" s="17">
        <f t="shared" si="26"/>
        <v>482855217</v>
      </c>
      <c r="V131" s="17">
        <f t="shared" si="26"/>
        <v>64000000</v>
      </c>
      <c r="W131" s="17">
        <f t="shared" si="26"/>
        <v>182170491</v>
      </c>
      <c r="X131" s="17">
        <f t="shared" si="26"/>
        <v>149509826</v>
      </c>
      <c r="Y131" s="17">
        <f t="shared" si="26"/>
        <v>3500000000</v>
      </c>
      <c r="Z131" s="17">
        <f t="shared" si="26"/>
        <v>1195065295</v>
      </c>
      <c r="AA131" s="17">
        <f t="shared" si="26"/>
        <v>0</v>
      </c>
      <c r="AB131" s="17">
        <f t="shared" si="26"/>
        <v>727648081</v>
      </c>
      <c r="AC131" s="17">
        <f t="shared" si="26"/>
        <v>1828902165</v>
      </c>
      <c r="AD131" s="17">
        <f t="shared" si="26"/>
        <v>0</v>
      </c>
      <c r="AE131" s="17">
        <f t="shared" si="26"/>
        <v>0</v>
      </c>
      <c r="AF131" s="17">
        <f t="shared" si="26"/>
        <v>1908985916</v>
      </c>
      <c r="AG131" s="17">
        <f t="shared" ref="AG131:AM131" si="27">AG24+AG50+AG77+AG97+AG129</f>
        <v>60000000</v>
      </c>
      <c r="AH131" s="17">
        <f t="shared" si="27"/>
        <v>140463032</v>
      </c>
      <c r="AI131" s="17">
        <f t="shared" si="27"/>
        <v>568052753</v>
      </c>
      <c r="AJ131" s="17">
        <f t="shared" si="27"/>
        <v>530167033</v>
      </c>
      <c r="AK131" s="17">
        <f t="shared" si="27"/>
        <v>91011900</v>
      </c>
      <c r="AL131" s="17">
        <f t="shared" si="27"/>
        <v>143415176</v>
      </c>
      <c r="AM131" s="17">
        <f t="shared" si="27"/>
        <v>375876022</v>
      </c>
    </row>
    <row r="132" spans="1:39" ht="5.25" customHeight="1" x14ac:dyDescent="0.25">
      <c r="C132" s="19"/>
      <c r="D132" s="19"/>
      <c r="E132" s="20"/>
      <c r="F132" s="20"/>
      <c r="G132" s="21"/>
      <c r="H132" s="48"/>
      <c r="I132" s="48"/>
      <c r="J132" s="21"/>
      <c r="K132" s="22"/>
      <c r="L132" s="21"/>
      <c r="M132" s="21"/>
      <c r="N132" s="21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53"/>
      <c r="AH132" s="53"/>
      <c r="AI132" s="53"/>
      <c r="AJ132" s="53"/>
      <c r="AK132" s="53"/>
      <c r="AL132" s="53"/>
      <c r="AM132" s="53"/>
    </row>
    <row r="133" spans="1:39" ht="16.5" customHeight="1" x14ac:dyDescent="0.25">
      <c r="C133" s="25"/>
      <c r="D133" s="26" t="s">
        <v>186</v>
      </c>
      <c r="E133" s="24">
        <v>111</v>
      </c>
      <c r="F133" s="27"/>
      <c r="G133" s="29">
        <f ca="1">SUMIF($E$6:$G$129,"111",$G$6:$J$128)</f>
        <v>11490700788</v>
      </c>
      <c r="H133" s="49">
        <f ca="1">SUMIF($E$6:$H$129,"111",$H$6:$J$128)</f>
        <v>12050040000</v>
      </c>
      <c r="I133" s="49">
        <f ca="1">SUMIF($E$6:$I$129,"111",$I$6:$J$128)</f>
        <v>559339212</v>
      </c>
      <c r="J133" s="29">
        <f>SUMIF($E$6:$E$129,"111",$J$6:$J$129)</f>
        <v>0</v>
      </c>
      <c r="K133" s="29">
        <f>SUMIF($E$6:$E$129,"111",$K$6:$K$129)</f>
        <v>0</v>
      </c>
      <c r="L133" s="29">
        <f>SUMIF($E$6:$E$129,"111",$L$6:$L$129)</f>
        <v>0</v>
      </c>
      <c r="M133" s="29">
        <f>SUMIF($E$6:$E$129,"111",$M$6:$M$129)</f>
        <v>0</v>
      </c>
      <c r="N133" s="28">
        <f>SUMIF($E$6:$E$128,"111",$N$6:$N$128)</f>
        <v>10500000000</v>
      </c>
      <c r="O133" s="27">
        <f>SUMIF($E$6:$E$129,"111",$O$6:$O$129)</f>
        <v>0</v>
      </c>
      <c r="P133" s="27">
        <f>SUMIF($E$6:$E$128,"111",$P$6:$P$128)</f>
        <v>0</v>
      </c>
      <c r="Q133" s="27">
        <f>SUMIF($E$6:$E$128,"111",$Q$6:$Q$128)</f>
        <v>0</v>
      </c>
      <c r="R133" s="27">
        <f>SUMIF($E$6:$E$128,"111",$R$6:$R$128)</f>
        <v>206360820</v>
      </c>
      <c r="S133" s="27">
        <f>SUMIF($E$6:$E$128,"111",$S$6:$S$128)</f>
        <v>141360820</v>
      </c>
      <c r="T133" s="27">
        <f>SUMIF($E$6:$E$128,"111",$T$6:$T$128)</f>
        <v>161360820</v>
      </c>
      <c r="U133" s="27">
        <f>SUMIF($E$6:$E$128,"111",$U$6:$U$128)</f>
        <v>0</v>
      </c>
      <c r="V133" s="27">
        <f>SUMIF($E$6:$E$128,"111",$V$6:$V$128)</f>
        <v>64000000</v>
      </c>
      <c r="W133" s="27">
        <f>SUMIF($E$6:$E$128,"111",$W$6:$W$128)</f>
        <v>182170491</v>
      </c>
      <c r="X133" s="27">
        <f>SUMIF($E$6:$E$128,"111",$X$6:$X$128)</f>
        <v>149509826</v>
      </c>
      <c r="Y133" s="27">
        <f>SUMIF($E$6:$E$128,"111",$Y$6:$Y$128)</f>
        <v>0</v>
      </c>
      <c r="Z133" s="27">
        <f>SUMIF($E$6:$E$128,"111",$Z$6:$Z$128)</f>
        <v>0</v>
      </c>
      <c r="AA133" s="27">
        <f>SUMIF($E$6:$E$128,"111",$AA$6:$AA$128)</f>
        <v>0</v>
      </c>
      <c r="AB133" s="27">
        <f>SUMIF($E$6:$E$128,"111",$AB$6:$AB$128)</f>
        <v>0</v>
      </c>
      <c r="AC133" s="27">
        <f>SUMIF($E$6:$E$128,"111",$AC$6:$AC$128)</f>
        <v>0</v>
      </c>
      <c r="AD133" s="27">
        <f>SUMIF($E$6:$E$128,"111",$AC$6:$AC$128)</f>
        <v>0</v>
      </c>
      <c r="AE133" s="27">
        <f>SUMIF($E$6:$E$128,"111",$AE$6:$AE$128)</f>
        <v>0</v>
      </c>
      <c r="AF133" s="27">
        <f>SUMIF($E$6:$E$128,"111",$AF$6:$AF$128)</f>
        <v>85938011</v>
      </c>
      <c r="AG133" s="27">
        <f>SUMIF($E$5:$E$127,"111",$H$5:$H$127)</f>
        <v>12050040000</v>
      </c>
      <c r="AH133" s="27">
        <f>SUMIF($E$5:$E$127,"111",$I$5:$I$127)</f>
        <v>559339212</v>
      </c>
      <c r="AI133" s="27">
        <f>SUMIF($E$5:$E$127,"111",$J$5:$J$127)</f>
        <v>0</v>
      </c>
      <c r="AJ133" s="27">
        <f>SUMIF($E$5:$E$127,"111",$K$5:$K$127)</f>
        <v>0</v>
      </c>
      <c r="AK133" s="27">
        <f>SUMIF($E$5:$E$127,"111",$L$5:$L$127)</f>
        <v>0</v>
      </c>
      <c r="AL133" s="27">
        <f>SUMIF($E$5:$E$127,"111",$M$5:$M$127)</f>
        <v>0</v>
      </c>
      <c r="AM133" s="27">
        <f>SUMIF($E$5:$E$127,"111",$N$5:$N$127)</f>
        <v>10500000000</v>
      </c>
    </row>
    <row r="134" spans="1:39" ht="18" customHeight="1" x14ac:dyDescent="0.25">
      <c r="C134" s="30"/>
      <c r="D134" s="26" t="s">
        <v>187</v>
      </c>
      <c r="E134" s="24">
        <v>211</v>
      </c>
      <c r="F134" s="27"/>
      <c r="G134" s="29">
        <f ca="1">SUMIF($E$6:$G$129,"211",$G$6:$J$128)</f>
        <v>1783665781</v>
      </c>
      <c r="H134" s="49">
        <f ca="1">SUMIF($E$6:$H$129,"211",$H$6:$J$128)</f>
        <v>8602000000</v>
      </c>
      <c r="I134" s="49">
        <f ca="1">SUMIF($E$6:$I$129,"211",$I$6:$J$128)</f>
        <v>6818334219</v>
      </c>
      <c r="J134" s="29">
        <f>SUMIF($E$6:$E$129,"211",$J$6:$J$129)</f>
        <v>0</v>
      </c>
      <c r="K134" s="29">
        <f>SUMIF($E$6:$E$129,"211",$K$6:$K$129)</f>
        <v>580000000</v>
      </c>
      <c r="L134" s="29">
        <f>SUMIF($E$6:$E$129,"211",$L$6:$L$129)</f>
        <v>0</v>
      </c>
      <c r="M134" s="29">
        <f>SUMIF($E$6:$E$129,"211",$M$6:$M$129)</f>
        <v>0</v>
      </c>
      <c r="N134" s="28">
        <f>SUMIF($E$6:$E$128,"211",$N$6:$N$128)</f>
        <v>0</v>
      </c>
      <c r="O134" s="27">
        <f>SUMIF($E$6:$E$128,"211",$O$6:$O$128)</f>
        <v>80000000</v>
      </c>
      <c r="P134" s="27">
        <f>SUMIF($E$6:$E$128,"211",$P$6:$P$128)</f>
        <v>265157791</v>
      </c>
      <c r="Q134" s="27">
        <f>SUMIF($E$6:$E$128,"211",$Q$6:$Q$128)</f>
        <v>0</v>
      </c>
      <c r="R134" s="27">
        <f>SUMIF($E$6:$E$128,"211",$R$6:$R$128)</f>
        <v>95000000</v>
      </c>
      <c r="S134" s="27">
        <f>SUMIF($E$6:$E$128,"211",$S$6:$S$128)</f>
        <v>125000000</v>
      </c>
      <c r="T134" s="27">
        <f>SUMIF($E$6:$E$128,"211",$T$6:$T$128)</f>
        <v>125000000</v>
      </c>
      <c r="U134" s="27">
        <f>SUMIF($E$6:$E$128,"211",$U$6:$U$128)</f>
        <v>0</v>
      </c>
      <c r="V134" s="27">
        <f>SUMIF($E$6:$E$128,"211",$V$6:$V$128)</f>
        <v>0</v>
      </c>
      <c r="W134" s="27">
        <f>SUMIF($E$6:$E$128,"211",$W$6:$W$128)</f>
        <v>0</v>
      </c>
      <c r="X134" s="27">
        <f>SUMIF($E$6:$E$128,"211",$X$6:$X$128)</f>
        <v>0</v>
      </c>
      <c r="Y134" s="27">
        <f>SUMIF($E$6:$E$128,"211",$Y$6:$Y$128)</f>
        <v>0</v>
      </c>
      <c r="Z134" s="27">
        <f>SUMIF($E$6:$E$128,"211",$Z$6:$Z$128)</f>
        <v>0</v>
      </c>
      <c r="AA134" s="27">
        <f>SUMIF($E$6:$E$128,"211",$AA$6:$AA$128)</f>
        <v>0</v>
      </c>
      <c r="AB134" s="27">
        <f>SUMIF($E$6:$E$128,"211",$AB$6:$AB$128)</f>
        <v>0</v>
      </c>
      <c r="AC134" s="27">
        <f>SUMIF($E$6:$E$128,"211",$AC$6:$AC$128)</f>
        <v>0</v>
      </c>
      <c r="AD134" s="27"/>
      <c r="AE134" s="27">
        <f>SUMIF($E$6:$E$128,"211",$AE$6:$AE$128)</f>
        <v>0</v>
      </c>
      <c r="AF134" s="27">
        <f>SUMIF($E$6:$E$128,"211",$AF$6:$AF$128)</f>
        <v>513507990</v>
      </c>
      <c r="AG134" s="27">
        <f>SUMIF($E$5:$E$127,"211",$H$5:$H$127)</f>
        <v>8602000000</v>
      </c>
      <c r="AH134" s="27">
        <f>SUMIF($E$5:$E$127,"211",$I$5:$I$127)</f>
        <v>6818334219</v>
      </c>
      <c r="AI134" s="27">
        <f>SUMIF($E$5:$E$127,"211",$J$5:$J$127)</f>
        <v>0</v>
      </c>
      <c r="AJ134" s="27">
        <f>SUMIF($E$5:$E$127,"211",$K$5:$K$127)</f>
        <v>580000000</v>
      </c>
      <c r="AK134" s="27">
        <f>SUMIF($E$5:$E$127,"211",$L$5:$L$127)</f>
        <v>0</v>
      </c>
      <c r="AL134" s="27">
        <f>SUMIF($E$5:$E$127,"211",$M$5:$M$127)</f>
        <v>0</v>
      </c>
      <c r="AM134" s="27">
        <f>SUMIF($E$5:$E$127,"211",$N$5:$N$127)</f>
        <v>0</v>
      </c>
    </row>
    <row r="135" spans="1:39" ht="18" customHeight="1" x14ac:dyDescent="0.25">
      <c r="C135" s="30"/>
      <c r="D135" s="26" t="s">
        <v>160</v>
      </c>
      <c r="E135" s="31">
        <v>301</v>
      </c>
      <c r="F135" s="27"/>
      <c r="G135" s="29">
        <f ca="1">SUMIF($E$6:$G$129,"301",$G$6:$J$128)</f>
        <v>3592060905</v>
      </c>
      <c r="H135" s="49">
        <f ca="1">SUMIF($E$6:$H$129,"301",$H$6:$J$128)</f>
        <v>4682573500</v>
      </c>
      <c r="I135" s="49">
        <f ca="1">SUMIF($E$6:$I$129,"301",$I$6:$J$128)</f>
        <v>1090512595</v>
      </c>
      <c r="J135" s="29">
        <f>SUMIF($E$6:$E$129,"301",$J$6:$J$129)</f>
        <v>472992255</v>
      </c>
      <c r="K135" s="29">
        <f>SUMIF($E$6:$E$129,"301",$K$6:$K$129)</f>
        <v>0</v>
      </c>
      <c r="L135" s="29">
        <f>SUMIF($E$6:$E$129,"301",$L$6:$L$129)</f>
        <v>0</v>
      </c>
      <c r="M135" s="29">
        <f>SUMIF($E$6:$E$129,"301",$M$6:$M$129)</f>
        <v>0</v>
      </c>
      <c r="N135" s="28">
        <f>SUMIF($E$6:$E$128,"301",$N$6:$N$128)</f>
        <v>0</v>
      </c>
      <c r="O135" s="27">
        <f>SUMIF($E$6:$E$128,"301",$O$6:$O$128)</f>
        <v>0</v>
      </c>
      <c r="P135" s="27">
        <f>SUMIF($E$6:$E$128,"301",$P$6:$P$128)</f>
        <v>0</v>
      </c>
      <c r="Q135" s="27">
        <f>SUMIF($E$6:$E$128,"301",$Q$6:$Q$128)</f>
        <v>0</v>
      </c>
      <c r="R135" s="27">
        <f>SUMIF($E$6:$E$128,"301",$R$6:$R$128)</f>
        <v>0</v>
      </c>
      <c r="S135" s="27">
        <f>SUMIF($E$6:$E$128,"301",$S$6:$S$128)</f>
        <v>0</v>
      </c>
      <c r="T135" s="27">
        <f>SUMIF($E$6:$E$128,"301",$T$6:$T$128)</f>
        <v>0</v>
      </c>
      <c r="U135" s="27">
        <f>SUMIF($E$6:$E$128,"301",$U$6:$U$128)</f>
        <v>0</v>
      </c>
      <c r="V135" s="27">
        <f>SUMIF($E$6:$E$128,"301",$V$6:$V$128)</f>
        <v>0</v>
      </c>
      <c r="W135" s="27">
        <f>SUMIF($E$6:$E$128,"301",$W$6:$W$128)</f>
        <v>0</v>
      </c>
      <c r="X135" s="27">
        <f>SUMIF($E$6:$E$128,"301",$X$6:$X$128)</f>
        <v>0</v>
      </c>
      <c r="Y135" s="27">
        <f>SUMIF($E$6:$E$128,"301",$Y$6:$Y$128)</f>
        <v>0</v>
      </c>
      <c r="Z135" s="27">
        <f>SUMIF($E$6:$E$128,"301",$Z$6:$Z$128)</f>
        <v>1195065295</v>
      </c>
      <c r="AA135" s="27">
        <f>SUMIF($E$6:$E$128,"301",$AA$6:$AA$128)</f>
        <v>0</v>
      </c>
      <c r="AB135" s="27">
        <f>SUMIF($E$6:$E$128,"301",$AB$6:$AB$128)</f>
        <v>0</v>
      </c>
      <c r="AC135" s="27">
        <f>SUMIF($E$6:$E$128,"301",$AC$6:$AC$128)</f>
        <v>1828902165</v>
      </c>
      <c r="AD135" s="27"/>
      <c r="AE135" s="27">
        <f>SUMIF($E$6:$E$128,"301",$AE$6:$AE$128)</f>
        <v>0</v>
      </c>
      <c r="AF135" s="27">
        <f>SUMIF($E$6:$E$128,"301",$AF$6:$AF$128)</f>
        <v>95101190</v>
      </c>
      <c r="AG135" s="27">
        <f>SUMIF($E$5:$E$127,"301",$H$5:$H$127)</f>
        <v>4682573500</v>
      </c>
      <c r="AH135" s="27">
        <f>SUMIF($E$5:$E$127,"301",$I$5:$I$127)</f>
        <v>1090512595</v>
      </c>
      <c r="AI135" s="27">
        <f>SUMIF($E$5:$E$127,"301",$J$5:$J$127)</f>
        <v>472992255</v>
      </c>
      <c r="AJ135" s="27">
        <f>SUMIF($E$5:$E$127,"301",$K$5:$K$127)</f>
        <v>0</v>
      </c>
      <c r="AK135" s="27">
        <f>SUMIF($E$5:$E$127,"301",$L$5:$L$127)</f>
        <v>0</v>
      </c>
      <c r="AL135" s="27">
        <f>SUMIF($E$5:$E$127,"301",$M$5:$M$127)</f>
        <v>0</v>
      </c>
      <c r="AM135" s="27">
        <f>SUMIF($E$5:$E$127,"301",$N$5:$N$127)</f>
        <v>0</v>
      </c>
    </row>
    <row r="136" spans="1:39" ht="16.5" customHeight="1" x14ac:dyDescent="0.25">
      <c r="C136" s="30"/>
      <c r="D136" s="26" t="s">
        <v>188</v>
      </c>
      <c r="E136" s="24">
        <v>310</v>
      </c>
      <c r="F136" s="27"/>
      <c r="G136" s="29">
        <f ca="1">SUMIF($E$6:$G$129,"310",$G$6:$J$128)</f>
        <v>687000000</v>
      </c>
      <c r="H136" s="49">
        <f ca="1">SUMIF($E$6:$H$129,"310",$H$6:$J$128)</f>
        <v>2239707400.67272</v>
      </c>
      <c r="I136" s="49">
        <f ca="1">SUMIF($E$6:$I$129,"310",$I$6:$J$128)</f>
        <v>1552707400.67272</v>
      </c>
      <c r="J136" s="29">
        <f>SUMIF($E$6:$E$128,"310",$J$6:$J$128)</f>
        <v>0</v>
      </c>
      <c r="K136" s="29">
        <f>SUMIF($E$6:$E$128,"310",$K$6:$K$128)</f>
        <v>370000000</v>
      </c>
      <c r="L136" s="29">
        <f>SUMIF($E$6:$E$129,"310",$L$6:$L$129)</f>
        <v>0</v>
      </c>
      <c r="M136" s="29">
        <f>SUMIF($E$6:$E$129,"310",$M$6:$M$129)</f>
        <v>0</v>
      </c>
      <c r="N136" s="28">
        <f>SUMIF($E$6:$E$128,"310",$N$6:$N$128)</f>
        <v>0</v>
      </c>
      <c r="O136" s="27">
        <f>SUMIF($E$6:$E$128,"310",$O$6:$O$128)</f>
        <v>0</v>
      </c>
      <c r="P136" s="27">
        <f>SUMIF($E$6:$E$128,"310",$P$6:$P$128)</f>
        <v>0</v>
      </c>
      <c r="Q136" s="27">
        <f>SUMIF($E$6:$E$128,"310",$Q$6:$Q$128)</f>
        <v>0</v>
      </c>
      <c r="R136" s="27">
        <f>SUMIF($E$6:$E$128,"310",$R$6:$R$128)</f>
        <v>0</v>
      </c>
      <c r="S136" s="27">
        <f>SUMIF($E$6:$E$128,"310",$S$6:$S$128)</f>
        <v>0</v>
      </c>
      <c r="T136" s="27">
        <f>SUMIF($E$6:$E$128,"310",$T$6:$T$128)</f>
        <v>0</v>
      </c>
      <c r="U136" s="27">
        <f>SUMIF($E$6:$E$128,"310",$U$6:$U$128)</f>
        <v>250000000</v>
      </c>
      <c r="V136" s="27">
        <f>SUMIF($E$6:$E$128,"310",$V$6:$V$128)</f>
        <v>0</v>
      </c>
      <c r="W136" s="27">
        <f>SUMIF($E$6:$E$128,"310",$W$6:$W$128)</f>
        <v>0</v>
      </c>
      <c r="X136" s="27">
        <f>SUMIF($E$6:$E$128,"310",$X$6:$X$128)</f>
        <v>0</v>
      </c>
      <c r="Y136" s="27">
        <f>SUMIF($E$6:$E$128,"310",$Y$6:$Y$128)</f>
        <v>0</v>
      </c>
      <c r="Z136" s="27">
        <f>SUMIF($E$6:$E$128,"310",$Z$6:$Z$128)</f>
        <v>0</v>
      </c>
      <c r="AA136" s="27">
        <f>SUMIF($E$6:$E$128,"310",$AA$6:$AA$128)</f>
        <v>0</v>
      </c>
      <c r="AB136" s="27">
        <f>SUMIF($E$6:$E$128,"310",$AB$6:$AB$128)</f>
        <v>0</v>
      </c>
      <c r="AC136" s="27">
        <f>SUMIF($E$6:$E$105,"310",$AC$6:$AC$105)</f>
        <v>0</v>
      </c>
      <c r="AD136" s="27"/>
      <c r="AE136" s="27">
        <f>SUMIF($E$6:$E$128,"310",$AE$6:$AE$128)</f>
        <v>0</v>
      </c>
      <c r="AF136" s="27">
        <f>SUMIF($E$6:$E$128,"310",$AF$6:$AF$128)</f>
        <v>67000000</v>
      </c>
      <c r="AG136" s="27">
        <f>SUMIF($E$5:$E$127,"310",$H$5:$H$127)</f>
        <v>2159707400.67272</v>
      </c>
      <c r="AH136" s="27">
        <f>SUMIF($E$5:$E$127,"310",$I$5:$I$127)</f>
        <v>1552707400.67272</v>
      </c>
      <c r="AI136" s="27">
        <f>SUMIF($E$5:$E$127,"310",$J$5:$J$127)</f>
        <v>0</v>
      </c>
      <c r="AJ136" s="27">
        <f>SUMIF($E$5:$E$127,"310",$K$5:$K$127)</f>
        <v>297000000</v>
      </c>
      <c r="AK136" s="27">
        <f>SUMIF($E$5:$E$127,"310",$L$5:$L$127)</f>
        <v>0</v>
      </c>
      <c r="AL136" s="27">
        <f>SUMIF($E$5:$E$127,"310",$M$5:$M$127)</f>
        <v>0</v>
      </c>
      <c r="AM136" s="27">
        <f>SUMIF($E$5:$E$127,"310",$N$5:$N$127)</f>
        <v>0</v>
      </c>
    </row>
    <row r="137" spans="1:39" x14ac:dyDescent="0.25">
      <c r="C137" s="32"/>
      <c r="D137" s="26" t="s">
        <v>189</v>
      </c>
      <c r="E137" s="24">
        <v>410</v>
      </c>
      <c r="F137" s="27"/>
      <c r="G137" s="29">
        <f ca="1">SUMIF($E$6:$G$129,"410",$G$6:$J$128)</f>
        <v>6268456650</v>
      </c>
      <c r="H137" s="49">
        <f ca="1">SUMIF($E$6:$H$129,"410",$H$6:$J$128)</f>
        <v>8545602000</v>
      </c>
      <c r="I137" s="49">
        <f ca="1">SUMIF($E$6:$I$129,"410",$I$6:$J$128)</f>
        <v>2277145350</v>
      </c>
      <c r="J137" s="29">
        <f>SUMIF($E$6:$E$128,"410",$J$6:$J$128)</f>
        <v>0</v>
      </c>
      <c r="K137" s="29">
        <f>SUMIF($E$6:$E$129,"410",$K$6:$K$129)</f>
        <v>200000000</v>
      </c>
      <c r="L137" s="29">
        <f>SUMIF($E$6:$E$129,"410",$L$6:$L$129)</f>
        <v>0</v>
      </c>
      <c r="M137" s="29">
        <f>SUMIF($E$6:$E$129,"410",$M$6:$M$129)</f>
        <v>0</v>
      </c>
      <c r="N137" s="28">
        <f>SUMIF($E$6:$E$128,"410",$N$6:$N$128)</f>
        <v>0</v>
      </c>
      <c r="O137" s="27">
        <f>SUMIF($E$6:$E$128,"410",$O$6:$O$128)</f>
        <v>0</v>
      </c>
      <c r="P137" s="27">
        <f>SUMIF($E$6:$E$128,"410",$P$6:$P$128)</f>
        <v>0</v>
      </c>
      <c r="Q137" s="27">
        <f>SUMIF($E$6:$E$128,"410",$Q$6:$Q$128)</f>
        <v>2669525740</v>
      </c>
      <c r="R137" s="27">
        <f>SUMIF($E$6:$E$128,"410",$R$6:$R$128)</f>
        <v>80000000</v>
      </c>
      <c r="S137" s="27">
        <f>SUMIF($E$6:$E$128,"410",$S$6:$S$128)</f>
        <v>115000000</v>
      </c>
      <c r="T137" s="27">
        <f>SUMIF($E$6:$E$128,"410",$T$6:$T$128)</f>
        <v>95000000</v>
      </c>
      <c r="U137" s="27">
        <f>SUMIF($E$6:$E$128,"410",$U$6:$U$128)</f>
        <v>0</v>
      </c>
      <c r="V137" s="27">
        <f>SUMIF($E$6:$E$128,"410",$V$6:$V$128)</f>
        <v>0</v>
      </c>
      <c r="W137" s="27">
        <f>SUMIF($E$6:$E$128,"410",$W$6:$W$128)</f>
        <v>0</v>
      </c>
      <c r="X137" s="27">
        <f>SUMIF($E$6:$E$128,"410",$X$6:$X$128)</f>
        <v>0</v>
      </c>
      <c r="Y137" s="27">
        <f>SUMIF($E$6:$E$128,"410",$Y$6:$Y$128)</f>
        <v>2000000000</v>
      </c>
      <c r="Z137" s="27">
        <f>SUMIF($E$6:$E$128,"410",$Z$6:$Z$128)</f>
        <v>0</v>
      </c>
      <c r="AA137" s="27">
        <f>SUMIF($E$6:$E$128,"410",$AA$6:$AA$128)</f>
        <v>0</v>
      </c>
      <c r="AB137" s="27">
        <f>SUMIF($E$6:$E$105,"410",$AB$6:$AB$105)</f>
        <v>727648081</v>
      </c>
      <c r="AC137" s="27">
        <f>SUMIF($E$6:$E$105,"410",$AC$6:$AC$105)</f>
        <v>0</v>
      </c>
      <c r="AD137" s="27">
        <f>SUMIF($E$6:$E$128,"410",$AD$6:$AD$128)</f>
        <v>0</v>
      </c>
      <c r="AE137" s="27">
        <f>SUMIF($E$6:$E$128,"410",$AE$6:$AE$128)</f>
        <v>0</v>
      </c>
      <c r="AF137" s="27">
        <f>SUMIF($E$6:$E$128,"410",$AF$6:$AF$128)</f>
        <v>381282829</v>
      </c>
      <c r="AG137" s="27">
        <f>SUMIF($E$5:$E$127,"410",$H$5:$H$127)</f>
        <v>8545602000</v>
      </c>
      <c r="AH137" s="27">
        <f>SUMIF($E$5:$E$127,"410",$I$5:$I$127)</f>
        <v>2277145350</v>
      </c>
      <c r="AI137" s="27">
        <f>SUMIF($E$5:$E$127,"410",$J$5:$J$127)</f>
        <v>0</v>
      </c>
      <c r="AJ137" s="27">
        <f>SUMIF($E$5:$E$127,"410",$K$5:$K$127)</f>
        <v>200000000</v>
      </c>
      <c r="AK137" s="27">
        <f>SUMIF($E$5:$E$127,"410",$L$5:$L$127)</f>
        <v>0</v>
      </c>
      <c r="AL137" s="27">
        <f>SUMIF($E$5:$E$127,"410",$M$5:$M$127)</f>
        <v>0</v>
      </c>
      <c r="AM137" s="27">
        <f>SUMIF($E$5:$E$127,"410",$N$5:$N$127)</f>
        <v>0</v>
      </c>
    </row>
    <row r="138" spans="1:39" ht="14.25" customHeight="1" x14ac:dyDescent="0.25">
      <c r="C138" s="32"/>
      <c r="D138" s="33" t="s">
        <v>190</v>
      </c>
      <c r="E138" s="24">
        <v>510</v>
      </c>
      <c r="F138" s="27"/>
      <c r="G138" s="29">
        <f ca="1">SUMIF($E$6:$G$129,"510",$G$6:$J$128)</f>
        <v>1258491017</v>
      </c>
      <c r="H138" s="49">
        <f ca="1">SUMIF($E$6:$H$129,"510",$H$6:$J$128)</f>
        <v>2787400000</v>
      </c>
      <c r="I138" s="49">
        <f ca="1">SUMIF($E$6:$I$129,"510",$I$6:$J$128)</f>
        <v>1528908983</v>
      </c>
      <c r="J138" s="29">
        <f>SUMIF($E$6:$E$128,"510",$J$6:$J$128)</f>
        <v>0</v>
      </c>
      <c r="K138" s="29">
        <f>SUMIF($E$6:$E$129,"510",$K$6:$K$129)</f>
        <v>755521592</v>
      </c>
      <c r="L138" s="29">
        <f>SUMIF($E$6:$E$129,"510",$L$6:$L$129)</f>
        <v>0</v>
      </c>
      <c r="M138" s="29">
        <f>SUMIF($E$6:$E$129,"510",$M$6:$M$129)</f>
        <v>0</v>
      </c>
      <c r="N138" s="28">
        <f>SUMIF($E$6:$E$128,"510",$N$6:$N$128)</f>
        <v>0</v>
      </c>
      <c r="O138" s="27">
        <f>SUMIF($E$6:$E$128,"510",$O$6:$O$128)</f>
        <v>80000000</v>
      </c>
      <c r="P138" s="27">
        <f>SUMIF($E$6:$E$128,"510",$P$6:$P$128)</f>
        <v>0</v>
      </c>
      <c r="Q138" s="27">
        <f>SUMIF($E$6:$E$128,"510",$Q$6:$Q$128)</f>
        <v>0</v>
      </c>
      <c r="R138" s="27">
        <f>SUMIF($E$6:$E$128,"510",$R$6:$R$128)</f>
        <v>0</v>
      </c>
      <c r="S138" s="27">
        <f>SUMIF($E$6:$E$128,"510",$S$6:$S$128)</f>
        <v>0</v>
      </c>
      <c r="T138" s="27">
        <f>SUMIF($E$6:$E$128,"510",$T$6:$T$128)</f>
        <v>0</v>
      </c>
      <c r="U138" s="27">
        <f>SUMIF($E$6:$E$128,"510",$U$6:$U$128)</f>
        <v>232855217</v>
      </c>
      <c r="V138" s="27">
        <f>SUMIF($E$6:$E$128,"510",$V$6:$V$128)</f>
        <v>0</v>
      </c>
      <c r="W138" s="27">
        <f>SUMIF($E$6:$E$128,"510",$W$6:$W$128)</f>
        <v>0</v>
      </c>
      <c r="X138" s="27">
        <f>SUMIF($E$6:$E$128,"510",$X$6:$X$128)</f>
        <v>0</v>
      </c>
      <c r="Y138" s="27">
        <f>SUMIF($E$6:$E$128,"510",$Y$6:$Y$128)</f>
        <v>0</v>
      </c>
      <c r="Z138" s="27">
        <f>SUMIF($E$6:$E$128,"510",$Z$6:$Z$128)</f>
        <v>0</v>
      </c>
      <c r="AA138" s="27">
        <f>SUMIF($E$6:$E$128,"510",$AA$6:$AA$128)</f>
        <v>0</v>
      </c>
      <c r="AB138" s="27">
        <f>SUMIF($E$6:$E$128,"510",$AB$6:$AB$128)</f>
        <v>0</v>
      </c>
      <c r="AC138" s="27">
        <f>SUMIF($E$6:$E$128,"510",$AC$6:$AC$128)</f>
        <v>0</v>
      </c>
      <c r="AD138" s="27"/>
      <c r="AE138" s="27">
        <f>SUMIF($E$6:$E$128,"510",$AE$6:$AE$128)</f>
        <v>0</v>
      </c>
      <c r="AF138" s="27">
        <f>SUMIF($E$6:$E$128,"510",$AF$6:$AF$128)</f>
        <v>190114208</v>
      </c>
      <c r="AG138" s="27">
        <f>SUMIF($E$5:$E$127,"510",$H$5:$H$127)</f>
        <v>2787400000</v>
      </c>
      <c r="AH138" s="27">
        <f>SUMIF($E$5:$E$127,"510",$I$5:$I$127)</f>
        <v>1528908983</v>
      </c>
      <c r="AI138" s="27">
        <f>SUMIF($E$5:$E$127,"510",$J$5:$J$127)</f>
        <v>0</v>
      </c>
      <c r="AJ138" s="27">
        <f>SUMIF($E$5:$E$127,"510",$K$5:$K$127)</f>
        <v>755521592</v>
      </c>
      <c r="AK138" s="27">
        <f>SUMIF($E$5:$E$127,"510",$L$5:$L$127)</f>
        <v>0</v>
      </c>
      <c r="AL138" s="27">
        <f>SUMIF($E$5:$E$127,"510",$M$5:$M$127)</f>
        <v>0</v>
      </c>
      <c r="AM138" s="27">
        <f>SUMIF($E$5:$E$127,"510",$N$5:$N$127)</f>
        <v>0</v>
      </c>
    </row>
    <row r="139" spans="1:39" x14ac:dyDescent="0.25">
      <c r="C139" s="32"/>
      <c r="D139" s="26" t="s">
        <v>191</v>
      </c>
      <c r="E139" s="24">
        <v>520</v>
      </c>
      <c r="F139" s="27"/>
      <c r="G139" s="29">
        <f ca="1">SUMIF($E$6:$G$129,"520",$G$6:$J$128)</f>
        <v>3240890655</v>
      </c>
      <c r="H139" s="49">
        <f ca="1">SUMIF($E$6:$H$129,"520",$H$6:$J$128)</f>
        <v>6638028500</v>
      </c>
      <c r="I139" s="49">
        <f ca="1">SUMIF($E$6:$I$129,"520",$I$6:$J$128)</f>
        <v>3397137845</v>
      </c>
      <c r="J139" s="29">
        <f>SUMIF($E$6:$E$128,"520",$J$6:$J$128)</f>
        <v>0</v>
      </c>
      <c r="K139" s="29">
        <f>SUMIF($E$6:$E$128,"520",$K$6:$K$128)</f>
        <v>1164848967</v>
      </c>
      <c r="L139" s="29">
        <f>SUMIF($E$6:$E$129,"520",$L$6:$L$129)</f>
        <v>0</v>
      </c>
      <c r="M139" s="29">
        <f>SUMIF($E$6:$E$129,"520",$M$6:$M$129)</f>
        <v>0</v>
      </c>
      <c r="N139" s="28">
        <f>SUMIF($E$6:$E$128,"520",$N$6:$N$128)</f>
        <v>0</v>
      </c>
      <c r="O139" s="27">
        <f>SUMIF($E$6:$E$128,"520",$O$6:$O$128)</f>
        <v>0</v>
      </c>
      <c r="P139" s="27">
        <f>SUMIF($E$6:$E$128,"520",$P$6:$P$128)</f>
        <v>0</v>
      </c>
      <c r="Q139" s="27">
        <f>SUMIF($E$6:$E$128,"520",$Q$6:$Q$128)</f>
        <v>0</v>
      </c>
      <c r="R139" s="27">
        <f>SUMIF($E$6:$E$128,"520",$R$6:$R$128)</f>
        <v>0</v>
      </c>
      <c r="S139" s="27">
        <f>SUMIF($E$6:$E$128,"520",$S$6:$S$128)</f>
        <v>0</v>
      </c>
      <c r="T139" s="27">
        <f>SUMIF($E$6:$E$128,"520",$T$6:$T$128)</f>
        <v>0</v>
      </c>
      <c r="U139" s="27">
        <f>SUMIF($E$6:$E$128,"520",$U$6:$U$128)</f>
        <v>0</v>
      </c>
      <c r="V139" s="27">
        <f>SUMIF($E$6:$E$128,"520",$V$6:$V$128)</f>
        <v>0</v>
      </c>
      <c r="W139" s="27">
        <f>SUMIF($E$6:$E$128,"520",$W$6:$W$128)</f>
        <v>0</v>
      </c>
      <c r="X139" s="27">
        <f>SUMIF($E$6:$E$128,"520",$X$6:$X$128)</f>
        <v>0</v>
      </c>
      <c r="Y139" s="27">
        <f>SUMIF($E$6:$E$128,"520",$Y$6:$Y$128)</f>
        <v>1500000000</v>
      </c>
      <c r="Z139" s="27">
        <f>SUMIF($E$6:$E$128,"520",$Z$6:$Z$128)</f>
        <v>0</v>
      </c>
      <c r="AA139" s="27">
        <f>SUMIF($E$6:$E$128,"520",$AA$6:$AA$128)</f>
        <v>0</v>
      </c>
      <c r="AB139" s="27">
        <f>SUMIF($E$6:$E$128,"520",$AB$6:$AB$128)</f>
        <v>0</v>
      </c>
      <c r="AC139" s="27">
        <f>SUMIF($E$6:$E$105,"520",$AC$6:$AC$105)</f>
        <v>0</v>
      </c>
      <c r="AD139" s="27"/>
      <c r="AE139" s="27">
        <f>SUMIF($E$6:$E$128,"520",$AE$6:$AE$128)</f>
        <v>0</v>
      </c>
      <c r="AF139" s="27">
        <f>SUMIF($E$6:$E$128,"520",$AF$6:$AF$128)</f>
        <v>576041688</v>
      </c>
      <c r="AG139" s="27">
        <f>SUMIF($E$5:$E$127,"520",$H$5:$H$127)</f>
        <v>6638028500</v>
      </c>
      <c r="AH139" s="27">
        <f>SUMIF($E$5:$E$127,"520",$I$5:$I$127)</f>
        <v>3397137845</v>
      </c>
      <c r="AI139" s="27">
        <f>SUMIF($E$5:$E$127,"520",$J$5:$J$127)</f>
        <v>0</v>
      </c>
      <c r="AJ139" s="27">
        <f>SUMIF($E$5:$E$127,"520",$K$5:$K$127)</f>
        <v>1164848967</v>
      </c>
      <c r="AK139" s="27">
        <f>SUMIF($E$5:$E$127,"520",$L$5:$L$127)</f>
        <v>0</v>
      </c>
      <c r="AL139" s="27">
        <f>SUMIF($E$5:$E$127,"520",$M$5:$M$127)</f>
        <v>0</v>
      </c>
      <c r="AM139" s="27">
        <f>SUMIF($E$5:$E$127,"520",$N$5:$N$127)</f>
        <v>0</v>
      </c>
    </row>
    <row r="140" spans="1:39" ht="15.75" thickBot="1" x14ac:dyDescent="0.3">
      <c r="C140" s="197" t="s">
        <v>312</v>
      </c>
      <c r="D140" s="198"/>
      <c r="E140" s="34"/>
      <c r="F140" s="35"/>
      <c r="G140" s="36">
        <f t="shared" ref="G140:AF140" ca="1" si="28">SUM(G133:G139)</f>
        <v>28321265796</v>
      </c>
      <c r="H140" s="51">
        <f t="shared" ca="1" si="28"/>
        <v>45545351400.672722</v>
      </c>
      <c r="I140" s="51">
        <f t="shared" ca="1" si="28"/>
        <v>17224085604.672722</v>
      </c>
      <c r="J140" s="36">
        <f t="shared" si="28"/>
        <v>472992255</v>
      </c>
      <c r="K140" s="36">
        <f t="shared" si="28"/>
        <v>3070370559</v>
      </c>
      <c r="L140" s="36">
        <f t="shared" si="28"/>
        <v>0</v>
      </c>
      <c r="M140" s="36">
        <f t="shared" si="28"/>
        <v>0</v>
      </c>
      <c r="N140" s="36">
        <f t="shared" si="28"/>
        <v>10500000000</v>
      </c>
      <c r="O140" s="36">
        <f t="shared" si="28"/>
        <v>160000000</v>
      </c>
      <c r="P140" s="36">
        <f t="shared" si="28"/>
        <v>265157791</v>
      </c>
      <c r="Q140" s="36">
        <f t="shared" si="28"/>
        <v>2669525740</v>
      </c>
      <c r="R140" s="36">
        <f t="shared" si="28"/>
        <v>381360820</v>
      </c>
      <c r="S140" s="36">
        <f t="shared" si="28"/>
        <v>381360820</v>
      </c>
      <c r="T140" s="36">
        <f t="shared" si="28"/>
        <v>381360820</v>
      </c>
      <c r="U140" s="37">
        <f t="shared" si="28"/>
        <v>482855217</v>
      </c>
      <c r="V140" s="37">
        <f t="shared" si="28"/>
        <v>64000000</v>
      </c>
      <c r="W140" s="36">
        <f t="shared" si="28"/>
        <v>182170491</v>
      </c>
      <c r="X140" s="37">
        <f t="shared" si="28"/>
        <v>149509826</v>
      </c>
      <c r="Y140" s="36">
        <f t="shared" si="28"/>
        <v>3500000000</v>
      </c>
      <c r="Z140" s="36">
        <f t="shared" si="28"/>
        <v>1195065295</v>
      </c>
      <c r="AA140" s="36">
        <f t="shared" si="28"/>
        <v>0</v>
      </c>
      <c r="AB140" s="36">
        <f t="shared" si="28"/>
        <v>727648081</v>
      </c>
      <c r="AC140" s="36">
        <f t="shared" si="28"/>
        <v>1828902165</v>
      </c>
      <c r="AD140" s="36">
        <f t="shared" si="28"/>
        <v>0</v>
      </c>
      <c r="AE140" s="36">
        <f t="shared" si="28"/>
        <v>0</v>
      </c>
      <c r="AF140" s="36">
        <f t="shared" si="28"/>
        <v>1908985916</v>
      </c>
      <c r="AG140" s="36">
        <f t="shared" ref="AG140:AM140" si="29">SUM(AG133:AG139)</f>
        <v>45465351400.672722</v>
      </c>
      <c r="AH140" s="36">
        <f t="shared" si="29"/>
        <v>17224085604.672722</v>
      </c>
      <c r="AI140" s="36">
        <f t="shared" si="29"/>
        <v>472992255</v>
      </c>
      <c r="AJ140" s="36">
        <f t="shared" si="29"/>
        <v>2997370559</v>
      </c>
      <c r="AK140" s="36">
        <f t="shared" si="29"/>
        <v>0</v>
      </c>
      <c r="AL140" s="36">
        <f t="shared" si="29"/>
        <v>0</v>
      </c>
      <c r="AM140" s="36">
        <f t="shared" si="29"/>
        <v>10500000000</v>
      </c>
    </row>
    <row r="141" spans="1:39" ht="15.75" thickTop="1" x14ac:dyDescent="0.25"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</row>
  </sheetData>
  <mergeCells count="50">
    <mergeCell ref="C1:AF1"/>
    <mergeCell ref="C3:AF3"/>
    <mergeCell ref="B44:B45"/>
    <mergeCell ref="B129:D129"/>
    <mergeCell ref="C131:E131"/>
    <mergeCell ref="B85:B87"/>
    <mergeCell ref="B88:B89"/>
    <mergeCell ref="B90:B92"/>
    <mergeCell ref="B93:B96"/>
    <mergeCell ref="B47:B49"/>
    <mergeCell ref="B17:B19"/>
    <mergeCell ref="B24:E24"/>
    <mergeCell ref="B27:B33"/>
    <mergeCell ref="B50:E50"/>
    <mergeCell ref="C2:AF2"/>
    <mergeCell ref="G4:AF4"/>
    <mergeCell ref="C140:D140"/>
    <mergeCell ref="B97:F97"/>
    <mergeCell ref="B115:B119"/>
    <mergeCell ref="A98:A105"/>
    <mergeCell ref="A108:A128"/>
    <mergeCell ref="B98:B102"/>
    <mergeCell ref="B103:B112"/>
    <mergeCell ref="B113:B114"/>
    <mergeCell ref="A78:A96"/>
    <mergeCell ref="B78:B84"/>
    <mergeCell ref="B120:B126"/>
    <mergeCell ref="B127:B128"/>
    <mergeCell ref="A51:A67"/>
    <mergeCell ref="B51:B54"/>
    <mergeCell ref="B63:B67"/>
    <mergeCell ref="A68:A76"/>
    <mergeCell ref="B68:B71"/>
    <mergeCell ref="B77:F77"/>
    <mergeCell ref="B55:B62"/>
    <mergeCell ref="B72:B75"/>
    <mergeCell ref="A34:A46"/>
    <mergeCell ref="B34:B43"/>
    <mergeCell ref="A6:A7"/>
    <mergeCell ref="B6:B7"/>
    <mergeCell ref="B8:B11"/>
    <mergeCell ref="B21:B23"/>
    <mergeCell ref="B25:B26"/>
    <mergeCell ref="B12:B16"/>
    <mergeCell ref="A4:A5"/>
    <mergeCell ref="D4:D5"/>
    <mergeCell ref="E4:E5"/>
    <mergeCell ref="F4:F5"/>
    <mergeCell ref="C4:C5"/>
    <mergeCell ref="B4:B5"/>
  </mergeCells>
  <printOptions horizontalCentered="1" verticalCentered="1"/>
  <pageMargins left="0.35433070866141736" right="0.27559055118110237" top="0.9055118110236221" bottom="0.47244094488188981" header="0.39370078740157483" footer="0.27559055118110237"/>
  <pageSetup scale="60" orientation="landscape" r:id="rId1"/>
  <headerFooter>
    <oddHeader xml:space="preserve">&amp;C&amp;"-,Negrita"&amp;14UNIVERSIDAD SURCOLOMBIANA PLAN DE ACCIÓN  VIGENCIA  2018
 RESOLUCION  028X DEL 23 DE DIC. 2017
</oddHeader>
    <oddFooter>&amp;LUNIDAD DE PLANEAMIENTO ECONÓMICO Y ADMINISTRATIVO&amp;COFICINA DE PLANEACIÓN&amp;RPágina &amp;P de &amp;N</oddFooter>
  </headerFooter>
  <rowBreaks count="1" manualBreakCount="1">
    <brk id="2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 DE ACCIÓN 2020</vt:lpstr>
      <vt:lpstr>'PLAN DE ACCIÓN 2020'!Títulos_a_imprimir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NegroHP</cp:lastModifiedBy>
  <cp:lastPrinted>2020-01-10T16:36:11Z</cp:lastPrinted>
  <dcterms:created xsi:type="dcterms:W3CDTF">2019-12-18T19:08:46Z</dcterms:created>
  <dcterms:modified xsi:type="dcterms:W3CDTF">2020-01-23T16:40:03Z</dcterms:modified>
</cp:coreProperties>
</file>