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firstSheet="17" activeTab="23"/>
  </bookViews>
  <sheets>
    <sheet name="README" sheetId="5" r:id="rId1"/>
    <sheet name="Only primary (cb0)" sheetId="1" r:id="rId2"/>
    <sheet name="SCB (cb2)" sheetId="2" r:id="rId3"/>
    <sheet name="Always max (cb4)" sheetId="3" r:id="rId4"/>
    <sheet name="Prob. Uniform (cb6)" sheetId="4" r:id="rId5"/>
    <sheet name="Summary" sheetId="6" r:id="rId6"/>
    <sheet name="Proportional Fairness AM vs PU" sheetId="7" r:id="rId7"/>
    <sheet name="OP_PL2" sheetId="9" r:id="rId8"/>
    <sheet name="AM_PL2" sheetId="10" r:id="rId9"/>
    <sheet name="PU_PL2" sheetId="11" r:id="rId10"/>
    <sheet name="OP_PL3" sheetId="12" r:id="rId11"/>
    <sheet name="AM_PL3" sheetId="13" r:id="rId12"/>
    <sheet name="PU_PL3" sheetId="14" r:id="rId13"/>
    <sheet name="Global summary" sheetId="8" r:id="rId14"/>
    <sheet name="OP_PL3_11ax" sheetId="22" r:id="rId15"/>
    <sheet name="SCB_PL3_11ax" sheetId="23" r:id="rId16"/>
    <sheet name="AM_PL3_11ax" sheetId="24" r:id="rId17"/>
    <sheet name="PU_PL3_11ax" sheetId="25" r:id="rId18"/>
    <sheet name="Summary PL3_11ax" sheetId="26" r:id="rId19"/>
    <sheet name="OP_PL3_Jul" sheetId="27" r:id="rId20"/>
    <sheet name="SCB_PL3_Jul" sheetId="28" r:id="rId21"/>
    <sheet name="AM_PL3_Jul" sheetId="29" r:id="rId22"/>
    <sheet name="PU_PL3_Jul" sheetId="30" r:id="rId23"/>
    <sheet name="Summary PL3_Jul" sheetId="31" r:id="rId24"/>
    <sheet name="Sheet6" sheetId="32" r:id="rId25"/>
  </sheets>
  <externalReferences>
    <externalReference r:id="rId26"/>
  </externalReferences>
  <calcPr calcId="125725"/>
</workbook>
</file>

<file path=xl/calcChain.xml><?xml version="1.0" encoding="utf-8"?>
<calcChain xmlns="http://schemas.openxmlformats.org/spreadsheetml/2006/main">
  <c r="C282" i="30"/>
  <c r="G10" i="31" s="1"/>
  <c r="C282" i="29"/>
  <c r="G9" i="31" s="1"/>
  <c r="C282" i="28"/>
  <c r="G8" i="31" s="1"/>
  <c r="C282" i="27"/>
  <c r="G7" i="31" s="1"/>
  <c r="D357" i="30"/>
  <c r="D394" s="1"/>
  <c r="D306"/>
  <c r="D336" s="1"/>
  <c r="H14" i="31" s="1"/>
  <c r="H18" s="1"/>
  <c r="D221" i="32"/>
  <c r="D266"/>
  <c r="D387" i="29"/>
  <c r="D394" s="1"/>
  <c r="D237" i="27"/>
  <c r="D281" s="1"/>
  <c r="D250"/>
  <c r="D85" i="28"/>
  <c r="D72"/>
  <c r="D114" s="1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94" s="1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337" s="1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81"/>
  <c r="D223"/>
  <c r="D222"/>
  <c r="D221"/>
  <c r="D220"/>
  <c r="D219"/>
  <c r="D218"/>
  <c r="D217"/>
  <c r="D216"/>
  <c r="D214"/>
  <c r="D212"/>
  <c r="D211"/>
  <c r="D209"/>
  <c r="D208"/>
  <c r="D206"/>
  <c r="D203"/>
  <c r="D202"/>
  <c r="D201"/>
  <c r="D200"/>
  <c r="D199"/>
  <c r="D198"/>
  <c r="D197"/>
  <c r="D196"/>
  <c r="D195"/>
  <c r="D194"/>
  <c r="D192"/>
  <c r="D191"/>
  <c r="D188"/>
  <c r="D187"/>
  <c r="D186"/>
  <c r="D185"/>
  <c r="D184"/>
  <c r="D182"/>
  <c r="D180"/>
  <c r="D178"/>
  <c r="D175"/>
  <c r="D174"/>
  <c r="D166"/>
  <c r="D162"/>
  <c r="D157"/>
  <c r="D151"/>
  <c r="D143"/>
  <c r="D132"/>
  <c r="D126"/>
  <c r="D124"/>
  <c r="D122"/>
  <c r="D119"/>
  <c r="D118"/>
  <c r="D88" i="27"/>
  <c r="D113" s="1"/>
  <c r="D387"/>
  <c r="D386"/>
  <c r="D357"/>
  <c r="D330"/>
  <c r="D336" s="1"/>
  <c r="H11" i="31" s="1"/>
  <c r="H15" s="1"/>
  <c r="E30"/>
  <c r="C30"/>
  <c r="G26"/>
  <c r="G14"/>
  <c r="G18" s="1"/>
  <c r="D14"/>
  <c r="D18" s="1"/>
  <c r="C14"/>
  <c r="C18" s="1"/>
  <c r="I10"/>
  <c r="F10"/>
  <c r="E10"/>
  <c r="I6"/>
  <c r="C6"/>
  <c r="I29"/>
  <c r="E29"/>
  <c r="I25"/>
  <c r="H25"/>
  <c r="D13"/>
  <c r="D17" s="1"/>
  <c r="H9"/>
  <c r="E5"/>
  <c r="D5"/>
  <c r="I28"/>
  <c r="E28"/>
  <c r="C28"/>
  <c r="H24"/>
  <c r="D24"/>
  <c r="I20"/>
  <c r="H20"/>
  <c r="F20"/>
  <c r="D20"/>
  <c r="H12"/>
  <c r="H16" s="1"/>
  <c r="E12"/>
  <c r="E16" s="1"/>
  <c r="I8"/>
  <c r="H8"/>
  <c r="F8"/>
  <c r="D8"/>
  <c r="I4"/>
  <c r="C4"/>
  <c r="F27"/>
  <c r="E27"/>
  <c r="I23"/>
  <c r="E23"/>
  <c r="H7"/>
  <c r="C7"/>
  <c r="E3"/>
  <c r="H394" i="30"/>
  <c r="F394"/>
  <c r="E394"/>
  <c r="C394"/>
  <c r="H393"/>
  <c r="F393"/>
  <c r="E393"/>
  <c r="C393"/>
  <c r="H392"/>
  <c r="I30" i="31" s="1"/>
  <c r="F392" i="30"/>
  <c r="I26" i="31" s="1"/>
  <c r="E392" i="30"/>
  <c r="I22" i="31" s="1"/>
  <c r="C392" i="30"/>
  <c r="H338"/>
  <c r="F338"/>
  <c r="E338"/>
  <c r="C338"/>
  <c r="H10" i="31" s="1"/>
  <c r="H337" i="30"/>
  <c r="F337"/>
  <c r="E337"/>
  <c r="C337"/>
  <c r="H336"/>
  <c r="H30" i="31" s="1"/>
  <c r="F336" i="30"/>
  <c r="H26" i="31" s="1"/>
  <c r="E336" i="30"/>
  <c r="H22" i="31" s="1"/>
  <c r="C336" i="30"/>
  <c r="H6" i="31" s="1"/>
  <c r="H282" i="30"/>
  <c r="F282"/>
  <c r="E282"/>
  <c r="D282"/>
  <c r="H281"/>
  <c r="F281"/>
  <c r="E281"/>
  <c r="D281"/>
  <c r="C281"/>
  <c r="H280"/>
  <c r="G30" i="31" s="1"/>
  <c r="G280" i="30"/>
  <c r="F280"/>
  <c r="E280"/>
  <c r="G22" i="31" s="1"/>
  <c r="D280" i="30"/>
  <c r="C280"/>
  <c r="G6" i="31" s="1"/>
  <c r="H226" i="30"/>
  <c r="F226"/>
  <c r="E226"/>
  <c r="D226"/>
  <c r="C226"/>
  <c r="H225"/>
  <c r="F225"/>
  <c r="E225"/>
  <c r="D225"/>
  <c r="C225"/>
  <c r="H224"/>
  <c r="F30" i="31" s="1"/>
  <c r="G224" i="30"/>
  <c r="F224"/>
  <c r="F26" i="31" s="1"/>
  <c r="E224" i="30"/>
  <c r="F22" i="31" s="1"/>
  <c r="D224" i="30"/>
  <c r="C224"/>
  <c r="F6" i="31" s="1"/>
  <c r="H170" i="30"/>
  <c r="F170"/>
  <c r="E170"/>
  <c r="D170"/>
  <c r="C170"/>
  <c r="H169"/>
  <c r="F169"/>
  <c r="E169"/>
  <c r="D169"/>
  <c r="C169"/>
  <c r="H168"/>
  <c r="F168"/>
  <c r="E26" i="31" s="1"/>
  <c r="E168" i="30"/>
  <c r="E22" i="31" s="1"/>
  <c r="D168" i="30"/>
  <c r="E14" i="31" s="1"/>
  <c r="E18" s="1"/>
  <c r="C168" i="30"/>
  <c r="E6" i="31" s="1"/>
  <c r="H114" i="30"/>
  <c r="F114"/>
  <c r="E114"/>
  <c r="D114"/>
  <c r="C114"/>
  <c r="D10" i="31" s="1"/>
  <c r="H113" i="30"/>
  <c r="F113"/>
  <c r="E113"/>
  <c r="D113"/>
  <c r="C113"/>
  <c r="H112"/>
  <c r="D30" i="31" s="1"/>
  <c r="F112" i="30"/>
  <c r="D26" i="31" s="1"/>
  <c r="E112" i="30"/>
  <c r="D22" i="31" s="1"/>
  <c r="D112" i="30"/>
  <c r="C112"/>
  <c r="D6" i="31" s="1"/>
  <c r="H58" i="30"/>
  <c r="F58"/>
  <c r="E58"/>
  <c r="D58"/>
  <c r="C58"/>
  <c r="C10" i="31" s="1"/>
  <c r="H57" i="30"/>
  <c r="F57"/>
  <c r="E57"/>
  <c r="D57"/>
  <c r="C57"/>
  <c r="H56"/>
  <c r="F56"/>
  <c r="C26" i="31" s="1"/>
  <c r="E56" i="30"/>
  <c r="C22" i="31" s="1"/>
  <c r="D56" i="30"/>
  <c r="C56"/>
  <c r="H394" i="29"/>
  <c r="F394"/>
  <c r="E394"/>
  <c r="C394"/>
  <c r="I9" i="31" s="1"/>
  <c r="H393" i="29"/>
  <c r="F393"/>
  <c r="E393"/>
  <c r="D393"/>
  <c r="C393"/>
  <c r="H392"/>
  <c r="F392"/>
  <c r="E392"/>
  <c r="I21" i="31" s="1"/>
  <c r="C392" i="29"/>
  <c r="I5" i="31" s="1"/>
  <c r="H338" i="29"/>
  <c r="F338"/>
  <c r="E338"/>
  <c r="D338"/>
  <c r="C338"/>
  <c r="H337"/>
  <c r="F337"/>
  <c r="E337"/>
  <c r="D337"/>
  <c r="C337"/>
  <c r="H336"/>
  <c r="H29" i="31" s="1"/>
  <c r="G336" i="29"/>
  <c r="F336"/>
  <c r="E336"/>
  <c r="H21" i="31" s="1"/>
  <c r="D336" i="29"/>
  <c r="H13" i="31" s="1"/>
  <c r="H17" s="1"/>
  <c r="C336" i="29"/>
  <c r="H5" i="31" s="1"/>
  <c r="H282" i="29"/>
  <c r="F282"/>
  <c r="E282"/>
  <c r="D282"/>
  <c r="H281"/>
  <c r="F281"/>
  <c r="E281"/>
  <c r="C281"/>
  <c r="H280"/>
  <c r="G29" i="31" s="1"/>
  <c r="G280" i="29"/>
  <c r="F280"/>
  <c r="G25" i="31" s="1"/>
  <c r="E280" i="29"/>
  <c r="G21" i="31" s="1"/>
  <c r="C280" i="29"/>
  <c r="G5" i="31" s="1"/>
  <c r="D281" i="29"/>
  <c r="H226"/>
  <c r="F226"/>
  <c r="E226"/>
  <c r="D226"/>
  <c r="C226"/>
  <c r="F9" i="31" s="1"/>
  <c r="H225" i="29"/>
  <c r="F225"/>
  <c r="E225"/>
  <c r="D225"/>
  <c r="C225"/>
  <c r="H224"/>
  <c r="F29" i="31" s="1"/>
  <c r="G224" i="29"/>
  <c r="F224"/>
  <c r="F25" i="31" s="1"/>
  <c r="E224" i="29"/>
  <c r="F21" i="31" s="1"/>
  <c r="D224" i="29"/>
  <c r="C224"/>
  <c r="F13" i="31" s="1"/>
  <c r="F17" s="1"/>
  <c r="H170" i="29"/>
  <c r="F170"/>
  <c r="E170"/>
  <c r="D170"/>
  <c r="C170"/>
  <c r="E9" i="31" s="1"/>
  <c r="H169" i="29"/>
  <c r="F169"/>
  <c r="E169"/>
  <c r="D169"/>
  <c r="C169"/>
  <c r="H168"/>
  <c r="G168"/>
  <c r="F168"/>
  <c r="E25" i="31" s="1"/>
  <c r="E168" i="29"/>
  <c r="E21" i="31" s="1"/>
  <c r="D168" i="29"/>
  <c r="E13" i="31" s="1"/>
  <c r="E17" s="1"/>
  <c r="C168" i="29"/>
  <c r="H114"/>
  <c r="F114"/>
  <c r="E114"/>
  <c r="D114"/>
  <c r="C114"/>
  <c r="D9" i="31" s="1"/>
  <c r="H113" i="29"/>
  <c r="F113"/>
  <c r="E113"/>
  <c r="D113"/>
  <c r="C113"/>
  <c r="H112"/>
  <c r="D29" i="31" s="1"/>
  <c r="G112" i="29"/>
  <c r="F112"/>
  <c r="D25" i="31" s="1"/>
  <c r="E112" i="29"/>
  <c r="D21" i="31" s="1"/>
  <c r="D112" i="29"/>
  <c r="C112"/>
  <c r="H58"/>
  <c r="F58"/>
  <c r="E58"/>
  <c r="D58"/>
  <c r="C58"/>
  <c r="C9" i="31" s="1"/>
  <c r="H57" i="29"/>
  <c r="F57"/>
  <c r="E57"/>
  <c r="D57"/>
  <c r="C57"/>
  <c r="H56"/>
  <c r="C29" i="31" s="1"/>
  <c r="G56" i="29"/>
  <c r="F56"/>
  <c r="C25" i="31" s="1"/>
  <c r="E56" i="29"/>
  <c r="C21" i="31" s="1"/>
  <c r="D56" i="29"/>
  <c r="C13" i="31" s="1"/>
  <c r="C17" s="1"/>
  <c r="C56" i="29"/>
  <c r="C5" i="31" s="1"/>
  <c r="H394" i="28"/>
  <c r="F394"/>
  <c r="E394"/>
  <c r="C394"/>
  <c r="H393"/>
  <c r="F393"/>
  <c r="E393"/>
  <c r="C393"/>
  <c r="H392"/>
  <c r="F392"/>
  <c r="I24" i="31" s="1"/>
  <c r="E392" i="28"/>
  <c r="C392"/>
  <c r="H338"/>
  <c r="F338"/>
  <c r="E338"/>
  <c r="D338"/>
  <c r="C338"/>
  <c r="H337"/>
  <c r="F337"/>
  <c r="E337"/>
  <c r="C337"/>
  <c r="H336"/>
  <c r="H28" i="31" s="1"/>
  <c r="G336" i="28"/>
  <c r="F336"/>
  <c r="E336"/>
  <c r="C336"/>
  <c r="H4" i="31" s="1"/>
  <c r="D336" i="28"/>
  <c r="H282"/>
  <c r="F282"/>
  <c r="E282"/>
  <c r="D282"/>
  <c r="H281"/>
  <c r="F281"/>
  <c r="E281"/>
  <c r="C281"/>
  <c r="H280"/>
  <c r="G28" i="31" s="1"/>
  <c r="G280" i="28"/>
  <c r="F280"/>
  <c r="G24" i="31" s="1"/>
  <c r="E280" i="28"/>
  <c r="G20" i="31" s="1"/>
  <c r="C280" i="28"/>
  <c r="G4" i="31" s="1"/>
  <c r="H226" i="28"/>
  <c r="F226"/>
  <c r="E226"/>
  <c r="D226"/>
  <c r="C226"/>
  <c r="H225"/>
  <c r="F225"/>
  <c r="E225"/>
  <c r="D225"/>
  <c r="C225"/>
  <c r="H224"/>
  <c r="F28" i="31" s="1"/>
  <c r="G224" i="28"/>
  <c r="F224"/>
  <c r="F24" i="31" s="1"/>
  <c r="E224" i="28"/>
  <c r="C224"/>
  <c r="F4" i="31" s="1"/>
  <c r="D224" i="28"/>
  <c r="H170"/>
  <c r="F170"/>
  <c r="E170"/>
  <c r="D170"/>
  <c r="C170"/>
  <c r="E8" i="31" s="1"/>
  <c r="H169" i="28"/>
  <c r="F169"/>
  <c r="E169"/>
  <c r="D169"/>
  <c r="C169"/>
  <c r="H168"/>
  <c r="F168"/>
  <c r="E24" i="31" s="1"/>
  <c r="E168" i="28"/>
  <c r="E20" i="31" s="1"/>
  <c r="C168" i="28"/>
  <c r="E4" i="31" s="1"/>
  <c r="D168" i="28"/>
  <c r="H114"/>
  <c r="F114"/>
  <c r="E114"/>
  <c r="C114"/>
  <c r="H113"/>
  <c r="F113"/>
  <c r="E113"/>
  <c r="C113"/>
  <c r="H112"/>
  <c r="D28" i="31" s="1"/>
  <c r="F112" i="28"/>
  <c r="E112"/>
  <c r="C112"/>
  <c r="D4" i="31" s="1"/>
  <c r="D112" i="28"/>
  <c r="D12" i="31" s="1"/>
  <c r="D16" s="1"/>
  <c r="H58" i="28"/>
  <c r="F58"/>
  <c r="E58"/>
  <c r="D58"/>
  <c r="C58"/>
  <c r="C8" i="31" s="1"/>
  <c r="H57" i="28"/>
  <c r="F57"/>
  <c r="E57"/>
  <c r="D57"/>
  <c r="C57"/>
  <c r="H56"/>
  <c r="F56"/>
  <c r="C24" i="31" s="1"/>
  <c r="E56" i="28"/>
  <c r="C20" i="31" s="1"/>
  <c r="D56" i="28"/>
  <c r="C12" i="31" s="1"/>
  <c r="C16" s="1"/>
  <c r="C56" i="28"/>
  <c r="H394" i="27"/>
  <c r="F394"/>
  <c r="E394"/>
  <c r="C394"/>
  <c r="I7" i="31" s="1"/>
  <c r="H393" i="27"/>
  <c r="F393"/>
  <c r="E393"/>
  <c r="C393"/>
  <c r="H392"/>
  <c r="I27" i="31" s="1"/>
  <c r="G392" i="27"/>
  <c r="F392"/>
  <c r="E392"/>
  <c r="I19" i="31" s="1"/>
  <c r="C392" i="27"/>
  <c r="I3" i="31" s="1"/>
  <c r="D394" i="27"/>
  <c r="H338"/>
  <c r="F338"/>
  <c r="E338"/>
  <c r="C338"/>
  <c r="H337"/>
  <c r="F337"/>
  <c r="E337"/>
  <c r="C337"/>
  <c r="H336"/>
  <c r="H27" i="31" s="1"/>
  <c r="G336" i="27"/>
  <c r="F336"/>
  <c r="H23" i="31" s="1"/>
  <c r="E336" i="27"/>
  <c r="H19" i="31" s="1"/>
  <c r="C336" i="27"/>
  <c r="H3" i="31" s="1"/>
  <c r="H282" i="27"/>
  <c r="F282"/>
  <c r="E282"/>
  <c r="D282"/>
  <c r="H281"/>
  <c r="F281"/>
  <c r="E281"/>
  <c r="C281"/>
  <c r="H280"/>
  <c r="G27" i="31" s="1"/>
  <c r="G280" i="27"/>
  <c r="F280"/>
  <c r="G23" i="31" s="1"/>
  <c r="E280" i="27"/>
  <c r="G19" i="31" s="1"/>
  <c r="C280" i="27"/>
  <c r="G3" i="31" s="1"/>
  <c r="H226" i="27"/>
  <c r="F226"/>
  <c r="E226"/>
  <c r="D226"/>
  <c r="C226"/>
  <c r="F7" i="31" s="1"/>
  <c r="H225" i="27"/>
  <c r="F225"/>
  <c r="E225"/>
  <c r="D225"/>
  <c r="C225"/>
  <c r="H224"/>
  <c r="G224"/>
  <c r="F224"/>
  <c r="F23" i="31" s="1"/>
  <c r="E224" i="27"/>
  <c r="F19" i="31" s="1"/>
  <c r="D224" i="27"/>
  <c r="C224"/>
  <c r="F3" i="31" s="1"/>
  <c r="H170" i="27"/>
  <c r="F170"/>
  <c r="E170"/>
  <c r="D170"/>
  <c r="C170"/>
  <c r="E7" i="31" s="1"/>
  <c r="H169" i="27"/>
  <c r="F169"/>
  <c r="E169"/>
  <c r="D169"/>
  <c r="C169"/>
  <c r="H168"/>
  <c r="F168"/>
  <c r="E168"/>
  <c r="E19" i="31" s="1"/>
  <c r="D168" i="27"/>
  <c r="E11" i="31" s="1"/>
  <c r="E15" s="1"/>
  <c r="C168" i="27"/>
  <c r="H114"/>
  <c r="F114"/>
  <c r="E114"/>
  <c r="D114"/>
  <c r="C114"/>
  <c r="D7" i="31" s="1"/>
  <c r="H113" i="27"/>
  <c r="F113"/>
  <c r="E113"/>
  <c r="C113"/>
  <c r="H112"/>
  <c r="D27" i="31" s="1"/>
  <c r="F112" i="27"/>
  <c r="D23" i="31" s="1"/>
  <c r="E112" i="27"/>
  <c r="D19" i="31" s="1"/>
  <c r="C112" i="27"/>
  <c r="D3" i="31" s="1"/>
  <c r="H58" i="27"/>
  <c r="F58"/>
  <c r="E58"/>
  <c r="D58"/>
  <c r="C58"/>
  <c r="H57"/>
  <c r="F57"/>
  <c r="E57"/>
  <c r="D57"/>
  <c r="C57"/>
  <c r="H56"/>
  <c r="C27" i="31" s="1"/>
  <c r="F56" i="27"/>
  <c r="C23" i="31" s="1"/>
  <c r="E56" i="27"/>
  <c r="C19" i="31" s="1"/>
  <c r="D56" i="27"/>
  <c r="C11" i="31" s="1"/>
  <c r="C15" s="1"/>
  <c r="C56" i="27"/>
  <c r="C3" i="31" s="1"/>
  <c r="G280" i="25"/>
  <c r="H280"/>
  <c r="G30" i="26" s="1"/>
  <c r="H224" i="25"/>
  <c r="F30" i="26" s="1"/>
  <c r="G224" i="25"/>
  <c r="F336" i="24"/>
  <c r="G336"/>
  <c r="H336"/>
  <c r="H29" i="26" s="1"/>
  <c r="F280" i="24"/>
  <c r="G280"/>
  <c r="H280"/>
  <c r="E224"/>
  <c r="F224"/>
  <c r="G224"/>
  <c r="H224"/>
  <c r="E168"/>
  <c r="F168"/>
  <c r="G168"/>
  <c r="H168"/>
  <c r="E112"/>
  <c r="D21" i="26" s="1"/>
  <c r="F112" i="24"/>
  <c r="G112"/>
  <c r="H112"/>
  <c r="E56"/>
  <c r="F56"/>
  <c r="G56"/>
  <c r="H56"/>
  <c r="F336" i="23"/>
  <c r="G336"/>
  <c r="H336"/>
  <c r="H28" i="26" s="1"/>
  <c r="G280" i="23"/>
  <c r="H280"/>
  <c r="G28" i="26" s="1"/>
  <c r="G224" i="23"/>
  <c r="H224"/>
  <c r="F28" i="26" s="1"/>
  <c r="D169" i="22"/>
  <c r="D170"/>
  <c r="E224"/>
  <c r="F19" i="26" s="1"/>
  <c r="F224" i="22"/>
  <c r="G224"/>
  <c r="H224"/>
  <c r="G392"/>
  <c r="H392"/>
  <c r="G336"/>
  <c r="H336"/>
  <c r="H27" i="26" s="1"/>
  <c r="G280" i="22"/>
  <c r="H280"/>
  <c r="G27" i="26" s="1"/>
  <c r="I30"/>
  <c r="I29"/>
  <c r="I28"/>
  <c r="I27"/>
  <c r="I19"/>
  <c r="H30"/>
  <c r="G29"/>
  <c r="F29"/>
  <c r="F27"/>
  <c r="E30"/>
  <c r="E29"/>
  <c r="E28"/>
  <c r="E27"/>
  <c r="D30"/>
  <c r="D29"/>
  <c r="D28"/>
  <c r="D27"/>
  <c r="C30"/>
  <c r="C29"/>
  <c r="C28"/>
  <c r="C27"/>
  <c r="D168" i="25"/>
  <c r="E168"/>
  <c r="E22" i="26" s="1"/>
  <c r="F168" i="25"/>
  <c r="D224"/>
  <c r="E224"/>
  <c r="F224"/>
  <c r="D280"/>
  <c r="E280"/>
  <c r="G22" i="26" s="1"/>
  <c r="F280" i="25"/>
  <c r="D280" i="24"/>
  <c r="E280"/>
  <c r="D224"/>
  <c r="I22" i="26"/>
  <c r="H22"/>
  <c r="F22"/>
  <c r="D22"/>
  <c r="I21"/>
  <c r="H21"/>
  <c r="G21"/>
  <c r="F21"/>
  <c r="E21"/>
  <c r="D280" i="23"/>
  <c r="E280"/>
  <c r="G20" i="26" s="1"/>
  <c r="F280" i="23"/>
  <c r="D224"/>
  <c r="E224"/>
  <c r="F224"/>
  <c r="I20" i="26"/>
  <c r="H20"/>
  <c r="F20"/>
  <c r="E20"/>
  <c r="D20"/>
  <c r="D280" i="22"/>
  <c r="E280"/>
  <c r="G19" i="26" s="1"/>
  <c r="F280" i="22"/>
  <c r="H19" i="26"/>
  <c r="D224" i="22"/>
  <c r="E19" i="26"/>
  <c r="D19"/>
  <c r="C19"/>
  <c r="C22"/>
  <c r="C21"/>
  <c r="C20"/>
  <c r="I6"/>
  <c r="H6"/>
  <c r="G6"/>
  <c r="F6"/>
  <c r="E6"/>
  <c r="D6"/>
  <c r="C6"/>
  <c r="I5"/>
  <c r="H5"/>
  <c r="G5"/>
  <c r="F5"/>
  <c r="E5"/>
  <c r="D5"/>
  <c r="C5"/>
  <c r="I4"/>
  <c r="H4"/>
  <c r="G4"/>
  <c r="F4"/>
  <c r="E4"/>
  <c r="D4"/>
  <c r="C4"/>
  <c r="G7"/>
  <c r="I7"/>
  <c r="H7"/>
  <c r="F7"/>
  <c r="E7"/>
  <c r="D7"/>
  <c r="C7"/>
  <c r="I3"/>
  <c r="H3"/>
  <c r="G3"/>
  <c r="F3"/>
  <c r="E3"/>
  <c r="D3"/>
  <c r="C3"/>
  <c r="I26"/>
  <c r="H26"/>
  <c r="G26"/>
  <c r="F26"/>
  <c r="E26"/>
  <c r="D26"/>
  <c r="C26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I14"/>
  <c r="I18" s="1"/>
  <c r="H14"/>
  <c r="H18" s="1"/>
  <c r="G14"/>
  <c r="G18" s="1"/>
  <c r="F14"/>
  <c r="F18" s="1"/>
  <c r="E14"/>
  <c r="E18" s="1"/>
  <c r="D14"/>
  <c r="D18" s="1"/>
  <c r="C14"/>
  <c r="C18" s="1"/>
  <c r="I13"/>
  <c r="I17" s="1"/>
  <c r="H13"/>
  <c r="H17" s="1"/>
  <c r="G13"/>
  <c r="G17" s="1"/>
  <c r="F13"/>
  <c r="F17" s="1"/>
  <c r="E13"/>
  <c r="E17" s="1"/>
  <c r="D13"/>
  <c r="D17" s="1"/>
  <c r="C13"/>
  <c r="C17" s="1"/>
  <c r="I12"/>
  <c r="I16" s="1"/>
  <c r="H12"/>
  <c r="H16" s="1"/>
  <c r="G12"/>
  <c r="G16" s="1"/>
  <c r="F12"/>
  <c r="F16" s="1"/>
  <c r="E12"/>
  <c r="E16" s="1"/>
  <c r="D12"/>
  <c r="D16" s="1"/>
  <c r="C12"/>
  <c r="C16" s="1"/>
  <c r="I11"/>
  <c r="I15" s="1"/>
  <c r="H11"/>
  <c r="H15" s="1"/>
  <c r="G11"/>
  <c r="G15" s="1"/>
  <c r="F11"/>
  <c r="F15" s="1"/>
  <c r="E11"/>
  <c r="E15" s="1"/>
  <c r="D11"/>
  <c r="D15" s="1"/>
  <c r="C11"/>
  <c r="C15" s="1"/>
  <c r="I10"/>
  <c r="H10"/>
  <c r="G10"/>
  <c r="F10"/>
  <c r="E10"/>
  <c r="D10"/>
  <c r="C10"/>
  <c r="I9"/>
  <c r="H9"/>
  <c r="G9"/>
  <c r="F9"/>
  <c r="E9"/>
  <c r="D9"/>
  <c r="C9"/>
  <c r="I8"/>
  <c r="H8"/>
  <c r="G8"/>
  <c r="F8"/>
  <c r="E8"/>
  <c r="D8"/>
  <c r="C8"/>
  <c r="D387" i="25"/>
  <c r="D357"/>
  <c r="D392" s="1"/>
  <c r="D351" i="24"/>
  <c r="D393" s="1"/>
  <c r="D273"/>
  <c r="D281" s="1"/>
  <c r="D85" i="23"/>
  <c r="D72"/>
  <c r="D114" s="1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92" s="1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337" s="1"/>
  <c r="D279"/>
  <c r="D278"/>
  <c r="D276"/>
  <c r="D275"/>
  <c r="D274"/>
  <c r="D273"/>
  <c r="D272"/>
  <c r="D271"/>
  <c r="D269"/>
  <c r="D268"/>
  <c r="D267"/>
  <c r="D266"/>
  <c r="D265"/>
  <c r="D264"/>
  <c r="D263"/>
  <c r="D262"/>
  <c r="D261"/>
  <c r="D260"/>
  <c r="D259"/>
  <c r="D258"/>
  <c r="D257"/>
  <c r="D256"/>
  <c r="D255"/>
  <c r="D253"/>
  <c r="D252"/>
  <c r="D251"/>
  <c r="D250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3"/>
  <c r="D221"/>
  <c r="D220"/>
  <c r="D219"/>
  <c r="D218"/>
  <c r="D217"/>
  <c r="D216"/>
  <c r="D215"/>
  <c r="D214"/>
  <c r="D212"/>
  <c r="D211"/>
  <c r="D209"/>
  <c r="D208"/>
  <c r="D206"/>
  <c r="D203"/>
  <c r="D202"/>
  <c r="D201"/>
  <c r="D200"/>
  <c r="D199"/>
  <c r="D197"/>
  <c r="D196"/>
  <c r="D195"/>
  <c r="D194"/>
  <c r="D192"/>
  <c r="D191"/>
  <c r="D188"/>
  <c r="D187"/>
  <c r="D186"/>
  <c r="D185"/>
  <c r="D184"/>
  <c r="D182"/>
  <c r="D180"/>
  <c r="D178"/>
  <c r="D175"/>
  <c r="D174"/>
  <c r="D166"/>
  <c r="D157"/>
  <c r="D151"/>
  <c r="D143"/>
  <c r="D134"/>
  <c r="D132"/>
  <c r="D126"/>
  <c r="D124"/>
  <c r="D122"/>
  <c r="D119"/>
  <c r="D118"/>
  <c r="D387" i="22"/>
  <c r="D386"/>
  <c r="D357"/>
  <c r="D330"/>
  <c r="D168" i="23"/>
  <c r="C168"/>
  <c r="E168"/>
  <c r="F168"/>
  <c r="H168"/>
  <c r="C169"/>
  <c r="E169"/>
  <c r="F169"/>
  <c r="H169"/>
  <c r="C170"/>
  <c r="D170"/>
  <c r="E170"/>
  <c r="F170"/>
  <c r="H170"/>
  <c r="H394" i="25"/>
  <c r="F394"/>
  <c r="E394"/>
  <c r="D394"/>
  <c r="C394"/>
  <c r="H393"/>
  <c r="F393"/>
  <c r="E393"/>
  <c r="C393"/>
  <c r="H392"/>
  <c r="F392"/>
  <c r="E392"/>
  <c r="C392"/>
  <c r="H338"/>
  <c r="F338"/>
  <c r="E338"/>
  <c r="D338"/>
  <c r="C338"/>
  <c r="H337"/>
  <c r="F337"/>
  <c r="E337"/>
  <c r="D337"/>
  <c r="C337"/>
  <c r="H336"/>
  <c r="F336"/>
  <c r="E336"/>
  <c r="D336"/>
  <c r="C336"/>
  <c r="H282"/>
  <c r="F282"/>
  <c r="E282"/>
  <c r="D282"/>
  <c r="C282"/>
  <c r="H281"/>
  <c r="F281"/>
  <c r="E281"/>
  <c r="D281"/>
  <c r="C281"/>
  <c r="C280"/>
  <c r="H226"/>
  <c r="F226"/>
  <c r="E226"/>
  <c r="D226"/>
  <c r="C226"/>
  <c r="H225"/>
  <c r="F225"/>
  <c r="E225"/>
  <c r="D225"/>
  <c r="C225"/>
  <c r="C224"/>
  <c r="H170"/>
  <c r="F170"/>
  <c r="E170"/>
  <c r="D170"/>
  <c r="C170"/>
  <c r="H169"/>
  <c r="F169"/>
  <c r="E169"/>
  <c r="D169"/>
  <c r="C169"/>
  <c r="H168"/>
  <c r="C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H394" i="24"/>
  <c r="F394"/>
  <c r="E394"/>
  <c r="D394"/>
  <c r="C394"/>
  <c r="H393"/>
  <c r="F393"/>
  <c r="E393"/>
  <c r="C393"/>
  <c r="H392"/>
  <c r="F392"/>
  <c r="E392"/>
  <c r="C392"/>
  <c r="H338"/>
  <c r="F338"/>
  <c r="E338"/>
  <c r="D338"/>
  <c r="C338"/>
  <c r="H337"/>
  <c r="F337"/>
  <c r="E337"/>
  <c r="D337"/>
  <c r="C337"/>
  <c r="E336"/>
  <c r="D336"/>
  <c r="C336"/>
  <c r="H282"/>
  <c r="F282"/>
  <c r="E282"/>
  <c r="D282"/>
  <c r="C282"/>
  <c r="H281"/>
  <c r="F281"/>
  <c r="E281"/>
  <c r="C281"/>
  <c r="C280"/>
  <c r="H226"/>
  <c r="F226"/>
  <c r="E226"/>
  <c r="D226"/>
  <c r="C226"/>
  <c r="H225"/>
  <c r="F225"/>
  <c r="E225"/>
  <c r="D225"/>
  <c r="C225"/>
  <c r="C224"/>
  <c r="H170"/>
  <c r="F170"/>
  <c r="E170"/>
  <c r="D170"/>
  <c r="C170"/>
  <c r="H169"/>
  <c r="F169"/>
  <c r="E169"/>
  <c r="D169"/>
  <c r="C169"/>
  <c r="D168"/>
  <c r="C168"/>
  <c r="H114"/>
  <c r="F114"/>
  <c r="E114"/>
  <c r="D114"/>
  <c r="C114"/>
  <c r="H113"/>
  <c r="F113"/>
  <c r="E113"/>
  <c r="D113"/>
  <c r="C113"/>
  <c r="D112"/>
  <c r="C112"/>
  <c r="H58"/>
  <c r="F58"/>
  <c r="E58"/>
  <c r="D58"/>
  <c r="C58"/>
  <c r="H57"/>
  <c r="F57"/>
  <c r="E57"/>
  <c r="D57"/>
  <c r="C57"/>
  <c r="D56"/>
  <c r="C56"/>
  <c r="H394" i="23"/>
  <c r="F394"/>
  <c r="E394"/>
  <c r="D394"/>
  <c r="C394"/>
  <c r="H393"/>
  <c r="F393"/>
  <c r="E393"/>
  <c r="C393"/>
  <c r="H392"/>
  <c r="F392"/>
  <c r="E392"/>
  <c r="C392"/>
  <c r="H338"/>
  <c r="F338"/>
  <c r="E338"/>
  <c r="C338"/>
  <c r="H337"/>
  <c r="F337"/>
  <c r="E337"/>
  <c r="C337"/>
  <c r="E336"/>
  <c r="D336"/>
  <c r="C336"/>
  <c r="H282"/>
  <c r="F282"/>
  <c r="E282"/>
  <c r="D282"/>
  <c r="C282"/>
  <c r="H281"/>
  <c r="F281"/>
  <c r="E281"/>
  <c r="D281"/>
  <c r="C281"/>
  <c r="C280"/>
  <c r="H226"/>
  <c r="F226"/>
  <c r="E226"/>
  <c r="D226"/>
  <c r="C226"/>
  <c r="H225"/>
  <c r="F225"/>
  <c r="E225"/>
  <c r="D225"/>
  <c r="C225"/>
  <c r="C224"/>
  <c r="H114"/>
  <c r="F114"/>
  <c r="E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H394" i="22"/>
  <c r="F394"/>
  <c r="E394"/>
  <c r="D394"/>
  <c r="C394"/>
  <c r="H393"/>
  <c r="F393"/>
  <c r="E393"/>
  <c r="D393"/>
  <c r="C393"/>
  <c r="F392"/>
  <c r="E392"/>
  <c r="D392"/>
  <c r="C392"/>
  <c r="H338"/>
  <c r="F338"/>
  <c r="E338"/>
  <c r="C338"/>
  <c r="H337"/>
  <c r="F337"/>
  <c r="E337"/>
  <c r="C337"/>
  <c r="F336"/>
  <c r="E336"/>
  <c r="C336"/>
  <c r="D337"/>
  <c r="H282"/>
  <c r="F282"/>
  <c r="E282"/>
  <c r="D282"/>
  <c r="C282"/>
  <c r="H281"/>
  <c r="F281"/>
  <c r="E281"/>
  <c r="D281"/>
  <c r="C281"/>
  <c r="C280"/>
  <c r="H226"/>
  <c r="F226"/>
  <c r="E226"/>
  <c r="D226"/>
  <c r="C226"/>
  <c r="H225"/>
  <c r="F225"/>
  <c r="E225"/>
  <c r="D225"/>
  <c r="C225"/>
  <c r="C224"/>
  <c r="H170"/>
  <c r="F170"/>
  <c r="E170"/>
  <c r="C170"/>
  <c r="H169"/>
  <c r="F169"/>
  <c r="E169"/>
  <c r="C169"/>
  <c r="H168"/>
  <c r="F168"/>
  <c r="E168"/>
  <c r="D168"/>
  <c r="C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D295" i="13"/>
  <c r="D337" s="1"/>
  <c r="D273"/>
  <c r="D282" s="1"/>
  <c r="D330" i="12"/>
  <c r="D306"/>
  <c r="D337" s="1"/>
  <c r="H394" i="14"/>
  <c r="F394"/>
  <c r="E394"/>
  <c r="D394"/>
  <c r="C394"/>
  <c r="H393"/>
  <c r="F393"/>
  <c r="E393"/>
  <c r="D393"/>
  <c r="C393"/>
  <c r="H392"/>
  <c r="F392"/>
  <c r="E392"/>
  <c r="D392"/>
  <c r="C392"/>
  <c r="H338"/>
  <c r="F338"/>
  <c r="E338"/>
  <c r="D338"/>
  <c r="C338"/>
  <c r="H337"/>
  <c r="F337"/>
  <c r="E337"/>
  <c r="C337"/>
  <c r="H336"/>
  <c r="F336"/>
  <c r="E336"/>
  <c r="D336"/>
  <c r="C336"/>
  <c r="D337"/>
  <c r="H282"/>
  <c r="F282"/>
  <c r="E282"/>
  <c r="C282"/>
  <c r="H281"/>
  <c r="F281"/>
  <c r="E281"/>
  <c r="C281"/>
  <c r="H280"/>
  <c r="F280"/>
  <c r="E280"/>
  <c r="D280"/>
  <c r="C280"/>
  <c r="D281"/>
  <c r="H226"/>
  <c r="F226"/>
  <c r="E226"/>
  <c r="D226"/>
  <c r="C226"/>
  <c r="H225"/>
  <c r="F225"/>
  <c r="E225"/>
  <c r="D225"/>
  <c r="C225"/>
  <c r="H224"/>
  <c r="F224"/>
  <c r="E224"/>
  <c r="D224"/>
  <c r="C224"/>
  <c r="H170"/>
  <c r="F170"/>
  <c r="E170"/>
  <c r="D170"/>
  <c r="C170"/>
  <c r="H169"/>
  <c r="F169"/>
  <c r="E169"/>
  <c r="D169"/>
  <c r="C169"/>
  <c r="H168"/>
  <c r="F168"/>
  <c r="E168"/>
  <c r="D168"/>
  <c r="C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H394" i="13"/>
  <c r="F394"/>
  <c r="E394"/>
  <c r="D394"/>
  <c r="C394"/>
  <c r="H393"/>
  <c r="F393"/>
  <c r="E393"/>
  <c r="D393"/>
  <c r="C393"/>
  <c r="H392"/>
  <c r="F392"/>
  <c r="E392"/>
  <c r="D392"/>
  <c r="C392"/>
  <c r="H338"/>
  <c r="F338"/>
  <c r="E338"/>
  <c r="D338"/>
  <c r="C338"/>
  <c r="H337"/>
  <c r="F337"/>
  <c r="E337"/>
  <c r="C337"/>
  <c r="H336"/>
  <c r="F336"/>
  <c r="E336"/>
  <c r="D336"/>
  <c r="C336"/>
  <c r="H282"/>
  <c r="F282"/>
  <c r="E282"/>
  <c r="C282"/>
  <c r="H281"/>
  <c r="F281"/>
  <c r="E281"/>
  <c r="D281"/>
  <c r="C281"/>
  <c r="H280"/>
  <c r="F280"/>
  <c r="E280"/>
  <c r="C280"/>
  <c r="H226"/>
  <c r="F226"/>
  <c r="E226"/>
  <c r="D226"/>
  <c r="C226"/>
  <c r="H225"/>
  <c r="F225"/>
  <c r="E225"/>
  <c r="C225"/>
  <c r="H224"/>
  <c r="F224"/>
  <c r="E224"/>
  <c r="D224"/>
  <c r="C224"/>
  <c r="D225"/>
  <c r="H170"/>
  <c r="F170"/>
  <c r="E170"/>
  <c r="D170"/>
  <c r="C170"/>
  <c r="H169"/>
  <c r="F169"/>
  <c r="E169"/>
  <c r="D169"/>
  <c r="C169"/>
  <c r="H168"/>
  <c r="F168"/>
  <c r="E168"/>
  <c r="D168"/>
  <c r="C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H394" i="12"/>
  <c r="F394"/>
  <c r="E394"/>
  <c r="D394"/>
  <c r="C394"/>
  <c r="H393"/>
  <c r="F393"/>
  <c r="E393"/>
  <c r="D393"/>
  <c r="C393"/>
  <c r="H392"/>
  <c r="F392"/>
  <c r="E392"/>
  <c r="D392"/>
  <c r="C392"/>
  <c r="H338"/>
  <c r="F338"/>
  <c r="E338"/>
  <c r="C338"/>
  <c r="H337"/>
  <c r="F337"/>
  <c r="E337"/>
  <c r="C337"/>
  <c r="H336"/>
  <c r="F336"/>
  <c r="E336"/>
  <c r="D336"/>
  <c r="C336"/>
  <c r="H282"/>
  <c r="F282"/>
  <c r="E282"/>
  <c r="D282"/>
  <c r="C282"/>
  <c r="H281"/>
  <c r="F281"/>
  <c r="E281"/>
  <c r="D281"/>
  <c r="C281"/>
  <c r="H280"/>
  <c r="F280"/>
  <c r="E280"/>
  <c r="D280"/>
  <c r="C280"/>
  <c r="H226"/>
  <c r="F226"/>
  <c r="E226"/>
  <c r="D226"/>
  <c r="C226"/>
  <c r="H225"/>
  <c r="F225"/>
  <c r="E225"/>
  <c r="D225"/>
  <c r="C225"/>
  <c r="H224"/>
  <c r="F224"/>
  <c r="E224"/>
  <c r="D224"/>
  <c r="C224"/>
  <c r="H170"/>
  <c r="F170"/>
  <c r="E170"/>
  <c r="D170"/>
  <c r="C170"/>
  <c r="H169"/>
  <c r="F169"/>
  <c r="E169"/>
  <c r="D169"/>
  <c r="C169"/>
  <c r="H168"/>
  <c r="F168"/>
  <c r="E168"/>
  <c r="D168"/>
  <c r="C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D318" i="11"/>
  <c r="D252"/>
  <c r="D280" s="1"/>
  <c r="D225"/>
  <c r="H394"/>
  <c r="F394"/>
  <c r="E394"/>
  <c r="D394"/>
  <c r="C394"/>
  <c r="H393"/>
  <c r="F393"/>
  <c r="E393"/>
  <c r="D393"/>
  <c r="C393"/>
  <c r="H392"/>
  <c r="F392"/>
  <c r="E392"/>
  <c r="D392"/>
  <c r="C392"/>
  <c r="H338"/>
  <c r="F338"/>
  <c r="E338"/>
  <c r="D338"/>
  <c r="C338"/>
  <c r="H337"/>
  <c r="F337"/>
  <c r="E337"/>
  <c r="C337"/>
  <c r="H336"/>
  <c r="F336"/>
  <c r="E336"/>
  <c r="D336"/>
  <c r="C336"/>
  <c r="D337"/>
  <c r="H282"/>
  <c r="F282"/>
  <c r="E282"/>
  <c r="D282"/>
  <c r="C282"/>
  <c r="H281"/>
  <c r="F281"/>
  <c r="E281"/>
  <c r="C281"/>
  <c r="H280"/>
  <c r="F280"/>
  <c r="E280"/>
  <c r="C280"/>
  <c r="H226"/>
  <c r="F226"/>
  <c r="E226"/>
  <c r="D226"/>
  <c r="C226"/>
  <c r="H225"/>
  <c r="F225"/>
  <c r="E225"/>
  <c r="C225"/>
  <c r="H224"/>
  <c r="F224"/>
  <c r="E224"/>
  <c r="D224"/>
  <c r="C224"/>
  <c r="H170"/>
  <c r="F170"/>
  <c r="E170"/>
  <c r="D170"/>
  <c r="C170"/>
  <c r="H169"/>
  <c r="F169"/>
  <c r="E169"/>
  <c r="D169"/>
  <c r="C169"/>
  <c r="H168"/>
  <c r="F168"/>
  <c r="E168"/>
  <c r="D168"/>
  <c r="C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56"/>
  <c r="D200" i="8"/>
  <c r="D260"/>
  <c r="C280" i="9"/>
  <c r="C56" i="10"/>
  <c r="C168"/>
  <c r="C224"/>
  <c r="C336"/>
  <c r="D309"/>
  <c r="D327"/>
  <c r="D241" i="9"/>
  <c r="D281" s="1"/>
  <c r="D206" i="10"/>
  <c r="D225" s="1"/>
  <c r="H394"/>
  <c r="F394"/>
  <c r="E394"/>
  <c r="D394"/>
  <c r="C394"/>
  <c r="H393"/>
  <c r="F393"/>
  <c r="E393"/>
  <c r="D393"/>
  <c r="C393"/>
  <c r="H392"/>
  <c r="F392"/>
  <c r="E392"/>
  <c r="D392"/>
  <c r="C392"/>
  <c r="H338"/>
  <c r="F338"/>
  <c r="E338"/>
  <c r="C338"/>
  <c r="H337"/>
  <c r="F337"/>
  <c r="E337"/>
  <c r="C337"/>
  <c r="H336"/>
  <c r="F336"/>
  <c r="E336"/>
  <c r="D336"/>
  <c r="D337"/>
  <c r="H282"/>
  <c r="F282"/>
  <c r="E282"/>
  <c r="D282"/>
  <c r="C282"/>
  <c r="H281"/>
  <c r="F281"/>
  <c r="E281"/>
  <c r="D281"/>
  <c r="C281"/>
  <c r="H280"/>
  <c r="F280"/>
  <c r="E280"/>
  <c r="D280"/>
  <c r="C280"/>
  <c r="H226"/>
  <c r="F226"/>
  <c r="E226"/>
  <c r="D226"/>
  <c r="C226"/>
  <c r="H225"/>
  <c r="F225"/>
  <c r="E225"/>
  <c r="C225"/>
  <c r="H224"/>
  <c r="F224"/>
  <c r="E224"/>
  <c r="D224"/>
  <c r="H170"/>
  <c r="F170"/>
  <c r="E170"/>
  <c r="D170"/>
  <c r="C170"/>
  <c r="H169"/>
  <c r="F169"/>
  <c r="E169"/>
  <c r="D169"/>
  <c r="C169"/>
  <c r="H168"/>
  <c r="F168"/>
  <c r="E168"/>
  <c r="D168"/>
  <c r="H114"/>
  <c r="F114"/>
  <c r="E114"/>
  <c r="D114"/>
  <c r="C114"/>
  <c r="H113"/>
  <c r="F113"/>
  <c r="E113"/>
  <c r="D113"/>
  <c r="C113"/>
  <c r="H112"/>
  <c r="F112"/>
  <c r="E112"/>
  <c r="D112"/>
  <c r="C112"/>
  <c r="H58"/>
  <c r="F58"/>
  <c r="E58"/>
  <c r="D58"/>
  <c r="C58"/>
  <c r="H57"/>
  <c r="F57"/>
  <c r="E57"/>
  <c r="D57"/>
  <c r="C57"/>
  <c r="H56"/>
  <c r="F56"/>
  <c r="E56"/>
  <c r="D56"/>
  <c r="C226" i="9"/>
  <c r="C224"/>
  <c r="C170"/>
  <c r="H168"/>
  <c r="D168"/>
  <c r="E168"/>
  <c r="F168"/>
  <c r="C168"/>
  <c r="D303"/>
  <c r="D300"/>
  <c r="F56"/>
  <c r="F170"/>
  <c r="D170"/>
  <c r="H394"/>
  <c r="F394"/>
  <c r="E394"/>
  <c r="C394"/>
  <c r="H393"/>
  <c r="F393"/>
  <c r="E393"/>
  <c r="C393"/>
  <c r="H392"/>
  <c r="F392"/>
  <c r="E392"/>
  <c r="C392"/>
  <c r="D394"/>
  <c r="H338"/>
  <c r="E338"/>
  <c r="D338"/>
  <c r="C338"/>
  <c r="H337"/>
  <c r="E337"/>
  <c r="D337"/>
  <c r="C337"/>
  <c r="H336"/>
  <c r="E336"/>
  <c r="D336"/>
  <c r="C336"/>
  <c r="F337"/>
  <c r="H282"/>
  <c r="E282"/>
  <c r="D282"/>
  <c r="C282"/>
  <c r="H281"/>
  <c r="E281"/>
  <c r="C281"/>
  <c r="H280"/>
  <c r="E280"/>
  <c r="D280"/>
  <c r="F280"/>
  <c r="H226"/>
  <c r="E226"/>
  <c r="H225"/>
  <c r="E225"/>
  <c r="C225"/>
  <c r="H224"/>
  <c r="E224"/>
  <c r="D224"/>
  <c r="F224"/>
  <c r="H170"/>
  <c r="E170"/>
  <c r="H169"/>
  <c r="E169"/>
  <c r="C169"/>
  <c r="H114"/>
  <c r="E114"/>
  <c r="D114"/>
  <c r="C114"/>
  <c r="H113"/>
  <c r="E113"/>
  <c r="D113"/>
  <c r="C113"/>
  <c r="H112"/>
  <c r="E112"/>
  <c r="D112"/>
  <c r="C112"/>
  <c r="F113"/>
  <c r="H58"/>
  <c r="E58"/>
  <c r="D58"/>
  <c r="C58"/>
  <c r="H57"/>
  <c r="E57"/>
  <c r="D57"/>
  <c r="C57"/>
  <c r="H56"/>
  <c r="E56"/>
  <c r="D56"/>
  <c r="C56"/>
  <c r="I30" i="6"/>
  <c r="G30"/>
  <c r="G29"/>
  <c r="G28"/>
  <c r="G27"/>
  <c r="F30"/>
  <c r="F29"/>
  <c r="F28"/>
  <c r="F27"/>
  <c r="E30"/>
  <c r="E29"/>
  <c r="E28"/>
  <c r="E27"/>
  <c r="D30"/>
  <c r="D29"/>
  <c r="D28"/>
  <c r="D27"/>
  <c r="C30"/>
  <c r="C29"/>
  <c r="C28"/>
  <c r="C27"/>
  <c r="H394" i="4"/>
  <c r="H393"/>
  <c r="H392"/>
  <c r="H338"/>
  <c r="H337"/>
  <c r="H336"/>
  <c r="H30" i="6" s="1"/>
  <c r="H282" i="4"/>
  <c r="H281"/>
  <c r="H280"/>
  <c r="H226"/>
  <c r="H225"/>
  <c r="H224"/>
  <c r="H170"/>
  <c r="H169"/>
  <c r="H168"/>
  <c r="H114"/>
  <c r="H113"/>
  <c r="H112"/>
  <c r="H58"/>
  <c r="H57"/>
  <c r="H56"/>
  <c r="C11" i="7"/>
  <c r="B11"/>
  <c r="C10"/>
  <c r="B10"/>
  <c r="C9"/>
  <c r="B9"/>
  <c r="C8"/>
  <c r="B8"/>
  <c r="D337" i="30" l="1"/>
  <c r="D338"/>
  <c r="F14" i="31"/>
  <c r="F18" s="1"/>
  <c r="D392" i="29"/>
  <c r="I13" i="31" s="1"/>
  <c r="I17" s="1"/>
  <c r="D280" i="27"/>
  <c r="G11" i="31" s="1"/>
  <c r="G15" s="1"/>
  <c r="F5"/>
  <c r="F12"/>
  <c r="F16" s="1"/>
  <c r="D112" i="27"/>
  <c r="D11" i="31" s="1"/>
  <c r="D15" s="1"/>
  <c r="D337" i="27"/>
  <c r="D338"/>
  <c r="F11" i="31"/>
  <c r="F15" s="1"/>
  <c r="D393" i="30"/>
  <c r="D392"/>
  <c r="I14" i="31" s="1"/>
  <c r="I18" s="1"/>
  <c r="D280" i="29"/>
  <c r="G13" i="31" s="1"/>
  <c r="G17" s="1"/>
  <c r="D280" i="28"/>
  <c r="G12" i="31" s="1"/>
  <c r="G16" s="1"/>
  <c r="D113" i="28"/>
  <c r="D393"/>
  <c r="D392"/>
  <c r="I12" i="31" s="1"/>
  <c r="I16" s="1"/>
  <c r="D392" i="27"/>
  <c r="I11" i="31" s="1"/>
  <c r="I15" s="1"/>
  <c r="D393" i="27"/>
  <c r="D393" i="25"/>
  <c r="D392" i="24"/>
  <c r="D393" i="23"/>
  <c r="D338"/>
  <c r="D169"/>
  <c r="D336" i="22"/>
  <c r="D338"/>
  <c r="D280" i="13"/>
  <c r="D282" i="14"/>
  <c r="D338" i="12"/>
  <c r="D281" i="11"/>
  <c r="D338" i="10"/>
  <c r="D169" i="9"/>
  <c r="F114"/>
  <c r="F225"/>
  <c r="D225"/>
  <c r="D226"/>
  <c r="F338"/>
  <c r="D392"/>
  <c r="F112"/>
  <c r="F336"/>
  <c r="D393"/>
  <c r="F58"/>
  <c r="F57"/>
  <c r="F169"/>
  <c r="F226"/>
  <c r="F281"/>
  <c r="F282"/>
  <c r="H394" i="3"/>
  <c r="H393"/>
  <c r="H392"/>
  <c r="I29" i="6" s="1"/>
  <c r="H338" i="3"/>
  <c r="H337"/>
  <c r="H336"/>
  <c r="H29" i="6" s="1"/>
  <c r="H282" i="3"/>
  <c r="H281"/>
  <c r="H280"/>
  <c r="H226"/>
  <c r="H225"/>
  <c r="H224"/>
  <c r="H170"/>
  <c r="H169"/>
  <c r="H168"/>
  <c r="H114"/>
  <c r="H113"/>
  <c r="H112"/>
  <c r="H58"/>
  <c r="H57"/>
  <c r="H56"/>
  <c r="H394" i="2" l="1"/>
  <c r="H393"/>
  <c r="H392"/>
  <c r="I28" i="6" s="1"/>
  <c r="H338" i="2"/>
  <c r="H337"/>
  <c r="H336"/>
  <c r="H28" i="6" s="1"/>
  <c r="H282" i="2"/>
  <c r="H281"/>
  <c r="H280"/>
  <c r="H226"/>
  <c r="H225"/>
  <c r="H224"/>
  <c r="H170"/>
  <c r="H169"/>
  <c r="H168"/>
  <c r="H114"/>
  <c r="H113"/>
  <c r="H112"/>
  <c r="H58"/>
  <c r="H57"/>
  <c r="H56"/>
  <c r="H168" i="1"/>
  <c r="H169"/>
  <c r="H170"/>
  <c r="H394"/>
  <c r="H393"/>
  <c r="H392"/>
  <c r="I27" i="6" s="1"/>
  <c r="H338" i="1"/>
  <c r="H337"/>
  <c r="H336"/>
  <c r="H27" i="6" s="1"/>
  <c r="H282" i="1"/>
  <c r="H281"/>
  <c r="H280"/>
  <c r="H226"/>
  <c r="H225"/>
  <c r="H224"/>
  <c r="H114"/>
  <c r="H113"/>
  <c r="H112"/>
  <c r="H58"/>
  <c r="H57"/>
  <c r="H56"/>
  <c r="I21" i="6"/>
  <c r="D384" i="4"/>
  <c r="D382"/>
  <c r="D368"/>
  <c r="D355"/>
  <c r="D352"/>
  <c r="D350"/>
  <c r="D342"/>
  <c r="D355" i="3"/>
  <c r="D391" i="2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94" s="1"/>
  <c r="D384" i="1"/>
  <c r="D368"/>
  <c r="D355"/>
  <c r="D350"/>
  <c r="D394" s="1"/>
  <c r="D332" i="4"/>
  <c r="D311"/>
  <c r="D297"/>
  <c r="D293"/>
  <c r="D267"/>
  <c r="D257"/>
  <c r="D249"/>
  <c r="D231"/>
  <c r="D281" s="1"/>
  <c r="D209"/>
  <c r="D200"/>
  <c r="D182"/>
  <c r="D226" s="1"/>
  <c r="D331" i="3"/>
  <c r="D315"/>
  <c r="D293"/>
  <c r="D267"/>
  <c r="D246"/>
  <c r="D244"/>
  <c r="D200"/>
  <c r="D182"/>
  <c r="D335" i="2"/>
  <c r="D334"/>
  <c r="D333"/>
  <c r="D332"/>
  <c r="D331"/>
  <c r="D330"/>
  <c r="D329"/>
  <c r="D328"/>
  <c r="D327"/>
  <c r="D326"/>
  <c r="D325"/>
  <c r="D324"/>
  <c r="D323"/>
  <c r="D322"/>
  <c r="D321"/>
  <c r="D320"/>
  <c r="D319"/>
  <c r="D317"/>
  <c r="D316"/>
  <c r="D315"/>
  <c r="D314"/>
  <c r="D313"/>
  <c r="D312"/>
  <c r="D311"/>
  <c r="D310"/>
  <c r="D318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6"/>
  <c r="D195"/>
  <c r="D194"/>
  <c r="D193"/>
  <c r="D197"/>
  <c r="D191"/>
  <c r="D190"/>
  <c r="D189"/>
  <c r="D188"/>
  <c r="D192"/>
  <c r="D187"/>
  <c r="D186"/>
  <c r="D185"/>
  <c r="D184"/>
  <c r="D183"/>
  <c r="D182"/>
  <c r="D181"/>
  <c r="D180"/>
  <c r="D177"/>
  <c r="D175"/>
  <c r="D176"/>
  <c r="D174"/>
  <c r="D166"/>
  <c r="D164"/>
  <c r="D163"/>
  <c r="D158"/>
  <c r="D157"/>
  <c r="D155"/>
  <c r="D153"/>
  <c r="D150"/>
  <c r="D151"/>
  <c r="D146"/>
  <c r="D149"/>
  <c r="D143"/>
  <c r="D140"/>
  <c r="D132"/>
  <c r="D133"/>
  <c r="D131"/>
  <c r="D128"/>
  <c r="D126"/>
  <c r="D125"/>
  <c r="D124"/>
  <c r="D122"/>
  <c r="D121"/>
  <c r="D119"/>
  <c r="D120"/>
  <c r="D118"/>
  <c r="D170" s="1"/>
  <c r="D85"/>
  <c r="D70"/>
  <c r="D72"/>
  <c r="D68"/>
  <c r="D66"/>
  <c r="D62"/>
  <c r="D209" i="1"/>
  <c r="D182"/>
  <c r="D226" s="1"/>
  <c r="D154"/>
  <c r="D135"/>
  <c r="D170" s="1"/>
  <c r="F335" i="4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82" s="1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70" s="1"/>
  <c r="F119"/>
  <c r="F118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8" s="1"/>
  <c r="F7"/>
  <c r="F6"/>
  <c r="F335" i="3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338" s="1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82" s="1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224" s="1"/>
  <c r="F25" i="6" s="1"/>
  <c r="F167" i="3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114" s="1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D225"/>
  <c r="E224"/>
  <c r="F21" i="6" s="1"/>
  <c r="F335" i="2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81" s="1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58" s="1"/>
  <c r="F7"/>
  <c r="F6"/>
  <c r="D113"/>
  <c r="D338"/>
  <c r="F394" i="4"/>
  <c r="E394"/>
  <c r="D394"/>
  <c r="C394"/>
  <c r="I10" i="6" s="1"/>
  <c r="F393" i="4"/>
  <c r="E393"/>
  <c r="D393"/>
  <c r="C393"/>
  <c r="F392"/>
  <c r="I26" i="6" s="1"/>
  <c r="E392" i="4"/>
  <c r="I22" i="6" s="1"/>
  <c r="D392" i="4"/>
  <c r="C392"/>
  <c r="I6" i="6" s="1"/>
  <c r="E338" i="4"/>
  <c r="D338"/>
  <c r="C338"/>
  <c r="H10" i="6" s="1"/>
  <c r="E337" i="4"/>
  <c r="D337"/>
  <c r="C337"/>
  <c r="E336"/>
  <c r="H22" i="6" s="1"/>
  <c r="D336" i="4"/>
  <c r="H14" i="6" s="1"/>
  <c r="H18" s="1"/>
  <c r="C336" i="4"/>
  <c r="H6" i="6" s="1"/>
  <c r="F337" i="4"/>
  <c r="E282"/>
  <c r="D282"/>
  <c r="C282"/>
  <c r="G10" i="6" s="1"/>
  <c r="E281" i="4"/>
  <c r="C281"/>
  <c r="E280"/>
  <c r="C280"/>
  <c r="G6" i="6" s="1"/>
  <c r="E226" i="4"/>
  <c r="C226"/>
  <c r="E225"/>
  <c r="C225"/>
  <c r="E224"/>
  <c r="F22" i="6" s="1"/>
  <c r="D224" i="4"/>
  <c r="C224"/>
  <c r="F14" i="6" s="1"/>
  <c r="F18" s="1"/>
  <c r="F226" i="4"/>
  <c r="E170"/>
  <c r="D170"/>
  <c r="C170"/>
  <c r="E10" i="6" s="1"/>
  <c r="E169" i="4"/>
  <c r="D169"/>
  <c r="C169"/>
  <c r="E168"/>
  <c r="D168"/>
  <c r="E14" i="6" s="1"/>
  <c r="E18" s="1"/>
  <c r="C168" i="4"/>
  <c r="E6" i="6" s="1"/>
  <c r="E114" i="4"/>
  <c r="D114"/>
  <c r="C114"/>
  <c r="D10" i="6" s="1"/>
  <c r="E113" i="4"/>
  <c r="D113"/>
  <c r="C113"/>
  <c r="E112"/>
  <c r="D22" i="6" s="1"/>
  <c r="D112" i="4"/>
  <c r="D14" i="6" s="1"/>
  <c r="D18" s="1"/>
  <c r="C112" i="4"/>
  <c r="F114"/>
  <c r="E58"/>
  <c r="D58"/>
  <c r="C58"/>
  <c r="C10" i="6" s="1"/>
  <c r="E57" i="4"/>
  <c r="D57"/>
  <c r="C57"/>
  <c r="E56"/>
  <c r="D56"/>
  <c r="C14" i="6" s="1"/>
  <c r="C18" s="1"/>
  <c r="C56" i="4"/>
  <c r="F394" i="3"/>
  <c r="E394"/>
  <c r="D394"/>
  <c r="C394"/>
  <c r="F393"/>
  <c r="E393"/>
  <c r="D393"/>
  <c r="C393"/>
  <c r="F392"/>
  <c r="I25" i="6" s="1"/>
  <c r="E392" i="3"/>
  <c r="D392"/>
  <c r="I13" i="6" s="1"/>
  <c r="I17" s="1"/>
  <c r="C392" i="3"/>
  <c r="I5" i="6" s="1"/>
  <c r="E338" i="3"/>
  <c r="D338"/>
  <c r="C338"/>
  <c r="E337"/>
  <c r="D337"/>
  <c r="C337"/>
  <c r="E336"/>
  <c r="D336"/>
  <c r="H13" i="6" s="1"/>
  <c r="H17" s="1"/>
  <c r="C336" i="3"/>
  <c r="H5" i="6" s="1"/>
  <c r="E282" i="3"/>
  <c r="D282"/>
  <c r="C282"/>
  <c r="G9" i="6" s="1"/>
  <c r="E281" i="3"/>
  <c r="D281"/>
  <c r="C281"/>
  <c r="E280"/>
  <c r="D280"/>
  <c r="G13" i="6" s="1"/>
  <c r="G17" s="1"/>
  <c r="C280" i="3"/>
  <c r="E226"/>
  <c r="D226"/>
  <c r="C226"/>
  <c r="F9" i="6" s="1"/>
  <c r="C225" i="3"/>
  <c r="D224"/>
  <c r="C224"/>
  <c r="F5" i="6" s="1"/>
  <c r="E170" i="3"/>
  <c r="D170"/>
  <c r="C170"/>
  <c r="E9" i="6" s="1"/>
  <c r="E169" i="3"/>
  <c r="D169"/>
  <c r="C169"/>
  <c r="E168"/>
  <c r="D168"/>
  <c r="E13" i="6" s="1"/>
  <c r="E17" s="1"/>
  <c r="C168" i="3"/>
  <c r="F170"/>
  <c r="E114"/>
  <c r="D114"/>
  <c r="C114"/>
  <c r="E113"/>
  <c r="D113"/>
  <c r="C113"/>
  <c r="E112"/>
  <c r="D112"/>
  <c r="D13" i="6" s="1"/>
  <c r="D17" s="1"/>
  <c r="C112" i="3"/>
  <c r="D5" i="6" s="1"/>
  <c r="E58" i="3"/>
  <c r="D58"/>
  <c r="C58"/>
  <c r="C9" i="6" s="1"/>
  <c r="E57" i="3"/>
  <c r="D57"/>
  <c r="C57"/>
  <c r="E56"/>
  <c r="C21" i="6" s="1"/>
  <c r="D56" i="3"/>
  <c r="C13" i="6" s="1"/>
  <c r="C17" s="1"/>
  <c r="C56" i="3"/>
  <c r="C5" i="6" s="1"/>
  <c r="F58" i="3"/>
  <c r="F394" i="2"/>
  <c r="E394"/>
  <c r="C394"/>
  <c r="I8" i="6" s="1"/>
  <c r="F393" i="2"/>
  <c r="E393"/>
  <c r="C393"/>
  <c r="F392"/>
  <c r="I24" i="6" s="1"/>
  <c r="E392" i="2"/>
  <c r="I20" i="6" s="1"/>
  <c r="C392" i="2"/>
  <c r="E338"/>
  <c r="C338"/>
  <c r="H8" i="6" s="1"/>
  <c r="E337" i="2"/>
  <c r="D337"/>
  <c r="C337"/>
  <c r="E336"/>
  <c r="D336"/>
  <c r="H12" i="6" s="1"/>
  <c r="H16" s="1"/>
  <c r="C336" i="2"/>
  <c r="H4" i="6" s="1"/>
  <c r="F338" i="2"/>
  <c r="E282"/>
  <c r="D282"/>
  <c r="C282"/>
  <c r="G8" i="6" s="1"/>
  <c r="E281" i="2"/>
  <c r="D281"/>
  <c r="C281"/>
  <c r="E280"/>
  <c r="D280"/>
  <c r="G12" i="6" s="1"/>
  <c r="G16" s="1"/>
  <c r="C280" i="2"/>
  <c r="G4" i="6" s="1"/>
  <c r="E226" i="2"/>
  <c r="D226"/>
  <c r="C226"/>
  <c r="F8" i="6" s="1"/>
  <c r="E225" i="2"/>
  <c r="D225"/>
  <c r="C225"/>
  <c r="E224"/>
  <c r="F20" i="6" s="1"/>
  <c r="D224" i="2"/>
  <c r="C224"/>
  <c r="F4" i="6" s="1"/>
  <c r="F226" i="2"/>
  <c r="E170"/>
  <c r="C170"/>
  <c r="E8" i="6" s="1"/>
  <c r="E169" i="2"/>
  <c r="C169"/>
  <c r="E168"/>
  <c r="C168"/>
  <c r="F170"/>
  <c r="E114"/>
  <c r="D114"/>
  <c r="C114"/>
  <c r="D8" i="6" s="1"/>
  <c r="E113" i="2"/>
  <c r="C113"/>
  <c r="E112"/>
  <c r="D20" i="6" s="1"/>
  <c r="C112" i="2"/>
  <c r="D4" i="6" s="1"/>
  <c r="F114" i="2"/>
  <c r="E58"/>
  <c r="D58"/>
  <c r="C58"/>
  <c r="E57"/>
  <c r="D57"/>
  <c r="C57"/>
  <c r="E56"/>
  <c r="D56"/>
  <c r="C56"/>
  <c r="H21" i="6"/>
  <c r="H20"/>
  <c r="G22"/>
  <c r="G21"/>
  <c r="G20"/>
  <c r="E22"/>
  <c r="E21"/>
  <c r="E20"/>
  <c r="D21"/>
  <c r="C22"/>
  <c r="C20"/>
  <c r="I14"/>
  <c r="I18" s="1"/>
  <c r="C12"/>
  <c r="C16" s="1"/>
  <c r="I9"/>
  <c r="H9"/>
  <c r="F10"/>
  <c r="D9"/>
  <c r="C8"/>
  <c r="F6"/>
  <c r="D6"/>
  <c r="C6"/>
  <c r="I4"/>
  <c r="G5"/>
  <c r="E5"/>
  <c r="E4"/>
  <c r="C4"/>
  <c r="F394" i="1"/>
  <c r="E394"/>
  <c r="C394"/>
  <c r="I7" i="6" s="1"/>
  <c r="F393" i="1"/>
  <c r="E393"/>
  <c r="C393"/>
  <c r="F392"/>
  <c r="I23" i="6" s="1"/>
  <c r="E392" i="1"/>
  <c r="I19" i="6" s="1"/>
  <c r="C392" i="1"/>
  <c r="I3" i="6" s="1"/>
  <c r="E338" i="1"/>
  <c r="D338"/>
  <c r="C338"/>
  <c r="H7" i="6" s="1"/>
  <c r="E337" i="1"/>
  <c r="D337"/>
  <c r="C337"/>
  <c r="E336"/>
  <c r="H19" i="6" s="1"/>
  <c r="D336" i="1"/>
  <c r="H11" i="6" s="1"/>
  <c r="H15" s="1"/>
  <c r="C336" i="1"/>
  <c r="H3" i="6" s="1"/>
  <c r="E282" i="1"/>
  <c r="D282"/>
  <c r="C282"/>
  <c r="G7" i="6" s="1"/>
  <c r="E281" i="1"/>
  <c r="D281"/>
  <c r="C281"/>
  <c r="E280"/>
  <c r="G19" i="6" s="1"/>
  <c r="D280" i="1"/>
  <c r="G11" i="6" s="1"/>
  <c r="G15" s="1"/>
  <c r="C280" i="1"/>
  <c r="G3" i="6" s="1"/>
  <c r="E226" i="1"/>
  <c r="C226"/>
  <c r="F7" i="6" s="1"/>
  <c r="E225" i="1"/>
  <c r="C225"/>
  <c r="E224"/>
  <c r="F19" i="6" s="1"/>
  <c r="C224" i="1"/>
  <c r="F11" i="6" s="1"/>
  <c r="F15" s="1"/>
  <c r="E170" i="1"/>
  <c r="C170"/>
  <c r="E7" i="6" s="1"/>
  <c r="E169" i="1"/>
  <c r="C169"/>
  <c r="E168"/>
  <c r="E19" i="6" s="1"/>
  <c r="C168" i="1"/>
  <c r="E3" i="6" s="1"/>
  <c r="E114" i="1"/>
  <c r="D114"/>
  <c r="C114"/>
  <c r="D7" i="6" s="1"/>
  <c r="E113" i="1"/>
  <c r="D113"/>
  <c r="C113"/>
  <c r="E112"/>
  <c r="D19" i="6" s="1"/>
  <c r="D112" i="1"/>
  <c r="D11" i="6" s="1"/>
  <c r="D15" s="1"/>
  <c r="C112" i="1"/>
  <c r="D3" i="6" s="1"/>
  <c r="F111" i="1"/>
  <c r="D57"/>
  <c r="E57"/>
  <c r="C57"/>
  <c r="D58"/>
  <c r="E58"/>
  <c r="C58"/>
  <c r="C7" i="6" s="1"/>
  <c r="D56" i="1"/>
  <c r="C11" i="6" s="1"/>
  <c r="C15" s="1"/>
  <c r="E56" i="1"/>
  <c r="C19" i="6" s="1"/>
  <c r="C56" i="1"/>
  <c r="C3" i="6" s="1"/>
  <c r="F335" i="1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225" l="1"/>
  <c r="F338"/>
  <c r="D392"/>
  <c r="I11" i="6" s="1"/>
  <c r="I15" s="1"/>
  <c r="D393" i="1"/>
  <c r="F58"/>
  <c r="F282"/>
  <c r="F168"/>
  <c r="E23" i="6" s="1"/>
  <c r="F114" i="1"/>
  <c r="F169"/>
  <c r="F226"/>
  <c r="F280"/>
  <c r="G23" i="6" s="1"/>
  <c r="F281" i="1"/>
  <c r="F336"/>
  <c r="H23" i="6" s="1"/>
  <c r="F337" i="1"/>
  <c r="F3" i="6"/>
  <c r="F56" i="1"/>
  <c r="C23" i="6" s="1"/>
  <c r="F57" i="1"/>
  <c r="F170"/>
  <c r="F112"/>
  <c r="D23" i="6" s="1"/>
  <c r="F113" i="1"/>
  <c r="F224"/>
  <c r="F23" i="6" s="1"/>
  <c r="D392" i="2"/>
  <c r="I12" i="6" s="1"/>
  <c r="I16" s="1"/>
  <c r="D393" i="2"/>
  <c r="D280" i="4"/>
  <c r="G14" i="6" s="1"/>
  <c r="G18" s="1"/>
  <c r="D225" i="4"/>
  <c r="D169" i="2"/>
  <c r="D224" i="1"/>
  <c r="D225"/>
  <c r="D168"/>
  <c r="E11" i="6" s="1"/>
  <c r="E15" s="1"/>
  <c r="D169" i="1"/>
  <c r="F13" i="6"/>
  <c r="F17" s="1"/>
  <c r="E225" i="3"/>
  <c r="D112" i="2"/>
  <c r="D12" i="6" s="1"/>
  <c r="D16" s="1"/>
  <c r="F12"/>
  <c r="F16" s="1"/>
  <c r="D168" i="2"/>
  <c r="E12" i="6" s="1"/>
  <c r="E16" s="1"/>
  <c r="F112" i="4"/>
  <c r="D26" i="6" s="1"/>
  <c r="F113" i="4"/>
  <c r="F225"/>
  <c r="F336"/>
  <c r="H26" i="6" s="1"/>
  <c r="F338" i="4"/>
  <c r="F56"/>
  <c r="C26" i="6" s="1"/>
  <c r="F57" i="4"/>
  <c r="F168"/>
  <c r="E26" i="6" s="1"/>
  <c r="F169" i="4"/>
  <c r="F280"/>
  <c r="G26" i="6" s="1"/>
  <c r="F281" i="4"/>
  <c r="F224"/>
  <c r="F26" i="6" s="1"/>
  <c r="F113" i="3"/>
  <c r="F225"/>
  <c r="F336"/>
  <c r="H25" i="6" s="1"/>
  <c r="F112" i="3"/>
  <c r="D25" i="6" s="1"/>
  <c r="F226" i="3"/>
  <c r="F337"/>
  <c r="F56"/>
  <c r="C25" i="6" s="1"/>
  <c r="F57" i="3"/>
  <c r="F168"/>
  <c r="E25" i="6" s="1"/>
  <c r="F169" i="3"/>
  <c r="F280"/>
  <c r="G25" i="6" s="1"/>
  <c r="F281" i="3"/>
  <c r="F57" i="2"/>
  <c r="F168"/>
  <c r="E24" i="6" s="1"/>
  <c r="F169" i="2"/>
  <c r="F280"/>
  <c r="G24" i="6" s="1"/>
  <c r="F282" i="2"/>
  <c r="F112"/>
  <c r="D24" i="6" s="1"/>
  <c r="F113" i="2"/>
  <c r="F224"/>
  <c r="F24" i="6" s="1"/>
  <c r="F225" i="2"/>
  <c r="F336"/>
  <c r="H24" i="6" s="1"/>
  <c r="F337" i="2"/>
  <c r="F56"/>
  <c r="C24" i="6" s="1"/>
</calcChain>
</file>

<file path=xl/sharedStrings.xml><?xml version="1.0" encoding="utf-8"?>
<sst xmlns="http://schemas.openxmlformats.org/spreadsheetml/2006/main" count="8339" uniqueCount="3926">
  <si>
    <t>N = 2</t>
  </si>
  <si>
    <t>N = 10</t>
  </si>
  <si>
    <t>N = 30</t>
  </si>
  <si>
    <t>STD</t>
  </si>
  <si>
    <t>Throughput [Mbps]</t>
  </si>
  <si>
    <t>ONLY PRIMARY</t>
  </si>
  <si>
    <t>N = 50</t>
  </si>
  <si>
    <t>Scenario</t>
  </si>
  <si>
    <t>N = 5</t>
  </si>
  <si>
    <t>N = 20</t>
  </si>
  <si>
    <t>N = 40</t>
  </si>
  <si>
    <t>Commit</t>
  </si>
  <si>
    <t>Seed</t>
  </si>
  <si>
    <t>Simulation time</t>
  </si>
  <si>
    <t>N</t>
  </si>
  <si>
    <t>AM</t>
  </si>
  <si>
    <t>OP</t>
  </si>
  <si>
    <t>SCB</t>
  </si>
  <si>
    <t>PU</t>
  </si>
  <si>
    <t>MEAN</t>
  </si>
  <si>
    <t>MIN</t>
  </si>
  <si>
    <t>Line 801:  KOMONDOR SIMULATION 'sim_seed1992_input_nodes_n2_s0_cb0.csv' (seed 1992)</t>
  </si>
  <si>
    <t>Line 809:  KOMONDOR SIMULATION 'sim_seed1992_input_nodes_n2_s10_cb0.csv' (seed 1992)</t>
  </si>
  <si>
    <t>Line 817:  KOMONDOR SIMULATION 'sim_seed1992_input_nodes_n2_s11_cb0.csv' (seed 1992)</t>
  </si>
  <si>
    <t>Line 825:  KOMONDOR SIMULATION 'sim_seed1992_input_nodes_n2_s12_cb0.csv' (seed 1992)</t>
  </si>
  <si>
    <t>Line 833:  KOMONDOR SIMULATION 'sim_seed1992_input_nodes_n2_s13_cb0.csv' (seed 1992)</t>
  </si>
  <si>
    <t>Line 841:  KOMONDOR SIMULATION 'sim_seed1992_input_nodes_n2_s14_cb0.csv' (seed 1992)</t>
  </si>
  <si>
    <t>Line 849:  KOMONDOR SIMULATION 'sim_seed1992_input_nodes_n2_s15_cb0.csv' (seed 1992)</t>
  </si>
  <si>
    <t>Line 857:  KOMONDOR SIMULATION 'sim_seed1992_input_nodes_n2_s16_cb0.csv' (seed 1992)</t>
  </si>
  <si>
    <t>Line 865:  KOMONDOR SIMULATION 'sim_seed1992_input_nodes_n2_s17_cb0.csv' (seed 1992)</t>
  </si>
  <si>
    <t>Line 873:  KOMONDOR SIMULATION 'sim_seed1992_input_nodes_n2_s18_cb0.csv' (seed 1992)</t>
  </si>
  <si>
    <t>Line 881:  KOMONDOR SIMULATION 'sim_seed1992_input_nodes_n2_s19_cb0.csv' (seed 1992)</t>
  </si>
  <si>
    <t>Line 889:  KOMONDOR SIMULATION 'sim_seed1992_input_nodes_n2_s1_cb0.csv' (seed 1992)</t>
  </si>
  <si>
    <t>Line 897:  KOMONDOR SIMULATION 'sim_seed1992_input_nodes_n2_s20_cb0.csv' (seed 1992)</t>
  </si>
  <si>
    <t>Line 905:  KOMONDOR SIMULATION 'sim_seed1992_input_nodes_n2_s21_cb0.csv' (seed 1992)</t>
  </si>
  <si>
    <t>Line 913:  KOMONDOR SIMULATION 'sim_seed1992_input_nodes_n2_s22_cb0.csv' (seed 1992)</t>
  </si>
  <si>
    <t>Line 921:  KOMONDOR SIMULATION 'sim_seed1992_input_nodes_n2_s23_cb0.csv' (seed 1992)</t>
  </si>
  <si>
    <t>Line 929:  KOMONDOR SIMULATION 'sim_seed1992_input_nodes_n2_s24_cb0.csv' (seed 1992)</t>
  </si>
  <si>
    <t>Line 937:  KOMONDOR SIMULATION 'sim_seed1992_input_nodes_n2_s25_cb0.csv' (seed 1992)</t>
  </si>
  <si>
    <t>Line 945:  KOMONDOR SIMULATION 'sim_seed1992_input_nodes_n2_s26_cb0.csv' (seed 1992)</t>
  </si>
  <si>
    <t>Line 953:  KOMONDOR SIMULATION 'sim_seed1992_input_nodes_n2_s27_cb0.csv' (seed 1992)</t>
  </si>
  <si>
    <t>Line 961:  KOMONDOR SIMULATION 'sim_seed1992_input_nodes_n2_s28_cb0.csv' (seed 1992)</t>
  </si>
  <si>
    <t>Line 969:  KOMONDOR SIMULATION 'sim_seed1992_input_nodes_n2_s29_cb0.csv' (seed 1992)</t>
  </si>
  <si>
    <t>Line 977:  KOMONDOR SIMULATION 'sim_seed1992_input_nodes_n2_s2_cb0.csv' (seed 1992)</t>
  </si>
  <si>
    <t>Line 985:  KOMONDOR SIMULATION 'sim_seed1992_input_nodes_n2_s30_cb0.csv' (seed 1992)</t>
  </si>
  <si>
    <t>Line 993:  KOMONDOR SIMULATION 'sim_seed1992_input_nodes_n2_s31_cb0.csv' (seed 1992)</t>
  </si>
  <si>
    <t>Line 1001:  KOMONDOR SIMULATION 'sim_seed1992_input_nodes_n2_s32_cb0.csv' (seed 1992)</t>
  </si>
  <si>
    <t>Line 1009:  KOMONDOR SIMULATION 'sim_seed1992_input_nodes_n2_s33_cb0.csv' (seed 1992)</t>
  </si>
  <si>
    <t>Line 1017:  KOMONDOR SIMULATION 'sim_seed1992_input_nodes_n2_s34_cb0.csv' (seed 1992)</t>
  </si>
  <si>
    <t>Line 1025:  KOMONDOR SIMULATION 'sim_seed1992_input_nodes_n2_s35_cb0.csv' (seed 1992)</t>
  </si>
  <si>
    <t>Line 1033:  KOMONDOR SIMULATION 'sim_seed1992_input_nodes_n2_s36_cb0.csv' (seed 1992)</t>
  </si>
  <si>
    <t>Line 1041:  KOMONDOR SIMULATION 'sim_seed1992_input_nodes_n2_s37_cb0.csv' (seed 1992)</t>
  </si>
  <si>
    <t>Line 1049:  KOMONDOR SIMULATION 'sim_seed1992_input_nodes_n2_s38_cb0.csv' (seed 1992)</t>
  </si>
  <si>
    <t>Line 1057:  KOMONDOR SIMULATION 'sim_seed1992_input_nodes_n2_s39_cb0.csv' (seed 1992)</t>
  </si>
  <si>
    <t>Line 1065:  KOMONDOR SIMULATION 'sim_seed1992_input_nodes_n2_s3_cb0.csv' (seed 1992)</t>
  </si>
  <si>
    <t>Line 1073:  KOMONDOR SIMULATION 'sim_seed1992_input_nodes_n2_s40_cb0.csv' (seed 1992)</t>
  </si>
  <si>
    <t>Line 1081:  KOMONDOR SIMULATION 'sim_seed1992_input_nodes_n2_s41_cb0.csv' (seed 1992)</t>
  </si>
  <si>
    <t>Line 1089:  KOMONDOR SIMULATION 'sim_seed1992_input_nodes_n2_s42_cb0.csv' (seed 1992)</t>
  </si>
  <si>
    <t>Line 1097:  KOMONDOR SIMULATION 'sim_seed1992_input_nodes_n2_s43_cb0.csv' (seed 1992)</t>
  </si>
  <si>
    <t>Line 1105:  KOMONDOR SIMULATION 'sim_seed1992_input_nodes_n2_s44_cb0.csv' (seed 1992)</t>
  </si>
  <si>
    <t>Line 1113:  KOMONDOR SIMULATION 'sim_seed1992_input_nodes_n2_s45_cb0.csv' (seed 1992)</t>
  </si>
  <si>
    <t>Line 1121:  KOMONDOR SIMULATION 'sim_seed1992_input_nodes_n2_s46_cb0.csv' (seed 1992)</t>
  </si>
  <si>
    <t>Line 1129:  KOMONDOR SIMULATION 'sim_seed1992_input_nodes_n2_s47_cb0.csv' (seed 1992)</t>
  </si>
  <si>
    <t>Line 1137:  KOMONDOR SIMULATION 'sim_seed1992_input_nodes_n2_s48_cb0.csv' (seed 1992)</t>
  </si>
  <si>
    <t>Line 1145:  KOMONDOR SIMULATION 'sim_seed1992_input_nodes_n2_s49_cb0.csv' (seed 1992)</t>
  </si>
  <si>
    <t>Line 1153:  KOMONDOR SIMULATION 'sim_seed1992_input_nodes_n2_s4_cb0.csv' (seed 1992)</t>
  </si>
  <si>
    <t>Line 1161:  KOMONDOR SIMULATION 'sim_seed1992_input_nodes_n2_s5_cb0.csv' (seed 1992)</t>
  </si>
  <si>
    <t>Line 1169:  KOMONDOR SIMULATION 'sim_seed1992_input_nodes_n2_s6_cb0.csv' (seed 1992)</t>
  </si>
  <si>
    <t>Line 1177:  KOMONDOR SIMULATION 'sim_seed1992_input_nodes_n2_s7_cb0.csv' (seed 1992)</t>
  </si>
  <si>
    <t>Line 1185:  KOMONDOR SIMULATION 'sim_seed1992_input_nodes_n2_s8_cb0.csv' (seed 1992)</t>
  </si>
  <si>
    <t>Line 1193:  KOMONDOR SIMULATION 'sim_seed1992_input_nodes_n2_s9_cb0.csv' (seed 1992)</t>
  </si>
  <si>
    <t>Line 2001:  KOMONDOR SIMULATION 'sim_seed1992_input_nodes_n5_s0_cb0.csv' (seed 1992)</t>
  </si>
  <si>
    <t>Line 2009:  KOMONDOR SIMULATION 'sim_seed1992_input_nodes_n5_s10_cb0.csv' (seed 1992)</t>
  </si>
  <si>
    <t>Line 2017:  KOMONDOR SIMULATION 'sim_seed1992_input_nodes_n5_s11_cb0.csv' (seed 1992)</t>
  </si>
  <si>
    <t>Line 2025:  KOMONDOR SIMULATION 'sim_seed1992_input_nodes_n5_s12_cb0.csv' (seed 1992)</t>
  </si>
  <si>
    <t>Line 2033:  KOMONDOR SIMULATION 'sim_seed1992_input_nodes_n5_s13_cb0.csv' (seed 1992)</t>
  </si>
  <si>
    <t>Line 2041:  KOMONDOR SIMULATION 'sim_seed1992_input_nodes_n5_s14_cb0.csv' (seed 1992)</t>
  </si>
  <si>
    <t>Line 2049:  KOMONDOR SIMULATION 'sim_seed1992_input_nodes_n5_s15_cb0.csv' (seed 1992)</t>
  </si>
  <si>
    <t>Line 2057:  KOMONDOR SIMULATION 'sim_seed1992_input_nodes_n5_s16_cb0.csv' (seed 1992)</t>
  </si>
  <si>
    <t>Line 2065:  KOMONDOR SIMULATION 'sim_seed1992_input_nodes_n5_s17_cb0.csv' (seed 1992)</t>
  </si>
  <si>
    <t>Line 2073:  KOMONDOR SIMULATION 'sim_seed1992_input_nodes_n5_s18_cb0.csv' (seed 1992)</t>
  </si>
  <si>
    <t>Line 2081:  KOMONDOR SIMULATION 'sim_seed1992_input_nodes_n5_s19_cb0.csv' (seed 1992)</t>
  </si>
  <si>
    <t>Line 2089:  KOMONDOR SIMULATION 'sim_seed1992_input_nodes_n5_s1_cb0.csv' (seed 1992)</t>
  </si>
  <si>
    <t>Line 2097:  KOMONDOR SIMULATION 'sim_seed1992_input_nodes_n5_s20_cb0.csv' (seed 1992)</t>
  </si>
  <si>
    <t>Line 2105:  KOMONDOR SIMULATION 'sim_seed1992_input_nodes_n5_s21_cb0.csv' (seed 1992)</t>
  </si>
  <si>
    <t>Line 2113:  KOMONDOR SIMULATION 'sim_seed1992_input_nodes_n5_s22_cb0.csv' (seed 1992)</t>
  </si>
  <si>
    <t>Line 2121:  KOMONDOR SIMULATION 'sim_seed1992_input_nodes_n5_s23_cb0.csv' (seed 1992)</t>
  </si>
  <si>
    <t>Line 2129:  KOMONDOR SIMULATION 'sim_seed1992_input_nodes_n5_s24_cb0.csv' (seed 1992)</t>
  </si>
  <si>
    <t>Line 2137:  KOMONDOR SIMULATION 'sim_seed1992_input_nodes_n5_s25_cb0.csv' (seed 1992)</t>
  </si>
  <si>
    <t>Line 2145:  KOMONDOR SIMULATION 'sim_seed1992_input_nodes_n5_s26_cb0.csv' (seed 1992)</t>
  </si>
  <si>
    <t>Line 2153:  KOMONDOR SIMULATION 'sim_seed1992_input_nodes_n5_s27_cb0.csv' (seed 1992)</t>
  </si>
  <si>
    <t>Line 2161:  KOMONDOR SIMULATION 'sim_seed1992_input_nodes_n5_s28_cb0.csv' (seed 1992)</t>
  </si>
  <si>
    <t>Line 2169:  KOMONDOR SIMULATION 'sim_seed1992_input_nodes_n5_s29_cb0.csv' (seed 1992)</t>
  </si>
  <si>
    <t>Line 2177:  KOMONDOR SIMULATION 'sim_seed1992_input_nodes_n5_s2_cb0.csv' (seed 1992)</t>
  </si>
  <si>
    <t>Line 2185:  KOMONDOR SIMULATION 'sim_seed1992_input_nodes_n5_s30_cb0.csv' (seed 1992)</t>
  </si>
  <si>
    <t>Line 2193:  KOMONDOR SIMULATION 'sim_seed1992_input_nodes_n5_s31_cb0.csv' (seed 1992)</t>
  </si>
  <si>
    <t>Line 2201:  KOMONDOR SIMULATION 'sim_seed1992_input_nodes_n5_s32_cb0.csv' (seed 1992)</t>
  </si>
  <si>
    <t>Line 2209:  KOMONDOR SIMULATION 'sim_seed1992_input_nodes_n5_s33_cb0.csv' (seed 1992)</t>
  </si>
  <si>
    <t>Line 2217:  KOMONDOR SIMULATION 'sim_seed1992_input_nodes_n5_s34_cb0.csv' (seed 1992)</t>
  </si>
  <si>
    <t>Line 2225:  KOMONDOR SIMULATION 'sim_seed1992_input_nodes_n5_s35_cb0.csv' (seed 1992)</t>
  </si>
  <si>
    <t>Line 2233:  KOMONDOR SIMULATION 'sim_seed1992_input_nodes_n5_s36_cb0.csv' (seed 1992)</t>
  </si>
  <si>
    <t>Line 2241:  KOMONDOR SIMULATION 'sim_seed1992_input_nodes_n5_s37_cb0.csv' (seed 1992)</t>
  </si>
  <si>
    <t>Line 2249:  KOMONDOR SIMULATION 'sim_seed1992_input_nodes_n5_s38_cb0.csv' (seed 1992)</t>
  </si>
  <si>
    <t>Line 2257:  KOMONDOR SIMULATION 'sim_seed1992_input_nodes_n5_s39_cb0.csv' (seed 1992)</t>
  </si>
  <si>
    <t>Line 2265:  KOMONDOR SIMULATION 'sim_seed1992_input_nodes_n5_s3_cb0.csv' (seed 1992)</t>
  </si>
  <si>
    <t>Line 2273:  KOMONDOR SIMULATION 'sim_seed1992_input_nodes_n5_s40_cb0.csv' (seed 1992)</t>
  </si>
  <si>
    <t>Line 2281:  KOMONDOR SIMULATION 'sim_seed1992_input_nodes_n5_s41_cb0.csv' (seed 1992)</t>
  </si>
  <si>
    <t>Line 2289:  KOMONDOR SIMULATION 'sim_seed1992_input_nodes_n5_s42_cb0.csv' (seed 1992)</t>
  </si>
  <si>
    <t>Line 2297:  KOMONDOR SIMULATION 'sim_seed1992_input_nodes_n5_s43_cb0.csv' (seed 1992)</t>
  </si>
  <si>
    <t>Line 2305:  KOMONDOR SIMULATION 'sim_seed1992_input_nodes_n5_s44_cb0.csv' (seed 1992)</t>
  </si>
  <si>
    <t>Line 2313:  KOMONDOR SIMULATION 'sim_seed1992_input_nodes_n5_s45_cb0.csv' (seed 1992)</t>
  </si>
  <si>
    <t>Line 2321:  KOMONDOR SIMULATION 'sim_seed1992_input_nodes_n5_s46_cb0.csv' (seed 1992)</t>
  </si>
  <si>
    <t>Line 2329:  KOMONDOR SIMULATION 'sim_seed1992_input_nodes_n5_s47_cb0.csv' (seed 1992)</t>
  </si>
  <si>
    <t>Line 2337:  KOMONDOR SIMULATION 'sim_seed1992_input_nodes_n5_s48_cb0.csv' (seed 1992)</t>
  </si>
  <si>
    <t>Line 2345:  KOMONDOR SIMULATION 'sim_seed1992_input_nodes_n5_s49_cb0.csv' (seed 1992)</t>
  </si>
  <si>
    <t>Line 2353:  KOMONDOR SIMULATION 'sim_seed1992_input_nodes_n5_s4_cb0.csv' (seed 1992)</t>
  </si>
  <si>
    <t>Line 2361:  KOMONDOR SIMULATION 'sim_seed1992_input_nodes_n5_s5_cb0.csv' (seed 1992)</t>
  </si>
  <si>
    <t>Line 2369:  KOMONDOR SIMULATION 'sim_seed1992_input_nodes_n5_s6_cb0.csv' (seed 1992)</t>
  </si>
  <si>
    <t>Line 2377:  KOMONDOR SIMULATION 'sim_seed1992_input_nodes_n5_s7_cb0.csv' (seed 1992)</t>
  </si>
  <si>
    <t>Line 2385:  KOMONDOR SIMULATION 'sim_seed1992_input_nodes_n5_s8_cb0.csv' (seed 1992)</t>
  </si>
  <si>
    <t>Line 2393:  KOMONDOR SIMULATION 'sim_seed1992_input_nodes_n5_s9_cb0.csv' (seed 1992)</t>
  </si>
  <si>
    <t>Line 1:  KOMONDOR SIMULATION 'sim_seed1992_input_nodes_n10_s0_cb0.csv' (seed 1992)</t>
  </si>
  <si>
    <t>Line 9:  KOMONDOR SIMULATION 'sim_seed1992_input_nodes_n10_s10_cb0.csv' (seed 1992)</t>
  </si>
  <si>
    <t>Line 17:  KOMONDOR SIMULATION 'sim_seed1992_input_nodes_n10_s11_cb0.csv' (seed 1992)</t>
  </si>
  <si>
    <t>Line 25:  KOMONDOR SIMULATION 'sim_seed1992_input_nodes_n10_s12_cb0.csv' (seed 1992)</t>
  </si>
  <si>
    <t>Line 33:  KOMONDOR SIMULATION 'sim_seed1992_input_nodes_n10_s13_cb0.csv' (seed 1992)</t>
  </si>
  <si>
    <t>Line 41:  KOMONDOR SIMULATION 'sim_seed1992_input_nodes_n10_s14_cb0.csv' (seed 1992)</t>
  </si>
  <si>
    <t>Line 49:  KOMONDOR SIMULATION 'sim_seed1992_input_nodes_n10_s15_cb0.csv' (seed 1992)</t>
  </si>
  <si>
    <t>Line 57:  KOMONDOR SIMULATION 'sim_seed1992_input_nodes_n10_s16_cb0.csv' (seed 1992)</t>
  </si>
  <si>
    <t>Line 65:  KOMONDOR SIMULATION 'sim_seed1992_input_nodes_n10_s17_cb0.csv' (seed 1992)</t>
  </si>
  <si>
    <t>Line 73:  KOMONDOR SIMULATION 'sim_seed1992_input_nodes_n10_s18_cb0.csv' (seed 1992)</t>
  </si>
  <si>
    <t>Line 81:  KOMONDOR SIMULATION 'sim_seed1992_input_nodes_n10_s19_cb0.csv' (seed 1992)</t>
  </si>
  <si>
    <t>Line 89:  KOMONDOR SIMULATION 'sim_seed1992_input_nodes_n10_s1_cb0.csv' (seed 1992)</t>
  </si>
  <si>
    <t>Line 97:  KOMONDOR SIMULATION 'sim_seed1992_input_nodes_n10_s20_cb0.csv' (seed 1992)</t>
  </si>
  <si>
    <t>Line 105:  KOMONDOR SIMULATION 'sim_seed1992_input_nodes_n10_s21_cb0.csv' (seed 1992)</t>
  </si>
  <si>
    <t>Line 113:  KOMONDOR SIMULATION 'sim_seed1992_input_nodes_n10_s22_cb0.csv' (seed 1992)</t>
  </si>
  <si>
    <t>Line 121:  KOMONDOR SIMULATION 'sim_seed1992_input_nodes_n10_s23_cb0.csv' (seed 1992)</t>
  </si>
  <si>
    <t>Line 129:  KOMONDOR SIMULATION 'sim_seed1992_input_nodes_n10_s24_cb0.csv' (seed 1992)</t>
  </si>
  <si>
    <t>Line 137:  KOMONDOR SIMULATION 'sim_seed1992_input_nodes_n10_s25_cb0.csv' (seed 1992)</t>
  </si>
  <si>
    <t>Line 145:  KOMONDOR SIMULATION 'sim_seed1992_input_nodes_n10_s26_cb0.csv' (seed 1992)</t>
  </si>
  <si>
    <t>Line 153:  KOMONDOR SIMULATION 'sim_seed1992_input_nodes_n10_s27_cb0.csv' (seed 1992)</t>
  </si>
  <si>
    <t>Line 161:  KOMONDOR SIMULATION 'sim_seed1992_input_nodes_n10_s28_cb0.csv' (seed 1992)</t>
  </si>
  <si>
    <t>Line 169:  KOMONDOR SIMULATION 'sim_seed1992_input_nodes_n10_s29_cb0.csv' (seed 1992)</t>
  </si>
  <si>
    <t>Line 177:  KOMONDOR SIMULATION 'sim_seed1992_input_nodes_n10_s2_cb0.csv' (seed 1992)</t>
  </si>
  <si>
    <t>Line 185:  KOMONDOR SIMULATION 'sim_seed1992_input_nodes_n10_s30_cb0.csv' (seed 1992)</t>
  </si>
  <si>
    <t>Line 193:  KOMONDOR SIMULATION 'sim_seed1992_input_nodes_n10_s31_cb0.csv' (seed 1992)</t>
  </si>
  <si>
    <t>Line 201:  KOMONDOR SIMULATION 'sim_seed1992_input_nodes_n10_s32_cb0.csv' (seed 1992)</t>
  </si>
  <si>
    <t>Line 209:  KOMONDOR SIMULATION 'sim_seed1992_input_nodes_n10_s33_cb0.csv' (seed 1992)</t>
  </si>
  <si>
    <t>Line 217:  KOMONDOR SIMULATION 'sim_seed1992_input_nodes_n10_s34_cb0.csv' (seed 1992)</t>
  </si>
  <si>
    <t>Line 225:  KOMONDOR SIMULATION 'sim_seed1992_input_nodes_n10_s35_cb0.csv' (seed 1992)</t>
  </si>
  <si>
    <t>Line 233:  KOMONDOR SIMULATION 'sim_seed1992_input_nodes_n10_s36_cb0.csv' (seed 1992)</t>
  </si>
  <si>
    <t>Line 241:  KOMONDOR SIMULATION 'sim_seed1992_input_nodes_n10_s37_cb0.csv' (seed 1992)</t>
  </si>
  <si>
    <t>Line 249:  KOMONDOR SIMULATION 'sim_seed1992_input_nodes_n10_s38_cb0.csv' (seed 1992)</t>
  </si>
  <si>
    <t>Line 257:  KOMONDOR SIMULATION 'sim_seed1992_input_nodes_n10_s39_cb0.csv' (seed 1992)</t>
  </si>
  <si>
    <t>Line 265:  KOMONDOR SIMULATION 'sim_seed1992_input_nodes_n10_s3_cb0.csv' (seed 1992)</t>
  </si>
  <si>
    <t>Line 273:  KOMONDOR SIMULATION 'sim_seed1992_input_nodes_n10_s40_cb0.csv' (seed 1992)</t>
  </si>
  <si>
    <t>Line 281:  KOMONDOR SIMULATION 'sim_seed1992_input_nodes_n10_s41_cb0.csv' (seed 1992)</t>
  </si>
  <si>
    <t>Line 289:  KOMONDOR SIMULATION 'sim_seed1992_input_nodes_n10_s42_cb0.csv' (seed 1992)</t>
  </si>
  <si>
    <t>Line 297:  KOMONDOR SIMULATION 'sim_seed1992_input_nodes_n10_s43_cb0.csv' (seed 1992)</t>
  </si>
  <si>
    <t>Line 305:  KOMONDOR SIMULATION 'sim_seed1992_input_nodes_n10_s44_cb0.csv' (seed 1992)</t>
  </si>
  <si>
    <t>Line 313:  KOMONDOR SIMULATION 'sim_seed1992_input_nodes_n10_s45_cb0.csv' (seed 1992)</t>
  </si>
  <si>
    <t>Line 321:  KOMONDOR SIMULATION 'sim_seed1992_input_nodes_n10_s46_cb0.csv' (seed 1992)</t>
  </si>
  <si>
    <t>Line 329:  KOMONDOR SIMULATION 'sim_seed1992_input_nodes_n10_s47_cb0.csv' (seed 1992)</t>
  </si>
  <si>
    <t>Line 337:  KOMONDOR SIMULATION 'sim_seed1992_input_nodes_n10_s48_cb0.csv' (seed 1992)</t>
  </si>
  <si>
    <t>Line 345:  KOMONDOR SIMULATION 'sim_seed1992_input_nodes_n10_s49_cb0.csv' (seed 1992)</t>
  </si>
  <si>
    <t>Line 353:  KOMONDOR SIMULATION 'sim_seed1992_input_nodes_n10_s4_cb0.csv' (seed 1992)</t>
  </si>
  <si>
    <t>Line 361:  KOMONDOR SIMULATION 'sim_seed1992_input_nodes_n10_s5_cb0.csv' (seed 1992)</t>
  </si>
  <si>
    <t>Line 369:  KOMONDOR SIMULATION 'sim_seed1992_input_nodes_n10_s6_cb0.csv' (seed 1992)</t>
  </si>
  <si>
    <t>Line 377:  KOMONDOR SIMULATION 'sim_seed1992_input_nodes_n10_s7_cb0.csv' (seed 1992)</t>
  </si>
  <si>
    <t>Line 385:  KOMONDOR SIMULATION 'sim_seed1992_input_nodes_n10_s8_cb0.csv' (seed 1992)</t>
  </si>
  <si>
    <t>Line 393:  KOMONDOR SIMULATION 'sim_seed1992_input_nodes_n10_s9_cb0.csv' (seed 1992)</t>
  </si>
  <si>
    <t>Line 401:  KOMONDOR SIMULATION 'sim_seed1992_input_nodes_n20_s0_cb0.csv' (seed 1992)</t>
  </si>
  <si>
    <t>Line 409:  KOMONDOR SIMULATION 'sim_seed1992_input_nodes_n20_s10_cb0.csv' (seed 1992)</t>
  </si>
  <si>
    <t>Line 417:  KOMONDOR SIMULATION 'sim_seed1992_input_nodes_n20_s11_cb0.csv' (seed 1992)</t>
  </si>
  <si>
    <t>Line 425:  KOMONDOR SIMULATION 'sim_seed1992_input_nodes_n20_s12_cb0.csv' (seed 1992)</t>
  </si>
  <si>
    <t>Line 433:  KOMONDOR SIMULATION 'sim_seed1992_input_nodes_n20_s13_cb0.csv' (seed 1992)</t>
  </si>
  <si>
    <t>Line 441:  KOMONDOR SIMULATION 'sim_seed1992_input_nodes_n20_s14_cb0.csv' (seed 1992)</t>
  </si>
  <si>
    <t>Line 449:  KOMONDOR SIMULATION 'sim_seed1992_input_nodes_n20_s15_cb0.csv' (seed 1992)</t>
  </si>
  <si>
    <t>Line 457:  KOMONDOR SIMULATION 'sim_seed1992_input_nodes_n20_s16_cb0.csv' (seed 1992)</t>
  </si>
  <si>
    <t>Line 465:  KOMONDOR SIMULATION 'sim_seed1992_input_nodes_n20_s17_cb0.csv' (seed 1992)</t>
  </si>
  <si>
    <t>Line 473:  KOMONDOR SIMULATION 'sim_seed1992_input_nodes_n20_s18_cb0.csv' (seed 1992)</t>
  </si>
  <si>
    <t>Line 481:  KOMONDOR SIMULATION 'sim_seed1992_input_nodes_n20_s19_cb0.csv' (seed 1992)</t>
  </si>
  <si>
    <t>Line 489:  KOMONDOR SIMULATION 'sim_seed1992_input_nodes_n20_s1_cb0.csv' (seed 1992)</t>
  </si>
  <si>
    <t>Line 497:  KOMONDOR SIMULATION 'sim_seed1992_input_nodes_n20_s20_cb0.csv' (seed 1992)</t>
  </si>
  <si>
    <t>Line 505:  KOMONDOR SIMULATION 'sim_seed1992_input_nodes_n20_s21_cb0.csv' (seed 1992)</t>
  </si>
  <si>
    <t>Line 513:  KOMONDOR SIMULATION 'sim_seed1992_input_nodes_n20_s22_cb0.csv' (seed 1992)</t>
  </si>
  <si>
    <t>Line 521:  KOMONDOR SIMULATION 'sim_seed1992_input_nodes_n20_s23_cb0.csv' (seed 1992)</t>
  </si>
  <si>
    <t>Line 529:  KOMONDOR SIMULATION 'sim_seed1992_input_nodes_n20_s24_cb0.csv' (seed 1992)</t>
  </si>
  <si>
    <t>Line 537:  KOMONDOR SIMULATION 'sim_seed1992_input_nodes_n20_s25_cb0.csv' (seed 1992)</t>
  </si>
  <si>
    <t>Line 545:  KOMONDOR SIMULATION 'sim_seed1992_input_nodes_n20_s26_cb0.csv' (seed 1992)</t>
  </si>
  <si>
    <t>Line 553:  KOMONDOR SIMULATION 'sim_seed1992_input_nodes_n20_s27_cb0.csv' (seed 1992)</t>
  </si>
  <si>
    <t>Line 561:  KOMONDOR SIMULATION 'sim_seed1992_input_nodes_n20_s28_cb0.csv' (seed 1992)</t>
  </si>
  <si>
    <t>Line 569:  KOMONDOR SIMULATION 'sim_seed1992_input_nodes_n20_s29_cb0.csv' (seed 1992)</t>
  </si>
  <si>
    <t>Line 577:  KOMONDOR SIMULATION 'sim_seed1992_input_nodes_n20_s2_cb0.csv' (seed 1992)</t>
  </si>
  <si>
    <t>Line 585:  KOMONDOR SIMULATION 'sim_seed1992_input_nodes_n20_s30_cb0.csv' (seed 1992)</t>
  </si>
  <si>
    <t>Line 593:  KOMONDOR SIMULATION 'sim_seed1992_input_nodes_n20_s31_cb0.csv' (seed 1992)</t>
  </si>
  <si>
    <t>Line 601:  KOMONDOR SIMULATION 'sim_seed1992_input_nodes_n20_s32_cb0.csv' (seed 1992)</t>
  </si>
  <si>
    <t>Line 609:  KOMONDOR SIMULATION 'sim_seed1992_input_nodes_n20_s33_cb0.csv' (seed 1992)</t>
  </si>
  <si>
    <t>Line 617:  KOMONDOR SIMULATION 'sim_seed1992_input_nodes_n20_s34_cb0.csv' (seed 1992)</t>
  </si>
  <si>
    <t>Line 625:  KOMONDOR SIMULATION 'sim_seed1992_input_nodes_n20_s35_cb0.csv' (seed 1992)</t>
  </si>
  <si>
    <t>Line 633:  KOMONDOR SIMULATION 'sim_seed1992_input_nodes_n20_s36_cb0.csv' (seed 1992)</t>
  </si>
  <si>
    <t>Line 641:  KOMONDOR SIMULATION 'sim_seed1992_input_nodes_n20_s37_cb0.csv' (seed 1992)</t>
  </si>
  <si>
    <t>Line 649:  KOMONDOR SIMULATION 'sim_seed1992_input_nodes_n20_s38_cb0.csv' (seed 1992)</t>
  </si>
  <si>
    <t>Line 657:  KOMONDOR SIMULATION 'sim_seed1992_input_nodes_n20_s39_cb0.csv' (seed 1992)</t>
  </si>
  <si>
    <t>Line 665:  KOMONDOR SIMULATION 'sim_seed1992_input_nodes_n20_s3_cb0.csv' (seed 1992)</t>
  </si>
  <si>
    <t>Line 673:  KOMONDOR SIMULATION 'sim_seed1992_input_nodes_n20_s40_cb0.csv' (seed 1992)</t>
  </si>
  <si>
    <t>Line 681:  KOMONDOR SIMULATION 'sim_seed1992_input_nodes_n20_s41_cb0.csv' (seed 1992)</t>
  </si>
  <si>
    <t>Line 689:  KOMONDOR SIMULATION 'sim_seed1992_input_nodes_n20_s42_cb0.csv' (seed 1992)</t>
  </si>
  <si>
    <t>Line 697:  KOMONDOR SIMULATION 'sim_seed1992_input_nodes_n20_s43_cb0.csv' (seed 1992)</t>
  </si>
  <si>
    <t>Line 705:  KOMONDOR SIMULATION 'sim_seed1992_input_nodes_n20_s44_cb0.csv' (seed 1992)</t>
  </si>
  <si>
    <t>Line 713:  KOMONDOR SIMULATION 'sim_seed1992_input_nodes_n20_s45_cb0.csv' (seed 1992)</t>
  </si>
  <si>
    <t>Line 721:  KOMONDOR SIMULATION 'sim_seed1992_input_nodes_n20_s46_cb0.csv' (seed 1992)</t>
  </si>
  <si>
    <t>Line 729:  KOMONDOR SIMULATION 'sim_seed1992_input_nodes_n20_s47_cb0.csv' (seed 1992)</t>
  </si>
  <si>
    <t>Line 737:  KOMONDOR SIMULATION 'sim_seed1992_input_nodes_n20_s48_cb0.csv' (seed 1992)</t>
  </si>
  <si>
    <t>Line 745:  KOMONDOR SIMULATION 'sim_seed1992_input_nodes_n20_s49_cb0.csv' (seed 1992)</t>
  </si>
  <si>
    <t>Line 753:  KOMONDOR SIMULATION 'sim_seed1992_input_nodes_n20_s4_cb0.csv' (seed 1992)</t>
  </si>
  <si>
    <t>Line 761:  KOMONDOR SIMULATION 'sim_seed1992_input_nodes_n20_s5_cb0.csv' (seed 1992)</t>
  </si>
  <si>
    <t>Line 769:  KOMONDOR SIMULATION 'sim_seed1992_input_nodes_n20_s6_cb0.csv' (seed 1992)</t>
  </si>
  <si>
    <t>Line 777:  KOMONDOR SIMULATION 'sim_seed1992_input_nodes_n20_s7_cb0.csv' (seed 1992)</t>
  </si>
  <si>
    <t>Line 785:  KOMONDOR SIMULATION 'sim_seed1992_input_nodes_n20_s8_cb0.csv' (seed 1992)</t>
  </si>
  <si>
    <t>Line 793:  KOMONDOR SIMULATION 'sim_seed1992_input_nodes_n20_s9_cb0.csv' (seed 1992)</t>
  </si>
  <si>
    <t>Line 1201:  KOMONDOR SIMULATION 'sim_seed1992_input_nodes_n30_s0_cb0.csv' (seed 1992)</t>
  </si>
  <si>
    <t>Line 1209:  KOMONDOR SIMULATION 'sim_seed1992_input_nodes_n30_s10_cb0.csv' (seed 1992)</t>
  </si>
  <si>
    <t>Line 1217:  KOMONDOR SIMULATION 'sim_seed1992_input_nodes_n30_s11_cb0.csv' (seed 1992)</t>
  </si>
  <si>
    <t>Line 1225:  KOMONDOR SIMULATION 'sim_seed1992_input_nodes_n30_s12_cb0.csv' (seed 1992)</t>
  </si>
  <si>
    <t>Line 1233:  KOMONDOR SIMULATION 'sim_seed1992_input_nodes_n30_s13_cb0.csv' (seed 1992)</t>
  </si>
  <si>
    <t>Line 1241:  KOMONDOR SIMULATION 'sim_seed1992_input_nodes_n30_s14_cb0.csv' (seed 1992)</t>
  </si>
  <si>
    <t>Line 1249:  KOMONDOR SIMULATION 'sim_seed1992_input_nodes_n30_s15_cb0.csv' (seed 1992)</t>
  </si>
  <si>
    <t>Line 1257:  KOMONDOR SIMULATION 'sim_seed1992_input_nodes_n30_s16_cb0.csv' (seed 1992)</t>
  </si>
  <si>
    <t>Line 1265:  KOMONDOR SIMULATION 'sim_seed1992_input_nodes_n30_s17_cb0.csv' (seed 1992)</t>
  </si>
  <si>
    <t>Line 1273:  KOMONDOR SIMULATION 'sim_seed1992_input_nodes_n30_s18_cb0.csv' (seed 1992)</t>
  </si>
  <si>
    <t>Line 1281:  KOMONDOR SIMULATION 'sim_seed1992_input_nodes_n30_s19_cb0.csv' (seed 1992)</t>
  </si>
  <si>
    <t>Line 1289:  KOMONDOR SIMULATION 'sim_seed1992_input_nodes_n30_s1_cb0.csv' (seed 1992)</t>
  </si>
  <si>
    <t>Line 1297:  KOMONDOR SIMULATION 'sim_seed1992_input_nodes_n30_s20_cb0.csv' (seed 1992)</t>
  </si>
  <si>
    <t>Line 1305:  KOMONDOR SIMULATION 'sim_seed1992_input_nodes_n30_s21_cb0.csv' (seed 1992)</t>
  </si>
  <si>
    <t>Line 1313:  KOMONDOR SIMULATION 'sim_seed1992_input_nodes_n30_s22_cb0.csv' (seed 1992)</t>
  </si>
  <si>
    <t>Line 1321:  KOMONDOR SIMULATION 'sim_seed1992_input_nodes_n30_s23_cb0.csv' (seed 1992)</t>
  </si>
  <si>
    <t>Line 1329:  KOMONDOR SIMULATION 'sim_seed1992_input_nodes_n30_s24_cb0.csv' (seed 1992)</t>
  </si>
  <si>
    <t>Line 1337:  KOMONDOR SIMULATION 'sim_seed1992_input_nodes_n30_s25_cb0.csv' (seed 1992)</t>
  </si>
  <si>
    <t>Line 1345:  KOMONDOR SIMULATION 'sim_seed1992_input_nodes_n30_s26_cb0.csv' (seed 1992)</t>
  </si>
  <si>
    <t>Line 1353:  KOMONDOR SIMULATION 'sim_seed1992_input_nodes_n30_s27_cb0.csv' (seed 1992)</t>
  </si>
  <si>
    <t>Line 1361:  KOMONDOR SIMULATION 'sim_seed1992_input_nodes_n30_s28_cb0.csv' (seed 1992)</t>
  </si>
  <si>
    <t>Line 1369:  KOMONDOR SIMULATION 'sim_seed1992_input_nodes_n30_s29_cb0.csv' (seed 1992)</t>
  </si>
  <si>
    <t>Line 1377:  KOMONDOR SIMULATION 'sim_seed1992_input_nodes_n30_s2_cb0.csv' (seed 1992)</t>
  </si>
  <si>
    <t>Line 1385:  KOMONDOR SIMULATION 'sim_seed1992_input_nodes_n30_s30_cb0.csv' (seed 1992)</t>
  </si>
  <si>
    <t>Line 1393:  KOMONDOR SIMULATION 'sim_seed1992_input_nodes_n30_s31_cb0.csv' (seed 1992)</t>
  </si>
  <si>
    <t>Line 1401:  KOMONDOR SIMULATION 'sim_seed1992_input_nodes_n30_s32_cb0.csv' (seed 1992)</t>
  </si>
  <si>
    <t>Line 1409:  KOMONDOR SIMULATION 'sim_seed1992_input_nodes_n30_s33_cb0.csv' (seed 1992)</t>
  </si>
  <si>
    <t>Line 1417:  KOMONDOR SIMULATION 'sim_seed1992_input_nodes_n30_s34_cb0.csv' (seed 1992)</t>
  </si>
  <si>
    <t>Line 1425:  KOMONDOR SIMULATION 'sim_seed1992_input_nodes_n30_s35_cb0.csv' (seed 1992)</t>
  </si>
  <si>
    <t>Line 1433:  KOMONDOR SIMULATION 'sim_seed1992_input_nodes_n30_s36_cb0.csv' (seed 1992)</t>
  </si>
  <si>
    <t>Line 1441:  KOMONDOR SIMULATION 'sim_seed1992_input_nodes_n30_s37_cb0.csv' (seed 1992)</t>
  </si>
  <si>
    <t>Line 1449:  KOMONDOR SIMULATION 'sim_seed1992_input_nodes_n30_s38_cb0.csv' (seed 1992)</t>
  </si>
  <si>
    <t>Line 1457:  KOMONDOR SIMULATION 'sim_seed1992_input_nodes_n30_s39_cb0.csv' (seed 1992)</t>
  </si>
  <si>
    <t>Line 1465:  KOMONDOR SIMULATION 'sim_seed1992_input_nodes_n30_s3_cb0.csv' (seed 1992)</t>
  </si>
  <si>
    <t>Line 1473:  KOMONDOR SIMULATION 'sim_seed1992_input_nodes_n30_s40_cb0.csv' (seed 1992)</t>
  </si>
  <si>
    <t>Line 1481:  KOMONDOR SIMULATION 'sim_seed1992_input_nodes_n30_s41_cb0.csv' (seed 1992)</t>
  </si>
  <si>
    <t>Line 1489:  KOMONDOR SIMULATION 'sim_seed1992_input_nodes_n30_s42_cb0.csv' (seed 1992)</t>
  </si>
  <si>
    <t>Line 1497:  KOMONDOR SIMULATION 'sim_seed1992_input_nodes_n30_s43_cb0.csv' (seed 1992)</t>
  </si>
  <si>
    <t>Line 1505:  KOMONDOR SIMULATION 'sim_seed1992_input_nodes_n30_s44_cb0.csv' (seed 1992)</t>
  </si>
  <si>
    <t>Line 1513:  KOMONDOR SIMULATION 'sim_seed1992_input_nodes_n30_s45_cb0.csv' (seed 1992)</t>
  </si>
  <si>
    <t>Line 1521:  KOMONDOR SIMULATION 'sim_seed1992_input_nodes_n30_s46_cb0.csv' (seed 1992)</t>
  </si>
  <si>
    <t>Line 1529:  KOMONDOR SIMULATION 'sim_seed1992_input_nodes_n30_s47_cb0.csv' (seed 1992)</t>
  </si>
  <si>
    <t>Line 1537:  KOMONDOR SIMULATION 'sim_seed1992_input_nodes_n30_s48_cb0.csv' (seed 1992)</t>
  </si>
  <si>
    <t>Line 1545:  KOMONDOR SIMULATION 'sim_seed1992_input_nodes_n30_s49_cb0.csv' (seed 1992)</t>
  </si>
  <si>
    <t>Line 1553:  KOMONDOR SIMULATION 'sim_seed1992_input_nodes_n30_s4_cb0.csv' (seed 1992)</t>
  </si>
  <si>
    <t>Line 1561:  KOMONDOR SIMULATION 'sim_seed1992_input_nodes_n30_s5_cb0.csv' (seed 1992)</t>
  </si>
  <si>
    <t>Line 1569:  KOMONDOR SIMULATION 'sim_seed1992_input_nodes_n30_s6_cb0.csv' (seed 1992)</t>
  </si>
  <si>
    <t>Line 1577:  KOMONDOR SIMULATION 'sim_seed1992_input_nodes_n30_s7_cb0.csv' (seed 1992)</t>
  </si>
  <si>
    <t>Line 1585:  KOMONDOR SIMULATION 'sim_seed1992_input_nodes_n30_s8_cb0.csv' (seed 1992)</t>
  </si>
  <si>
    <t>Line 1593:  KOMONDOR SIMULATION 'sim_seed1992_input_nodes_n30_s9_cb0.csv' (seed 1992)</t>
  </si>
  <si>
    <t>Line 1601:  KOMONDOR SIMULATION 'sim_seed1992_input_nodes_n40_s0_cb0.csv' (seed 1992)</t>
  </si>
  <si>
    <t>Line 1609:  KOMONDOR SIMULATION 'sim_seed1992_input_nodes_n40_s10_cb0.csv' (seed 1992)</t>
  </si>
  <si>
    <t>Line 1617:  KOMONDOR SIMULATION 'sim_seed1992_input_nodes_n40_s11_cb0.csv' (seed 1992)</t>
  </si>
  <si>
    <t>Line 1625:  KOMONDOR SIMULATION 'sim_seed1992_input_nodes_n40_s12_cb0.csv' (seed 1992)</t>
  </si>
  <si>
    <t>Line 1633:  KOMONDOR SIMULATION 'sim_seed1992_input_nodes_n40_s13_cb0.csv' (seed 1992)</t>
  </si>
  <si>
    <t>Line 1641:  KOMONDOR SIMULATION 'sim_seed1992_input_nodes_n40_s14_cb0.csv' (seed 1992)</t>
  </si>
  <si>
    <t>Line 1649:  KOMONDOR SIMULATION 'sim_seed1992_input_nodes_n40_s15_cb0.csv' (seed 1992)</t>
  </si>
  <si>
    <t>Line 1657:  KOMONDOR SIMULATION 'sim_seed1992_input_nodes_n40_s16_cb0.csv' (seed 1992)</t>
  </si>
  <si>
    <t>Line 1665:  KOMONDOR SIMULATION 'sim_seed1992_input_nodes_n40_s17_cb0.csv' (seed 1992)</t>
  </si>
  <si>
    <t>Line 1673:  KOMONDOR SIMULATION 'sim_seed1992_input_nodes_n40_s18_cb0.csv' (seed 1992)</t>
  </si>
  <si>
    <t>Line 1681:  KOMONDOR SIMULATION 'sim_seed1992_input_nodes_n40_s19_cb0.csv' (seed 1992)</t>
  </si>
  <si>
    <t>Line 1689:  KOMONDOR SIMULATION 'sim_seed1992_input_nodes_n40_s1_cb0.csv' (seed 1992)</t>
  </si>
  <si>
    <t>Line 1697:  KOMONDOR SIMULATION 'sim_seed1992_input_nodes_n40_s20_cb0.csv' (seed 1992)</t>
  </si>
  <si>
    <t>Line 1705:  KOMONDOR SIMULATION 'sim_seed1992_input_nodes_n40_s21_cb0.csv' (seed 1992)</t>
  </si>
  <si>
    <t>Line 1713:  KOMONDOR SIMULATION 'sim_seed1992_input_nodes_n40_s22_cb0.csv' (seed 1992)</t>
  </si>
  <si>
    <t>Line 1721:  KOMONDOR SIMULATION 'sim_seed1992_input_nodes_n40_s23_cb0.csv' (seed 1992)</t>
  </si>
  <si>
    <t>Line 1729:  KOMONDOR SIMULATION 'sim_seed1992_input_nodes_n40_s24_cb0.csv' (seed 1992)</t>
  </si>
  <si>
    <t>Line 1737:  KOMONDOR SIMULATION 'sim_seed1992_input_nodes_n40_s25_cb0.csv' (seed 1992)</t>
  </si>
  <si>
    <t>Line 1745:  KOMONDOR SIMULATION 'sim_seed1992_input_nodes_n40_s26_cb0.csv' (seed 1992)</t>
  </si>
  <si>
    <t>Line 1753:  KOMONDOR SIMULATION 'sim_seed1992_input_nodes_n40_s27_cb0.csv' (seed 1992)</t>
  </si>
  <si>
    <t>Line 1761:  KOMONDOR SIMULATION 'sim_seed1992_input_nodes_n40_s28_cb0.csv' (seed 1992)</t>
  </si>
  <si>
    <t>Line 1769:  KOMONDOR SIMULATION 'sim_seed1992_input_nodes_n40_s29_cb0.csv' (seed 1992)</t>
  </si>
  <si>
    <t>Line 1777:  KOMONDOR SIMULATION 'sim_seed1992_input_nodes_n40_s2_cb0.csv' (seed 1992)</t>
  </si>
  <si>
    <t>Line 1785:  KOMONDOR SIMULATION 'sim_seed1992_input_nodes_n40_s30_cb0.csv' (seed 1992)</t>
  </si>
  <si>
    <t>Line 1793:  KOMONDOR SIMULATION 'sim_seed1992_input_nodes_n40_s31_cb0.csv' (seed 1992)</t>
  </si>
  <si>
    <t>Line 1801:  KOMONDOR SIMULATION 'sim_seed1992_input_nodes_n40_s32_cb0.csv' (seed 1992)</t>
  </si>
  <si>
    <t>Line 1809:  KOMONDOR SIMULATION 'sim_seed1992_input_nodes_n40_s33_cb0.csv' (seed 1992)</t>
  </si>
  <si>
    <t>Line 1817:  KOMONDOR SIMULATION 'sim_seed1992_input_nodes_n40_s34_cb0.csv' (seed 1992)</t>
  </si>
  <si>
    <t>Line 1825:  KOMONDOR SIMULATION 'sim_seed1992_input_nodes_n40_s35_cb0.csv' (seed 1992)</t>
  </si>
  <si>
    <t>Line 1833:  KOMONDOR SIMULATION 'sim_seed1992_input_nodes_n40_s36_cb0.csv' (seed 1992)</t>
  </si>
  <si>
    <t>Line 1841:  KOMONDOR SIMULATION 'sim_seed1992_input_nodes_n40_s37_cb0.csv' (seed 1992)</t>
  </si>
  <si>
    <t>Line 1849:  KOMONDOR SIMULATION 'sim_seed1992_input_nodes_n40_s38_cb0.csv' (seed 1992)</t>
  </si>
  <si>
    <t>Line 1857:  KOMONDOR SIMULATION 'sim_seed1992_input_nodes_n40_s39_cb0.csv' (seed 1992)</t>
  </si>
  <si>
    <t>Line 1865:  KOMONDOR SIMULATION 'sim_seed1992_input_nodes_n40_s3_cb0.csv' (seed 1992)</t>
  </si>
  <si>
    <t>Line 1873:  KOMONDOR SIMULATION 'sim_seed1992_input_nodes_n40_s40_cb0.csv' (seed 1992)</t>
  </si>
  <si>
    <t>Line 1881:  KOMONDOR SIMULATION 'sim_seed1992_input_nodes_n40_s41_cb0.csv' (seed 1992)</t>
  </si>
  <si>
    <t>Line 1889:  KOMONDOR SIMULATION 'sim_seed1992_input_nodes_n40_s42_cb0.csv' (seed 1992)</t>
  </si>
  <si>
    <t>Line 1897:  KOMONDOR SIMULATION 'sim_seed1992_input_nodes_n40_s43_cb0.csv' (seed 1992)</t>
  </si>
  <si>
    <t>Line 1905:  KOMONDOR SIMULATION 'sim_seed1992_input_nodes_n40_s44_cb0.csv' (seed 1992)</t>
  </si>
  <si>
    <t>Line 1913:  KOMONDOR SIMULATION 'sim_seed1992_input_nodes_n40_s45_cb0.csv' (seed 1992)</t>
  </si>
  <si>
    <t>Line 1921:  KOMONDOR SIMULATION 'sim_seed1992_input_nodes_n40_s46_cb0.csv' (seed 1992)</t>
  </si>
  <si>
    <t>Line 1929:  KOMONDOR SIMULATION 'sim_seed1992_input_nodes_n40_s47_cb0.csv' (seed 1992)</t>
  </si>
  <si>
    <t>Line 1937:  KOMONDOR SIMULATION 'sim_seed1992_input_nodes_n40_s48_cb0.csv' (seed 1992)</t>
  </si>
  <si>
    <t>Line 1945:  KOMONDOR SIMULATION 'sim_seed1992_input_nodes_n40_s49_cb0.csv' (seed 1992)</t>
  </si>
  <si>
    <t>Line 1953:  KOMONDOR SIMULATION 'sim_seed1992_input_nodes_n40_s4_cb0.csv' (seed 1992)</t>
  </si>
  <si>
    <t>Line 1961:  KOMONDOR SIMULATION 'sim_seed1992_input_nodes_n40_s5_cb0.csv' (seed 1992)</t>
  </si>
  <si>
    <t>Line 1969:  KOMONDOR SIMULATION 'sim_seed1992_input_nodes_n40_s6_cb0.csv' (seed 1992)</t>
  </si>
  <si>
    <t>Line 1977:  KOMONDOR SIMULATION 'sim_seed1992_input_nodes_n40_s7_cb0.csv' (seed 1992)</t>
  </si>
  <si>
    <t>Line 1985:  KOMONDOR SIMULATION 'sim_seed1992_input_nodes_n40_s8_cb0.csv' (seed 1992)</t>
  </si>
  <si>
    <t>Line 1993:  KOMONDOR SIMULATION 'sim_seed1992_input_nodes_n40_s9_cb0.csv' (seed 1992)</t>
  </si>
  <si>
    <t>JFI</t>
  </si>
  <si>
    <t>Prop. fairness</t>
  </si>
  <si>
    <t>Ix WLAN min through.</t>
  </si>
  <si>
    <t>Min through. [Mbps]</t>
  </si>
  <si>
    <t>STD through</t>
  </si>
  <si>
    <t>Av. Min through.</t>
  </si>
  <si>
    <t>Av. Through.</t>
  </si>
  <si>
    <t>1de56c02db118b61af7e597f3a4213952d405b1f</t>
  </si>
  <si>
    <t>20 sec</t>
  </si>
  <si>
    <t>Line 3:  KOMONDOR SIMULATION 'sim_seed1992_input_nodes_n10_s0_cb2.csv' (seed 1992)</t>
  </si>
  <si>
    <t>Line 11:  KOMONDOR SIMULATION 'sim_seed1992_input_nodes_n10_s10_cb2.csv' (seed 1992)</t>
  </si>
  <si>
    <t>Line 19:  KOMONDOR SIMULATION 'sim_seed1992_input_nodes_n10_s11_cb2.csv' (seed 1992)</t>
  </si>
  <si>
    <t>Line 27:  KOMONDOR SIMULATION 'sim_seed1992_input_nodes_n10_s12_cb2.csv' (seed 1992)</t>
  </si>
  <si>
    <t>Line 35:  KOMONDOR SIMULATION 'sim_seed1992_input_nodes_n10_s13_cb2.csv' (seed 1992)</t>
  </si>
  <si>
    <t>Line 43:  KOMONDOR SIMULATION 'sim_seed1992_input_nodes_n10_s14_cb2.csv' (seed 1992)</t>
  </si>
  <si>
    <t>Line 51:  KOMONDOR SIMULATION 'sim_seed1992_input_nodes_n10_s15_cb2.csv' (seed 1992)</t>
  </si>
  <si>
    <t>Line 59:  KOMONDOR SIMULATION 'sim_seed1992_input_nodes_n10_s16_cb2.csv' (seed 1992)</t>
  </si>
  <si>
    <t>Line 67:  KOMONDOR SIMULATION 'sim_seed1992_input_nodes_n10_s17_cb2.csv' (seed 1992)</t>
  </si>
  <si>
    <t>Line 75:  KOMONDOR SIMULATION 'sim_seed1992_input_nodes_n10_s18_cb2.csv' (seed 1992)</t>
  </si>
  <si>
    <t>Line 83:  KOMONDOR SIMULATION 'sim_seed1992_input_nodes_n10_s19_cb2.csv' (seed 1992)</t>
  </si>
  <si>
    <t>Line 91:  KOMONDOR SIMULATION 'sim_seed1992_input_nodes_n10_s1_cb2.csv' (seed 1992)</t>
  </si>
  <si>
    <t>Line 99:  KOMONDOR SIMULATION 'sim_seed1992_input_nodes_n10_s20_cb2.csv' (seed 1992)</t>
  </si>
  <si>
    <t>Line 107:  KOMONDOR SIMULATION 'sim_seed1992_input_nodes_n10_s21_cb2.csv' (seed 1992)</t>
  </si>
  <si>
    <t>Line 115:  KOMONDOR SIMULATION 'sim_seed1992_input_nodes_n10_s22_cb2.csv' (seed 1992)</t>
  </si>
  <si>
    <t>Line 123:  KOMONDOR SIMULATION 'sim_seed1992_input_nodes_n10_s23_cb2.csv' (seed 1992)</t>
  </si>
  <si>
    <t>Line 131:  KOMONDOR SIMULATION 'sim_seed1992_input_nodes_n10_s24_cb2.csv' (seed 1992)</t>
  </si>
  <si>
    <t>Line 139:  KOMONDOR SIMULATION 'sim_seed1992_input_nodes_n10_s25_cb2.csv' (seed 1992)</t>
  </si>
  <si>
    <t>Line 147:  KOMONDOR SIMULATION 'sim_seed1992_input_nodes_n10_s26_cb2.csv' (seed 1992)</t>
  </si>
  <si>
    <t>Line 155:  KOMONDOR SIMULATION 'sim_seed1992_input_nodes_n10_s27_cb2.csv' (seed 1992)</t>
  </si>
  <si>
    <t>Line 163:  KOMONDOR SIMULATION 'sim_seed1992_input_nodes_n10_s28_cb2.csv' (seed 1992)</t>
  </si>
  <si>
    <t>Line 171:  KOMONDOR SIMULATION 'sim_seed1992_input_nodes_n10_s29_cb2.csv' (seed 1992)</t>
  </si>
  <si>
    <t>Line 179:  KOMONDOR SIMULATION 'sim_seed1992_input_nodes_n10_s2_cb2.csv' (seed 1992)</t>
  </si>
  <si>
    <t>Line 187:  KOMONDOR SIMULATION 'sim_seed1992_input_nodes_n10_s30_cb2.csv' (seed 1992)</t>
  </si>
  <si>
    <t>Line 195:  KOMONDOR SIMULATION 'sim_seed1992_input_nodes_n10_s31_cb2.csv' (seed 1992)</t>
  </si>
  <si>
    <t>Line 203:  KOMONDOR SIMULATION 'sim_seed1992_input_nodes_n10_s32_cb2.csv' (seed 1992)</t>
  </si>
  <si>
    <t>Line 211:  KOMONDOR SIMULATION 'sim_seed1992_input_nodes_n10_s33_cb2.csv' (seed 1992)</t>
  </si>
  <si>
    <t>Line 219:  KOMONDOR SIMULATION 'sim_seed1992_input_nodes_n10_s34_cb2.csv' (seed 1992)</t>
  </si>
  <si>
    <t>Line 227:  KOMONDOR SIMULATION 'sim_seed1992_input_nodes_n10_s35_cb2.csv' (seed 1992)</t>
  </si>
  <si>
    <t>Line 235:  KOMONDOR SIMULATION 'sim_seed1992_input_nodes_n10_s36_cb2.csv' (seed 1992)</t>
  </si>
  <si>
    <t>Line 243:  KOMONDOR SIMULATION 'sim_seed1992_input_nodes_n10_s37_cb2.csv' (seed 1992)</t>
  </si>
  <si>
    <t>Line 251:  KOMONDOR SIMULATION 'sim_seed1992_input_nodes_n10_s38_cb2.csv' (seed 1992)</t>
  </si>
  <si>
    <t>Line 259:  KOMONDOR SIMULATION 'sim_seed1992_input_nodes_n10_s39_cb2.csv' (seed 1992)</t>
  </si>
  <si>
    <t>Line 267:  KOMONDOR SIMULATION 'sim_seed1992_input_nodes_n10_s3_cb2.csv' (seed 1992)</t>
  </si>
  <si>
    <t>Line 275:  KOMONDOR SIMULATION 'sim_seed1992_input_nodes_n10_s40_cb2.csv' (seed 1992)</t>
  </si>
  <si>
    <t>Line 283:  KOMONDOR SIMULATION 'sim_seed1992_input_nodes_n10_s41_cb2.csv' (seed 1992)</t>
  </si>
  <si>
    <t>Line 291:  KOMONDOR SIMULATION 'sim_seed1992_input_nodes_n10_s42_cb2.csv' (seed 1992)</t>
  </si>
  <si>
    <t>Line 299:  KOMONDOR SIMULATION 'sim_seed1992_input_nodes_n10_s43_cb2.csv' (seed 1992)</t>
  </si>
  <si>
    <t>Line 307:  KOMONDOR SIMULATION 'sim_seed1992_input_nodes_n10_s44_cb2.csv' (seed 1992)</t>
  </si>
  <si>
    <t>Line 315:  KOMONDOR SIMULATION 'sim_seed1992_input_nodes_n10_s45_cb2.csv' (seed 1992)</t>
  </si>
  <si>
    <t>Line 323:  KOMONDOR SIMULATION 'sim_seed1992_input_nodes_n10_s46_cb2.csv' (seed 1992)</t>
  </si>
  <si>
    <t>Line 331:  KOMONDOR SIMULATION 'sim_seed1992_input_nodes_n10_s47_cb2.csv' (seed 1992)</t>
  </si>
  <si>
    <t>Line 339:  KOMONDOR SIMULATION 'sim_seed1992_input_nodes_n10_s48_cb2.csv' (seed 1992)</t>
  </si>
  <si>
    <t>Line 347:  KOMONDOR SIMULATION 'sim_seed1992_input_nodes_n10_s49_cb2.csv' (seed 1992)</t>
  </si>
  <si>
    <t>Line 355:  KOMONDOR SIMULATION 'sim_seed1992_input_nodes_n10_s4_cb2.csv' (seed 1992)</t>
  </si>
  <si>
    <t>Line 363:  KOMONDOR SIMULATION 'sim_seed1992_input_nodes_n10_s5_cb2.csv' (seed 1992)</t>
  </si>
  <si>
    <t>Line 371:  KOMONDOR SIMULATION 'sim_seed1992_input_nodes_n10_s6_cb2.csv' (seed 1992)</t>
  </si>
  <si>
    <t>Line 379:  KOMONDOR SIMULATION 'sim_seed1992_input_nodes_n10_s7_cb2.csv' (seed 1992)</t>
  </si>
  <si>
    <t>Line 387:  KOMONDOR SIMULATION 'sim_seed1992_input_nodes_n10_s8_cb2.csv' (seed 1992)</t>
  </si>
  <si>
    <t>Line 395:  KOMONDOR SIMULATION 'sim_seed1992_input_nodes_n10_s9_cb2.csv' (seed 1992)</t>
  </si>
  <si>
    <t>Line 403:  KOMONDOR SIMULATION 'sim_seed1992_input_nodes_n20_s0_cb2.csv' (seed 1992)</t>
  </si>
  <si>
    <t>Line 411:  KOMONDOR SIMULATION 'sim_seed1992_input_nodes_n20_s10_cb2.csv' (seed 1992)</t>
  </si>
  <si>
    <t>Line 419:  KOMONDOR SIMULATION 'sim_seed1992_input_nodes_n20_s11_cb2.csv' (seed 1992)</t>
  </si>
  <si>
    <t>Line 427:  KOMONDOR SIMULATION 'sim_seed1992_input_nodes_n20_s12_cb2.csv' (seed 1992)</t>
  </si>
  <si>
    <t>Line 435:  KOMONDOR SIMULATION 'sim_seed1992_input_nodes_n20_s13_cb2.csv' (seed 1992)</t>
  </si>
  <si>
    <t>Line 443:  KOMONDOR SIMULATION 'sim_seed1992_input_nodes_n20_s14_cb2.csv' (seed 1992)</t>
  </si>
  <si>
    <t>Line 451:  KOMONDOR SIMULATION 'sim_seed1992_input_nodes_n20_s15_cb2.csv' (seed 1992)</t>
  </si>
  <si>
    <t>Line 459:  KOMONDOR SIMULATION 'sim_seed1992_input_nodes_n20_s16_cb2.csv' (seed 1992)</t>
  </si>
  <si>
    <t>Line 467:  KOMONDOR SIMULATION 'sim_seed1992_input_nodes_n20_s17_cb2.csv' (seed 1992)</t>
  </si>
  <si>
    <t>Line 475:  KOMONDOR SIMULATION 'sim_seed1992_input_nodes_n20_s18_cb2.csv' (seed 1992)</t>
  </si>
  <si>
    <t>Line 483:  KOMONDOR SIMULATION 'sim_seed1992_input_nodes_n20_s19_cb2.csv' (seed 1992)</t>
  </si>
  <si>
    <t>Line 491:  KOMONDOR SIMULATION 'sim_seed1992_input_nodes_n20_s1_cb2.csv' (seed 1992)</t>
  </si>
  <si>
    <t>Line 499:  KOMONDOR SIMULATION 'sim_seed1992_input_nodes_n20_s20_cb2.csv' (seed 1992)</t>
  </si>
  <si>
    <t>Line 507:  KOMONDOR SIMULATION 'sim_seed1992_input_nodes_n20_s21_cb2.csv' (seed 1992)</t>
  </si>
  <si>
    <t>Line 515:  KOMONDOR SIMULATION 'sim_seed1992_input_nodes_n20_s22_cb2.csv' (seed 1992)</t>
  </si>
  <si>
    <t>Line 523:  KOMONDOR SIMULATION 'sim_seed1992_input_nodes_n20_s23_cb2.csv' (seed 1992)</t>
  </si>
  <si>
    <t>Line 531:  KOMONDOR SIMULATION 'sim_seed1992_input_nodes_n20_s24_cb2.csv' (seed 1992)</t>
  </si>
  <si>
    <t>Line 539:  KOMONDOR SIMULATION 'sim_seed1992_input_nodes_n20_s25_cb2.csv' (seed 1992)</t>
  </si>
  <si>
    <t>Line 547:  KOMONDOR SIMULATION 'sim_seed1992_input_nodes_n20_s26_cb2.csv' (seed 1992)</t>
  </si>
  <si>
    <t>Line 555:  KOMONDOR SIMULATION 'sim_seed1992_input_nodes_n20_s27_cb2.csv' (seed 1992)</t>
  </si>
  <si>
    <t>Line 563:  KOMONDOR SIMULATION 'sim_seed1992_input_nodes_n20_s28_cb2.csv' (seed 1992)</t>
  </si>
  <si>
    <t>Line 571:  KOMONDOR SIMULATION 'sim_seed1992_input_nodes_n20_s29_cb2.csv' (seed 1992)</t>
  </si>
  <si>
    <t>Line 579:  KOMONDOR SIMULATION 'sim_seed1992_input_nodes_n20_s2_cb2.csv' (seed 1992)</t>
  </si>
  <si>
    <t>Line 587:  KOMONDOR SIMULATION 'sim_seed1992_input_nodes_n20_s30_cb2.csv' (seed 1992)</t>
  </si>
  <si>
    <t>Line 595:  KOMONDOR SIMULATION 'sim_seed1992_input_nodes_n20_s31_cb2.csv' (seed 1992)</t>
  </si>
  <si>
    <t>Line 603:  KOMONDOR SIMULATION 'sim_seed1992_input_nodes_n20_s32_cb2.csv' (seed 1992)</t>
  </si>
  <si>
    <t>Line 611:  KOMONDOR SIMULATION 'sim_seed1992_input_nodes_n20_s33_cb2.csv' (seed 1992)</t>
  </si>
  <si>
    <t>Line 619:  KOMONDOR SIMULATION 'sim_seed1992_input_nodes_n20_s34_cb2.csv' (seed 1992)</t>
  </si>
  <si>
    <t>Line 627:  KOMONDOR SIMULATION 'sim_seed1992_input_nodes_n20_s35_cb2.csv' (seed 1992)</t>
  </si>
  <si>
    <t>Line 635:  KOMONDOR SIMULATION 'sim_seed1992_input_nodes_n20_s36_cb2.csv' (seed 1992)</t>
  </si>
  <si>
    <t>Line 643:  KOMONDOR SIMULATION 'sim_seed1992_input_nodes_n20_s37_cb2.csv' (seed 1992)</t>
  </si>
  <si>
    <t>Line 651:  KOMONDOR SIMULATION 'sim_seed1992_input_nodes_n20_s38_cb2.csv' (seed 1992)</t>
  </si>
  <si>
    <t>Line 659:  KOMONDOR SIMULATION 'sim_seed1992_input_nodes_n20_s39_cb2.csv' (seed 1992)</t>
  </si>
  <si>
    <t>Line 667:  KOMONDOR SIMULATION 'sim_seed1992_input_nodes_n20_s3_cb2.csv' (seed 1992)</t>
  </si>
  <si>
    <t>Line 675:  KOMONDOR SIMULATION 'sim_seed1992_input_nodes_n20_s40_cb2.csv' (seed 1992)</t>
  </si>
  <si>
    <t>Line 683:  KOMONDOR SIMULATION 'sim_seed1992_input_nodes_n20_s41_cb2.csv' (seed 1992)</t>
  </si>
  <si>
    <t>Line 691:  KOMONDOR SIMULATION 'sim_seed1992_input_nodes_n20_s42_cb2.csv' (seed 1992)</t>
  </si>
  <si>
    <t>Line 699:  KOMONDOR SIMULATION 'sim_seed1992_input_nodes_n20_s43_cb2.csv' (seed 1992)</t>
  </si>
  <si>
    <t>Line 707:  KOMONDOR SIMULATION 'sim_seed1992_input_nodes_n20_s44_cb2.csv' (seed 1992)</t>
  </si>
  <si>
    <t>Line 715:  KOMONDOR SIMULATION 'sim_seed1992_input_nodes_n20_s45_cb2.csv' (seed 1992)</t>
  </si>
  <si>
    <t>Line 723:  KOMONDOR SIMULATION 'sim_seed1992_input_nodes_n20_s46_cb2.csv' (seed 1992)</t>
  </si>
  <si>
    <t>Line 731:  KOMONDOR SIMULATION 'sim_seed1992_input_nodes_n20_s47_cb2.csv' (seed 1992)</t>
  </si>
  <si>
    <t>Line 739:  KOMONDOR SIMULATION 'sim_seed1992_input_nodes_n20_s48_cb2.csv' (seed 1992)</t>
  </si>
  <si>
    <t>Line 747:  KOMONDOR SIMULATION 'sim_seed1992_input_nodes_n20_s49_cb2.csv' (seed 1992)</t>
  </si>
  <si>
    <t>Line 755:  KOMONDOR SIMULATION 'sim_seed1992_input_nodes_n20_s4_cb2.csv' (seed 1992)</t>
  </si>
  <si>
    <t>Line 763:  KOMONDOR SIMULATION 'sim_seed1992_input_nodes_n20_s5_cb2.csv' (seed 1992)</t>
  </si>
  <si>
    <t>Line 771:  KOMONDOR SIMULATION 'sim_seed1992_input_nodes_n20_s6_cb2.csv' (seed 1992)</t>
  </si>
  <si>
    <t>Line 779:  KOMONDOR SIMULATION 'sim_seed1992_input_nodes_n20_s7_cb2.csv' (seed 1992)</t>
  </si>
  <si>
    <t>Line 787:  KOMONDOR SIMULATION 'sim_seed1992_input_nodes_n20_s8_cb2.csv' (seed 1992)</t>
  </si>
  <si>
    <t>Line 795:  KOMONDOR SIMULATION 'sim_seed1992_input_nodes_n20_s9_cb2.csv' (seed 1992)</t>
  </si>
  <si>
    <t>Line 803:  KOMONDOR SIMULATION 'sim_seed1992_input_nodes_n2_s0_cb2.csv' (seed 1992)</t>
  </si>
  <si>
    <t>Line 811:  KOMONDOR SIMULATION 'sim_seed1992_input_nodes_n2_s10_cb2.csv' (seed 1992)</t>
  </si>
  <si>
    <t>Line 819:  KOMONDOR SIMULATION 'sim_seed1992_input_nodes_n2_s11_cb2.csv' (seed 1992)</t>
  </si>
  <si>
    <t>Line 827:  KOMONDOR SIMULATION 'sim_seed1992_input_nodes_n2_s12_cb2.csv' (seed 1992)</t>
  </si>
  <si>
    <t>Line 835:  KOMONDOR SIMULATION 'sim_seed1992_input_nodes_n2_s13_cb2.csv' (seed 1992)</t>
  </si>
  <si>
    <t>Line 843:  KOMONDOR SIMULATION 'sim_seed1992_input_nodes_n2_s14_cb2.csv' (seed 1992)</t>
  </si>
  <si>
    <t>Line 851:  KOMONDOR SIMULATION 'sim_seed1992_input_nodes_n2_s15_cb2.csv' (seed 1992)</t>
  </si>
  <si>
    <t>Line 859:  KOMONDOR SIMULATION 'sim_seed1992_input_nodes_n2_s16_cb2.csv' (seed 1992)</t>
  </si>
  <si>
    <t>Line 867:  KOMONDOR SIMULATION 'sim_seed1992_input_nodes_n2_s17_cb2.csv' (seed 1992)</t>
  </si>
  <si>
    <t>Line 875:  KOMONDOR SIMULATION 'sim_seed1992_input_nodes_n2_s18_cb2.csv' (seed 1992)</t>
  </si>
  <si>
    <t>Line 883:  KOMONDOR SIMULATION 'sim_seed1992_input_nodes_n2_s19_cb2.csv' (seed 1992)</t>
  </si>
  <si>
    <t>Line 891:  KOMONDOR SIMULATION 'sim_seed1992_input_nodes_n2_s1_cb2.csv' (seed 1992)</t>
  </si>
  <si>
    <t>Line 899:  KOMONDOR SIMULATION 'sim_seed1992_input_nodes_n2_s20_cb2.csv' (seed 1992)</t>
  </si>
  <si>
    <t>Line 907:  KOMONDOR SIMULATION 'sim_seed1992_input_nodes_n2_s21_cb2.csv' (seed 1992)</t>
  </si>
  <si>
    <t>Line 915:  KOMONDOR SIMULATION 'sim_seed1992_input_nodes_n2_s22_cb2.csv' (seed 1992)</t>
  </si>
  <si>
    <t>Line 923:  KOMONDOR SIMULATION 'sim_seed1992_input_nodes_n2_s23_cb2.csv' (seed 1992)</t>
  </si>
  <si>
    <t>Line 931:  KOMONDOR SIMULATION 'sim_seed1992_input_nodes_n2_s24_cb2.csv' (seed 1992)</t>
  </si>
  <si>
    <t>Line 939:  KOMONDOR SIMULATION 'sim_seed1992_input_nodes_n2_s25_cb2.csv' (seed 1992)</t>
  </si>
  <si>
    <t>Line 947:  KOMONDOR SIMULATION 'sim_seed1992_input_nodes_n2_s26_cb2.csv' (seed 1992)</t>
  </si>
  <si>
    <t>Line 955:  KOMONDOR SIMULATION 'sim_seed1992_input_nodes_n2_s27_cb2.csv' (seed 1992)</t>
  </si>
  <si>
    <t>Line 963:  KOMONDOR SIMULATION 'sim_seed1992_input_nodes_n2_s28_cb2.csv' (seed 1992)</t>
  </si>
  <si>
    <t>Line 971:  KOMONDOR SIMULATION 'sim_seed1992_input_nodes_n2_s29_cb2.csv' (seed 1992)</t>
  </si>
  <si>
    <t>Line 979:  KOMONDOR SIMULATION 'sim_seed1992_input_nodes_n2_s2_cb2.csv' (seed 1992)</t>
  </si>
  <si>
    <t>Line 987:  KOMONDOR SIMULATION 'sim_seed1992_input_nodes_n2_s30_cb2.csv' (seed 1992)</t>
  </si>
  <si>
    <t>Line 995:  KOMONDOR SIMULATION 'sim_seed1992_input_nodes_n2_s31_cb2.csv' (seed 1992)</t>
  </si>
  <si>
    <t>Line 1003:  KOMONDOR SIMULATION 'sim_seed1992_input_nodes_n2_s32_cb2.csv' (seed 1992)</t>
  </si>
  <si>
    <t>Line 1011:  KOMONDOR SIMULATION 'sim_seed1992_input_nodes_n2_s33_cb2.csv' (seed 1992)</t>
  </si>
  <si>
    <t>Line 1019:  KOMONDOR SIMULATION 'sim_seed1992_input_nodes_n2_s34_cb2.csv' (seed 1992)</t>
  </si>
  <si>
    <t>Line 1027:  KOMONDOR SIMULATION 'sim_seed1992_input_nodes_n2_s35_cb2.csv' (seed 1992)</t>
  </si>
  <si>
    <t>Line 1035:  KOMONDOR SIMULATION 'sim_seed1992_input_nodes_n2_s36_cb2.csv' (seed 1992)</t>
  </si>
  <si>
    <t>Line 1043:  KOMONDOR SIMULATION 'sim_seed1992_input_nodes_n2_s37_cb2.csv' (seed 1992)</t>
  </si>
  <si>
    <t>Line 1051:  KOMONDOR SIMULATION 'sim_seed1992_input_nodes_n2_s38_cb2.csv' (seed 1992)</t>
  </si>
  <si>
    <t>Line 1059:  KOMONDOR SIMULATION 'sim_seed1992_input_nodes_n2_s39_cb2.csv' (seed 1992)</t>
  </si>
  <si>
    <t>Line 1067:  KOMONDOR SIMULATION 'sim_seed1992_input_nodes_n2_s3_cb2.csv' (seed 1992)</t>
  </si>
  <si>
    <t>Line 1075:  KOMONDOR SIMULATION 'sim_seed1992_input_nodes_n2_s40_cb2.csv' (seed 1992)</t>
  </si>
  <si>
    <t>Line 1083:  KOMONDOR SIMULATION 'sim_seed1992_input_nodes_n2_s41_cb2.csv' (seed 1992)</t>
  </si>
  <si>
    <t>Line 1091:  KOMONDOR SIMULATION 'sim_seed1992_input_nodes_n2_s42_cb2.csv' (seed 1992)</t>
  </si>
  <si>
    <t>Line 1099:  KOMONDOR SIMULATION 'sim_seed1992_input_nodes_n2_s43_cb2.csv' (seed 1992)</t>
  </si>
  <si>
    <t>Line 1107:  KOMONDOR SIMULATION 'sim_seed1992_input_nodes_n2_s44_cb2.csv' (seed 1992)</t>
  </si>
  <si>
    <t>Line 1115:  KOMONDOR SIMULATION 'sim_seed1992_input_nodes_n2_s45_cb2.csv' (seed 1992)</t>
  </si>
  <si>
    <t>Line 1123:  KOMONDOR SIMULATION 'sim_seed1992_input_nodes_n2_s46_cb2.csv' (seed 1992)</t>
  </si>
  <si>
    <t>Line 1131:  KOMONDOR SIMULATION 'sim_seed1992_input_nodes_n2_s47_cb2.csv' (seed 1992)</t>
  </si>
  <si>
    <t>Line 1139:  KOMONDOR SIMULATION 'sim_seed1992_input_nodes_n2_s48_cb2.csv' (seed 1992)</t>
  </si>
  <si>
    <t>Line 1147:  KOMONDOR SIMULATION 'sim_seed1992_input_nodes_n2_s49_cb2.csv' (seed 1992)</t>
  </si>
  <si>
    <t>Line 1155:  KOMONDOR SIMULATION 'sim_seed1992_input_nodes_n2_s4_cb2.csv' (seed 1992)</t>
  </si>
  <si>
    <t>Line 1163:  KOMONDOR SIMULATION 'sim_seed1992_input_nodes_n2_s5_cb2.csv' (seed 1992)</t>
  </si>
  <si>
    <t>Line 1171:  KOMONDOR SIMULATION 'sim_seed1992_input_nodes_n2_s6_cb2.csv' (seed 1992)</t>
  </si>
  <si>
    <t>Line 1179:  KOMONDOR SIMULATION 'sim_seed1992_input_nodes_n2_s7_cb2.csv' (seed 1992)</t>
  </si>
  <si>
    <t>Line 1187:  KOMONDOR SIMULATION 'sim_seed1992_input_nodes_n2_s8_cb2.csv' (seed 1992)</t>
  </si>
  <si>
    <t>Line 1195:  KOMONDOR SIMULATION 'sim_seed1992_input_nodes_n2_s9_cb2.csv' (seed 1992)</t>
  </si>
  <si>
    <t>Line 1203:  KOMONDOR SIMULATION 'sim_seed1992_input_nodes_n30_s0_cb2.csv' (seed 1992)</t>
  </si>
  <si>
    <t>Line 1211:  KOMONDOR SIMULATION 'sim_seed1992_input_nodes_n30_s10_cb2.csv' (seed 1992)</t>
  </si>
  <si>
    <t>Line 1219:  KOMONDOR SIMULATION 'sim_seed1992_input_nodes_n30_s11_cb2.csv' (seed 1992)</t>
  </si>
  <si>
    <t>Line 1227:  KOMONDOR SIMULATION 'sim_seed1992_input_nodes_n30_s12_cb2.csv' (seed 1992)</t>
  </si>
  <si>
    <t>Line 1235:  KOMONDOR SIMULATION 'sim_seed1992_input_nodes_n30_s13_cb2.csv' (seed 1992)</t>
  </si>
  <si>
    <t>Line 1243:  KOMONDOR SIMULATION 'sim_seed1992_input_nodes_n30_s14_cb2.csv' (seed 1992)</t>
  </si>
  <si>
    <t>Line 1251:  KOMONDOR SIMULATION 'sim_seed1992_input_nodes_n30_s15_cb2.csv' (seed 1992)</t>
  </si>
  <si>
    <t>Line 1259:  KOMONDOR SIMULATION 'sim_seed1992_input_nodes_n30_s16_cb2.csv' (seed 1992)</t>
  </si>
  <si>
    <t>Line 1267:  KOMONDOR SIMULATION 'sim_seed1992_input_nodes_n30_s17_cb2.csv' (seed 1992)</t>
  </si>
  <si>
    <t>Line 1275:  KOMONDOR SIMULATION 'sim_seed1992_input_nodes_n30_s18_cb2.csv' (seed 1992)</t>
  </si>
  <si>
    <t>Line 1283:  KOMONDOR SIMULATION 'sim_seed1992_input_nodes_n30_s19_cb2.csv' (seed 1992)</t>
  </si>
  <si>
    <t>Line 1291:  KOMONDOR SIMULATION 'sim_seed1992_input_nodes_n30_s1_cb2.csv' (seed 1992)</t>
  </si>
  <si>
    <t>Line 1299:  KOMONDOR SIMULATION 'sim_seed1992_input_nodes_n30_s20_cb2.csv' (seed 1992)</t>
  </si>
  <si>
    <t>Line 1307:  KOMONDOR SIMULATION 'sim_seed1992_input_nodes_n30_s21_cb2.csv' (seed 1992)</t>
  </si>
  <si>
    <t>Line 1315:  KOMONDOR SIMULATION 'sim_seed1992_input_nodes_n30_s22_cb2.csv' (seed 1992)</t>
  </si>
  <si>
    <t>Line 1323:  KOMONDOR SIMULATION 'sim_seed1992_input_nodes_n30_s23_cb2.csv' (seed 1992)</t>
  </si>
  <si>
    <t>Line 1331:  KOMONDOR SIMULATION 'sim_seed1992_input_nodes_n30_s24_cb2.csv' (seed 1992)</t>
  </si>
  <si>
    <t>Line 1339:  KOMONDOR SIMULATION 'sim_seed1992_input_nodes_n30_s25_cb2.csv' (seed 1992)</t>
  </si>
  <si>
    <t>Line 1347:  KOMONDOR SIMULATION 'sim_seed1992_input_nodes_n30_s26_cb2.csv' (seed 1992)</t>
  </si>
  <si>
    <t>Line 1355:  KOMONDOR SIMULATION 'sim_seed1992_input_nodes_n30_s27_cb2.csv' (seed 1992)</t>
  </si>
  <si>
    <t>Line 1363:  KOMONDOR SIMULATION 'sim_seed1992_input_nodes_n30_s28_cb2.csv' (seed 1992)</t>
  </si>
  <si>
    <t>Line 1371:  KOMONDOR SIMULATION 'sim_seed1992_input_nodes_n30_s29_cb2.csv' (seed 1992)</t>
  </si>
  <si>
    <t>Line 1379:  KOMONDOR SIMULATION 'sim_seed1992_input_nodes_n30_s2_cb2.csv' (seed 1992)</t>
  </si>
  <si>
    <t>Line 1387:  KOMONDOR SIMULATION 'sim_seed1992_input_nodes_n30_s30_cb2.csv' (seed 1992)</t>
  </si>
  <si>
    <t>Line 1395:  KOMONDOR SIMULATION 'sim_seed1992_input_nodes_n30_s31_cb2.csv' (seed 1992)</t>
  </si>
  <si>
    <t>Line 1403:  KOMONDOR SIMULATION 'sim_seed1992_input_nodes_n30_s32_cb2.csv' (seed 1992)</t>
  </si>
  <si>
    <t>Line 1411:  KOMONDOR SIMULATION 'sim_seed1992_input_nodes_n30_s33_cb2.csv' (seed 1992)</t>
  </si>
  <si>
    <t>Line 1419:  KOMONDOR SIMULATION 'sim_seed1992_input_nodes_n30_s34_cb2.csv' (seed 1992)</t>
  </si>
  <si>
    <t>Line 1427:  KOMONDOR SIMULATION 'sim_seed1992_input_nodes_n30_s35_cb2.csv' (seed 1992)</t>
  </si>
  <si>
    <t>Line 1435:  KOMONDOR SIMULATION 'sim_seed1992_input_nodes_n30_s36_cb2.csv' (seed 1992)</t>
  </si>
  <si>
    <t>Line 1443:  KOMONDOR SIMULATION 'sim_seed1992_input_nodes_n30_s37_cb2.csv' (seed 1992)</t>
  </si>
  <si>
    <t>Line 1451:  KOMONDOR SIMULATION 'sim_seed1992_input_nodes_n30_s38_cb2.csv' (seed 1992)</t>
  </si>
  <si>
    <t>Line 1459:  KOMONDOR SIMULATION 'sim_seed1992_input_nodes_n30_s39_cb2.csv' (seed 1992)</t>
  </si>
  <si>
    <t>Line 1467:  KOMONDOR SIMULATION 'sim_seed1992_input_nodes_n30_s3_cb2.csv' (seed 1992)</t>
  </si>
  <si>
    <t>Line 1475:  KOMONDOR SIMULATION 'sim_seed1992_input_nodes_n30_s40_cb2.csv' (seed 1992)</t>
  </si>
  <si>
    <t>Line 1483:  KOMONDOR SIMULATION 'sim_seed1992_input_nodes_n30_s41_cb2.csv' (seed 1992)</t>
  </si>
  <si>
    <t>Line 1491:  KOMONDOR SIMULATION 'sim_seed1992_input_nodes_n30_s42_cb2.csv' (seed 1992)</t>
  </si>
  <si>
    <t>Line 1499:  KOMONDOR SIMULATION 'sim_seed1992_input_nodes_n30_s43_cb2.csv' (seed 1992)</t>
  </si>
  <si>
    <t>Line 1507:  KOMONDOR SIMULATION 'sim_seed1992_input_nodes_n30_s44_cb2.csv' (seed 1992)</t>
  </si>
  <si>
    <t>Line 1515:  KOMONDOR SIMULATION 'sim_seed1992_input_nodes_n30_s45_cb2.csv' (seed 1992)</t>
  </si>
  <si>
    <t>Line 1523:  KOMONDOR SIMULATION 'sim_seed1992_input_nodes_n30_s46_cb2.csv' (seed 1992)</t>
  </si>
  <si>
    <t>Line 1531:  KOMONDOR SIMULATION 'sim_seed1992_input_nodes_n30_s47_cb2.csv' (seed 1992)</t>
  </si>
  <si>
    <t>Line 1539:  KOMONDOR SIMULATION 'sim_seed1992_input_nodes_n30_s48_cb2.csv' (seed 1992)</t>
  </si>
  <si>
    <t>Line 1547:  KOMONDOR SIMULATION 'sim_seed1992_input_nodes_n30_s49_cb2.csv' (seed 1992)</t>
  </si>
  <si>
    <t>Line 1555:  KOMONDOR SIMULATION 'sim_seed1992_input_nodes_n30_s4_cb2.csv' (seed 1992)</t>
  </si>
  <si>
    <t>Line 1563:  KOMONDOR SIMULATION 'sim_seed1992_input_nodes_n30_s5_cb2.csv' (seed 1992)</t>
  </si>
  <si>
    <t>Line 1571:  KOMONDOR SIMULATION 'sim_seed1992_input_nodes_n30_s6_cb2.csv' (seed 1992)</t>
  </si>
  <si>
    <t>Line 1579:  KOMONDOR SIMULATION 'sim_seed1992_input_nodes_n30_s7_cb2.csv' (seed 1992)</t>
  </si>
  <si>
    <t>Line 1587:  KOMONDOR SIMULATION 'sim_seed1992_input_nodes_n30_s8_cb2.csv' (seed 1992)</t>
  </si>
  <si>
    <t>Line 1595:  KOMONDOR SIMULATION 'sim_seed1992_input_nodes_n30_s9_cb2.csv' (seed 1992)</t>
  </si>
  <si>
    <t>Line 1603:  KOMONDOR SIMULATION 'sim_seed1992_input_nodes_n40_s0_cb2.csv' (seed 1992)</t>
  </si>
  <si>
    <t>Line 1611:  KOMONDOR SIMULATION 'sim_seed1992_input_nodes_n40_s10_cb2.csv' (seed 1992)</t>
  </si>
  <si>
    <t>Line 1619:  KOMONDOR SIMULATION 'sim_seed1992_input_nodes_n40_s11_cb2.csv' (seed 1992)</t>
  </si>
  <si>
    <t>Line 1627:  KOMONDOR SIMULATION 'sim_seed1992_input_nodes_n40_s12_cb2.csv' (seed 1992)</t>
  </si>
  <si>
    <t>Line 1635:  KOMONDOR SIMULATION 'sim_seed1992_input_nodes_n40_s13_cb2.csv' (seed 1992)</t>
  </si>
  <si>
    <t>Line 1643:  KOMONDOR SIMULATION 'sim_seed1992_input_nodes_n40_s14_cb2.csv' (seed 1992)</t>
  </si>
  <si>
    <t>Line 1651:  KOMONDOR SIMULATION 'sim_seed1992_input_nodes_n40_s15_cb2.csv' (seed 1992)</t>
  </si>
  <si>
    <t>Line 1659:  KOMONDOR SIMULATION 'sim_seed1992_input_nodes_n40_s16_cb2.csv' (seed 1992)</t>
  </si>
  <si>
    <t>Line 1667:  KOMONDOR SIMULATION 'sim_seed1992_input_nodes_n40_s17_cb2.csv' (seed 1992)</t>
  </si>
  <si>
    <t>Line 1675:  KOMONDOR SIMULATION 'sim_seed1992_input_nodes_n40_s18_cb2.csv' (seed 1992)</t>
  </si>
  <si>
    <t>Line 1683:  KOMONDOR SIMULATION 'sim_seed1992_input_nodes_n40_s19_cb2.csv' (seed 1992)</t>
  </si>
  <si>
    <t>Line 1691:  KOMONDOR SIMULATION 'sim_seed1992_input_nodes_n40_s1_cb2.csv' (seed 1992)</t>
  </si>
  <si>
    <t>Line 1699:  KOMONDOR SIMULATION 'sim_seed1992_input_nodes_n40_s20_cb2.csv' (seed 1992)</t>
  </si>
  <si>
    <t>Line 1707:  KOMONDOR SIMULATION 'sim_seed1992_input_nodes_n40_s21_cb2.csv' (seed 1992)</t>
  </si>
  <si>
    <t>Line 1715:  KOMONDOR SIMULATION 'sim_seed1992_input_nodes_n40_s22_cb2.csv' (seed 1992)</t>
  </si>
  <si>
    <t>Line 1723:  KOMONDOR SIMULATION 'sim_seed1992_input_nodes_n40_s23_cb2.csv' (seed 1992)</t>
  </si>
  <si>
    <t>Line 1731:  KOMONDOR SIMULATION 'sim_seed1992_input_nodes_n40_s24_cb2.csv' (seed 1992)</t>
  </si>
  <si>
    <t>Line 1739:  KOMONDOR SIMULATION 'sim_seed1992_input_nodes_n40_s25_cb2.csv' (seed 1992)</t>
  </si>
  <si>
    <t>Line 1747:  KOMONDOR SIMULATION 'sim_seed1992_input_nodes_n40_s26_cb2.csv' (seed 1992)</t>
  </si>
  <si>
    <t>Line 1755:  KOMONDOR SIMULATION 'sim_seed1992_input_nodes_n40_s27_cb2.csv' (seed 1992)</t>
  </si>
  <si>
    <t>Line 1763:  KOMONDOR SIMULATION 'sim_seed1992_input_nodes_n40_s28_cb2.csv' (seed 1992)</t>
  </si>
  <si>
    <t>Line 1771:  KOMONDOR SIMULATION 'sim_seed1992_input_nodes_n40_s29_cb2.csv' (seed 1992)</t>
  </si>
  <si>
    <t>Line 1779:  KOMONDOR SIMULATION 'sim_seed1992_input_nodes_n40_s2_cb2.csv' (seed 1992)</t>
  </si>
  <si>
    <t>Line 1787:  KOMONDOR SIMULATION 'sim_seed1992_input_nodes_n40_s30_cb2.csv' (seed 1992)</t>
  </si>
  <si>
    <t>Line 1795:  KOMONDOR SIMULATION 'sim_seed1992_input_nodes_n40_s31_cb2.csv' (seed 1992)</t>
  </si>
  <si>
    <t>Line 1803:  KOMONDOR SIMULATION 'sim_seed1992_input_nodes_n40_s32_cb2.csv' (seed 1992)</t>
  </si>
  <si>
    <t>Line 1811:  KOMONDOR SIMULATION 'sim_seed1992_input_nodes_n40_s33_cb2.csv' (seed 1992)</t>
  </si>
  <si>
    <t>Line 1819:  KOMONDOR SIMULATION 'sim_seed1992_input_nodes_n40_s34_cb2.csv' (seed 1992)</t>
  </si>
  <si>
    <t>Line 1827:  KOMONDOR SIMULATION 'sim_seed1992_input_nodes_n40_s35_cb2.csv' (seed 1992)</t>
  </si>
  <si>
    <t>Line 1835:  KOMONDOR SIMULATION 'sim_seed1992_input_nodes_n40_s36_cb2.csv' (seed 1992)</t>
  </si>
  <si>
    <t>Line 1843:  KOMONDOR SIMULATION 'sim_seed1992_input_nodes_n40_s37_cb2.csv' (seed 1992)</t>
  </si>
  <si>
    <t>Line 1851:  KOMONDOR SIMULATION 'sim_seed1992_input_nodes_n40_s38_cb2.csv' (seed 1992)</t>
  </si>
  <si>
    <t>Line 1859:  KOMONDOR SIMULATION 'sim_seed1992_input_nodes_n40_s39_cb2.csv' (seed 1992)</t>
  </si>
  <si>
    <t>Line 1867:  KOMONDOR SIMULATION 'sim_seed1992_input_nodes_n40_s3_cb2.csv' (seed 1992)</t>
  </si>
  <si>
    <t>Line 1875:  KOMONDOR SIMULATION 'sim_seed1992_input_nodes_n40_s40_cb2.csv' (seed 1992)</t>
  </si>
  <si>
    <t>Line 1883:  KOMONDOR SIMULATION 'sim_seed1992_input_nodes_n40_s41_cb2.csv' (seed 1992)</t>
  </si>
  <si>
    <t>Line 1891:  KOMONDOR SIMULATION 'sim_seed1992_input_nodes_n40_s42_cb2.csv' (seed 1992)</t>
  </si>
  <si>
    <t>Line 1899:  KOMONDOR SIMULATION 'sim_seed1992_input_nodes_n40_s43_cb2.csv' (seed 1992)</t>
  </si>
  <si>
    <t>Line 1907:  KOMONDOR SIMULATION 'sim_seed1992_input_nodes_n40_s44_cb2.csv' (seed 1992)</t>
  </si>
  <si>
    <t>Line 1915:  KOMONDOR SIMULATION 'sim_seed1992_input_nodes_n40_s45_cb2.csv' (seed 1992)</t>
  </si>
  <si>
    <t>Line 1923:  KOMONDOR SIMULATION 'sim_seed1992_input_nodes_n40_s46_cb2.csv' (seed 1992)</t>
  </si>
  <si>
    <t>Line 1931:  KOMONDOR SIMULATION 'sim_seed1992_input_nodes_n40_s47_cb2.csv' (seed 1992)</t>
  </si>
  <si>
    <t>Line 1939:  KOMONDOR SIMULATION 'sim_seed1992_input_nodes_n40_s48_cb2.csv' (seed 1992)</t>
  </si>
  <si>
    <t>Line 1947:  KOMONDOR SIMULATION 'sim_seed1992_input_nodes_n40_s49_cb2.csv' (seed 1992)</t>
  </si>
  <si>
    <t>Line 1955:  KOMONDOR SIMULATION 'sim_seed1992_input_nodes_n40_s4_cb2.csv' (seed 1992)</t>
  </si>
  <si>
    <t>Line 1963:  KOMONDOR SIMULATION 'sim_seed1992_input_nodes_n40_s5_cb2.csv' (seed 1992)</t>
  </si>
  <si>
    <t>Line 1971:  KOMONDOR SIMULATION 'sim_seed1992_input_nodes_n40_s6_cb2.csv' (seed 1992)</t>
  </si>
  <si>
    <t>Line 1979:  KOMONDOR SIMULATION 'sim_seed1992_input_nodes_n40_s7_cb2.csv' (seed 1992)</t>
  </si>
  <si>
    <t>Line 1987:  KOMONDOR SIMULATION 'sim_seed1992_input_nodes_n40_s8_cb2.csv' (seed 1992)</t>
  </si>
  <si>
    <t>Line 1995:  KOMONDOR SIMULATION 'sim_seed1992_input_nodes_n40_s9_cb2.csv' (seed 1992)</t>
  </si>
  <si>
    <t>Line 2003:  KOMONDOR SIMULATION 'sim_seed1992_input_nodes_n5_s0_cb2.csv' (seed 1992)</t>
  </si>
  <si>
    <t>Line 2011:  KOMONDOR SIMULATION 'sim_seed1992_input_nodes_n5_s10_cb2.csv' (seed 1992)</t>
  </si>
  <si>
    <t>Line 2019:  KOMONDOR SIMULATION 'sim_seed1992_input_nodes_n5_s11_cb2.csv' (seed 1992)</t>
  </si>
  <si>
    <t>Line 2027:  KOMONDOR SIMULATION 'sim_seed1992_input_nodes_n5_s12_cb2.csv' (seed 1992)</t>
  </si>
  <si>
    <t>Line 2035:  KOMONDOR SIMULATION 'sim_seed1992_input_nodes_n5_s13_cb2.csv' (seed 1992)</t>
  </si>
  <si>
    <t>Line 2043:  KOMONDOR SIMULATION 'sim_seed1992_input_nodes_n5_s14_cb2.csv' (seed 1992)</t>
  </si>
  <si>
    <t>Line 2051:  KOMONDOR SIMULATION 'sim_seed1992_input_nodes_n5_s15_cb2.csv' (seed 1992)</t>
  </si>
  <si>
    <t>Line 2059:  KOMONDOR SIMULATION 'sim_seed1992_input_nodes_n5_s16_cb2.csv' (seed 1992)</t>
  </si>
  <si>
    <t>Line 2067:  KOMONDOR SIMULATION 'sim_seed1992_input_nodes_n5_s17_cb2.csv' (seed 1992)</t>
  </si>
  <si>
    <t>Line 2075:  KOMONDOR SIMULATION 'sim_seed1992_input_nodes_n5_s18_cb2.csv' (seed 1992)</t>
  </si>
  <si>
    <t>Line 2083:  KOMONDOR SIMULATION 'sim_seed1992_input_nodes_n5_s19_cb2.csv' (seed 1992)</t>
  </si>
  <si>
    <t>Line 2091:  KOMONDOR SIMULATION 'sim_seed1992_input_nodes_n5_s1_cb2.csv' (seed 1992)</t>
  </si>
  <si>
    <t>Line 2099:  KOMONDOR SIMULATION 'sim_seed1992_input_nodes_n5_s20_cb2.csv' (seed 1992)</t>
  </si>
  <si>
    <t>Line 2107:  KOMONDOR SIMULATION 'sim_seed1992_input_nodes_n5_s21_cb2.csv' (seed 1992)</t>
  </si>
  <si>
    <t>Line 2115:  KOMONDOR SIMULATION 'sim_seed1992_input_nodes_n5_s22_cb2.csv' (seed 1992)</t>
  </si>
  <si>
    <t>Line 2123:  KOMONDOR SIMULATION 'sim_seed1992_input_nodes_n5_s23_cb2.csv' (seed 1992)</t>
  </si>
  <si>
    <t>Line 2131:  KOMONDOR SIMULATION 'sim_seed1992_input_nodes_n5_s24_cb2.csv' (seed 1992)</t>
  </si>
  <si>
    <t>Line 2139:  KOMONDOR SIMULATION 'sim_seed1992_input_nodes_n5_s25_cb2.csv' (seed 1992)</t>
  </si>
  <si>
    <t>Line 2147:  KOMONDOR SIMULATION 'sim_seed1992_input_nodes_n5_s26_cb2.csv' (seed 1992)</t>
  </si>
  <si>
    <t>Line 2155:  KOMONDOR SIMULATION 'sim_seed1992_input_nodes_n5_s27_cb2.csv' (seed 1992)</t>
  </si>
  <si>
    <t>Line 2163:  KOMONDOR SIMULATION 'sim_seed1992_input_nodes_n5_s28_cb2.csv' (seed 1992)</t>
  </si>
  <si>
    <t>Line 2171:  KOMONDOR SIMULATION 'sim_seed1992_input_nodes_n5_s29_cb2.csv' (seed 1992)</t>
  </si>
  <si>
    <t>Line 2179:  KOMONDOR SIMULATION 'sim_seed1992_input_nodes_n5_s2_cb2.csv' (seed 1992)</t>
  </si>
  <si>
    <t>Line 2187:  KOMONDOR SIMULATION 'sim_seed1992_input_nodes_n5_s30_cb2.csv' (seed 1992)</t>
  </si>
  <si>
    <t>Line 2195:  KOMONDOR SIMULATION 'sim_seed1992_input_nodes_n5_s31_cb2.csv' (seed 1992)</t>
  </si>
  <si>
    <t>Line 2203:  KOMONDOR SIMULATION 'sim_seed1992_input_nodes_n5_s32_cb2.csv' (seed 1992)</t>
  </si>
  <si>
    <t>Line 2211:  KOMONDOR SIMULATION 'sim_seed1992_input_nodes_n5_s33_cb2.csv' (seed 1992)</t>
  </si>
  <si>
    <t>Line 2219:  KOMONDOR SIMULATION 'sim_seed1992_input_nodes_n5_s34_cb2.csv' (seed 1992)</t>
  </si>
  <si>
    <t>Line 2227:  KOMONDOR SIMULATION 'sim_seed1992_input_nodes_n5_s35_cb2.csv' (seed 1992)</t>
  </si>
  <si>
    <t>Line 2235:  KOMONDOR SIMULATION 'sim_seed1992_input_nodes_n5_s36_cb2.csv' (seed 1992)</t>
  </si>
  <si>
    <t>Line 2243:  KOMONDOR SIMULATION 'sim_seed1992_input_nodes_n5_s37_cb2.csv' (seed 1992)</t>
  </si>
  <si>
    <t>Line 2251:  KOMONDOR SIMULATION 'sim_seed1992_input_nodes_n5_s38_cb2.csv' (seed 1992)</t>
  </si>
  <si>
    <t>Line 2259:  KOMONDOR SIMULATION 'sim_seed1992_input_nodes_n5_s39_cb2.csv' (seed 1992)</t>
  </si>
  <si>
    <t>Line 2267:  KOMONDOR SIMULATION 'sim_seed1992_input_nodes_n5_s3_cb2.csv' (seed 1992)</t>
  </si>
  <si>
    <t>Line 2275:  KOMONDOR SIMULATION 'sim_seed1992_input_nodes_n5_s40_cb2.csv' (seed 1992)</t>
  </si>
  <si>
    <t>Line 2283:  KOMONDOR SIMULATION 'sim_seed1992_input_nodes_n5_s41_cb2.csv' (seed 1992)</t>
  </si>
  <si>
    <t>Line 2291:  KOMONDOR SIMULATION 'sim_seed1992_input_nodes_n5_s42_cb2.csv' (seed 1992)</t>
  </si>
  <si>
    <t>Line 2299:  KOMONDOR SIMULATION 'sim_seed1992_input_nodes_n5_s43_cb2.csv' (seed 1992)</t>
  </si>
  <si>
    <t>Line 2307:  KOMONDOR SIMULATION 'sim_seed1992_input_nodes_n5_s44_cb2.csv' (seed 1992)</t>
  </si>
  <si>
    <t>Line 2315:  KOMONDOR SIMULATION 'sim_seed1992_input_nodes_n5_s45_cb2.csv' (seed 1992)</t>
  </si>
  <si>
    <t>Line 2323:  KOMONDOR SIMULATION 'sim_seed1992_input_nodes_n5_s46_cb2.csv' (seed 1992)</t>
  </si>
  <si>
    <t>Line 2331:  KOMONDOR SIMULATION 'sim_seed1992_input_nodes_n5_s47_cb2.csv' (seed 1992)</t>
  </si>
  <si>
    <t>Line 2339:  KOMONDOR SIMULATION 'sim_seed1992_input_nodes_n5_s48_cb2.csv' (seed 1992)</t>
  </si>
  <si>
    <t>Line 2347:  KOMONDOR SIMULATION 'sim_seed1992_input_nodes_n5_s49_cb2.csv' (seed 1992)</t>
  </si>
  <si>
    <t>Line 2355:  KOMONDOR SIMULATION 'sim_seed1992_input_nodes_n5_s4_cb2.csv' (seed 1992)</t>
  </si>
  <si>
    <t>Line 2363:  KOMONDOR SIMULATION 'sim_seed1992_input_nodes_n5_s5_cb2.csv' (seed 1992)</t>
  </si>
  <si>
    <t>Line 2371:  KOMONDOR SIMULATION 'sim_seed1992_input_nodes_n5_s6_cb2.csv' (seed 1992)</t>
  </si>
  <si>
    <t>Line 2379:  KOMONDOR SIMULATION 'sim_seed1992_input_nodes_n5_s7_cb2.csv' (seed 1992)</t>
  </si>
  <si>
    <t>Line 2387:  KOMONDOR SIMULATION 'sim_seed1992_input_nodes_n5_s8_cb2.csv' (seed 1992)</t>
  </si>
  <si>
    <t>Line 2395:  KOMONDOR SIMULATION 'sim_seed1992_input_nodes_n5_s9_cb2.csv' (seed 1992)</t>
  </si>
  <si>
    <t>Line 5:  KOMONDOR SIMULATION 'sim_seed1992_input_nodes_n10_s0_cb4.csv' (seed 1992)</t>
  </si>
  <si>
    <t>Line 13:  KOMONDOR SIMULATION 'sim_seed1992_input_nodes_n10_s10_cb4.csv' (seed 1992)</t>
  </si>
  <si>
    <t>Line 21:  KOMONDOR SIMULATION 'sim_seed1992_input_nodes_n10_s11_cb4.csv' (seed 1992)</t>
  </si>
  <si>
    <t>Line 29:  KOMONDOR SIMULATION 'sim_seed1992_input_nodes_n10_s12_cb4.csv' (seed 1992)</t>
  </si>
  <si>
    <t>Line 37:  KOMONDOR SIMULATION 'sim_seed1992_input_nodes_n10_s13_cb4.csv' (seed 1992)</t>
  </si>
  <si>
    <t>Line 45:  KOMONDOR SIMULATION 'sim_seed1992_input_nodes_n10_s14_cb4.csv' (seed 1992)</t>
  </si>
  <si>
    <t>Line 53:  KOMONDOR SIMULATION 'sim_seed1992_input_nodes_n10_s15_cb4.csv' (seed 1992)</t>
  </si>
  <si>
    <t>Line 61:  KOMONDOR SIMULATION 'sim_seed1992_input_nodes_n10_s16_cb4.csv' (seed 1992)</t>
  </si>
  <si>
    <t>Line 69:  KOMONDOR SIMULATION 'sim_seed1992_input_nodes_n10_s17_cb4.csv' (seed 1992)</t>
  </si>
  <si>
    <t>Line 77:  KOMONDOR SIMULATION 'sim_seed1992_input_nodes_n10_s18_cb4.csv' (seed 1992)</t>
  </si>
  <si>
    <t>Line 85:  KOMONDOR SIMULATION 'sim_seed1992_input_nodes_n10_s19_cb4.csv' (seed 1992)</t>
  </si>
  <si>
    <t>Line 93:  KOMONDOR SIMULATION 'sim_seed1992_input_nodes_n10_s1_cb4.csv' (seed 1992)</t>
  </si>
  <si>
    <t>Line 101:  KOMONDOR SIMULATION 'sim_seed1992_input_nodes_n10_s20_cb4.csv' (seed 1992)</t>
  </si>
  <si>
    <t>Line 109:  KOMONDOR SIMULATION 'sim_seed1992_input_nodes_n10_s21_cb4.csv' (seed 1992)</t>
  </si>
  <si>
    <t>Line 117:  KOMONDOR SIMULATION 'sim_seed1992_input_nodes_n10_s22_cb4.csv' (seed 1992)</t>
  </si>
  <si>
    <t>Line 125:  KOMONDOR SIMULATION 'sim_seed1992_input_nodes_n10_s23_cb4.csv' (seed 1992)</t>
  </si>
  <si>
    <t>Line 133:  KOMONDOR SIMULATION 'sim_seed1992_input_nodes_n10_s24_cb4.csv' (seed 1992)</t>
  </si>
  <si>
    <t>Line 141:  KOMONDOR SIMULATION 'sim_seed1992_input_nodes_n10_s25_cb4.csv' (seed 1992)</t>
  </si>
  <si>
    <t>Line 149:  KOMONDOR SIMULATION 'sim_seed1992_input_nodes_n10_s26_cb4.csv' (seed 1992)</t>
  </si>
  <si>
    <t>Line 157:  KOMONDOR SIMULATION 'sim_seed1992_input_nodes_n10_s27_cb4.csv' (seed 1992)</t>
  </si>
  <si>
    <t>Line 165:  KOMONDOR SIMULATION 'sim_seed1992_input_nodes_n10_s28_cb4.csv' (seed 1992)</t>
  </si>
  <si>
    <t>Line 173:  KOMONDOR SIMULATION 'sim_seed1992_input_nodes_n10_s29_cb4.csv' (seed 1992)</t>
  </si>
  <si>
    <t>Line 181:  KOMONDOR SIMULATION 'sim_seed1992_input_nodes_n10_s2_cb4.csv' (seed 1992)</t>
  </si>
  <si>
    <t>Line 189:  KOMONDOR SIMULATION 'sim_seed1992_input_nodes_n10_s30_cb4.csv' (seed 1992)</t>
  </si>
  <si>
    <t>Line 197:  KOMONDOR SIMULATION 'sim_seed1992_input_nodes_n10_s31_cb4.csv' (seed 1992)</t>
  </si>
  <si>
    <t>Line 205:  KOMONDOR SIMULATION 'sim_seed1992_input_nodes_n10_s32_cb4.csv' (seed 1992)</t>
  </si>
  <si>
    <t>Line 213:  KOMONDOR SIMULATION 'sim_seed1992_input_nodes_n10_s33_cb4.csv' (seed 1992)</t>
  </si>
  <si>
    <t>Line 221:  KOMONDOR SIMULATION 'sim_seed1992_input_nodes_n10_s34_cb4.csv' (seed 1992)</t>
  </si>
  <si>
    <t>Line 229:  KOMONDOR SIMULATION 'sim_seed1992_input_nodes_n10_s35_cb4.csv' (seed 1992)</t>
  </si>
  <si>
    <t>Line 237:  KOMONDOR SIMULATION 'sim_seed1992_input_nodes_n10_s36_cb4.csv' (seed 1992)</t>
  </si>
  <si>
    <t>Line 245:  KOMONDOR SIMULATION 'sim_seed1992_input_nodes_n10_s37_cb4.csv' (seed 1992)</t>
  </si>
  <si>
    <t>Line 253:  KOMONDOR SIMULATION 'sim_seed1992_input_nodes_n10_s38_cb4.csv' (seed 1992)</t>
  </si>
  <si>
    <t>Line 261:  KOMONDOR SIMULATION 'sim_seed1992_input_nodes_n10_s39_cb4.csv' (seed 1992)</t>
  </si>
  <si>
    <t>Line 269:  KOMONDOR SIMULATION 'sim_seed1992_input_nodes_n10_s3_cb4.csv' (seed 1992)</t>
  </si>
  <si>
    <t>Line 277:  KOMONDOR SIMULATION 'sim_seed1992_input_nodes_n10_s40_cb4.csv' (seed 1992)</t>
  </si>
  <si>
    <t>Line 285:  KOMONDOR SIMULATION 'sim_seed1992_input_nodes_n10_s41_cb4.csv' (seed 1992)</t>
  </si>
  <si>
    <t>Line 293:  KOMONDOR SIMULATION 'sim_seed1992_input_nodes_n10_s42_cb4.csv' (seed 1992)</t>
  </si>
  <si>
    <t>Line 301:  KOMONDOR SIMULATION 'sim_seed1992_input_nodes_n10_s43_cb4.csv' (seed 1992)</t>
  </si>
  <si>
    <t>Line 309:  KOMONDOR SIMULATION 'sim_seed1992_input_nodes_n10_s44_cb4.csv' (seed 1992)</t>
  </si>
  <si>
    <t>Line 317:  KOMONDOR SIMULATION 'sim_seed1992_input_nodes_n10_s45_cb4.csv' (seed 1992)</t>
  </si>
  <si>
    <t>Line 325:  KOMONDOR SIMULATION 'sim_seed1992_input_nodes_n10_s46_cb4.csv' (seed 1992)</t>
  </si>
  <si>
    <t>Line 333:  KOMONDOR SIMULATION 'sim_seed1992_input_nodes_n10_s47_cb4.csv' (seed 1992)</t>
  </si>
  <si>
    <t>Line 341:  KOMONDOR SIMULATION 'sim_seed1992_input_nodes_n10_s48_cb4.csv' (seed 1992)</t>
  </si>
  <si>
    <t>Line 349:  KOMONDOR SIMULATION 'sim_seed1992_input_nodes_n10_s49_cb4.csv' (seed 1992)</t>
  </si>
  <si>
    <t>Line 357:  KOMONDOR SIMULATION 'sim_seed1992_input_nodes_n10_s4_cb4.csv' (seed 1992)</t>
  </si>
  <si>
    <t>Line 365:  KOMONDOR SIMULATION 'sim_seed1992_input_nodes_n10_s5_cb4.csv' (seed 1992)</t>
  </si>
  <si>
    <t>Line 373:  KOMONDOR SIMULATION 'sim_seed1992_input_nodes_n10_s6_cb4.csv' (seed 1992)</t>
  </si>
  <si>
    <t>Line 381:  KOMONDOR SIMULATION 'sim_seed1992_input_nodes_n10_s7_cb4.csv' (seed 1992)</t>
  </si>
  <si>
    <t>Line 389:  KOMONDOR SIMULATION 'sim_seed1992_input_nodes_n10_s8_cb4.csv' (seed 1992)</t>
  </si>
  <si>
    <t>Line 397:  KOMONDOR SIMULATION 'sim_seed1992_input_nodes_n10_s9_cb4.csv' (seed 1992)</t>
  </si>
  <si>
    <t>Line 405:  KOMONDOR SIMULATION 'sim_seed1992_input_nodes_n20_s0_cb4.csv' (seed 1992)</t>
  </si>
  <si>
    <t>Line 413:  KOMONDOR SIMULATION 'sim_seed1992_input_nodes_n20_s10_cb4.csv' (seed 1992)</t>
  </si>
  <si>
    <t>Line 421:  KOMONDOR SIMULATION 'sim_seed1992_input_nodes_n20_s11_cb4.csv' (seed 1992)</t>
  </si>
  <si>
    <t>Line 429:  KOMONDOR SIMULATION 'sim_seed1992_input_nodes_n20_s12_cb4.csv' (seed 1992)</t>
  </si>
  <si>
    <t>Line 437:  KOMONDOR SIMULATION 'sim_seed1992_input_nodes_n20_s13_cb4.csv' (seed 1992)</t>
  </si>
  <si>
    <t>Line 445:  KOMONDOR SIMULATION 'sim_seed1992_input_nodes_n20_s14_cb4.csv' (seed 1992)</t>
  </si>
  <si>
    <t>Line 453:  KOMONDOR SIMULATION 'sim_seed1992_input_nodes_n20_s15_cb4.csv' (seed 1992)</t>
  </si>
  <si>
    <t>Line 461:  KOMONDOR SIMULATION 'sim_seed1992_input_nodes_n20_s16_cb4.csv' (seed 1992)</t>
  </si>
  <si>
    <t>Line 469:  KOMONDOR SIMULATION 'sim_seed1992_input_nodes_n20_s17_cb4.csv' (seed 1992)</t>
  </si>
  <si>
    <t>Line 477:  KOMONDOR SIMULATION 'sim_seed1992_input_nodes_n20_s18_cb4.csv' (seed 1992)</t>
  </si>
  <si>
    <t>Line 485:  KOMONDOR SIMULATION 'sim_seed1992_input_nodes_n20_s19_cb4.csv' (seed 1992)</t>
  </si>
  <si>
    <t>Line 493:  KOMONDOR SIMULATION 'sim_seed1992_input_nodes_n20_s1_cb4.csv' (seed 1992)</t>
  </si>
  <si>
    <t>Line 501:  KOMONDOR SIMULATION 'sim_seed1992_input_nodes_n20_s20_cb4.csv' (seed 1992)</t>
  </si>
  <si>
    <t>Line 509:  KOMONDOR SIMULATION 'sim_seed1992_input_nodes_n20_s21_cb4.csv' (seed 1992)</t>
  </si>
  <si>
    <t>Line 517:  KOMONDOR SIMULATION 'sim_seed1992_input_nodes_n20_s22_cb4.csv' (seed 1992)</t>
  </si>
  <si>
    <t>Line 525:  KOMONDOR SIMULATION 'sim_seed1992_input_nodes_n20_s23_cb4.csv' (seed 1992)</t>
  </si>
  <si>
    <t>Line 533:  KOMONDOR SIMULATION 'sim_seed1992_input_nodes_n20_s24_cb4.csv' (seed 1992)</t>
  </si>
  <si>
    <t>Line 541:  KOMONDOR SIMULATION 'sim_seed1992_input_nodes_n20_s25_cb4.csv' (seed 1992)</t>
  </si>
  <si>
    <t>Line 549:  KOMONDOR SIMULATION 'sim_seed1992_input_nodes_n20_s26_cb4.csv' (seed 1992)</t>
  </si>
  <si>
    <t>Line 557:  KOMONDOR SIMULATION 'sim_seed1992_input_nodes_n20_s27_cb4.csv' (seed 1992)</t>
  </si>
  <si>
    <t>Line 565:  KOMONDOR SIMULATION 'sim_seed1992_input_nodes_n20_s28_cb4.csv' (seed 1992)</t>
  </si>
  <si>
    <t>Line 573:  KOMONDOR SIMULATION 'sim_seed1992_input_nodes_n20_s29_cb4.csv' (seed 1992)</t>
  </si>
  <si>
    <t>Line 581:  KOMONDOR SIMULATION 'sim_seed1992_input_nodes_n20_s2_cb4.csv' (seed 1992)</t>
  </si>
  <si>
    <t>Line 589:  KOMONDOR SIMULATION 'sim_seed1992_input_nodes_n20_s30_cb4.csv' (seed 1992)</t>
  </si>
  <si>
    <t>Line 597:  KOMONDOR SIMULATION 'sim_seed1992_input_nodes_n20_s31_cb4.csv' (seed 1992)</t>
  </si>
  <si>
    <t>Line 605:  KOMONDOR SIMULATION 'sim_seed1992_input_nodes_n20_s32_cb4.csv' (seed 1992)</t>
  </si>
  <si>
    <t>Line 613:  KOMONDOR SIMULATION 'sim_seed1992_input_nodes_n20_s33_cb4.csv' (seed 1992)</t>
  </si>
  <si>
    <t>Line 621:  KOMONDOR SIMULATION 'sim_seed1992_input_nodes_n20_s34_cb4.csv' (seed 1992)</t>
  </si>
  <si>
    <t>Line 629:  KOMONDOR SIMULATION 'sim_seed1992_input_nodes_n20_s35_cb4.csv' (seed 1992)</t>
  </si>
  <si>
    <t>Line 637:  KOMONDOR SIMULATION 'sim_seed1992_input_nodes_n20_s36_cb4.csv' (seed 1992)</t>
  </si>
  <si>
    <t>Line 645:  KOMONDOR SIMULATION 'sim_seed1992_input_nodes_n20_s37_cb4.csv' (seed 1992)</t>
  </si>
  <si>
    <t>Line 653:  KOMONDOR SIMULATION 'sim_seed1992_input_nodes_n20_s38_cb4.csv' (seed 1992)</t>
  </si>
  <si>
    <t>Line 661:  KOMONDOR SIMULATION 'sim_seed1992_input_nodes_n20_s39_cb4.csv' (seed 1992)</t>
  </si>
  <si>
    <t>Line 669:  KOMONDOR SIMULATION 'sim_seed1992_input_nodes_n20_s3_cb4.csv' (seed 1992)</t>
  </si>
  <si>
    <t>Line 677:  KOMONDOR SIMULATION 'sim_seed1992_input_nodes_n20_s40_cb4.csv' (seed 1992)</t>
  </si>
  <si>
    <t>Line 685:  KOMONDOR SIMULATION 'sim_seed1992_input_nodes_n20_s41_cb4.csv' (seed 1992)</t>
  </si>
  <si>
    <t>Line 693:  KOMONDOR SIMULATION 'sim_seed1992_input_nodes_n20_s42_cb4.csv' (seed 1992)</t>
  </si>
  <si>
    <t>Line 701:  KOMONDOR SIMULATION 'sim_seed1992_input_nodes_n20_s43_cb4.csv' (seed 1992)</t>
  </si>
  <si>
    <t>Line 709:  KOMONDOR SIMULATION 'sim_seed1992_input_nodes_n20_s44_cb4.csv' (seed 1992)</t>
  </si>
  <si>
    <t>Line 717:  KOMONDOR SIMULATION 'sim_seed1992_input_nodes_n20_s45_cb4.csv' (seed 1992)</t>
  </si>
  <si>
    <t>Line 725:  KOMONDOR SIMULATION 'sim_seed1992_input_nodes_n20_s46_cb4.csv' (seed 1992)</t>
  </si>
  <si>
    <t>Line 733:  KOMONDOR SIMULATION 'sim_seed1992_input_nodes_n20_s47_cb4.csv' (seed 1992)</t>
  </si>
  <si>
    <t>Line 741:  KOMONDOR SIMULATION 'sim_seed1992_input_nodes_n20_s48_cb4.csv' (seed 1992)</t>
  </si>
  <si>
    <t>Line 749:  KOMONDOR SIMULATION 'sim_seed1992_input_nodes_n20_s49_cb4.csv' (seed 1992)</t>
  </si>
  <si>
    <t>Line 757:  KOMONDOR SIMULATION 'sim_seed1992_input_nodes_n20_s4_cb4.csv' (seed 1992)</t>
  </si>
  <si>
    <t>Line 765:  KOMONDOR SIMULATION 'sim_seed1992_input_nodes_n20_s5_cb4.csv' (seed 1992)</t>
  </si>
  <si>
    <t>Line 773:  KOMONDOR SIMULATION 'sim_seed1992_input_nodes_n20_s6_cb4.csv' (seed 1992)</t>
  </si>
  <si>
    <t>Line 781:  KOMONDOR SIMULATION 'sim_seed1992_input_nodes_n20_s7_cb4.csv' (seed 1992)</t>
  </si>
  <si>
    <t>Line 789:  KOMONDOR SIMULATION 'sim_seed1992_input_nodes_n20_s8_cb4.csv' (seed 1992)</t>
  </si>
  <si>
    <t>Line 797:  KOMONDOR SIMULATION 'sim_seed1992_input_nodes_n20_s9_cb4.csv' (seed 1992)</t>
  </si>
  <si>
    <t>Line 805:  KOMONDOR SIMULATION 'sim_seed1992_input_nodes_n2_s0_cb4.csv' (seed 1992)</t>
  </si>
  <si>
    <t>Line 813:  KOMONDOR SIMULATION 'sim_seed1992_input_nodes_n2_s10_cb4.csv' (seed 1992)</t>
  </si>
  <si>
    <t>Line 821:  KOMONDOR SIMULATION 'sim_seed1992_input_nodes_n2_s11_cb4.csv' (seed 1992)</t>
  </si>
  <si>
    <t>Line 829:  KOMONDOR SIMULATION 'sim_seed1992_input_nodes_n2_s12_cb4.csv' (seed 1992)</t>
  </si>
  <si>
    <t>Line 837:  KOMONDOR SIMULATION 'sim_seed1992_input_nodes_n2_s13_cb4.csv' (seed 1992)</t>
  </si>
  <si>
    <t>Line 845:  KOMONDOR SIMULATION 'sim_seed1992_input_nodes_n2_s14_cb4.csv' (seed 1992)</t>
  </si>
  <si>
    <t>Line 853:  KOMONDOR SIMULATION 'sim_seed1992_input_nodes_n2_s15_cb4.csv' (seed 1992)</t>
  </si>
  <si>
    <t>Line 861:  KOMONDOR SIMULATION 'sim_seed1992_input_nodes_n2_s16_cb4.csv' (seed 1992)</t>
  </si>
  <si>
    <t>Line 869:  KOMONDOR SIMULATION 'sim_seed1992_input_nodes_n2_s17_cb4.csv' (seed 1992)</t>
  </si>
  <si>
    <t>Line 877:  KOMONDOR SIMULATION 'sim_seed1992_input_nodes_n2_s18_cb4.csv' (seed 1992)</t>
  </si>
  <si>
    <t>Line 885:  KOMONDOR SIMULATION 'sim_seed1992_input_nodes_n2_s19_cb4.csv' (seed 1992)</t>
  </si>
  <si>
    <t>Line 893:  KOMONDOR SIMULATION 'sim_seed1992_input_nodes_n2_s1_cb4.csv' (seed 1992)</t>
  </si>
  <si>
    <t>Line 901:  KOMONDOR SIMULATION 'sim_seed1992_input_nodes_n2_s20_cb4.csv' (seed 1992)</t>
  </si>
  <si>
    <t>Line 909:  KOMONDOR SIMULATION 'sim_seed1992_input_nodes_n2_s21_cb4.csv' (seed 1992)</t>
  </si>
  <si>
    <t>Line 917:  KOMONDOR SIMULATION 'sim_seed1992_input_nodes_n2_s22_cb4.csv' (seed 1992)</t>
  </si>
  <si>
    <t>Line 925:  KOMONDOR SIMULATION 'sim_seed1992_input_nodes_n2_s23_cb4.csv' (seed 1992)</t>
  </si>
  <si>
    <t>Line 933:  KOMONDOR SIMULATION 'sim_seed1992_input_nodes_n2_s24_cb4.csv' (seed 1992)</t>
  </si>
  <si>
    <t>Line 941:  KOMONDOR SIMULATION 'sim_seed1992_input_nodes_n2_s25_cb4.csv' (seed 1992)</t>
  </si>
  <si>
    <t>Line 949:  KOMONDOR SIMULATION 'sim_seed1992_input_nodes_n2_s26_cb4.csv' (seed 1992)</t>
  </si>
  <si>
    <t>Line 957:  KOMONDOR SIMULATION 'sim_seed1992_input_nodes_n2_s27_cb4.csv' (seed 1992)</t>
  </si>
  <si>
    <t>Line 965:  KOMONDOR SIMULATION 'sim_seed1992_input_nodes_n2_s28_cb4.csv' (seed 1992)</t>
  </si>
  <si>
    <t>Line 973:  KOMONDOR SIMULATION 'sim_seed1992_input_nodes_n2_s29_cb4.csv' (seed 1992)</t>
  </si>
  <si>
    <t>Line 981:  KOMONDOR SIMULATION 'sim_seed1992_input_nodes_n2_s2_cb4.csv' (seed 1992)</t>
  </si>
  <si>
    <t>Line 989:  KOMONDOR SIMULATION 'sim_seed1992_input_nodes_n2_s30_cb4.csv' (seed 1992)</t>
  </si>
  <si>
    <t>Line 997:  KOMONDOR SIMULATION 'sim_seed1992_input_nodes_n2_s31_cb4.csv' (seed 1992)</t>
  </si>
  <si>
    <t>Line 1005:  KOMONDOR SIMULATION 'sim_seed1992_input_nodes_n2_s32_cb4.csv' (seed 1992)</t>
  </si>
  <si>
    <t>Line 1013:  KOMONDOR SIMULATION 'sim_seed1992_input_nodes_n2_s33_cb4.csv' (seed 1992)</t>
  </si>
  <si>
    <t>Line 1021:  KOMONDOR SIMULATION 'sim_seed1992_input_nodes_n2_s34_cb4.csv' (seed 1992)</t>
  </si>
  <si>
    <t>Line 1029:  KOMONDOR SIMULATION 'sim_seed1992_input_nodes_n2_s35_cb4.csv' (seed 1992)</t>
  </si>
  <si>
    <t>Line 1037:  KOMONDOR SIMULATION 'sim_seed1992_input_nodes_n2_s36_cb4.csv' (seed 1992)</t>
  </si>
  <si>
    <t>Line 1045:  KOMONDOR SIMULATION 'sim_seed1992_input_nodes_n2_s37_cb4.csv' (seed 1992)</t>
  </si>
  <si>
    <t>Line 1053:  KOMONDOR SIMULATION 'sim_seed1992_input_nodes_n2_s38_cb4.csv' (seed 1992)</t>
  </si>
  <si>
    <t>Line 1061:  KOMONDOR SIMULATION 'sim_seed1992_input_nodes_n2_s39_cb4.csv' (seed 1992)</t>
  </si>
  <si>
    <t>Line 1069:  KOMONDOR SIMULATION 'sim_seed1992_input_nodes_n2_s3_cb4.csv' (seed 1992)</t>
  </si>
  <si>
    <t>Line 1077:  KOMONDOR SIMULATION 'sim_seed1992_input_nodes_n2_s40_cb4.csv' (seed 1992)</t>
  </si>
  <si>
    <t>Line 1085:  KOMONDOR SIMULATION 'sim_seed1992_input_nodes_n2_s41_cb4.csv' (seed 1992)</t>
  </si>
  <si>
    <t>Line 1093:  KOMONDOR SIMULATION 'sim_seed1992_input_nodes_n2_s42_cb4.csv' (seed 1992)</t>
  </si>
  <si>
    <t>Line 1101:  KOMONDOR SIMULATION 'sim_seed1992_input_nodes_n2_s43_cb4.csv' (seed 1992)</t>
  </si>
  <si>
    <t>Line 1109:  KOMONDOR SIMULATION 'sim_seed1992_input_nodes_n2_s44_cb4.csv' (seed 1992)</t>
  </si>
  <si>
    <t>Line 1117:  KOMONDOR SIMULATION 'sim_seed1992_input_nodes_n2_s45_cb4.csv' (seed 1992)</t>
  </si>
  <si>
    <t>Line 1125:  KOMONDOR SIMULATION 'sim_seed1992_input_nodes_n2_s46_cb4.csv' (seed 1992)</t>
  </si>
  <si>
    <t>Line 1133:  KOMONDOR SIMULATION 'sim_seed1992_input_nodes_n2_s47_cb4.csv' (seed 1992)</t>
  </si>
  <si>
    <t>Line 1141:  KOMONDOR SIMULATION 'sim_seed1992_input_nodes_n2_s48_cb4.csv' (seed 1992)</t>
  </si>
  <si>
    <t>Line 1149:  KOMONDOR SIMULATION 'sim_seed1992_input_nodes_n2_s49_cb4.csv' (seed 1992)</t>
  </si>
  <si>
    <t>Line 1157:  KOMONDOR SIMULATION 'sim_seed1992_input_nodes_n2_s4_cb4.csv' (seed 1992)</t>
  </si>
  <si>
    <t>Line 1165:  KOMONDOR SIMULATION 'sim_seed1992_input_nodes_n2_s5_cb4.csv' (seed 1992)</t>
  </si>
  <si>
    <t>Line 1173:  KOMONDOR SIMULATION 'sim_seed1992_input_nodes_n2_s6_cb4.csv' (seed 1992)</t>
  </si>
  <si>
    <t>Line 1181:  KOMONDOR SIMULATION 'sim_seed1992_input_nodes_n2_s7_cb4.csv' (seed 1992)</t>
  </si>
  <si>
    <t>Line 1189:  KOMONDOR SIMULATION 'sim_seed1992_input_nodes_n2_s8_cb4.csv' (seed 1992)</t>
  </si>
  <si>
    <t>Line 1197:  KOMONDOR SIMULATION 'sim_seed1992_input_nodes_n2_s9_cb4.csv' (seed 1992)</t>
  </si>
  <si>
    <t>Line 1205:  KOMONDOR SIMULATION 'sim_seed1992_input_nodes_n30_s0_cb4.csv' (seed 1992)</t>
  </si>
  <si>
    <t>Line 1213:  KOMONDOR SIMULATION 'sim_seed1992_input_nodes_n30_s10_cb4.csv' (seed 1992)</t>
  </si>
  <si>
    <t>Line 1221:  KOMONDOR SIMULATION 'sim_seed1992_input_nodes_n30_s11_cb4.csv' (seed 1992)</t>
  </si>
  <si>
    <t>Line 1229:  KOMONDOR SIMULATION 'sim_seed1992_input_nodes_n30_s12_cb4.csv' (seed 1992)</t>
  </si>
  <si>
    <t>Line 1237:  KOMONDOR SIMULATION 'sim_seed1992_input_nodes_n30_s13_cb4.csv' (seed 1992)</t>
  </si>
  <si>
    <t>Line 1245:  KOMONDOR SIMULATION 'sim_seed1992_input_nodes_n30_s14_cb4.csv' (seed 1992)</t>
  </si>
  <si>
    <t>Line 1253:  KOMONDOR SIMULATION 'sim_seed1992_input_nodes_n30_s15_cb4.csv' (seed 1992)</t>
  </si>
  <si>
    <t>Line 1261:  KOMONDOR SIMULATION 'sim_seed1992_input_nodes_n30_s16_cb4.csv' (seed 1992)</t>
  </si>
  <si>
    <t>Line 1269:  KOMONDOR SIMULATION 'sim_seed1992_input_nodes_n30_s17_cb4.csv' (seed 1992)</t>
  </si>
  <si>
    <t>Line 1277:  KOMONDOR SIMULATION 'sim_seed1992_input_nodes_n30_s18_cb4.csv' (seed 1992)</t>
  </si>
  <si>
    <t>Line 1285:  KOMONDOR SIMULATION 'sim_seed1992_input_nodes_n30_s19_cb4.csv' (seed 1992)</t>
  </si>
  <si>
    <t>Line 1293:  KOMONDOR SIMULATION 'sim_seed1992_input_nodes_n30_s1_cb4.csv' (seed 1992)</t>
  </si>
  <si>
    <t>Line 1301:  KOMONDOR SIMULATION 'sim_seed1992_input_nodes_n30_s20_cb4.csv' (seed 1992)</t>
  </si>
  <si>
    <t>Line 1309:  KOMONDOR SIMULATION 'sim_seed1992_input_nodes_n30_s21_cb4.csv' (seed 1992)</t>
  </si>
  <si>
    <t>Line 1317:  KOMONDOR SIMULATION 'sim_seed1992_input_nodes_n30_s22_cb4.csv' (seed 1992)</t>
  </si>
  <si>
    <t>Line 1325:  KOMONDOR SIMULATION 'sim_seed1992_input_nodes_n30_s23_cb4.csv' (seed 1992)</t>
  </si>
  <si>
    <t>Line 1333:  KOMONDOR SIMULATION 'sim_seed1992_input_nodes_n30_s24_cb4.csv' (seed 1992)</t>
  </si>
  <si>
    <t>Line 1341:  KOMONDOR SIMULATION 'sim_seed1992_input_nodes_n30_s25_cb4.csv' (seed 1992)</t>
  </si>
  <si>
    <t>Line 1349:  KOMONDOR SIMULATION 'sim_seed1992_input_nodes_n30_s26_cb4.csv' (seed 1992)</t>
  </si>
  <si>
    <t>Line 1357:  KOMONDOR SIMULATION 'sim_seed1992_input_nodes_n30_s27_cb4.csv' (seed 1992)</t>
  </si>
  <si>
    <t>Line 1365:  KOMONDOR SIMULATION 'sim_seed1992_input_nodes_n30_s28_cb4.csv' (seed 1992)</t>
  </si>
  <si>
    <t>Line 1373:  KOMONDOR SIMULATION 'sim_seed1992_input_nodes_n30_s29_cb4.csv' (seed 1992)</t>
  </si>
  <si>
    <t>Line 1381:  KOMONDOR SIMULATION 'sim_seed1992_input_nodes_n30_s2_cb4.csv' (seed 1992)</t>
  </si>
  <si>
    <t>Line 1389:  KOMONDOR SIMULATION 'sim_seed1992_input_nodes_n30_s30_cb4.csv' (seed 1992)</t>
  </si>
  <si>
    <t>Line 1397:  KOMONDOR SIMULATION 'sim_seed1992_input_nodes_n30_s31_cb4.csv' (seed 1992)</t>
  </si>
  <si>
    <t>Line 1405:  KOMONDOR SIMULATION 'sim_seed1992_input_nodes_n30_s32_cb4.csv' (seed 1992)</t>
  </si>
  <si>
    <t>Line 1413:  KOMONDOR SIMULATION 'sim_seed1992_input_nodes_n30_s33_cb4.csv' (seed 1992)</t>
  </si>
  <si>
    <t>Line 1421:  KOMONDOR SIMULATION 'sim_seed1992_input_nodes_n30_s34_cb4.csv' (seed 1992)</t>
  </si>
  <si>
    <t>Line 1429:  KOMONDOR SIMULATION 'sim_seed1992_input_nodes_n30_s35_cb4.csv' (seed 1992)</t>
  </si>
  <si>
    <t>Line 1437:  KOMONDOR SIMULATION 'sim_seed1992_input_nodes_n30_s36_cb4.csv' (seed 1992)</t>
  </si>
  <si>
    <t>Line 1445:  KOMONDOR SIMULATION 'sim_seed1992_input_nodes_n30_s37_cb4.csv' (seed 1992)</t>
  </si>
  <si>
    <t>Line 1453:  KOMONDOR SIMULATION 'sim_seed1992_input_nodes_n30_s38_cb4.csv' (seed 1992)</t>
  </si>
  <si>
    <t>Line 1461:  KOMONDOR SIMULATION 'sim_seed1992_input_nodes_n30_s39_cb4.csv' (seed 1992)</t>
  </si>
  <si>
    <t>Line 1469:  KOMONDOR SIMULATION 'sim_seed1992_input_nodes_n30_s3_cb4.csv' (seed 1992)</t>
  </si>
  <si>
    <t>Line 1477:  KOMONDOR SIMULATION 'sim_seed1992_input_nodes_n30_s40_cb4.csv' (seed 1992)</t>
  </si>
  <si>
    <t>Line 1485:  KOMONDOR SIMULATION 'sim_seed1992_input_nodes_n30_s41_cb4.csv' (seed 1992)</t>
  </si>
  <si>
    <t>Line 1493:  KOMONDOR SIMULATION 'sim_seed1992_input_nodes_n30_s42_cb4.csv' (seed 1992)</t>
  </si>
  <si>
    <t>Line 1501:  KOMONDOR SIMULATION 'sim_seed1992_input_nodes_n30_s43_cb4.csv' (seed 1992)</t>
  </si>
  <si>
    <t>Line 1509:  KOMONDOR SIMULATION 'sim_seed1992_input_nodes_n30_s44_cb4.csv' (seed 1992)</t>
  </si>
  <si>
    <t>Line 1517:  KOMONDOR SIMULATION 'sim_seed1992_input_nodes_n30_s45_cb4.csv' (seed 1992)</t>
  </si>
  <si>
    <t>Line 1525:  KOMONDOR SIMULATION 'sim_seed1992_input_nodes_n30_s46_cb4.csv' (seed 1992)</t>
  </si>
  <si>
    <t>Line 1533:  KOMONDOR SIMULATION 'sim_seed1992_input_nodes_n30_s47_cb4.csv' (seed 1992)</t>
  </si>
  <si>
    <t>Line 1541:  KOMONDOR SIMULATION 'sim_seed1992_input_nodes_n30_s48_cb4.csv' (seed 1992)</t>
  </si>
  <si>
    <t>Line 1549:  KOMONDOR SIMULATION 'sim_seed1992_input_nodes_n30_s49_cb4.csv' (seed 1992)</t>
  </si>
  <si>
    <t>Line 1557:  KOMONDOR SIMULATION 'sim_seed1992_input_nodes_n30_s4_cb4.csv' (seed 1992)</t>
  </si>
  <si>
    <t>Line 1565:  KOMONDOR SIMULATION 'sim_seed1992_input_nodes_n30_s5_cb4.csv' (seed 1992)</t>
  </si>
  <si>
    <t>Line 1573:  KOMONDOR SIMULATION 'sim_seed1992_input_nodes_n30_s6_cb4.csv' (seed 1992)</t>
  </si>
  <si>
    <t>Line 1581:  KOMONDOR SIMULATION 'sim_seed1992_input_nodes_n30_s7_cb4.csv' (seed 1992)</t>
  </si>
  <si>
    <t>Line 1589:  KOMONDOR SIMULATION 'sim_seed1992_input_nodes_n30_s8_cb4.csv' (seed 1992)</t>
  </si>
  <si>
    <t>Line 1597:  KOMONDOR SIMULATION 'sim_seed1992_input_nodes_n30_s9_cb4.csv' (seed 1992)</t>
  </si>
  <si>
    <t>Line 1605:  KOMONDOR SIMULATION 'sim_seed1992_input_nodes_n40_s0_cb4.csv' (seed 1992)</t>
  </si>
  <si>
    <t>Line 1613:  KOMONDOR SIMULATION 'sim_seed1992_input_nodes_n40_s10_cb4.csv' (seed 1992)</t>
  </si>
  <si>
    <t>Line 1621:  KOMONDOR SIMULATION 'sim_seed1992_input_nodes_n40_s11_cb4.csv' (seed 1992)</t>
  </si>
  <si>
    <t>Line 1629:  KOMONDOR SIMULATION 'sim_seed1992_input_nodes_n40_s12_cb4.csv' (seed 1992)</t>
  </si>
  <si>
    <t>Line 1637:  KOMONDOR SIMULATION 'sim_seed1992_input_nodes_n40_s13_cb4.csv' (seed 1992)</t>
  </si>
  <si>
    <t>Line 1645:  KOMONDOR SIMULATION 'sim_seed1992_input_nodes_n40_s14_cb4.csv' (seed 1992)</t>
  </si>
  <si>
    <t>Line 1653:  KOMONDOR SIMULATION 'sim_seed1992_input_nodes_n40_s15_cb4.csv' (seed 1992)</t>
  </si>
  <si>
    <t>Line 1661:  KOMONDOR SIMULATION 'sim_seed1992_input_nodes_n40_s16_cb4.csv' (seed 1992)</t>
  </si>
  <si>
    <t>Line 1669:  KOMONDOR SIMULATION 'sim_seed1992_input_nodes_n40_s17_cb4.csv' (seed 1992)</t>
  </si>
  <si>
    <t>Line 1677:  KOMONDOR SIMULATION 'sim_seed1992_input_nodes_n40_s18_cb4.csv' (seed 1992)</t>
  </si>
  <si>
    <t>Line 1685:  KOMONDOR SIMULATION 'sim_seed1992_input_nodes_n40_s19_cb4.csv' (seed 1992)</t>
  </si>
  <si>
    <t>Line 1693:  KOMONDOR SIMULATION 'sim_seed1992_input_nodes_n40_s1_cb4.csv' (seed 1992)</t>
  </si>
  <si>
    <t>Line 1701:  KOMONDOR SIMULATION 'sim_seed1992_input_nodes_n40_s20_cb4.csv' (seed 1992)</t>
  </si>
  <si>
    <t>Line 1709:  KOMONDOR SIMULATION 'sim_seed1992_input_nodes_n40_s21_cb4.csv' (seed 1992)</t>
  </si>
  <si>
    <t>Line 1717:  KOMONDOR SIMULATION 'sim_seed1992_input_nodes_n40_s22_cb4.csv' (seed 1992)</t>
  </si>
  <si>
    <t>Line 1725:  KOMONDOR SIMULATION 'sim_seed1992_input_nodes_n40_s23_cb4.csv' (seed 1992)</t>
  </si>
  <si>
    <t>Line 1733:  KOMONDOR SIMULATION 'sim_seed1992_input_nodes_n40_s24_cb4.csv' (seed 1992)</t>
  </si>
  <si>
    <t>Line 1741:  KOMONDOR SIMULATION 'sim_seed1992_input_nodes_n40_s25_cb4.csv' (seed 1992)</t>
  </si>
  <si>
    <t>Line 1749:  KOMONDOR SIMULATION 'sim_seed1992_input_nodes_n40_s26_cb4.csv' (seed 1992)</t>
  </si>
  <si>
    <t>Line 1757:  KOMONDOR SIMULATION 'sim_seed1992_input_nodes_n40_s27_cb4.csv' (seed 1992)</t>
  </si>
  <si>
    <t>Line 1765:  KOMONDOR SIMULATION 'sim_seed1992_input_nodes_n40_s28_cb4.csv' (seed 1992)</t>
  </si>
  <si>
    <t>Line 1773:  KOMONDOR SIMULATION 'sim_seed1992_input_nodes_n40_s29_cb4.csv' (seed 1992)</t>
  </si>
  <si>
    <t>Line 1781:  KOMONDOR SIMULATION 'sim_seed1992_input_nodes_n40_s2_cb4.csv' (seed 1992)</t>
  </si>
  <si>
    <t>Line 1789:  KOMONDOR SIMULATION 'sim_seed1992_input_nodes_n40_s30_cb4.csv' (seed 1992)</t>
  </si>
  <si>
    <t>Line 1797:  KOMONDOR SIMULATION 'sim_seed1992_input_nodes_n40_s31_cb4.csv' (seed 1992)</t>
  </si>
  <si>
    <t>Line 1805:  KOMONDOR SIMULATION 'sim_seed1992_input_nodes_n40_s32_cb4.csv' (seed 1992)</t>
  </si>
  <si>
    <t>Line 1813:  KOMONDOR SIMULATION 'sim_seed1992_input_nodes_n40_s33_cb4.csv' (seed 1992)</t>
  </si>
  <si>
    <t>Line 1821:  KOMONDOR SIMULATION 'sim_seed1992_input_nodes_n40_s34_cb4.csv' (seed 1992)</t>
  </si>
  <si>
    <t>Line 1829:  KOMONDOR SIMULATION 'sim_seed1992_input_nodes_n40_s35_cb4.csv' (seed 1992)</t>
  </si>
  <si>
    <t>Line 1837:  KOMONDOR SIMULATION 'sim_seed1992_input_nodes_n40_s36_cb4.csv' (seed 1992)</t>
  </si>
  <si>
    <t>Line 1845:  KOMONDOR SIMULATION 'sim_seed1992_input_nodes_n40_s37_cb4.csv' (seed 1992)</t>
  </si>
  <si>
    <t>Line 1853:  KOMONDOR SIMULATION 'sim_seed1992_input_nodes_n40_s38_cb4.csv' (seed 1992)</t>
  </si>
  <si>
    <t>Line 1861:  KOMONDOR SIMULATION 'sim_seed1992_input_nodes_n40_s39_cb4.csv' (seed 1992)</t>
  </si>
  <si>
    <t>Line 1869:  KOMONDOR SIMULATION 'sim_seed1992_input_nodes_n40_s3_cb4.csv' (seed 1992)</t>
  </si>
  <si>
    <t>Line 1877:  KOMONDOR SIMULATION 'sim_seed1992_input_nodes_n40_s40_cb4.csv' (seed 1992)</t>
  </si>
  <si>
    <t>Line 1885:  KOMONDOR SIMULATION 'sim_seed1992_input_nodes_n40_s41_cb4.csv' (seed 1992)</t>
  </si>
  <si>
    <t>Line 1893:  KOMONDOR SIMULATION 'sim_seed1992_input_nodes_n40_s42_cb4.csv' (seed 1992)</t>
  </si>
  <si>
    <t>Line 1901:  KOMONDOR SIMULATION 'sim_seed1992_input_nodes_n40_s43_cb4.csv' (seed 1992)</t>
  </si>
  <si>
    <t>Line 1909:  KOMONDOR SIMULATION 'sim_seed1992_input_nodes_n40_s44_cb4.csv' (seed 1992)</t>
  </si>
  <si>
    <t>Line 1917:  KOMONDOR SIMULATION 'sim_seed1992_input_nodes_n40_s45_cb4.csv' (seed 1992)</t>
  </si>
  <si>
    <t>Line 1925:  KOMONDOR SIMULATION 'sim_seed1992_input_nodes_n40_s46_cb4.csv' (seed 1992)</t>
  </si>
  <si>
    <t>Line 1933:  KOMONDOR SIMULATION 'sim_seed1992_input_nodes_n40_s47_cb4.csv' (seed 1992)</t>
  </si>
  <si>
    <t>Line 1941:  KOMONDOR SIMULATION 'sim_seed1992_input_nodes_n40_s48_cb4.csv' (seed 1992)</t>
  </si>
  <si>
    <t>Line 1949:  KOMONDOR SIMULATION 'sim_seed1992_input_nodes_n40_s49_cb4.csv' (seed 1992)</t>
  </si>
  <si>
    <t>Line 1957:  KOMONDOR SIMULATION 'sim_seed1992_input_nodes_n40_s4_cb4.csv' (seed 1992)</t>
  </si>
  <si>
    <t>Line 1965:  KOMONDOR SIMULATION 'sim_seed1992_input_nodes_n40_s5_cb4.csv' (seed 1992)</t>
  </si>
  <si>
    <t>Line 1973:  KOMONDOR SIMULATION 'sim_seed1992_input_nodes_n40_s6_cb4.csv' (seed 1992)</t>
  </si>
  <si>
    <t>Line 1981:  KOMONDOR SIMULATION 'sim_seed1992_input_nodes_n40_s7_cb4.csv' (seed 1992)</t>
  </si>
  <si>
    <t>Line 1989:  KOMONDOR SIMULATION 'sim_seed1992_input_nodes_n40_s8_cb4.csv' (seed 1992)</t>
  </si>
  <si>
    <t>Line 1997:  KOMONDOR SIMULATION 'sim_seed1992_input_nodes_n40_s9_cb4.csv' (seed 1992)</t>
  </si>
  <si>
    <t>Line 2005:  KOMONDOR SIMULATION 'sim_seed1992_input_nodes_n5_s0_cb4.csv' (seed 1992)</t>
  </si>
  <si>
    <t>Line 2013:  KOMONDOR SIMULATION 'sim_seed1992_input_nodes_n5_s10_cb4.csv' (seed 1992)</t>
  </si>
  <si>
    <t>Line 2021:  KOMONDOR SIMULATION 'sim_seed1992_input_nodes_n5_s11_cb4.csv' (seed 1992)</t>
  </si>
  <si>
    <t>Line 2029:  KOMONDOR SIMULATION 'sim_seed1992_input_nodes_n5_s12_cb4.csv' (seed 1992)</t>
  </si>
  <si>
    <t>Line 2037:  KOMONDOR SIMULATION 'sim_seed1992_input_nodes_n5_s13_cb4.csv' (seed 1992)</t>
  </si>
  <si>
    <t>Line 2045:  KOMONDOR SIMULATION 'sim_seed1992_input_nodes_n5_s14_cb4.csv' (seed 1992)</t>
  </si>
  <si>
    <t>Line 2053:  KOMONDOR SIMULATION 'sim_seed1992_input_nodes_n5_s15_cb4.csv' (seed 1992)</t>
  </si>
  <si>
    <t>Line 2061:  KOMONDOR SIMULATION 'sim_seed1992_input_nodes_n5_s16_cb4.csv' (seed 1992)</t>
  </si>
  <si>
    <t>Line 2069:  KOMONDOR SIMULATION 'sim_seed1992_input_nodes_n5_s17_cb4.csv' (seed 1992)</t>
  </si>
  <si>
    <t>Line 2077:  KOMONDOR SIMULATION 'sim_seed1992_input_nodes_n5_s18_cb4.csv' (seed 1992)</t>
  </si>
  <si>
    <t>Line 2085:  KOMONDOR SIMULATION 'sim_seed1992_input_nodes_n5_s19_cb4.csv' (seed 1992)</t>
  </si>
  <si>
    <t>Line 2093:  KOMONDOR SIMULATION 'sim_seed1992_input_nodes_n5_s1_cb4.csv' (seed 1992)</t>
  </si>
  <si>
    <t>Line 2101:  KOMONDOR SIMULATION 'sim_seed1992_input_nodes_n5_s20_cb4.csv' (seed 1992)</t>
  </si>
  <si>
    <t>Line 2109:  KOMONDOR SIMULATION 'sim_seed1992_input_nodes_n5_s21_cb4.csv' (seed 1992)</t>
  </si>
  <si>
    <t>Line 2117:  KOMONDOR SIMULATION 'sim_seed1992_input_nodes_n5_s22_cb4.csv' (seed 1992)</t>
  </si>
  <si>
    <t>Line 2125:  KOMONDOR SIMULATION 'sim_seed1992_input_nodes_n5_s23_cb4.csv' (seed 1992)</t>
  </si>
  <si>
    <t>Line 2133:  KOMONDOR SIMULATION 'sim_seed1992_input_nodes_n5_s24_cb4.csv' (seed 1992)</t>
  </si>
  <si>
    <t>Line 2141:  KOMONDOR SIMULATION 'sim_seed1992_input_nodes_n5_s25_cb4.csv' (seed 1992)</t>
  </si>
  <si>
    <t>Line 2149:  KOMONDOR SIMULATION 'sim_seed1992_input_nodes_n5_s26_cb4.csv' (seed 1992)</t>
  </si>
  <si>
    <t>Line 2157:  KOMONDOR SIMULATION 'sim_seed1992_input_nodes_n5_s27_cb4.csv' (seed 1992)</t>
  </si>
  <si>
    <t>Line 2165:  KOMONDOR SIMULATION 'sim_seed1992_input_nodes_n5_s28_cb4.csv' (seed 1992)</t>
  </si>
  <si>
    <t>Line 2173:  KOMONDOR SIMULATION 'sim_seed1992_input_nodes_n5_s29_cb4.csv' (seed 1992)</t>
  </si>
  <si>
    <t>Line 2181:  KOMONDOR SIMULATION 'sim_seed1992_input_nodes_n5_s2_cb4.csv' (seed 1992)</t>
  </si>
  <si>
    <t>Line 2189:  KOMONDOR SIMULATION 'sim_seed1992_input_nodes_n5_s30_cb4.csv' (seed 1992)</t>
  </si>
  <si>
    <t>Line 2197:  KOMONDOR SIMULATION 'sim_seed1992_input_nodes_n5_s31_cb4.csv' (seed 1992)</t>
  </si>
  <si>
    <t>Line 2205:  KOMONDOR SIMULATION 'sim_seed1992_input_nodes_n5_s32_cb4.csv' (seed 1992)</t>
  </si>
  <si>
    <t>Line 2213:  KOMONDOR SIMULATION 'sim_seed1992_input_nodes_n5_s33_cb4.csv' (seed 1992)</t>
  </si>
  <si>
    <t>Line 2221:  KOMONDOR SIMULATION 'sim_seed1992_input_nodes_n5_s34_cb4.csv' (seed 1992)</t>
  </si>
  <si>
    <t>Line 2229:  KOMONDOR SIMULATION 'sim_seed1992_input_nodes_n5_s35_cb4.csv' (seed 1992)</t>
  </si>
  <si>
    <t>Line 2237:  KOMONDOR SIMULATION 'sim_seed1992_input_nodes_n5_s36_cb4.csv' (seed 1992)</t>
  </si>
  <si>
    <t>Line 2245:  KOMONDOR SIMULATION 'sim_seed1992_input_nodes_n5_s37_cb4.csv' (seed 1992)</t>
  </si>
  <si>
    <t>Line 2253:  KOMONDOR SIMULATION 'sim_seed1992_input_nodes_n5_s38_cb4.csv' (seed 1992)</t>
  </si>
  <si>
    <t>Line 2261:  KOMONDOR SIMULATION 'sim_seed1992_input_nodes_n5_s39_cb4.csv' (seed 1992)</t>
  </si>
  <si>
    <t>Line 2269:  KOMONDOR SIMULATION 'sim_seed1992_input_nodes_n5_s3_cb4.csv' (seed 1992)</t>
  </si>
  <si>
    <t>Line 2277:  KOMONDOR SIMULATION 'sim_seed1992_input_nodes_n5_s40_cb4.csv' (seed 1992)</t>
  </si>
  <si>
    <t>Line 2285:  KOMONDOR SIMULATION 'sim_seed1992_input_nodes_n5_s41_cb4.csv' (seed 1992)</t>
  </si>
  <si>
    <t>Line 2293:  KOMONDOR SIMULATION 'sim_seed1992_input_nodes_n5_s42_cb4.csv' (seed 1992)</t>
  </si>
  <si>
    <t>Line 2301:  KOMONDOR SIMULATION 'sim_seed1992_input_nodes_n5_s43_cb4.csv' (seed 1992)</t>
  </si>
  <si>
    <t>Line 2309:  KOMONDOR SIMULATION 'sim_seed1992_input_nodes_n5_s44_cb4.csv' (seed 1992)</t>
  </si>
  <si>
    <t>Line 2317:  KOMONDOR SIMULATION 'sim_seed1992_input_nodes_n5_s45_cb4.csv' (seed 1992)</t>
  </si>
  <si>
    <t>Line 2325:  KOMONDOR SIMULATION 'sim_seed1992_input_nodes_n5_s46_cb4.csv' (seed 1992)</t>
  </si>
  <si>
    <t>Line 2333:  KOMONDOR SIMULATION 'sim_seed1992_input_nodes_n5_s47_cb4.csv' (seed 1992)</t>
  </si>
  <si>
    <t>Line 2341:  KOMONDOR SIMULATION 'sim_seed1992_input_nodes_n5_s48_cb4.csv' (seed 1992)</t>
  </si>
  <si>
    <t>Line 2349:  KOMONDOR SIMULATION 'sim_seed1992_input_nodes_n5_s49_cb4.csv' (seed 1992)</t>
  </si>
  <si>
    <t>Line 2357:  KOMONDOR SIMULATION 'sim_seed1992_input_nodes_n5_s4_cb4.csv' (seed 1992)</t>
  </si>
  <si>
    <t>Line 2365:  KOMONDOR SIMULATION 'sim_seed1992_input_nodes_n5_s5_cb4.csv' (seed 1992)</t>
  </si>
  <si>
    <t>Line 2373:  KOMONDOR SIMULATION 'sim_seed1992_input_nodes_n5_s6_cb4.csv' (seed 1992)</t>
  </si>
  <si>
    <t>Line 2381:  KOMONDOR SIMULATION 'sim_seed1992_input_nodes_n5_s7_cb4.csv' (seed 1992)</t>
  </si>
  <si>
    <t>Line 2389:  KOMONDOR SIMULATION 'sim_seed1992_input_nodes_n5_s8_cb4.csv' (seed 1992)</t>
  </si>
  <si>
    <t>Line 2397:  KOMONDOR SIMULATION 'sim_seed1992_input_nodes_n5_s9_cb4.csv' (seed 1992)</t>
  </si>
  <si>
    <t>Scenarios</t>
  </si>
  <si>
    <t>50 scenarios per N value</t>
  </si>
  <si>
    <t>Line 7:  KOMONDOR SIMULATION 'sim_seed1992_input_nodes_n10_s0_cb6.csv' (seed 1992)</t>
  </si>
  <si>
    <t>Line 15:  KOMONDOR SIMULATION 'sim_seed1992_input_nodes_n10_s10_cb6.csv' (seed 1992)</t>
  </si>
  <si>
    <t>Line 23:  KOMONDOR SIMULATION 'sim_seed1992_input_nodes_n10_s11_cb6.csv' (seed 1992)</t>
  </si>
  <si>
    <t>Line 31:  KOMONDOR SIMULATION 'sim_seed1992_input_nodes_n10_s12_cb6.csv' (seed 1992)</t>
  </si>
  <si>
    <t>Line 39:  KOMONDOR SIMULATION 'sim_seed1992_input_nodes_n10_s13_cb6.csv' (seed 1992)</t>
  </si>
  <si>
    <t>Line 47:  KOMONDOR SIMULATION 'sim_seed1992_input_nodes_n10_s14_cb6.csv' (seed 1992)</t>
  </si>
  <si>
    <t>Line 55:  KOMONDOR SIMULATION 'sim_seed1992_input_nodes_n10_s15_cb6.csv' (seed 1992)</t>
  </si>
  <si>
    <t>Line 63:  KOMONDOR SIMULATION 'sim_seed1992_input_nodes_n10_s16_cb6.csv' (seed 1992)</t>
  </si>
  <si>
    <t>Line 71:  KOMONDOR SIMULATION 'sim_seed1992_input_nodes_n10_s17_cb6.csv' (seed 1992)</t>
  </si>
  <si>
    <t>Line 79:  KOMONDOR SIMULATION 'sim_seed1992_input_nodes_n10_s18_cb6.csv' (seed 1992)</t>
  </si>
  <si>
    <t>Line 87:  KOMONDOR SIMULATION 'sim_seed1992_input_nodes_n10_s19_cb6.csv' (seed 1992)</t>
  </si>
  <si>
    <t>Line 95:  KOMONDOR SIMULATION 'sim_seed1992_input_nodes_n10_s1_cb6.csv' (seed 1992)</t>
  </si>
  <si>
    <t>Line 103:  KOMONDOR SIMULATION 'sim_seed1992_input_nodes_n10_s20_cb6.csv' (seed 1992)</t>
  </si>
  <si>
    <t>Line 111:  KOMONDOR SIMULATION 'sim_seed1992_input_nodes_n10_s21_cb6.csv' (seed 1992)</t>
  </si>
  <si>
    <t>Line 119:  KOMONDOR SIMULATION 'sim_seed1992_input_nodes_n10_s22_cb6.csv' (seed 1992)</t>
  </si>
  <si>
    <t>Line 127:  KOMONDOR SIMULATION 'sim_seed1992_input_nodes_n10_s23_cb6.csv' (seed 1992)</t>
  </si>
  <si>
    <t>Line 135:  KOMONDOR SIMULATION 'sim_seed1992_input_nodes_n10_s24_cb6.csv' (seed 1992)</t>
  </si>
  <si>
    <t>Line 143:  KOMONDOR SIMULATION 'sim_seed1992_input_nodes_n10_s25_cb6.csv' (seed 1992)</t>
  </si>
  <si>
    <t>Line 151:  KOMONDOR SIMULATION 'sim_seed1992_input_nodes_n10_s26_cb6.csv' (seed 1992)</t>
  </si>
  <si>
    <t>Line 159:  KOMONDOR SIMULATION 'sim_seed1992_input_nodes_n10_s27_cb6.csv' (seed 1992)</t>
  </si>
  <si>
    <t>Line 167:  KOMONDOR SIMULATION 'sim_seed1992_input_nodes_n10_s28_cb6.csv' (seed 1992)</t>
  </si>
  <si>
    <t>Line 175:  KOMONDOR SIMULATION 'sim_seed1992_input_nodes_n10_s29_cb6.csv' (seed 1992)</t>
  </si>
  <si>
    <t>Line 183:  KOMONDOR SIMULATION 'sim_seed1992_input_nodes_n10_s2_cb6.csv' (seed 1992)</t>
  </si>
  <si>
    <t>Line 191:  KOMONDOR SIMULATION 'sim_seed1992_input_nodes_n10_s30_cb6.csv' (seed 1992)</t>
  </si>
  <si>
    <t>Line 199:  KOMONDOR SIMULATION 'sim_seed1992_input_nodes_n10_s31_cb6.csv' (seed 1992)</t>
  </si>
  <si>
    <t>Line 207:  KOMONDOR SIMULATION 'sim_seed1992_input_nodes_n10_s32_cb6.csv' (seed 1992)</t>
  </si>
  <si>
    <t>Line 215:  KOMONDOR SIMULATION 'sim_seed1992_input_nodes_n10_s33_cb6.csv' (seed 1992)</t>
  </si>
  <si>
    <t>Line 223:  KOMONDOR SIMULATION 'sim_seed1992_input_nodes_n10_s34_cb6.csv' (seed 1992)</t>
  </si>
  <si>
    <t>Line 231:  KOMONDOR SIMULATION 'sim_seed1992_input_nodes_n10_s35_cb6.csv' (seed 1992)</t>
  </si>
  <si>
    <t>Line 239:  KOMONDOR SIMULATION 'sim_seed1992_input_nodes_n10_s36_cb6.csv' (seed 1992)</t>
  </si>
  <si>
    <t>Line 247:  KOMONDOR SIMULATION 'sim_seed1992_input_nodes_n10_s37_cb6.csv' (seed 1992)</t>
  </si>
  <si>
    <t>Line 255:  KOMONDOR SIMULATION 'sim_seed1992_input_nodes_n10_s38_cb6.csv' (seed 1992)</t>
  </si>
  <si>
    <t>Line 263:  KOMONDOR SIMULATION 'sim_seed1992_input_nodes_n10_s39_cb6.csv' (seed 1992)</t>
  </si>
  <si>
    <t>Line 271:  KOMONDOR SIMULATION 'sim_seed1992_input_nodes_n10_s3_cb6.csv' (seed 1992)</t>
  </si>
  <si>
    <t>Line 279:  KOMONDOR SIMULATION 'sim_seed1992_input_nodes_n10_s40_cb6.csv' (seed 1992)</t>
  </si>
  <si>
    <t>Line 287:  KOMONDOR SIMULATION 'sim_seed1992_input_nodes_n10_s41_cb6.csv' (seed 1992)</t>
  </si>
  <si>
    <t>Line 295:  KOMONDOR SIMULATION 'sim_seed1992_input_nodes_n10_s42_cb6.csv' (seed 1992)</t>
  </si>
  <si>
    <t>Line 303:  KOMONDOR SIMULATION 'sim_seed1992_input_nodes_n10_s43_cb6.csv' (seed 1992)</t>
  </si>
  <si>
    <t>Line 311:  KOMONDOR SIMULATION 'sim_seed1992_input_nodes_n10_s44_cb6.csv' (seed 1992)</t>
  </si>
  <si>
    <t>Line 319:  KOMONDOR SIMULATION 'sim_seed1992_input_nodes_n10_s45_cb6.csv' (seed 1992)</t>
  </si>
  <si>
    <t>Line 327:  KOMONDOR SIMULATION 'sim_seed1992_input_nodes_n10_s46_cb6.csv' (seed 1992)</t>
  </si>
  <si>
    <t>Line 335:  KOMONDOR SIMULATION 'sim_seed1992_input_nodes_n10_s47_cb6.csv' (seed 1992)</t>
  </si>
  <si>
    <t>Line 343:  KOMONDOR SIMULATION 'sim_seed1992_input_nodes_n10_s48_cb6.csv' (seed 1992)</t>
  </si>
  <si>
    <t>Line 351:  KOMONDOR SIMULATION 'sim_seed1992_input_nodes_n10_s49_cb6.csv' (seed 1992)</t>
  </si>
  <si>
    <t>Line 359:  KOMONDOR SIMULATION 'sim_seed1992_input_nodes_n10_s4_cb6.csv' (seed 1992)</t>
  </si>
  <si>
    <t>Line 367:  KOMONDOR SIMULATION 'sim_seed1992_input_nodes_n10_s5_cb6.csv' (seed 1992)</t>
  </si>
  <si>
    <t>Line 375:  KOMONDOR SIMULATION 'sim_seed1992_input_nodes_n10_s6_cb6.csv' (seed 1992)</t>
  </si>
  <si>
    <t>Line 383:  KOMONDOR SIMULATION 'sim_seed1992_input_nodes_n10_s7_cb6.csv' (seed 1992)</t>
  </si>
  <si>
    <t>Line 391:  KOMONDOR SIMULATION 'sim_seed1992_input_nodes_n10_s8_cb6.csv' (seed 1992)</t>
  </si>
  <si>
    <t>Line 399:  KOMONDOR SIMULATION 'sim_seed1992_input_nodes_n10_s9_cb6.csv' (seed 1992)</t>
  </si>
  <si>
    <t>Line 407:  KOMONDOR SIMULATION 'sim_seed1992_input_nodes_n20_s0_cb6.csv' (seed 1992)</t>
  </si>
  <si>
    <t>Line 415:  KOMONDOR SIMULATION 'sim_seed1992_input_nodes_n20_s10_cb6.csv' (seed 1992)</t>
  </si>
  <si>
    <t>Line 423:  KOMONDOR SIMULATION 'sim_seed1992_input_nodes_n20_s11_cb6.csv' (seed 1992)</t>
  </si>
  <si>
    <t>Line 431:  KOMONDOR SIMULATION 'sim_seed1992_input_nodes_n20_s12_cb6.csv' (seed 1992)</t>
  </si>
  <si>
    <t>Line 439:  KOMONDOR SIMULATION 'sim_seed1992_input_nodes_n20_s13_cb6.csv' (seed 1992)</t>
  </si>
  <si>
    <t>Line 447:  KOMONDOR SIMULATION 'sim_seed1992_input_nodes_n20_s14_cb6.csv' (seed 1992)</t>
  </si>
  <si>
    <t>Line 455:  KOMONDOR SIMULATION 'sim_seed1992_input_nodes_n20_s15_cb6.csv' (seed 1992)</t>
  </si>
  <si>
    <t>Line 463:  KOMONDOR SIMULATION 'sim_seed1992_input_nodes_n20_s16_cb6.csv' (seed 1992)</t>
  </si>
  <si>
    <t>Line 471:  KOMONDOR SIMULATION 'sim_seed1992_input_nodes_n20_s17_cb6.csv' (seed 1992)</t>
  </si>
  <si>
    <t>Line 479:  KOMONDOR SIMULATION 'sim_seed1992_input_nodes_n20_s18_cb6.csv' (seed 1992)</t>
  </si>
  <si>
    <t>Line 487:  KOMONDOR SIMULATION 'sim_seed1992_input_nodes_n20_s19_cb6.csv' (seed 1992)</t>
  </si>
  <si>
    <t>Line 495:  KOMONDOR SIMULATION 'sim_seed1992_input_nodes_n20_s1_cb6.csv' (seed 1992)</t>
  </si>
  <si>
    <t>Line 503:  KOMONDOR SIMULATION 'sim_seed1992_input_nodes_n20_s20_cb6.csv' (seed 1992)</t>
  </si>
  <si>
    <t>Line 511:  KOMONDOR SIMULATION 'sim_seed1992_input_nodes_n20_s21_cb6.csv' (seed 1992)</t>
  </si>
  <si>
    <t>Line 519:  KOMONDOR SIMULATION 'sim_seed1992_input_nodes_n20_s22_cb6.csv' (seed 1992)</t>
  </si>
  <si>
    <t>Line 527:  KOMONDOR SIMULATION 'sim_seed1992_input_nodes_n20_s23_cb6.csv' (seed 1992)</t>
  </si>
  <si>
    <t>Line 535:  KOMONDOR SIMULATION 'sim_seed1992_input_nodes_n20_s24_cb6.csv' (seed 1992)</t>
  </si>
  <si>
    <t>Line 543:  KOMONDOR SIMULATION 'sim_seed1992_input_nodes_n20_s25_cb6.csv' (seed 1992)</t>
  </si>
  <si>
    <t>Line 551:  KOMONDOR SIMULATION 'sim_seed1992_input_nodes_n20_s26_cb6.csv' (seed 1992)</t>
  </si>
  <si>
    <t>Line 559:  KOMONDOR SIMULATION 'sim_seed1992_input_nodes_n20_s27_cb6.csv' (seed 1992)</t>
  </si>
  <si>
    <t>Line 567:  KOMONDOR SIMULATION 'sim_seed1992_input_nodes_n20_s28_cb6.csv' (seed 1992)</t>
  </si>
  <si>
    <t>Line 575:  KOMONDOR SIMULATION 'sim_seed1992_input_nodes_n20_s29_cb6.csv' (seed 1992)</t>
  </si>
  <si>
    <t>Line 583:  KOMONDOR SIMULATION 'sim_seed1992_input_nodes_n20_s2_cb6.csv' (seed 1992)</t>
  </si>
  <si>
    <t>Line 591:  KOMONDOR SIMULATION 'sim_seed1992_input_nodes_n20_s30_cb6.csv' (seed 1992)</t>
  </si>
  <si>
    <t>Line 599:  KOMONDOR SIMULATION 'sim_seed1992_input_nodes_n20_s31_cb6.csv' (seed 1992)</t>
  </si>
  <si>
    <t>Line 607:  KOMONDOR SIMULATION 'sim_seed1992_input_nodes_n20_s32_cb6.csv' (seed 1992)</t>
  </si>
  <si>
    <t>Line 615:  KOMONDOR SIMULATION 'sim_seed1992_input_nodes_n20_s33_cb6.csv' (seed 1992)</t>
  </si>
  <si>
    <t>Line 623:  KOMONDOR SIMULATION 'sim_seed1992_input_nodes_n20_s34_cb6.csv' (seed 1992)</t>
  </si>
  <si>
    <t>Line 631:  KOMONDOR SIMULATION 'sim_seed1992_input_nodes_n20_s35_cb6.csv' (seed 1992)</t>
  </si>
  <si>
    <t>Line 639:  KOMONDOR SIMULATION 'sim_seed1992_input_nodes_n20_s36_cb6.csv' (seed 1992)</t>
  </si>
  <si>
    <t>Line 647:  KOMONDOR SIMULATION 'sim_seed1992_input_nodes_n20_s37_cb6.csv' (seed 1992)</t>
  </si>
  <si>
    <t>Line 655:  KOMONDOR SIMULATION 'sim_seed1992_input_nodes_n20_s38_cb6.csv' (seed 1992)</t>
  </si>
  <si>
    <t>Line 663:  KOMONDOR SIMULATION 'sim_seed1992_input_nodes_n20_s39_cb6.csv' (seed 1992)</t>
  </si>
  <si>
    <t>Line 671:  KOMONDOR SIMULATION 'sim_seed1992_input_nodes_n20_s3_cb6.csv' (seed 1992)</t>
  </si>
  <si>
    <t>Line 679:  KOMONDOR SIMULATION 'sim_seed1992_input_nodes_n20_s40_cb6.csv' (seed 1992)</t>
  </si>
  <si>
    <t>Line 687:  KOMONDOR SIMULATION 'sim_seed1992_input_nodes_n20_s41_cb6.csv' (seed 1992)</t>
  </si>
  <si>
    <t>Line 695:  KOMONDOR SIMULATION 'sim_seed1992_input_nodes_n20_s42_cb6.csv' (seed 1992)</t>
  </si>
  <si>
    <t>Line 703:  KOMONDOR SIMULATION 'sim_seed1992_input_nodes_n20_s43_cb6.csv' (seed 1992)</t>
  </si>
  <si>
    <t>Line 711:  KOMONDOR SIMULATION 'sim_seed1992_input_nodes_n20_s44_cb6.csv' (seed 1992)</t>
  </si>
  <si>
    <t>Line 719:  KOMONDOR SIMULATION 'sim_seed1992_input_nodes_n20_s45_cb6.csv' (seed 1992)</t>
  </si>
  <si>
    <t>Line 727:  KOMONDOR SIMULATION 'sim_seed1992_input_nodes_n20_s46_cb6.csv' (seed 1992)</t>
  </si>
  <si>
    <t>Line 735:  KOMONDOR SIMULATION 'sim_seed1992_input_nodes_n20_s47_cb6.csv' (seed 1992)</t>
  </si>
  <si>
    <t>Line 743:  KOMONDOR SIMULATION 'sim_seed1992_input_nodes_n20_s48_cb6.csv' (seed 1992)</t>
  </si>
  <si>
    <t>Line 751:  KOMONDOR SIMULATION 'sim_seed1992_input_nodes_n20_s49_cb6.csv' (seed 1992)</t>
  </si>
  <si>
    <t>Line 759:  KOMONDOR SIMULATION 'sim_seed1992_input_nodes_n20_s4_cb6.csv' (seed 1992)</t>
  </si>
  <si>
    <t>Line 767:  KOMONDOR SIMULATION 'sim_seed1992_input_nodes_n20_s5_cb6.csv' (seed 1992)</t>
  </si>
  <si>
    <t>Line 775:  KOMONDOR SIMULATION 'sim_seed1992_input_nodes_n20_s6_cb6.csv' (seed 1992)</t>
  </si>
  <si>
    <t>Line 783:  KOMONDOR SIMULATION 'sim_seed1992_input_nodes_n20_s7_cb6.csv' (seed 1992)</t>
  </si>
  <si>
    <t>Line 791:  KOMONDOR SIMULATION 'sim_seed1992_input_nodes_n20_s8_cb6.csv' (seed 1992)</t>
  </si>
  <si>
    <t>Line 799:  KOMONDOR SIMULATION 'sim_seed1992_input_nodes_n20_s9_cb6.csv' (seed 1992)</t>
  </si>
  <si>
    <t>Line 807:  KOMONDOR SIMULATION 'sim_seed1992_input_nodes_n2_s0_cb6.csv' (seed 1992)</t>
  </si>
  <si>
    <t>Line 815:  KOMONDOR SIMULATION 'sim_seed1992_input_nodes_n2_s10_cb6.csv' (seed 1992)</t>
  </si>
  <si>
    <t>Line 823:  KOMONDOR SIMULATION 'sim_seed1992_input_nodes_n2_s11_cb6.csv' (seed 1992)</t>
  </si>
  <si>
    <t>Line 831:  KOMONDOR SIMULATION 'sim_seed1992_input_nodes_n2_s12_cb6.csv' (seed 1992)</t>
  </si>
  <si>
    <t>Line 839:  KOMONDOR SIMULATION 'sim_seed1992_input_nodes_n2_s13_cb6.csv' (seed 1992)</t>
  </si>
  <si>
    <t>Line 847:  KOMONDOR SIMULATION 'sim_seed1992_input_nodes_n2_s14_cb6.csv' (seed 1992)</t>
  </si>
  <si>
    <t>Line 855:  KOMONDOR SIMULATION 'sim_seed1992_input_nodes_n2_s15_cb6.csv' (seed 1992)</t>
  </si>
  <si>
    <t>Line 863:  KOMONDOR SIMULATION 'sim_seed1992_input_nodes_n2_s16_cb6.csv' (seed 1992)</t>
  </si>
  <si>
    <t>Line 871:  KOMONDOR SIMULATION 'sim_seed1992_input_nodes_n2_s17_cb6.csv' (seed 1992)</t>
  </si>
  <si>
    <t>Line 879:  KOMONDOR SIMULATION 'sim_seed1992_input_nodes_n2_s18_cb6.csv' (seed 1992)</t>
  </si>
  <si>
    <t>Line 887:  KOMONDOR SIMULATION 'sim_seed1992_input_nodes_n2_s19_cb6.csv' (seed 1992)</t>
  </si>
  <si>
    <t>Line 895:  KOMONDOR SIMULATION 'sim_seed1992_input_nodes_n2_s1_cb6.csv' (seed 1992)</t>
  </si>
  <si>
    <t>Line 903:  KOMONDOR SIMULATION 'sim_seed1992_input_nodes_n2_s20_cb6.csv' (seed 1992)</t>
  </si>
  <si>
    <t>Line 911:  KOMONDOR SIMULATION 'sim_seed1992_input_nodes_n2_s21_cb6.csv' (seed 1992)</t>
  </si>
  <si>
    <t>Line 919:  KOMONDOR SIMULATION 'sim_seed1992_input_nodes_n2_s22_cb6.csv' (seed 1992)</t>
  </si>
  <si>
    <t>Line 927:  KOMONDOR SIMULATION 'sim_seed1992_input_nodes_n2_s23_cb6.csv' (seed 1992)</t>
  </si>
  <si>
    <t>Line 935:  KOMONDOR SIMULATION 'sim_seed1992_input_nodes_n2_s24_cb6.csv' (seed 1992)</t>
  </si>
  <si>
    <t>Line 943:  KOMONDOR SIMULATION 'sim_seed1992_input_nodes_n2_s25_cb6.csv' (seed 1992)</t>
  </si>
  <si>
    <t>Line 951:  KOMONDOR SIMULATION 'sim_seed1992_input_nodes_n2_s26_cb6.csv' (seed 1992)</t>
  </si>
  <si>
    <t>Line 959:  KOMONDOR SIMULATION 'sim_seed1992_input_nodes_n2_s27_cb6.csv' (seed 1992)</t>
  </si>
  <si>
    <t>Line 967:  KOMONDOR SIMULATION 'sim_seed1992_input_nodes_n2_s28_cb6.csv' (seed 1992)</t>
  </si>
  <si>
    <t>Line 975:  KOMONDOR SIMULATION 'sim_seed1992_input_nodes_n2_s29_cb6.csv' (seed 1992)</t>
  </si>
  <si>
    <t>Line 983:  KOMONDOR SIMULATION 'sim_seed1992_input_nodes_n2_s2_cb6.csv' (seed 1992)</t>
  </si>
  <si>
    <t>Line 991:  KOMONDOR SIMULATION 'sim_seed1992_input_nodes_n2_s30_cb6.csv' (seed 1992)</t>
  </si>
  <si>
    <t>Line 999:  KOMONDOR SIMULATION 'sim_seed1992_input_nodes_n2_s31_cb6.csv' (seed 1992)</t>
  </si>
  <si>
    <t>Line 1007:  KOMONDOR SIMULATION 'sim_seed1992_input_nodes_n2_s32_cb6.csv' (seed 1992)</t>
  </si>
  <si>
    <t>Line 1015:  KOMONDOR SIMULATION 'sim_seed1992_input_nodes_n2_s33_cb6.csv' (seed 1992)</t>
  </si>
  <si>
    <t>Line 1023:  KOMONDOR SIMULATION 'sim_seed1992_input_nodes_n2_s34_cb6.csv' (seed 1992)</t>
  </si>
  <si>
    <t>Line 1031:  KOMONDOR SIMULATION 'sim_seed1992_input_nodes_n2_s35_cb6.csv' (seed 1992)</t>
  </si>
  <si>
    <t>Line 1039:  KOMONDOR SIMULATION 'sim_seed1992_input_nodes_n2_s36_cb6.csv' (seed 1992)</t>
  </si>
  <si>
    <t>Line 1047:  KOMONDOR SIMULATION 'sim_seed1992_input_nodes_n2_s37_cb6.csv' (seed 1992)</t>
  </si>
  <si>
    <t>Line 1055:  KOMONDOR SIMULATION 'sim_seed1992_input_nodes_n2_s38_cb6.csv' (seed 1992)</t>
  </si>
  <si>
    <t>Line 1063:  KOMONDOR SIMULATION 'sim_seed1992_input_nodes_n2_s39_cb6.csv' (seed 1992)</t>
  </si>
  <si>
    <t>Line 1071:  KOMONDOR SIMULATION 'sim_seed1992_input_nodes_n2_s3_cb6.csv' (seed 1992)</t>
  </si>
  <si>
    <t>Line 1079:  KOMONDOR SIMULATION 'sim_seed1992_input_nodes_n2_s40_cb6.csv' (seed 1992)</t>
  </si>
  <si>
    <t>Line 1087:  KOMONDOR SIMULATION 'sim_seed1992_input_nodes_n2_s41_cb6.csv' (seed 1992)</t>
  </si>
  <si>
    <t>Line 1095:  KOMONDOR SIMULATION 'sim_seed1992_input_nodes_n2_s42_cb6.csv' (seed 1992)</t>
  </si>
  <si>
    <t>Line 1103:  KOMONDOR SIMULATION 'sim_seed1992_input_nodes_n2_s43_cb6.csv' (seed 1992)</t>
  </si>
  <si>
    <t>Line 1111:  KOMONDOR SIMULATION 'sim_seed1992_input_nodes_n2_s44_cb6.csv' (seed 1992)</t>
  </si>
  <si>
    <t>Line 1119:  KOMONDOR SIMULATION 'sim_seed1992_input_nodes_n2_s45_cb6.csv' (seed 1992)</t>
  </si>
  <si>
    <t>Line 1127:  KOMONDOR SIMULATION 'sim_seed1992_input_nodes_n2_s46_cb6.csv' (seed 1992)</t>
  </si>
  <si>
    <t>Line 1135:  KOMONDOR SIMULATION 'sim_seed1992_input_nodes_n2_s47_cb6.csv' (seed 1992)</t>
  </si>
  <si>
    <t>Line 1143:  KOMONDOR SIMULATION 'sim_seed1992_input_nodes_n2_s48_cb6.csv' (seed 1992)</t>
  </si>
  <si>
    <t>Line 1151:  KOMONDOR SIMULATION 'sim_seed1992_input_nodes_n2_s49_cb6.csv' (seed 1992)</t>
  </si>
  <si>
    <t>Line 1159:  KOMONDOR SIMULATION 'sim_seed1992_input_nodes_n2_s4_cb6.csv' (seed 1992)</t>
  </si>
  <si>
    <t>Line 1167:  KOMONDOR SIMULATION 'sim_seed1992_input_nodes_n2_s5_cb6.csv' (seed 1992)</t>
  </si>
  <si>
    <t>Line 1175:  KOMONDOR SIMULATION 'sim_seed1992_input_nodes_n2_s6_cb6.csv' (seed 1992)</t>
  </si>
  <si>
    <t>Line 1183:  KOMONDOR SIMULATION 'sim_seed1992_input_nodes_n2_s7_cb6.csv' (seed 1992)</t>
  </si>
  <si>
    <t>Line 1191:  KOMONDOR SIMULATION 'sim_seed1992_input_nodes_n2_s8_cb6.csv' (seed 1992)</t>
  </si>
  <si>
    <t>Line 1199:  KOMONDOR SIMULATION 'sim_seed1992_input_nodes_n2_s9_cb6.csv' (seed 1992)</t>
  </si>
  <si>
    <t>Line 1207:  KOMONDOR SIMULATION 'sim_seed1992_input_nodes_n30_s0_cb6.csv' (seed 1992)</t>
  </si>
  <si>
    <t>Line 1215:  KOMONDOR SIMULATION 'sim_seed1992_input_nodes_n30_s10_cb6.csv' (seed 1992)</t>
  </si>
  <si>
    <t>Line 1223:  KOMONDOR SIMULATION 'sim_seed1992_input_nodes_n30_s11_cb6.csv' (seed 1992)</t>
  </si>
  <si>
    <t>Line 1231:  KOMONDOR SIMULATION 'sim_seed1992_input_nodes_n30_s12_cb6.csv' (seed 1992)</t>
  </si>
  <si>
    <t>Line 1239:  KOMONDOR SIMULATION 'sim_seed1992_input_nodes_n30_s13_cb6.csv' (seed 1992)</t>
  </si>
  <si>
    <t>Line 1247:  KOMONDOR SIMULATION 'sim_seed1992_input_nodes_n30_s14_cb6.csv' (seed 1992)</t>
  </si>
  <si>
    <t>Line 1255:  KOMONDOR SIMULATION 'sim_seed1992_input_nodes_n30_s15_cb6.csv' (seed 1992)</t>
  </si>
  <si>
    <t>Line 1263:  KOMONDOR SIMULATION 'sim_seed1992_input_nodes_n30_s16_cb6.csv' (seed 1992)</t>
  </si>
  <si>
    <t>Line 1271:  KOMONDOR SIMULATION 'sim_seed1992_input_nodes_n30_s17_cb6.csv' (seed 1992)</t>
  </si>
  <si>
    <t>Line 1279:  KOMONDOR SIMULATION 'sim_seed1992_input_nodes_n30_s18_cb6.csv' (seed 1992)</t>
  </si>
  <si>
    <t>Line 1287:  KOMONDOR SIMULATION 'sim_seed1992_input_nodes_n30_s19_cb6.csv' (seed 1992)</t>
  </si>
  <si>
    <t>Line 1295:  KOMONDOR SIMULATION 'sim_seed1992_input_nodes_n30_s1_cb6.csv' (seed 1992)</t>
  </si>
  <si>
    <t>Line 1303:  KOMONDOR SIMULATION 'sim_seed1992_input_nodes_n30_s20_cb6.csv' (seed 1992)</t>
  </si>
  <si>
    <t>Line 1311:  KOMONDOR SIMULATION 'sim_seed1992_input_nodes_n30_s21_cb6.csv' (seed 1992)</t>
  </si>
  <si>
    <t>Line 1319:  KOMONDOR SIMULATION 'sim_seed1992_input_nodes_n30_s22_cb6.csv' (seed 1992)</t>
  </si>
  <si>
    <t>Line 1327:  KOMONDOR SIMULATION 'sim_seed1992_input_nodes_n30_s23_cb6.csv' (seed 1992)</t>
  </si>
  <si>
    <t>Line 1335:  KOMONDOR SIMULATION 'sim_seed1992_input_nodes_n30_s24_cb6.csv' (seed 1992)</t>
  </si>
  <si>
    <t>Line 1343:  KOMONDOR SIMULATION 'sim_seed1992_input_nodes_n30_s25_cb6.csv' (seed 1992)</t>
  </si>
  <si>
    <t>Line 1351:  KOMONDOR SIMULATION 'sim_seed1992_input_nodes_n30_s26_cb6.csv' (seed 1992)</t>
  </si>
  <si>
    <t>Line 1359:  KOMONDOR SIMULATION 'sim_seed1992_input_nodes_n30_s27_cb6.csv' (seed 1992)</t>
  </si>
  <si>
    <t>Line 1367:  KOMONDOR SIMULATION 'sim_seed1992_input_nodes_n30_s28_cb6.csv' (seed 1992)</t>
  </si>
  <si>
    <t>Line 1375:  KOMONDOR SIMULATION 'sim_seed1992_input_nodes_n30_s29_cb6.csv' (seed 1992)</t>
  </si>
  <si>
    <t>Line 1383:  KOMONDOR SIMULATION 'sim_seed1992_input_nodes_n30_s2_cb6.csv' (seed 1992)</t>
  </si>
  <si>
    <t>Line 1391:  KOMONDOR SIMULATION 'sim_seed1992_input_nodes_n30_s30_cb6.csv' (seed 1992)</t>
  </si>
  <si>
    <t>Line 1399:  KOMONDOR SIMULATION 'sim_seed1992_input_nodes_n30_s31_cb6.csv' (seed 1992)</t>
  </si>
  <si>
    <t>Line 1407:  KOMONDOR SIMULATION 'sim_seed1992_input_nodes_n30_s32_cb6.csv' (seed 1992)</t>
  </si>
  <si>
    <t>Line 1415:  KOMONDOR SIMULATION 'sim_seed1992_input_nodes_n30_s33_cb6.csv' (seed 1992)</t>
  </si>
  <si>
    <t>Line 1423:  KOMONDOR SIMULATION 'sim_seed1992_input_nodes_n30_s34_cb6.csv' (seed 1992)</t>
  </si>
  <si>
    <t>Line 1431:  KOMONDOR SIMULATION 'sim_seed1992_input_nodes_n30_s35_cb6.csv' (seed 1992)</t>
  </si>
  <si>
    <t>Line 1439:  KOMONDOR SIMULATION 'sim_seed1992_input_nodes_n30_s36_cb6.csv' (seed 1992)</t>
  </si>
  <si>
    <t>Line 1447:  KOMONDOR SIMULATION 'sim_seed1992_input_nodes_n30_s37_cb6.csv' (seed 1992)</t>
  </si>
  <si>
    <t>Line 1455:  KOMONDOR SIMULATION 'sim_seed1992_input_nodes_n30_s38_cb6.csv' (seed 1992)</t>
  </si>
  <si>
    <t>Line 1463:  KOMONDOR SIMULATION 'sim_seed1992_input_nodes_n30_s39_cb6.csv' (seed 1992)</t>
  </si>
  <si>
    <t>Line 1471:  KOMONDOR SIMULATION 'sim_seed1992_input_nodes_n30_s3_cb6.csv' (seed 1992)</t>
  </si>
  <si>
    <t>Line 1479:  KOMONDOR SIMULATION 'sim_seed1992_input_nodes_n30_s40_cb6.csv' (seed 1992)</t>
  </si>
  <si>
    <t>Line 1487:  KOMONDOR SIMULATION 'sim_seed1992_input_nodes_n30_s41_cb6.csv' (seed 1992)</t>
  </si>
  <si>
    <t>Line 1495:  KOMONDOR SIMULATION 'sim_seed1992_input_nodes_n30_s42_cb6.csv' (seed 1992)</t>
  </si>
  <si>
    <t>Line 1503:  KOMONDOR SIMULATION 'sim_seed1992_input_nodes_n30_s43_cb6.csv' (seed 1992)</t>
  </si>
  <si>
    <t>Line 1511:  KOMONDOR SIMULATION 'sim_seed1992_input_nodes_n30_s44_cb6.csv' (seed 1992)</t>
  </si>
  <si>
    <t>Line 1519:  KOMONDOR SIMULATION 'sim_seed1992_input_nodes_n30_s45_cb6.csv' (seed 1992)</t>
  </si>
  <si>
    <t>Line 1527:  KOMONDOR SIMULATION 'sim_seed1992_input_nodes_n30_s46_cb6.csv' (seed 1992)</t>
  </si>
  <si>
    <t>Line 1535:  KOMONDOR SIMULATION 'sim_seed1992_input_nodes_n30_s47_cb6.csv' (seed 1992)</t>
  </si>
  <si>
    <t>Line 1543:  KOMONDOR SIMULATION 'sim_seed1992_input_nodes_n30_s48_cb6.csv' (seed 1992)</t>
  </si>
  <si>
    <t>Line 1551:  KOMONDOR SIMULATION 'sim_seed1992_input_nodes_n30_s49_cb6.csv' (seed 1992)</t>
  </si>
  <si>
    <t>Line 1559:  KOMONDOR SIMULATION 'sim_seed1992_input_nodes_n30_s4_cb6.csv' (seed 1992)</t>
  </si>
  <si>
    <t>Line 1567:  KOMONDOR SIMULATION 'sim_seed1992_input_nodes_n30_s5_cb6.csv' (seed 1992)</t>
  </si>
  <si>
    <t>Line 1575:  KOMONDOR SIMULATION 'sim_seed1992_input_nodes_n30_s6_cb6.csv' (seed 1992)</t>
  </si>
  <si>
    <t>Line 1583:  KOMONDOR SIMULATION 'sim_seed1992_input_nodes_n30_s7_cb6.csv' (seed 1992)</t>
  </si>
  <si>
    <t>Line 1591:  KOMONDOR SIMULATION 'sim_seed1992_input_nodes_n30_s8_cb6.csv' (seed 1992)</t>
  </si>
  <si>
    <t>Line 1599:  KOMONDOR SIMULATION 'sim_seed1992_input_nodes_n30_s9_cb6.csv' (seed 1992)</t>
  </si>
  <si>
    <t>Line 1607:  KOMONDOR SIMULATION 'sim_seed1992_input_nodes_n40_s0_cb6.csv' (seed 1992)</t>
  </si>
  <si>
    <t>Line 1615:  KOMONDOR SIMULATION 'sim_seed1992_input_nodes_n40_s10_cb6.csv' (seed 1992)</t>
  </si>
  <si>
    <t>Line 1623:  KOMONDOR SIMULATION 'sim_seed1992_input_nodes_n40_s11_cb6.csv' (seed 1992)</t>
  </si>
  <si>
    <t>Line 1631:  KOMONDOR SIMULATION 'sim_seed1992_input_nodes_n40_s12_cb6.csv' (seed 1992)</t>
  </si>
  <si>
    <t>Line 1639:  KOMONDOR SIMULATION 'sim_seed1992_input_nodes_n40_s13_cb6.csv' (seed 1992)</t>
  </si>
  <si>
    <t>Line 1647:  KOMONDOR SIMULATION 'sim_seed1992_input_nodes_n40_s14_cb6.csv' (seed 1992)</t>
  </si>
  <si>
    <t>Line 1655:  KOMONDOR SIMULATION 'sim_seed1992_input_nodes_n40_s15_cb6.csv' (seed 1992)</t>
  </si>
  <si>
    <t>Line 1663:  KOMONDOR SIMULATION 'sim_seed1992_input_nodes_n40_s16_cb6.csv' (seed 1992)</t>
  </si>
  <si>
    <t>Line 1671:  KOMONDOR SIMULATION 'sim_seed1992_input_nodes_n40_s17_cb6.csv' (seed 1992)</t>
  </si>
  <si>
    <t>Line 1679:  KOMONDOR SIMULATION 'sim_seed1992_input_nodes_n40_s18_cb6.csv' (seed 1992)</t>
  </si>
  <si>
    <t>Line 1687:  KOMONDOR SIMULATION 'sim_seed1992_input_nodes_n40_s19_cb6.csv' (seed 1992)</t>
  </si>
  <si>
    <t>Line 1695:  KOMONDOR SIMULATION 'sim_seed1992_input_nodes_n40_s1_cb6.csv' (seed 1992)</t>
  </si>
  <si>
    <t>Line 1703:  KOMONDOR SIMULATION 'sim_seed1992_input_nodes_n40_s20_cb6.csv' (seed 1992)</t>
  </si>
  <si>
    <t>Line 1711:  KOMONDOR SIMULATION 'sim_seed1992_input_nodes_n40_s21_cb6.csv' (seed 1992)</t>
  </si>
  <si>
    <t>Line 1719:  KOMONDOR SIMULATION 'sim_seed1992_input_nodes_n40_s22_cb6.csv' (seed 1992)</t>
  </si>
  <si>
    <t>Line 1727:  KOMONDOR SIMULATION 'sim_seed1992_input_nodes_n40_s23_cb6.csv' (seed 1992)</t>
  </si>
  <si>
    <t>Line 1735:  KOMONDOR SIMULATION 'sim_seed1992_input_nodes_n40_s24_cb6.csv' (seed 1992)</t>
  </si>
  <si>
    <t>Line 1743:  KOMONDOR SIMULATION 'sim_seed1992_input_nodes_n40_s25_cb6.csv' (seed 1992)</t>
  </si>
  <si>
    <t>Line 1751:  KOMONDOR SIMULATION 'sim_seed1992_input_nodes_n40_s26_cb6.csv' (seed 1992)</t>
  </si>
  <si>
    <t>Line 1759:  KOMONDOR SIMULATION 'sim_seed1992_input_nodes_n40_s27_cb6.csv' (seed 1992)</t>
  </si>
  <si>
    <t>Line 1767:  KOMONDOR SIMULATION 'sim_seed1992_input_nodes_n40_s28_cb6.csv' (seed 1992)</t>
  </si>
  <si>
    <t>Line 1775:  KOMONDOR SIMULATION 'sim_seed1992_input_nodes_n40_s29_cb6.csv' (seed 1992)</t>
  </si>
  <si>
    <t>Line 1783:  KOMONDOR SIMULATION 'sim_seed1992_input_nodes_n40_s2_cb6.csv' (seed 1992)</t>
  </si>
  <si>
    <t>Line 1791:  KOMONDOR SIMULATION 'sim_seed1992_input_nodes_n40_s30_cb6.csv' (seed 1992)</t>
  </si>
  <si>
    <t>Line 1799:  KOMONDOR SIMULATION 'sim_seed1992_input_nodes_n40_s31_cb6.csv' (seed 1992)</t>
  </si>
  <si>
    <t>Line 1807:  KOMONDOR SIMULATION 'sim_seed1992_input_nodes_n40_s32_cb6.csv' (seed 1992)</t>
  </si>
  <si>
    <t>Line 1815:  KOMONDOR SIMULATION 'sim_seed1992_input_nodes_n40_s33_cb6.csv' (seed 1992)</t>
  </si>
  <si>
    <t>Line 1823:  KOMONDOR SIMULATION 'sim_seed1992_input_nodes_n40_s34_cb6.csv' (seed 1992)</t>
  </si>
  <si>
    <t>Line 1831:  KOMONDOR SIMULATION 'sim_seed1992_input_nodes_n40_s35_cb6.csv' (seed 1992)</t>
  </si>
  <si>
    <t>Line 1839:  KOMONDOR SIMULATION 'sim_seed1992_input_nodes_n40_s36_cb6.csv' (seed 1992)</t>
  </si>
  <si>
    <t>Line 1847:  KOMONDOR SIMULATION 'sim_seed1992_input_nodes_n40_s37_cb6.csv' (seed 1992)</t>
  </si>
  <si>
    <t>Line 1855:  KOMONDOR SIMULATION 'sim_seed1992_input_nodes_n40_s38_cb6.csv' (seed 1992)</t>
  </si>
  <si>
    <t>Line 1863:  KOMONDOR SIMULATION 'sim_seed1992_input_nodes_n40_s39_cb6.csv' (seed 1992)</t>
  </si>
  <si>
    <t>Line 1871:  KOMONDOR SIMULATION 'sim_seed1992_input_nodes_n40_s3_cb6.csv' (seed 1992)</t>
  </si>
  <si>
    <t>Line 1879:  KOMONDOR SIMULATION 'sim_seed1992_input_nodes_n40_s40_cb6.csv' (seed 1992)</t>
  </si>
  <si>
    <t>Line 1887:  KOMONDOR SIMULATION 'sim_seed1992_input_nodes_n40_s41_cb6.csv' (seed 1992)</t>
  </si>
  <si>
    <t>Line 1895:  KOMONDOR SIMULATION 'sim_seed1992_input_nodes_n40_s42_cb6.csv' (seed 1992)</t>
  </si>
  <si>
    <t>Line 1903:  KOMONDOR SIMULATION 'sim_seed1992_input_nodes_n40_s43_cb6.csv' (seed 1992)</t>
  </si>
  <si>
    <t>Line 1911:  KOMONDOR SIMULATION 'sim_seed1992_input_nodes_n40_s44_cb6.csv' (seed 1992)</t>
  </si>
  <si>
    <t>Line 1919:  KOMONDOR SIMULATION 'sim_seed1992_input_nodes_n40_s45_cb6.csv' (seed 1992)</t>
  </si>
  <si>
    <t>Line 1927:  KOMONDOR SIMULATION 'sim_seed1992_input_nodes_n40_s46_cb6.csv' (seed 1992)</t>
  </si>
  <si>
    <t>Line 1935:  KOMONDOR SIMULATION 'sim_seed1992_input_nodes_n40_s47_cb6.csv' (seed 1992)</t>
  </si>
  <si>
    <t>Line 1943:  KOMONDOR SIMULATION 'sim_seed1992_input_nodes_n40_s48_cb6.csv' (seed 1992)</t>
  </si>
  <si>
    <t>Line 1951:  KOMONDOR SIMULATION 'sim_seed1992_input_nodes_n40_s49_cb6.csv' (seed 1992)</t>
  </si>
  <si>
    <t>Line 1959:  KOMONDOR SIMULATION 'sim_seed1992_input_nodes_n40_s4_cb6.csv' (seed 1992)</t>
  </si>
  <si>
    <t>Line 1967:  KOMONDOR SIMULATION 'sim_seed1992_input_nodes_n40_s5_cb6.csv' (seed 1992)</t>
  </si>
  <si>
    <t>Line 1975:  KOMONDOR SIMULATION 'sim_seed1992_input_nodes_n40_s6_cb6.csv' (seed 1992)</t>
  </si>
  <si>
    <t>Line 1983:  KOMONDOR SIMULATION 'sim_seed1992_input_nodes_n40_s7_cb6.csv' (seed 1992)</t>
  </si>
  <si>
    <t>Line 1991:  KOMONDOR SIMULATION 'sim_seed1992_input_nodes_n40_s8_cb6.csv' (seed 1992)</t>
  </si>
  <si>
    <t>Line 1999:  KOMONDOR SIMULATION 'sim_seed1992_input_nodes_n40_s9_cb6.csv' (seed 1992)</t>
  </si>
  <si>
    <t>Line 2007:  KOMONDOR SIMULATION 'sim_seed1992_input_nodes_n5_s0_cb6.csv' (seed 1992)</t>
  </si>
  <si>
    <t>Line 2015:  KOMONDOR SIMULATION 'sim_seed1992_input_nodes_n5_s10_cb6.csv' (seed 1992)</t>
  </si>
  <si>
    <t>Line 2023:  KOMONDOR SIMULATION 'sim_seed1992_input_nodes_n5_s11_cb6.csv' (seed 1992)</t>
  </si>
  <si>
    <t>Line 2031:  KOMONDOR SIMULATION 'sim_seed1992_input_nodes_n5_s12_cb6.csv' (seed 1992)</t>
  </si>
  <si>
    <t>Line 2039:  KOMONDOR SIMULATION 'sim_seed1992_input_nodes_n5_s13_cb6.csv' (seed 1992)</t>
  </si>
  <si>
    <t>Line 2047:  KOMONDOR SIMULATION 'sim_seed1992_input_nodes_n5_s14_cb6.csv' (seed 1992)</t>
  </si>
  <si>
    <t>Line 2055:  KOMONDOR SIMULATION 'sim_seed1992_input_nodes_n5_s15_cb6.csv' (seed 1992)</t>
  </si>
  <si>
    <t>Line 2063:  KOMONDOR SIMULATION 'sim_seed1992_input_nodes_n5_s16_cb6.csv' (seed 1992)</t>
  </si>
  <si>
    <t>Line 2071:  KOMONDOR SIMULATION 'sim_seed1992_input_nodes_n5_s17_cb6.csv' (seed 1992)</t>
  </si>
  <si>
    <t>Line 2079:  KOMONDOR SIMULATION 'sim_seed1992_input_nodes_n5_s18_cb6.csv' (seed 1992)</t>
  </si>
  <si>
    <t>Line 2087:  KOMONDOR SIMULATION 'sim_seed1992_input_nodes_n5_s19_cb6.csv' (seed 1992)</t>
  </si>
  <si>
    <t>Line 2095:  KOMONDOR SIMULATION 'sim_seed1992_input_nodes_n5_s1_cb6.csv' (seed 1992)</t>
  </si>
  <si>
    <t>Line 2103:  KOMONDOR SIMULATION 'sim_seed1992_input_nodes_n5_s20_cb6.csv' (seed 1992)</t>
  </si>
  <si>
    <t>Line 2111:  KOMONDOR SIMULATION 'sim_seed1992_input_nodes_n5_s21_cb6.csv' (seed 1992)</t>
  </si>
  <si>
    <t>Line 2119:  KOMONDOR SIMULATION 'sim_seed1992_input_nodes_n5_s22_cb6.csv' (seed 1992)</t>
  </si>
  <si>
    <t>Line 2127:  KOMONDOR SIMULATION 'sim_seed1992_input_nodes_n5_s23_cb6.csv' (seed 1992)</t>
  </si>
  <si>
    <t>Line 2135:  KOMONDOR SIMULATION 'sim_seed1992_input_nodes_n5_s24_cb6.csv' (seed 1992)</t>
  </si>
  <si>
    <t>Line 2143:  KOMONDOR SIMULATION 'sim_seed1992_input_nodes_n5_s25_cb6.csv' (seed 1992)</t>
  </si>
  <si>
    <t>Line 2151:  KOMONDOR SIMULATION 'sim_seed1992_input_nodes_n5_s26_cb6.csv' (seed 1992)</t>
  </si>
  <si>
    <t>Line 2159:  KOMONDOR SIMULATION 'sim_seed1992_input_nodes_n5_s27_cb6.csv' (seed 1992)</t>
  </si>
  <si>
    <t>Line 2167:  KOMONDOR SIMULATION 'sim_seed1992_input_nodes_n5_s28_cb6.csv' (seed 1992)</t>
  </si>
  <si>
    <t>Line 2175:  KOMONDOR SIMULATION 'sim_seed1992_input_nodes_n5_s29_cb6.csv' (seed 1992)</t>
  </si>
  <si>
    <t>Line 2183:  KOMONDOR SIMULATION 'sim_seed1992_input_nodes_n5_s2_cb6.csv' (seed 1992)</t>
  </si>
  <si>
    <t>Line 2191:  KOMONDOR SIMULATION 'sim_seed1992_input_nodes_n5_s30_cb6.csv' (seed 1992)</t>
  </si>
  <si>
    <t>Line 2199:  KOMONDOR SIMULATION 'sim_seed1992_input_nodes_n5_s31_cb6.csv' (seed 1992)</t>
  </si>
  <si>
    <t>Line 2207:  KOMONDOR SIMULATION 'sim_seed1992_input_nodes_n5_s32_cb6.csv' (seed 1992)</t>
  </si>
  <si>
    <t>Line 2215:  KOMONDOR SIMULATION 'sim_seed1992_input_nodes_n5_s33_cb6.csv' (seed 1992)</t>
  </si>
  <si>
    <t>Line 2223:  KOMONDOR SIMULATION 'sim_seed1992_input_nodes_n5_s34_cb6.csv' (seed 1992)</t>
  </si>
  <si>
    <t>Line 2231:  KOMONDOR SIMULATION 'sim_seed1992_input_nodes_n5_s35_cb6.csv' (seed 1992)</t>
  </si>
  <si>
    <t>Line 2239:  KOMONDOR SIMULATION 'sim_seed1992_input_nodes_n5_s36_cb6.csv' (seed 1992)</t>
  </si>
  <si>
    <t>Line 2247:  KOMONDOR SIMULATION 'sim_seed1992_input_nodes_n5_s37_cb6.csv' (seed 1992)</t>
  </si>
  <si>
    <t>Line 2255:  KOMONDOR SIMULATION 'sim_seed1992_input_nodes_n5_s38_cb6.csv' (seed 1992)</t>
  </si>
  <si>
    <t>Line 2263:  KOMONDOR SIMULATION 'sim_seed1992_input_nodes_n5_s39_cb6.csv' (seed 1992)</t>
  </si>
  <si>
    <t>Line 2271:  KOMONDOR SIMULATION 'sim_seed1992_input_nodes_n5_s3_cb6.csv' (seed 1992)</t>
  </si>
  <si>
    <t>Line 2279:  KOMONDOR SIMULATION 'sim_seed1992_input_nodes_n5_s40_cb6.csv' (seed 1992)</t>
  </si>
  <si>
    <t>Line 2287:  KOMONDOR SIMULATION 'sim_seed1992_input_nodes_n5_s41_cb6.csv' (seed 1992)</t>
  </si>
  <si>
    <t>Line 2295:  KOMONDOR SIMULATION 'sim_seed1992_input_nodes_n5_s42_cb6.csv' (seed 1992)</t>
  </si>
  <si>
    <t>Line 2303:  KOMONDOR SIMULATION 'sim_seed1992_input_nodes_n5_s43_cb6.csv' (seed 1992)</t>
  </si>
  <si>
    <t>Line 2311:  KOMONDOR SIMULATION 'sim_seed1992_input_nodes_n5_s44_cb6.csv' (seed 1992)</t>
  </si>
  <si>
    <t>Line 2319:  KOMONDOR SIMULATION 'sim_seed1992_input_nodes_n5_s45_cb6.csv' (seed 1992)</t>
  </si>
  <si>
    <t>Line 2327:  KOMONDOR SIMULATION 'sim_seed1992_input_nodes_n5_s46_cb6.csv' (seed 1992)</t>
  </si>
  <si>
    <t>Line 2335:  KOMONDOR SIMULATION 'sim_seed1992_input_nodes_n5_s47_cb6.csv' (seed 1992)</t>
  </si>
  <si>
    <t>Line 2343:  KOMONDOR SIMULATION 'sim_seed1992_input_nodes_n5_s48_cb6.csv' (seed 1992)</t>
  </si>
  <si>
    <t>Line 2351:  KOMONDOR SIMULATION 'sim_seed1992_input_nodes_n5_s49_cb6.csv' (seed 1992)</t>
  </si>
  <si>
    <t>Line 2359:  KOMONDOR SIMULATION 'sim_seed1992_input_nodes_n5_s4_cb6.csv' (seed 1992)</t>
  </si>
  <si>
    <t>Line 2367:  KOMONDOR SIMULATION 'sim_seed1992_input_nodes_n5_s5_cb6.csv' (seed 1992)</t>
  </si>
  <si>
    <t>Line 2375:  KOMONDOR SIMULATION 'sim_seed1992_input_nodes_n5_s6_cb6.csv' (seed 1992)</t>
  </si>
  <si>
    <t>Line 2383:  KOMONDOR SIMULATION 'sim_seed1992_input_nodes_n5_s7_cb6.csv' (seed 1992)</t>
  </si>
  <si>
    <t>Line 2391:  KOMONDOR SIMULATION 'sim_seed1992_input_nodes_n5_s8_cb6.csv' (seed 1992)</t>
  </si>
  <si>
    <t>Line 2399:  KOMONDOR SIMULATION 'sim_seed1992_input_nodes_n5_s9_cb6.csv' (seed 1992)</t>
  </si>
  <si>
    <t>Divided by the number of Nodes. Should be multiplied by 2 in order to get the real value!</t>
  </si>
  <si>
    <t>Prop. Fairness</t>
  </si>
  <si>
    <t>Line 1:  KOMONDOR SIMULATION 'sim_seed1992_input_nodes_n50_s0_cb0.csv' (seed 1992)</t>
  </si>
  <si>
    <t>Line 5:  KOMONDOR SIMULATION 'sim_seed1992_input_nodes_n50_s10_cb0.csv' (seed 1992)</t>
  </si>
  <si>
    <t>Line 9:  KOMONDOR SIMULATION 'sim_seed1992_input_nodes_n50_s11_cb0.csv' (seed 1992)</t>
  </si>
  <si>
    <t>Line 13:  KOMONDOR SIMULATION 'sim_seed1992_input_nodes_n50_s12_cb0.csv' (seed 1992)</t>
  </si>
  <si>
    <t>Line 17:  KOMONDOR SIMULATION 'sim_seed1992_input_nodes_n50_s13_cb0.csv' (seed 1992)</t>
  </si>
  <si>
    <t>Line 21:  KOMONDOR SIMULATION 'sim_seed1992_input_nodes_n50_s14_cb0.csv' (seed 1992)</t>
  </si>
  <si>
    <t>Line 25:  KOMONDOR SIMULATION 'sim_seed1992_input_nodes_n50_s15_cb0.csv' (seed 1992)</t>
  </si>
  <si>
    <t>Line 29:  KOMONDOR SIMULATION 'sim_seed1992_input_nodes_n50_s16_cb0.csv' (seed 1992)</t>
  </si>
  <si>
    <t>Line 33:  KOMONDOR SIMULATION 'sim_seed1992_input_nodes_n50_s17_cb0.csv' (seed 1992)</t>
  </si>
  <si>
    <t>Line 37:  KOMONDOR SIMULATION 'sim_seed1992_input_nodes_n50_s18_cb0.csv' (seed 1992)</t>
  </si>
  <si>
    <t>Line 41:  KOMONDOR SIMULATION 'sim_seed1992_input_nodes_n50_s19_cb0.csv' (seed 1992)</t>
  </si>
  <si>
    <t>Line 45:  KOMONDOR SIMULATION 'sim_seed1992_input_nodes_n50_s1_cb0.csv' (seed 1992)</t>
  </si>
  <si>
    <t>Line 49:  KOMONDOR SIMULATION 'sim_seed1992_input_nodes_n50_s20_cb0.csv' (seed 1992)</t>
  </si>
  <si>
    <t>Line 53:  KOMONDOR SIMULATION 'sim_seed1992_input_nodes_n50_s21_cb0.csv' (seed 1992)</t>
  </si>
  <si>
    <t>Line 57:  KOMONDOR SIMULATION 'sim_seed1992_input_nodes_n50_s22_cb0.csv' (seed 1992)</t>
  </si>
  <si>
    <t>Line 61:  KOMONDOR SIMULATION 'sim_seed1992_input_nodes_n50_s23_cb0.csv' (seed 1992)</t>
  </si>
  <si>
    <t>Line 65:  KOMONDOR SIMULATION 'sim_seed1992_input_nodes_n50_s24_cb0.csv' (seed 1992)</t>
  </si>
  <si>
    <t>Line 69:  KOMONDOR SIMULATION 'sim_seed1992_input_nodes_n50_s25_cb0.csv' (seed 1992)</t>
  </si>
  <si>
    <t>Line 73:  KOMONDOR SIMULATION 'sim_seed1992_input_nodes_n50_s26_cb0.csv' (seed 1992)</t>
  </si>
  <si>
    <t>Line 77:  KOMONDOR SIMULATION 'sim_seed1992_input_nodes_n50_s27_cb0.csv' (seed 1992)</t>
  </si>
  <si>
    <t>Line 81:  KOMONDOR SIMULATION 'sim_seed1992_input_nodes_n50_s28_cb0.csv' (seed 1992)</t>
  </si>
  <si>
    <t>Line 85:  KOMONDOR SIMULATION 'sim_seed1992_input_nodes_n50_s29_cb0.csv' (seed 1992)</t>
  </si>
  <si>
    <t>Line 89:  KOMONDOR SIMULATION 'sim_seed1992_input_nodes_n50_s2_cb0.csv' (seed 1992)</t>
  </si>
  <si>
    <t>Line 93:  KOMONDOR SIMULATION 'sim_seed1992_input_nodes_n50_s30_cb0.csv' (seed 1992)</t>
  </si>
  <si>
    <t>Line 97:  KOMONDOR SIMULATION 'sim_seed1992_input_nodes_n50_s31_cb0.csv' (seed 1992)</t>
  </si>
  <si>
    <t>Line 101:  KOMONDOR SIMULATION 'sim_seed1992_input_nodes_n50_s32_cb0.csv' (seed 1992)</t>
  </si>
  <si>
    <t>Line 105:  KOMONDOR SIMULATION 'sim_seed1992_input_nodes_n50_s33_cb0.csv' (seed 1992)</t>
  </si>
  <si>
    <t>Line 109:  KOMONDOR SIMULATION 'sim_seed1992_input_nodes_n50_s34_cb0.csv' (seed 1992)</t>
  </si>
  <si>
    <t>Line 113:  KOMONDOR SIMULATION 'sim_seed1992_input_nodes_n50_s35_cb0.csv' (seed 1992)</t>
  </si>
  <si>
    <t>Line 117:  KOMONDOR SIMULATION 'sim_seed1992_input_nodes_n50_s36_cb0.csv' (seed 1992)</t>
  </si>
  <si>
    <t>Line 121:  KOMONDOR SIMULATION 'sim_seed1992_input_nodes_n50_s37_cb0.csv' (seed 1992)</t>
  </si>
  <si>
    <t>Line 125:  KOMONDOR SIMULATION 'sim_seed1992_input_nodes_n50_s38_cb0.csv' (seed 1992)</t>
  </si>
  <si>
    <t>Line 129:  KOMONDOR SIMULATION 'sim_seed1992_input_nodes_n50_s39_cb0.csv' (seed 1992)</t>
  </si>
  <si>
    <t>Line 133:  KOMONDOR SIMULATION 'sim_seed1992_input_nodes_n50_s3_cb0.csv' (seed 1992)</t>
  </si>
  <si>
    <t>Line 137:  KOMONDOR SIMULATION 'sim_seed1992_input_nodes_n50_s40_cb0.csv' (seed 1992)</t>
  </si>
  <si>
    <t>Line 141:  KOMONDOR SIMULATION 'sim_seed1992_input_nodes_n50_s41_cb0.csv' (seed 1992)</t>
  </si>
  <si>
    <t>Line 145:  KOMONDOR SIMULATION 'sim_seed1992_input_nodes_n50_s42_cb0.csv' (seed 1992)</t>
  </si>
  <si>
    <t>Line 149:  KOMONDOR SIMULATION 'sim_seed1992_input_nodes_n50_s43_cb0.csv' (seed 1992)</t>
  </si>
  <si>
    <t>Line 153:  KOMONDOR SIMULATION 'sim_seed1992_input_nodes_n50_s44_cb0.csv' (seed 1992)</t>
  </si>
  <si>
    <t>Line 157:  KOMONDOR SIMULATION 'sim_seed1992_input_nodes_n50_s45_cb0.csv' (seed 1992)</t>
  </si>
  <si>
    <t>Line 161:  KOMONDOR SIMULATION 'sim_seed1992_input_nodes_n50_s46_cb0.csv' (seed 1992)</t>
  </si>
  <si>
    <t>Line 165:  KOMONDOR SIMULATION 'sim_seed1992_input_nodes_n50_s47_cb0.csv' (seed 1992)</t>
  </si>
  <si>
    <t>Line 169:  KOMONDOR SIMULATION 'sim_seed1992_input_nodes_n50_s48_cb0.csv' (seed 1992)</t>
  </si>
  <si>
    <t>Line 173:  KOMONDOR SIMULATION 'sim_seed1992_input_nodes_n50_s49_cb0.csv' (seed 1992)</t>
  </si>
  <si>
    <t>Line 177:  KOMONDOR SIMULATION 'sim_seed1992_input_nodes_n50_s4_cb0.csv' (seed 1992)</t>
  </si>
  <si>
    <t>Line 181:  KOMONDOR SIMULATION 'sim_seed1992_input_nodes_n50_s5_cb0.csv' (seed 1992)</t>
  </si>
  <si>
    <t>Line 185:  KOMONDOR SIMULATION 'sim_seed1992_input_nodes_n50_s6_cb0.csv' (seed 1992)</t>
  </si>
  <si>
    <t>Line 189:  KOMONDOR SIMULATION 'sim_seed1992_input_nodes_n50_s7_cb0.csv' (seed 1992)</t>
  </si>
  <si>
    <t>Line 193:  KOMONDOR SIMULATION 'sim_seed1992_input_nodes_n50_s8_cb0.csv' (seed 1992)</t>
  </si>
  <si>
    <t>Line 197:  KOMONDOR SIMULATION 'sim_seed1992_input_nodes_n50_s9_cb0.csv' (seed 1992)</t>
  </si>
  <si>
    <t>Line 2:  KOMONDOR SIMULATION 'sim_seed1992_input_nodes_n50_s0_cb2.csv' (seed 1992)</t>
  </si>
  <si>
    <t>Line 6:  KOMONDOR SIMULATION 'sim_seed1992_input_nodes_n50_s10_cb2.csv' (seed 1992)</t>
  </si>
  <si>
    <t>Line 10:  KOMONDOR SIMULATION 'sim_seed1992_input_nodes_n50_s11_cb2.csv' (seed 1992)</t>
  </si>
  <si>
    <t>Line 14:  KOMONDOR SIMULATION 'sim_seed1992_input_nodes_n50_s12_cb2.csv' (seed 1992)</t>
  </si>
  <si>
    <t>Line 18:  KOMONDOR SIMULATION 'sim_seed1992_input_nodes_n50_s13_cb2.csv' (seed 1992)</t>
  </si>
  <si>
    <t>Line 22:  KOMONDOR SIMULATION 'sim_seed1992_input_nodes_n50_s14_cb2.csv' (seed 1992)</t>
  </si>
  <si>
    <t>Line 26:  KOMONDOR SIMULATION 'sim_seed1992_input_nodes_n50_s15_cb2.csv' (seed 1992)</t>
  </si>
  <si>
    <t>Line 30:  KOMONDOR SIMULATION 'sim_seed1992_input_nodes_n50_s16_cb2.csv' (seed 1992)</t>
  </si>
  <si>
    <t>Line 34:  KOMONDOR SIMULATION 'sim_seed1992_input_nodes_n50_s17_cb2.csv' (seed 1992)</t>
  </si>
  <si>
    <t>Line 38:  KOMONDOR SIMULATION 'sim_seed1992_input_nodes_n50_s18_cb2.csv' (seed 1992)</t>
  </si>
  <si>
    <t>Line 42:  KOMONDOR SIMULATION 'sim_seed1992_input_nodes_n50_s19_cb2.csv' (seed 1992)</t>
  </si>
  <si>
    <t>Line 46:  KOMONDOR SIMULATION 'sim_seed1992_input_nodes_n50_s1_cb2.csv' (seed 1992)</t>
  </si>
  <si>
    <t>Line 50:  KOMONDOR SIMULATION 'sim_seed1992_input_nodes_n50_s20_cb2.csv' (seed 1992)</t>
  </si>
  <si>
    <t>Line 54:  KOMONDOR SIMULATION 'sim_seed1992_input_nodes_n50_s21_cb2.csv' (seed 1992)</t>
  </si>
  <si>
    <t>Line 58:  KOMONDOR SIMULATION 'sim_seed1992_input_nodes_n50_s22_cb2.csv' (seed 1992)</t>
  </si>
  <si>
    <t>Line 62:  KOMONDOR SIMULATION 'sim_seed1992_input_nodes_n50_s23_cb2.csv' (seed 1992)</t>
  </si>
  <si>
    <t>Line 66:  KOMONDOR SIMULATION 'sim_seed1992_input_nodes_n50_s24_cb2.csv' (seed 1992)</t>
  </si>
  <si>
    <t>Line 70:  KOMONDOR SIMULATION 'sim_seed1992_input_nodes_n50_s25_cb2.csv' (seed 1992)</t>
  </si>
  <si>
    <t>Line 74:  KOMONDOR SIMULATION 'sim_seed1992_input_nodes_n50_s26_cb2.csv' (seed 1992)</t>
  </si>
  <si>
    <t>Line 78:  KOMONDOR SIMULATION 'sim_seed1992_input_nodes_n50_s27_cb2.csv' (seed 1992)</t>
  </si>
  <si>
    <t>Line 82:  KOMONDOR SIMULATION 'sim_seed1992_input_nodes_n50_s28_cb2.csv' (seed 1992)</t>
  </si>
  <si>
    <t>Line 86:  KOMONDOR SIMULATION 'sim_seed1992_input_nodes_n50_s29_cb2.csv' (seed 1992)</t>
  </si>
  <si>
    <t>Line 90:  KOMONDOR SIMULATION 'sim_seed1992_input_nodes_n50_s2_cb2.csv' (seed 1992)</t>
  </si>
  <si>
    <t>Line 94:  KOMONDOR SIMULATION 'sim_seed1992_input_nodes_n50_s30_cb2.csv' (seed 1992)</t>
  </si>
  <si>
    <t>Line 98:  KOMONDOR SIMULATION 'sim_seed1992_input_nodes_n50_s31_cb2.csv' (seed 1992)</t>
  </si>
  <si>
    <t>Line 102:  KOMONDOR SIMULATION 'sim_seed1992_input_nodes_n50_s32_cb2.csv' (seed 1992)</t>
  </si>
  <si>
    <t>Line 106:  KOMONDOR SIMULATION 'sim_seed1992_input_nodes_n50_s33_cb2.csv' (seed 1992)</t>
  </si>
  <si>
    <t>Line 110:  KOMONDOR SIMULATION 'sim_seed1992_input_nodes_n50_s34_cb2.csv' (seed 1992)</t>
  </si>
  <si>
    <t>Line 114:  KOMONDOR SIMULATION 'sim_seed1992_input_nodes_n50_s35_cb2.csv' (seed 1992)</t>
  </si>
  <si>
    <t>Line 118:  KOMONDOR SIMULATION 'sim_seed1992_input_nodes_n50_s36_cb2.csv' (seed 1992)</t>
  </si>
  <si>
    <t>Line 122:  KOMONDOR SIMULATION 'sim_seed1992_input_nodes_n50_s37_cb2.csv' (seed 1992)</t>
  </si>
  <si>
    <t>Line 126:  KOMONDOR SIMULATION 'sim_seed1992_input_nodes_n50_s38_cb2.csv' (seed 1992)</t>
  </si>
  <si>
    <t>Line 130:  KOMONDOR SIMULATION 'sim_seed1992_input_nodes_n50_s39_cb2.csv' (seed 1992)</t>
  </si>
  <si>
    <t>Line 134:  KOMONDOR SIMULATION 'sim_seed1992_input_nodes_n50_s3_cb2.csv' (seed 1992)</t>
  </si>
  <si>
    <t>Line 138:  KOMONDOR SIMULATION 'sim_seed1992_input_nodes_n50_s40_cb2.csv' (seed 1992)</t>
  </si>
  <si>
    <t>Line 142:  KOMONDOR SIMULATION 'sim_seed1992_input_nodes_n50_s41_cb2.csv' (seed 1992)</t>
  </si>
  <si>
    <t>Line 146:  KOMONDOR SIMULATION 'sim_seed1992_input_nodes_n50_s42_cb2.csv' (seed 1992)</t>
  </si>
  <si>
    <t>Line 150:  KOMONDOR SIMULATION 'sim_seed1992_input_nodes_n50_s43_cb2.csv' (seed 1992)</t>
  </si>
  <si>
    <t>Line 154:  KOMONDOR SIMULATION 'sim_seed1992_input_nodes_n50_s44_cb2.csv' (seed 1992)</t>
  </si>
  <si>
    <t>Line 158:  KOMONDOR SIMULATION 'sim_seed1992_input_nodes_n50_s45_cb2.csv' (seed 1992)</t>
  </si>
  <si>
    <t>Line 162:  KOMONDOR SIMULATION 'sim_seed1992_input_nodes_n50_s46_cb2.csv' (seed 1992)</t>
  </si>
  <si>
    <t>Line 166:  KOMONDOR SIMULATION 'sim_seed1992_input_nodes_n50_s47_cb2.csv' (seed 1992)</t>
  </si>
  <si>
    <t>Line 170:  KOMONDOR SIMULATION 'sim_seed1992_input_nodes_n50_s48_cb2.csv' (seed 1992)</t>
  </si>
  <si>
    <t>Line 174:  KOMONDOR SIMULATION 'sim_seed1992_input_nodes_n50_s49_cb2.csv' (seed 1992)</t>
  </si>
  <si>
    <t>Line 178:  KOMONDOR SIMULATION 'sim_seed1992_input_nodes_n50_s4_cb2.csv' (seed 1992)</t>
  </si>
  <si>
    <t>Line 182:  KOMONDOR SIMULATION 'sim_seed1992_input_nodes_n50_s5_cb2.csv' (seed 1992)</t>
  </si>
  <si>
    <t>Line 186:  KOMONDOR SIMULATION 'sim_seed1992_input_nodes_n50_s6_cb2.csv' (seed 1992)</t>
  </si>
  <si>
    <t>Line 190:  KOMONDOR SIMULATION 'sim_seed1992_input_nodes_n50_s7_cb2.csv' (seed 1992)</t>
  </si>
  <si>
    <t>Line 194:  KOMONDOR SIMULATION 'sim_seed1992_input_nodes_n50_s8_cb2.csv' (seed 1992)</t>
  </si>
  <si>
    <t>Line 198:  KOMONDOR SIMULATION 'sim_seed1992_input_nodes_n50_s9_cb2.csv' (seed 1992)</t>
  </si>
  <si>
    <t>Line 3:  KOMONDOR SIMULATION 'sim_seed1992_input_nodes_n50_s0_cb4.csv' (seed 1992)</t>
  </si>
  <si>
    <t>Line 7:  KOMONDOR SIMULATION 'sim_seed1992_input_nodes_n50_s10_cb4.csv' (seed 1992)</t>
  </si>
  <si>
    <t>Line 11:  KOMONDOR SIMULATION 'sim_seed1992_input_nodes_n50_s11_cb4.csv' (seed 1992)</t>
  </si>
  <si>
    <t>Line 15:  KOMONDOR SIMULATION 'sim_seed1992_input_nodes_n50_s12_cb4.csv' (seed 1992)</t>
  </si>
  <si>
    <t>Line 19:  KOMONDOR SIMULATION 'sim_seed1992_input_nodes_n50_s13_cb4.csv' (seed 1992)</t>
  </si>
  <si>
    <t>Line 23:  KOMONDOR SIMULATION 'sim_seed1992_input_nodes_n50_s14_cb4.csv' (seed 1992)</t>
  </si>
  <si>
    <t>Line 27:  KOMONDOR SIMULATION 'sim_seed1992_input_nodes_n50_s15_cb4.csv' (seed 1992)</t>
  </si>
  <si>
    <t>Line 31:  KOMONDOR SIMULATION 'sim_seed1992_input_nodes_n50_s16_cb4.csv' (seed 1992)</t>
  </si>
  <si>
    <t>Line 35:  KOMONDOR SIMULATION 'sim_seed1992_input_nodes_n50_s17_cb4.csv' (seed 1992)</t>
  </si>
  <si>
    <t>Line 39:  KOMONDOR SIMULATION 'sim_seed1992_input_nodes_n50_s18_cb4.csv' (seed 1992)</t>
  </si>
  <si>
    <t>Line 43:  KOMONDOR SIMULATION 'sim_seed1992_input_nodes_n50_s19_cb4.csv' (seed 1992)</t>
  </si>
  <si>
    <t>Line 47:  KOMONDOR SIMULATION 'sim_seed1992_input_nodes_n50_s1_cb4.csv' (seed 1992)</t>
  </si>
  <si>
    <t>Line 51:  KOMONDOR SIMULATION 'sim_seed1992_input_nodes_n50_s20_cb4.csv' (seed 1992)</t>
  </si>
  <si>
    <t>Line 55:  KOMONDOR SIMULATION 'sim_seed1992_input_nodes_n50_s21_cb4.csv' (seed 1992)</t>
  </si>
  <si>
    <t>Line 59:  KOMONDOR SIMULATION 'sim_seed1992_input_nodes_n50_s22_cb4.csv' (seed 1992)</t>
  </si>
  <si>
    <t>Line 63:  KOMONDOR SIMULATION 'sim_seed1992_input_nodes_n50_s23_cb4.csv' (seed 1992)</t>
  </si>
  <si>
    <t>Line 67:  KOMONDOR SIMULATION 'sim_seed1992_input_nodes_n50_s24_cb4.csv' (seed 1992)</t>
  </si>
  <si>
    <t>Line 71:  KOMONDOR SIMULATION 'sim_seed1992_input_nodes_n50_s25_cb4.csv' (seed 1992)</t>
  </si>
  <si>
    <t>Line 75:  KOMONDOR SIMULATION 'sim_seed1992_input_nodes_n50_s26_cb4.csv' (seed 1992)</t>
  </si>
  <si>
    <t>Line 79:  KOMONDOR SIMULATION 'sim_seed1992_input_nodes_n50_s27_cb4.csv' (seed 1992)</t>
  </si>
  <si>
    <t>Line 83:  KOMONDOR SIMULATION 'sim_seed1992_input_nodes_n50_s28_cb4.csv' (seed 1992)</t>
  </si>
  <si>
    <t>Line 87:  KOMONDOR SIMULATION 'sim_seed1992_input_nodes_n50_s29_cb4.csv' (seed 1992)</t>
  </si>
  <si>
    <t>Line 91:  KOMONDOR SIMULATION 'sim_seed1992_input_nodes_n50_s2_cb4.csv' (seed 1992)</t>
  </si>
  <si>
    <t>Line 95:  KOMONDOR SIMULATION 'sim_seed1992_input_nodes_n50_s30_cb4.csv' (seed 1992)</t>
  </si>
  <si>
    <t>Line 99:  KOMONDOR SIMULATION 'sim_seed1992_input_nodes_n50_s31_cb4.csv' (seed 1992)</t>
  </si>
  <si>
    <t>Line 103:  KOMONDOR SIMULATION 'sim_seed1992_input_nodes_n50_s32_cb4.csv' (seed 1992)</t>
  </si>
  <si>
    <t>Line 107:  KOMONDOR SIMULATION 'sim_seed1992_input_nodes_n50_s33_cb4.csv' (seed 1992)</t>
  </si>
  <si>
    <t>Line 111:  KOMONDOR SIMULATION 'sim_seed1992_input_nodes_n50_s34_cb4.csv' (seed 1992)</t>
  </si>
  <si>
    <t>Line 115:  KOMONDOR SIMULATION 'sim_seed1992_input_nodes_n50_s35_cb4.csv' (seed 1992)</t>
  </si>
  <si>
    <t>Line 119:  KOMONDOR SIMULATION 'sim_seed1992_input_nodes_n50_s36_cb4.csv' (seed 1992)</t>
  </si>
  <si>
    <t>Line 123:  KOMONDOR SIMULATION 'sim_seed1992_input_nodes_n50_s37_cb4.csv' (seed 1992)</t>
  </si>
  <si>
    <t>Line 127:  KOMONDOR SIMULATION 'sim_seed1992_input_nodes_n50_s38_cb4.csv' (seed 1992)</t>
  </si>
  <si>
    <t>Line 131:  KOMONDOR SIMULATION 'sim_seed1992_input_nodes_n50_s39_cb4.csv' (seed 1992)</t>
  </si>
  <si>
    <t>Line 135:  KOMONDOR SIMULATION 'sim_seed1992_input_nodes_n50_s3_cb4.csv' (seed 1992)</t>
  </si>
  <si>
    <t>Line 139:  KOMONDOR SIMULATION 'sim_seed1992_input_nodes_n50_s40_cb4.csv' (seed 1992)</t>
  </si>
  <si>
    <t>Line 143:  KOMONDOR SIMULATION 'sim_seed1992_input_nodes_n50_s41_cb4.csv' (seed 1992)</t>
  </si>
  <si>
    <t>Line 147:  KOMONDOR SIMULATION 'sim_seed1992_input_nodes_n50_s42_cb4.csv' (seed 1992)</t>
  </si>
  <si>
    <t>Line 151:  KOMONDOR SIMULATION 'sim_seed1992_input_nodes_n50_s43_cb4.csv' (seed 1992)</t>
  </si>
  <si>
    <t>Line 155:  KOMONDOR SIMULATION 'sim_seed1992_input_nodes_n50_s44_cb4.csv' (seed 1992)</t>
  </si>
  <si>
    <t>Line 159:  KOMONDOR SIMULATION 'sim_seed1992_input_nodes_n50_s45_cb4.csv' (seed 1992)</t>
  </si>
  <si>
    <t>Line 163:  KOMONDOR SIMULATION 'sim_seed1992_input_nodes_n50_s46_cb4.csv' (seed 1992)</t>
  </si>
  <si>
    <t>Line 167:  KOMONDOR SIMULATION 'sim_seed1992_input_nodes_n50_s47_cb4.csv' (seed 1992)</t>
  </si>
  <si>
    <t>Line 171:  KOMONDOR SIMULATION 'sim_seed1992_input_nodes_n50_s48_cb4.csv' (seed 1992)</t>
  </si>
  <si>
    <t>Line 175:  KOMONDOR SIMULATION 'sim_seed1992_input_nodes_n50_s49_cb4.csv' (seed 1992)</t>
  </si>
  <si>
    <t>Line 179:  KOMONDOR SIMULATION 'sim_seed1992_input_nodes_n50_s4_cb4.csv' (seed 1992)</t>
  </si>
  <si>
    <t>Line 183:  KOMONDOR SIMULATION 'sim_seed1992_input_nodes_n50_s5_cb4.csv' (seed 1992)</t>
  </si>
  <si>
    <t>Line 187:  KOMONDOR SIMULATION 'sim_seed1992_input_nodes_n50_s6_cb4.csv' (seed 1992)</t>
  </si>
  <si>
    <t>Line 191:  KOMONDOR SIMULATION 'sim_seed1992_input_nodes_n50_s7_cb4.csv' (seed 1992)</t>
  </si>
  <si>
    <t>Line 195:  KOMONDOR SIMULATION 'sim_seed1992_input_nodes_n50_s8_cb4.csv' (seed 1992)</t>
  </si>
  <si>
    <t>Line 199:  KOMONDOR SIMULATION 'sim_seed1992_input_nodes_n50_s9_cb4.csv' (seed 1992)</t>
  </si>
  <si>
    <t>Line 4:  KOMONDOR SIMULATION 'sim_seed1992_input_nodes_n50_s0_cb6.csv' (seed 1992)</t>
  </si>
  <si>
    <t>Line 8:  KOMONDOR SIMULATION 'sim_seed1992_input_nodes_n50_s10_cb6.csv' (seed 1992)</t>
  </si>
  <si>
    <t>Line 12:  KOMONDOR SIMULATION 'sim_seed1992_input_nodes_n50_s11_cb6.csv' (seed 1992)</t>
  </si>
  <si>
    <t>Line 16:  KOMONDOR SIMULATION 'sim_seed1992_input_nodes_n50_s12_cb6.csv' (seed 1992)</t>
  </si>
  <si>
    <t>Line 20:  KOMONDOR SIMULATION 'sim_seed1992_input_nodes_n50_s13_cb6.csv' (seed 1992)</t>
  </si>
  <si>
    <t>Line 24:  KOMONDOR SIMULATION 'sim_seed1992_input_nodes_n50_s14_cb6.csv' (seed 1992)</t>
  </si>
  <si>
    <t>Line 28:  KOMONDOR SIMULATION 'sim_seed1992_input_nodes_n50_s15_cb6.csv' (seed 1992)</t>
  </si>
  <si>
    <t>Line 32:  KOMONDOR SIMULATION 'sim_seed1992_input_nodes_n50_s16_cb6.csv' (seed 1992)</t>
  </si>
  <si>
    <t>Line 36:  KOMONDOR SIMULATION 'sim_seed1992_input_nodes_n50_s17_cb6.csv' (seed 1992)</t>
  </si>
  <si>
    <t>Line 40:  KOMONDOR SIMULATION 'sim_seed1992_input_nodes_n50_s18_cb6.csv' (seed 1992)</t>
  </si>
  <si>
    <t>Line 44:  KOMONDOR SIMULATION 'sim_seed1992_input_nodes_n50_s19_cb6.csv' (seed 1992)</t>
  </si>
  <si>
    <t>Line 48:  KOMONDOR SIMULATION 'sim_seed1992_input_nodes_n50_s1_cb6.csv' (seed 1992)</t>
  </si>
  <si>
    <t>Line 52:  KOMONDOR SIMULATION 'sim_seed1992_input_nodes_n50_s20_cb6.csv' (seed 1992)</t>
  </si>
  <si>
    <t>Line 56:  KOMONDOR SIMULATION 'sim_seed1992_input_nodes_n50_s21_cb6.csv' (seed 1992)</t>
  </si>
  <si>
    <t>Line 60:  KOMONDOR SIMULATION 'sim_seed1992_input_nodes_n50_s22_cb6.csv' (seed 1992)</t>
  </si>
  <si>
    <t>Line 64:  KOMONDOR SIMULATION 'sim_seed1992_input_nodes_n50_s23_cb6.csv' (seed 1992)</t>
  </si>
  <si>
    <t>Line 68:  KOMONDOR SIMULATION 'sim_seed1992_input_nodes_n50_s24_cb6.csv' (seed 1992)</t>
  </si>
  <si>
    <t>Line 72:  KOMONDOR SIMULATION 'sim_seed1992_input_nodes_n50_s25_cb6.csv' (seed 1992)</t>
  </si>
  <si>
    <t>Line 76:  KOMONDOR SIMULATION 'sim_seed1992_input_nodes_n50_s26_cb6.csv' (seed 1992)</t>
  </si>
  <si>
    <t>Line 80:  KOMONDOR SIMULATION 'sim_seed1992_input_nodes_n50_s27_cb6.csv' (seed 1992)</t>
  </si>
  <si>
    <t>Line 84:  KOMONDOR SIMULATION 'sim_seed1992_input_nodes_n50_s28_cb6.csv' (seed 1992)</t>
  </si>
  <si>
    <t>Line 88:  KOMONDOR SIMULATION 'sim_seed1992_input_nodes_n50_s29_cb6.csv' (seed 1992)</t>
  </si>
  <si>
    <t>Line 92:  KOMONDOR SIMULATION 'sim_seed1992_input_nodes_n50_s2_cb6.csv' (seed 1992)</t>
  </si>
  <si>
    <t>Line 96:  KOMONDOR SIMULATION 'sim_seed1992_input_nodes_n50_s30_cb6.csv' (seed 1992)</t>
  </si>
  <si>
    <t>Line 100:  KOMONDOR SIMULATION 'sim_seed1992_input_nodes_n50_s31_cb6.csv' (seed 1992)</t>
  </si>
  <si>
    <t>Line 104:  KOMONDOR SIMULATION 'sim_seed1992_input_nodes_n50_s32_cb6.csv' (seed 1992)</t>
  </si>
  <si>
    <t>Line 108:  KOMONDOR SIMULATION 'sim_seed1992_input_nodes_n50_s33_cb6.csv' (seed 1992)</t>
  </si>
  <si>
    <t>Line 112:  KOMONDOR SIMULATION 'sim_seed1992_input_nodes_n50_s34_cb6.csv' (seed 1992)</t>
  </si>
  <si>
    <t>Line 116:  KOMONDOR SIMULATION 'sim_seed1992_input_nodes_n50_s35_cb6.csv' (seed 1992)</t>
  </si>
  <si>
    <t>Line 120:  KOMONDOR SIMULATION 'sim_seed1992_input_nodes_n50_s36_cb6.csv' (seed 1992)</t>
  </si>
  <si>
    <t>Line 124:  KOMONDOR SIMULATION 'sim_seed1992_input_nodes_n50_s37_cb6.csv' (seed 1992)</t>
  </si>
  <si>
    <t>Line 128:  KOMONDOR SIMULATION 'sim_seed1992_input_nodes_n50_s38_cb6.csv' (seed 1992)</t>
  </si>
  <si>
    <t>Line 132:  KOMONDOR SIMULATION 'sim_seed1992_input_nodes_n50_s39_cb6.csv' (seed 1992)</t>
  </si>
  <si>
    <t>Line 136:  KOMONDOR SIMULATION 'sim_seed1992_input_nodes_n50_s3_cb6.csv' (seed 1992)</t>
  </si>
  <si>
    <t>Line 140:  KOMONDOR SIMULATION 'sim_seed1992_input_nodes_n50_s40_cb6.csv' (seed 1992)</t>
  </si>
  <si>
    <t>Line 144:  KOMONDOR SIMULATION 'sim_seed1992_input_nodes_n50_s41_cb6.csv' (seed 1992)</t>
  </si>
  <si>
    <t>Line 148:  KOMONDOR SIMULATION 'sim_seed1992_input_nodes_n50_s42_cb6.csv' (seed 1992)</t>
  </si>
  <si>
    <t>Line 152:  KOMONDOR SIMULATION 'sim_seed1992_input_nodes_n50_s43_cb6.csv' (seed 1992)</t>
  </si>
  <si>
    <t>Line 156:  KOMONDOR SIMULATION 'sim_seed1992_input_nodes_n50_s44_cb6.csv' (seed 1992)</t>
  </si>
  <si>
    <t>Line 160:  KOMONDOR SIMULATION 'sim_seed1992_input_nodes_n50_s45_cb6.csv' (seed 1992)</t>
  </si>
  <si>
    <t>Line 164:  KOMONDOR SIMULATION 'sim_seed1992_input_nodes_n50_s46_cb6.csv' (seed 1992)</t>
  </si>
  <si>
    <t>Line 168:  KOMONDOR SIMULATION 'sim_seed1992_input_nodes_n50_s47_cb6.csv' (seed 1992)</t>
  </si>
  <si>
    <t>Line 172:  KOMONDOR SIMULATION 'sim_seed1992_input_nodes_n50_s48_cb6.csv' (seed 1992)</t>
  </si>
  <si>
    <t>Line 176:  KOMONDOR SIMULATION 'sim_seed1992_input_nodes_n50_s49_cb6.csv' (seed 1992)</t>
  </si>
  <si>
    <t>Line 180:  KOMONDOR SIMULATION 'sim_seed1992_input_nodes_n50_s4_cb6.csv' (seed 1992)</t>
  </si>
  <si>
    <t>Line 184:  KOMONDOR SIMULATION 'sim_seed1992_input_nodes_n50_s5_cb6.csv' (seed 1992)</t>
  </si>
  <si>
    <t>Line 188:  KOMONDOR SIMULATION 'sim_seed1992_input_nodes_n50_s6_cb6.csv' (seed 1992)</t>
  </si>
  <si>
    <t>Line 192:  KOMONDOR SIMULATION 'sim_seed1992_input_nodes_n50_s7_cb6.csv' (seed 1992)</t>
  </si>
  <si>
    <t>Line 196:  KOMONDOR SIMULATION 'sim_seed1992_input_nodes_n50_s8_cb6.csv' (seed 1992)</t>
  </si>
  <si>
    <t>Line 200:  KOMONDOR SIMULATION 'sim_seed1992_input_nodes_n50_s9_cb6.csv' (seed 1992)</t>
  </si>
  <si>
    <t>On 11 Dec 2017: spectrum utilization metric added.</t>
  </si>
  <si>
    <t>Spectrum utilization</t>
  </si>
  <si>
    <t>Av. Used Bandwidth [MHz]</t>
  </si>
  <si>
    <t>Select for each N value, those scenarios when PF is non -inf in both PU and AM</t>
  </si>
  <si>
    <t>Avoided scenarios</t>
  </si>
  <si>
    <t>Total</t>
  </si>
  <si>
    <t>None</t>
  </si>
  <si>
    <t>9, 27</t>
  </si>
  <si>
    <t>9, 27, 36</t>
  </si>
  <si>
    <t>15, 17, 38</t>
  </si>
  <si>
    <t>2, 20, 28, 38</t>
  </si>
  <si>
    <t>2, 15, 17, 20, 28, 38</t>
  </si>
  <si>
    <t>8, 30, 46</t>
  </si>
  <si>
    <t>8, 12, 26, 47</t>
  </si>
  <si>
    <t>8, 12, 26, 30, 46, 47</t>
  </si>
  <si>
    <t>1, 9, 11, 14, 27, 41, 43</t>
  </si>
  <si>
    <t>Av. proportional fairness</t>
  </si>
  <si>
    <t>Norm. Prop. Fairness</t>
  </si>
  <si>
    <t>DCB
policy</t>
  </si>
  <si>
    <t>Line 401:  KOMONDOR SIMULATION 'sim_input_nodes_n2_s0_cb0.csv2.csv' (seed 1992)</t>
  </si>
  <si>
    <t>Line 403:  KOMONDOR SIMULATION 'sim_input_nodes_n2_s0_cb4.csv2.csv' (seed 1992)</t>
  </si>
  <si>
    <t>Line 404:  KOMONDOR SIMULATION 'sim_input_nodes_n2_s0_cb6.csv2.csv' (seed 1992)</t>
  </si>
  <si>
    <t>Line 405:  KOMONDOR SIMULATION 'sim_input_nodes_n2_s10_cb0.csv2.csv' (seed 1992)</t>
  </si>
  <si>
    <t>Line 407:  KOMONDOR SIMULATION 'sim_input_nodes_n2_s10_cb4.csv2.csv' (seed 1992)</t>
  </si>
  <si>
    <t>Line 408:  KOMONDOR SIMULATION 'sim_input_nodes_n2_s10_cb6.csv2.csv' (seed 1992)</t>
  </si>
  <si>
    <t>Line 409:  KOMONDOR SIMULATION 'sim_input_nodes_n2_s11_cb0.csv2.csv' (seed 1992)</t>
  </si>
  <si>
    <t>Line 411:  KOMONDOR SIMULATION 'sim_input_nodes_n2_s11_cb4.csv2.csv' (seed 1992)</t>
  </si>
  <si>
    <t>Line 412:  KOMONDOR SIMULATION 'sim_input_nodes_n2_s11_cb6.csv2.csv' (seed 1992)</t>
  </si>
  <si>
    <t>Line 413:  KOMONDOR SIMULATION 'sim_input_nodes_n2_s12_cb0.csv2.csv' (seed 1992)</t>
  </si>
  <si>
    <t>Line 415:  KOMONDOR SIMULATION 'sim_input_nodes_n2_s12_cb4.csv2.csv' (seed 1992)</t>
  </si>
  <si>
    <t>Line 416:  KOMONDOR SIMULATION 'sim_input_nodes_n2_s12_cb6.csv2.csv' (seed 1992)</t>
  </si>
  <si>
    <t>Line 417:  KOMONDOR SIMULATION 'sim_input_nodes_n2_s13_cb0.csv2.csv' (seed 1992)</t>
  </si>
  <si>
    <t>Line 419:  KOMONDOR SIMULATION 'sim_input_nodes_n2_s13_cb4.csv2.csv' (seed 1992)</t>
  </si>
  <si>
    <t>Line 420:  KOMONDOR SIMULATION 'sim_input_nodes_n2_s13_cb6.csv2.csv' (seed 1992)</t>
  </si>
  <si>
    <t>Line 421:  KOMONDOR SIMULATION 'sim_input_nodes_n2_s14_cb0.csv2.csv' (seed 1992)</t>
  </si>
  <si>
    <t>Line 423:  KOMONDOR SIMULATION 'sim_input_nodes_n2_s14_cb4.csv2.csv' (seed 1992)</t>
  </si>
  <si>
    <t>Line 424:  KOMONDOR SIMULATION 'sim_input_nodes_n2_s14_cb6.csv2.csv' (seed 1992)</t>
  </si>
  <si>
    <t>Line 425:  KOMONDOR SIMULATION 'sim_input_nodes_n2_s15_cb0.csv2.csv' (seed 1992)</t>
  </si>
  <si>
    <t>Line 427:  KOMONDOR SIMULATION 'sim_input_nodes_n2_s15_cb4.csv2.csv' (seed 1992)</t>
  </si>
  <si>
    <t>Line 428:  KOMONDOR SIMULATION 'sim_input_nodes_n2_s15_cb6.csv2.csv' (seed 1992)</t>
  </si>
  <si>
    <t>Line 429:  KOMONDOR SIMULATION 'sim_input_nodes_n2_s16_cb0.csv2.csv' (seed 1992)</t>
  </si>
  <si>
    <t>Line 431:  KOMONDOR SIMULATION 'sim_input_nodes_n2_s16_cb4.csv2.csv' (seed 1992)</t>
  </si>
  <si>
    <t>Line 432:  KOMONDOR SIMULATION 'sim_input_nodes_n2_s16_cb6.csv2.csv' (seed 1992)</t>
  </si>
  <si>
    <t>Line 433:  KOMONDOR SIMULATION 'sim_input_nodes_n2_s17_cb0.csv2.csv' (seed 1992)</t>
  </si>
  <si>
    <t>Line 435:  KOMONDOR SIMULATION 'sim_input_nodes_n2_s17_cb4.csv2.csv' (seed 1992)</t>
  </si>
  <si>
    <t>Line 436:  KOMONDOR SIMULATION 'sim_input_nodes_n2_s17_cb6.csv2.csv' (seed 1992)</t>
  </si>
  <si>
    <t>Line 437:  KOMONDOR SIMULATION 'sim_input_nodes_n2_s18_cb0.csv2.csv' (seed 1992)</t>
  </si>
  <si>
    <t>Line 439:  KOMONDOR SIMULATION 'sim_input_nodes_n2_s18_cb4.csv2.csv' (seed 1992)</t>
  </si>
  <si>
    <t>Line 440:  KOMONDOR SIMULATION 'sim_input_nodes_n2_s18_cb6.csv2.csv' (seed 1992)</t>
  </si>
  <si>
    <t>Line 441:  KOMONDOR SIMULATION 'sim_input_nodes_n2_s19_cb0.csv2.csv' (seed 1992)</t>
  </si>
  <si>
    <t>Line 443:  KOMONDOR SIMULATION 'sim_input_nodes_n2_s19_cb4.csv2.csv' (seed 1992)</t>
  </si>
  <si>
    <t>Line 444:  KOMONDOR SIMULATION 'sim_input_nodes_n2_s19_cb6.csv2.csv' (seed 1992)</t>
  </si>
  <si>
    <t>Line 445:  KOMONDOR SIMULATION 'sim_input_nodes_n2_s1_cb0.csv2.csv' (seed 1992)</t>
  </si>
  <si>
    <t>Line 447:  KOMONDOR SIMULATION 'sim_input_nodes_n2_s1_cb4.csv2.csv' (seed 1992)</t>
  </si>
  <si>
    <t>Line 448:  KOMONDOR SIMULATION 'sim_input_nodes_n2_s1_cb6.csv2.csv' (seed 1992)</t>
  </si>
  <si>
    <t>Line 449:  KOMONDOR SIMULATION 'sim_input_nodes_n2_s20_cb0.csv2.csv' (seed 1992)</t>
  </si>
  <si>
    <t>Line 451:  KOMONDOR SIMULATION 'sim_input_nodes_n2_s20_cb4.csv2.csv' (seed 1992)</t>
  </si>
  <si>
    <t>Line 452:  KOMONDOR SIMULATION 'sim_input_nodes_n2_s20_cb6.csv2.csv' (seed 1992)</t>
  </si>
  <si>
    <t>Line 453:  KOMONDOR SIMULATION 'sim_input_nodes_n2_s21_cb0.csv2.csv' (seed 1992)</t>
  </si>
  <si>
    <t>Line 455:  KOMONDOR SIMULATION 'sim_input_nodes_n2_s21_cb4.csv2.csv' (seed 1992)</t>
  </si>
  <si>
    <t>Line 456:  KOMONDOR SIMULATION 'sim_input_nodes_n2_s21_cb6.csv2.csv' (seed 1992)</t>
  </si>
  <si>
    <t>Line 457:  KOMONDOR SIMULATION 'sim_input_nodes_n2_s22_cb0.csv2.csv' (seed 1992)</t>
  </si>
  <si>
    <t>Line 459:  KOMONDOR SIMULATION 'sim_input_nodes_n2_s22_cb4.csv2.csv' (seed 1992)</t>
  </si>
  <si>
    <t>Line 460:  KOMONDOR SIMULATION 'sim_input_nodes_n2_s22_cb6.csv2.csv' (seed 1992)</t>
  </si>
  <si>
    <t>Line 461:  KOMONDOR SIMULATION 'sim_input_nodes_n2_s23_cb0.csv2.csv' (seed 1992)</t>
  </si>
  <si>
    <t>Line 463:  KOMONDOR SIMULATION 'sim_input_nodes_n2_s23_cb4.csv2.csv' (seed 1992)</t>
  </si>
  <si>
    <t>Line 464:  KOMONDOR SIMULATION 'sim_input_nodes_n2_s23_cb6.csv2.csv' (seed 1992)</t>
  </si>
  <si>
    <t>Line 465:  KOMONDOR SIMULATION 'sim_input_nodes_n2_s24_cb0.csv2.csv' (seed 1992)</t>
  </si>
  <si>
    <t>Line 467:  KOMONDOR SIMULATION 'sim_input_nodes_n2_s24_cb4.csv2.csv' (seed 1992)</t>
  </si>
  <si>
    <t>Line 468:  KOMONDOR SIMULATION 'sim_input_nodes_n2_s24_cb6.csv2.csv' (seed 1992)</t>
  </si>
  <si>
    <t>Line 469:  KOMONDOR SIMULATION 'sim_input_nodes_n2_s25_cb0.csv2.csv' (seed 1992)</t>
  </si>
  <si>
    <t>Line 471:  KOMONDOR SIMULATION 'sim_input_nodes_n2_s25_cb4.csv2.csv' (seed 1992)</t>
  </si>
  <si>
    <t>Line 472:  KOMONDOR SIMULATION 'sim_input_nodes_n2_s25_cb6.csv2.csv' (seed 1992)</t>
  </si>
  <si>
    <t>Line 473:  KOMONDOR SIMULATION 'sim_input_nodes_n2_s26_cb0.csv2.csv' (seed 1992)</t>
  </si>
  <si>
    <t>Line 475:  KOMONDOR SIMULATION 'sim_input_nodes_n2_s26_cb4.csv2.csv' (seed 1992)</t>
  </si>
  <si>
    <t>Line 476:  KOMONDOR SIMULATION 'sim_input_nodes_n2_s26_cb6.csv2.csv' (seed 1992)</t>
  </si>
  <si>
    <t>Line 477:  KOMONDOR SIMULATION 'sim_input_nodes_n2_s27_cb0.csv2.csv' (seed 1992)</t>
  </si>
  <si>
    <t>Line 479:  KOMONDOR SIMULATION 'sim_input_nodes_n2_s27_cb4.csv2.csv' (seed 1992)</t>
  </si>
  <si>
    <t>Line 480:  KOMONDOR SIMULATION 'sim_input_nodes_n2_s27_cb6.csv2.csv' (seed 1992)</t>
  </si>
  <si>
    <t>Line 481:  KOMONDOR SIMULATION 'sim_input_nodes_n2_s28_cb0.csv2.csv' (seed 1992)</t>
  </si>
  <si>
    <t>Line 483:  KOMONDOR SIMULATION 'sim_input_nodes_n2_s28_cb4.csv2.csv' (seed 1992)</t>
  </si>
  <si>
    <t>Line 484:  KOMONDOR SIMULATION 'sim_input_nodes_n2_s28_cb6.csv2.csv' (seed 1992)</t>
  </si>
  <si>
    <t>Line 485:  KOMONDOR SIMULATION 'sim_input_nodes_n2_s29_cb0.csv2.csv' (seed 1992)</t>
  </si>
  <si>
    <t>Line 487:  KOMONDOR SIMULATION 'sim_input_nodes_n2_s29_cb4.csv2.csv' (seed 1992)</t>
  </si>
  <si>
    <t>Line 488:  KOMONDOR SIMULATION 'sim_input_nodes_n2_s29_cb6.csv2.csv' (seed 1992)</t>
  </si>
  <si>
    <t>Line 489:  KOMONDOR SIMULATION 'sim_input_nodes_n2_s2_cb0.csv2.csv' (seed 1992)</t>
  </si>
  <si>
    <t>Line 491:  KOMONDOR SIMULATION 'sim_input_nodes_n2_s2_cb4.csv2.csv' (seed 1992)</t>
  </si>
  <si>
    <t>Line 492:  KOMONDOR SIMULATION 'sim_input_nodes_n2_s2_cb6.csv2.csv' (seed 1992)</t>
  </si>
  <si>
    <t>Line 493:  KOMONDOR SIMULATION 'sim_input_nodes_n2_s30_cb0.csv2.csv' (seed 1992)</t>
  </si>
  <si>
    <t>Line 495:  KOMONDOR SIMULATION 'sim_input_nodes_n2_s30_cb4.csv2.csv' (seed 1992)</t>
  </si>
  <si>
    <t>Line 496:  KOMONDOR SIMULATION 'sim_input_nodes_n2_s30_cb6.csv2.csv' (seed 1992)</t>
  </si>
  <si>
    <t>Line 497:  KOMONDOR SIMULATION 'sim_input_nodes_n2_s31_cb0.csv2.csv' (seed 1992)</t>
  </si>
  <si>
    <t>Line 499:  KOMONDOR SIMULATION 'sim_input_nodes_n2_s31_cb4.csv2.csv' (seed 1992)</t>
  </si>
  <si>
    <t>Line 500:  KOMONDOR SIMULATION 'sim_input_nodes_n2_s31_cb6.csv2.csv' (seed 1992)</t>
  </si>
  <si>
    <t>Line 501:  KOMONDOR SIMULATION 'sim_input_nodes_n2_s32_cb0.csv2.csv' (seed 1992)</t>
  </si>
  <si>
    <t>Line 503:  KOMONDOR SIMULATION 'sim_input_nodes_n2_s32_cb4.csv2.csv' (seed 1992)</t>
  </si>
  <si>
    <t>Line 504:  KOMONDOR SIMULATION 'sim_input_nodes_n2_s32_cb6.csv2.csv' (seed 1992)</t>
  </si>
  <si>
    <t>Line 505:  KOMONDOR SIMULATION 'sim_input_nodes_n2_s33_cb0.csv2.csv' (seed 1992)</t>
  </si>
  <si>
    <t>Line 507:  KOMONDOR SIMULATION 'sim_input_nodes_n2_s33_cb4.csv2.csv' (seed 1992)</t>
  </si>
  <si>
    <t>Line 508:  KOMONDOR SIMULATION 'sim_input_nodes_n2_s33_cb6.csv2.csv' (seed 1992)</t>
  </si>
  <si>
    <t>Line 509:  KOMONDOR SIMULATION 'sim_input_nodes_n2_s34_cb0.csv2.csv' (seed 1992)</t>
  </si>
  <si>
    <t>Line 511:  KOMONDOR SIMULATION 'sim_input_nodes_n2_s34_cb4.csv2.csv' (seed 1992)</t>
  </si>
  <si>
    <t>Line 512:  KOMONDOR SIMULATION 'sim_input_nodes_n2_s34_cb6.csv2.csv' (seed 1992)</t>
  </si>
  <si>
    <t>Line 513:  KOMONDOR SIMULATION 'sim_input_nodes_n2_s35_cb0.csv2.csv' (seed 1992)</t>
  </si>
  <si>
    <t>Line 515:  KOMONDOR SIMULATION 'sim_input_nodes_n2_s35_cb4.csv2.csv' (seed 1992)</t>
  </si>
  <si>
    <t>Line 516:  KOMONDOR SIMULATION 'sim_input_nodes_n2_s35_cb6.csv2.csv' (seed 1992)</t>
  </si>
  <si>
    <t>Line 517:  KOMONDOR SIMULATION 'sim_input_nodes_n2_s36_cb0.csv2.csv' (seed 1992)</t>
  </si>
  <si>
    <t>Line 519:  KOMONDOR SIMULATION 'sim_input_nodes_n2_s36_cb4.csv2.csv' (seed 1992)</t>
  </si>
  <si>
    <t>Line 520:  KOMONDOR SIMULATION 'sim_input_nodes_n2_s36_cb6.csv2.csv' (seed 1992)</t>
  </si>
  <si>
    <t>Line 521:  KOMONDOR SIMULATION 'sim_input_nodes_n2_s37_cb0.csv2.csv' (seed 1992)</t>
  </si>
  <si>
    <t>Line 523:  KOMONDOR SIMULATION 'sim_input_nodes_n2_s37_cb4.csv2.csv' (seed 1992)</t>
  </si>
  <si>
    <t>Line 524:  KOMONDOR SIMULATION 'sim_input_nodes_n2_s37_cb6.csv2.csv' (seed 1992)</t>
  </si>
  <si>
    <t>Line 525:  KOMONDOR SIMULATION 'sim_input_nodes_n2_s38_cb0.csv2.csv' (seed 1992)</t>
  </si>
  <si>
    <t>Line 527:  KOMONDOR SIMULATION 'sim_input_nodes_n2_s38_cb4.csv2.csv' (seed 1992)</t>
  </si>
  <si>
    <t>Line 528:  KOMONDOR SIMULATION 'sim_input_nodes_n2_s38_cb6.csv2.csv' (seed 1992)</t>
  </si>
  <si>
    <t>Line 529:  KOMONDOR SIMULATION 'sim_input_nodes_n2_s39_cb0.csv2.csv' (seed 1992)</t>
  </si>
  <si>
    <t>Line 531:  KOMONDOR SIMULATION 'sim_input_nodes_n2_s39_cb4.csv2.csv' (seed 1992)</t>
  </si>
  <si>
    <t>Line 532:  KOMONDOR SIMULATION 'sim_input_nodes_n2_s39_cb6.csv2.csv' (seed 1992)</t>
  </si>
  <si>
    <t>Line 533:  KOMONDOR SIMULATION 'sim_input_nodes_n2_s3_cb0.csv2.csv' (seed 1992)</t>
  </si>
  <si>
    <t>Line 535:  KOMONDOR SIMULATION 'sim_input_nodes_n2_s3_cb4.csv2.csv' (seed 1992)</t>
  </si>
  <si>
    <t>Line 536:  KOMONDOR SIMULATION 'sim_input_nodes_n2_s3_cb6.csv2.csv' (seed 1992)</t>
  </si>
  <si>
    <t>Line 537:  KOMONDOR SIMULATION 'sim_input_nodes_n2_s40_cb0.csv2.csv' (seed 1992)</t>
  </si>
  <si>
    <t>Line 539:  KOMONDOR SIMULATION 'sim_input_nodes_n2_s40_cb4.csv2.csv' (seed 1992)</t>
  </si>
  <si>
    <t>Line 540:  KOMONDOR SIMULATION 'sim_input_nodes_n2_s40_cb6.csv2.csv' (seed 1992)</t>
  </si>
  <si>
    <t>Line 541:  KOMONDOR SIMULATION 'sim_input_nodes_n2_s41_cb0.csv2.csv' (seed 1992)</t>
  </si>
  <si>
    <t>Line 543:  KOMONDOR SIMULATION 'sim_input_nodes_n2_s41_cb4.csv2.csv' (seed 1992)</t>
  </si>
  <si>
    <t>Line 544:  KOMONDOR SIMULATION 'sim_input_nodes_n2_s41_cb6.csv2.csv' (seed 1992)</t>
  </si>
  <si>
    <t>Line 545:  KOMONDOR SIMULATION 'sim_input_nodes_n2_s42_cb0.csv2.csv' (seed 1992)</t>
  </si>
  <si>
    <t>Line 547:  KOMONDOR SIMULATION 'sim_input_nodes_n2_s42_cb4.csv2.csv' (seed 1992)</t>
  </si>
  <si>
    <t>Line 548:  KOMONDOR SIMULATION 'sim_input_nodes_n2_s42_cb6.csv2.csv' (seed 1992)</t>
  </si>
  <si>
    <t>Line 549:  KOMONDOR SIMULATION 'sim_input_nodes_n2_s43_cb0.csv2.csv' (seed 1992)</t>
  </si>
  <si>
    <t>Line 551:  KOMONDOR SIMULATION 'sim_input_nodes_n2_s43_cb4.csv2.csv' (seed 1992)</t>
  </si>
  <si>
    <t>Line 552:  KOMONDOR SIMULATION 'sim_input_nodes_n2_s43_cb6.csv2.csv' (seed 1992)</t>
  </si>
  <si>
    <t>Line 553:  KOMONDOR SIMULATION 'sim_input_nodes_n2_s44_cb0.csv2.csv' (seed 1992)</t>
  </si>
  <si>
    <t>Line 555:  KOMONDOR SIMULATION 'sim_input_nodes_n2_s44_cb4.csv2.csv' (seed 1992)</t>
  </si>
  <si>
    <t>Line 556:  KOMONDOR SIMULATION 'sim_input_nodes_n2_s44_cb6.csv2.csv' (seed 1992)</t>
  </si>
  <si>
    <t>Line 557:  KOMONDOR SIMULATION 'sim_input_nodes_n2_s45_cb0.csv2.csv' (seed 1992)</t>
  </si>
  <si>
    <t>Line 559:  KOMONDOR SIMULATION 'sim_input_nodes_n2_s45_cb4.csv2.csv' (seed 1992)</t>
  </si>
  <si>
    <t>Line 560:  KOMONDOR SIMULATION 'sim_input_nodes_n2_s45_cb6.csv2.csv' (seed 1992)</t>
  </si>
  <si>
    <t>Line 561:  KOMONDOR SIMULATION 'sim_input_nodes_n2_s46_cb0.csv2.csv' (seed 1992)</t>
  </si>
  <si>
    <t>Line 563:  KOMONDOR SIMULATION 'sim_input_nodes_n2_s46_cb4.csv2.csv' (seed 1992)</t>
  </si>
  <si>
    <t>Line 564:  KOMONDOR SIMULATION 'sim_input_nodes_n2_s46_cb6.csv2.csv' (seed 1992)</t>
  </si>
  <si>
    <t>Line 565:  KOMONDOR SIMULATION 'sim_input_nodes_n2_s47_cb0.csv2.csv' (seed 1992)</t>
  </si>
  <si>
    <t>Line 567:  KOMONDOR SIMULATION 'sim_input_nodes_n2_s47_cb4.csv2.csv' (seed 1992)</t>
  </si>
  <si>
    <t>Line 568:  KOMONDOR SIMULATION 'sim_input_nodes_n2_s47_cb6.csv2.csv' (seed 1992)</t>
  </si>
  <si>
    <t>Line 569:  KOMONDOR SIMULATION 'sim_input_nodes_n2_s48_cb0.csv2.csv' (seed 1992)</t>
  </si>
  <si>
    <t>Line 571:  KOMONDOR SIMULATION 'sim_input_nodes_n2_s48_cb4.csv2.csv' (seed 1992)</t>
  </si>
  <si>
    <t>Line 572:  KOMONDOR SIMULATION 'sim_input_nodes_n2_s48_cb6.csv2.csv' (seed 1992)</t>
  </si>
  <si>
    <t>Line 573:  KOMONDOR SIMULATION 'sim_input_nodes_n2_s49_cb0.csv2.csv' (seed 1992)</t>
  </si>
  <si>
    <t>Line 575:  KOMONDOR SIMULATION 'sim_input_nodes_n2_s49_cb4.csv2.csv' (seed 1992)</t>
  </si>
  <si>
    <t>Line 576:  KOMONDOR SIMULATION 'sim_input_nodes_n2_s49_cb6.csv2.csv' (seed 1992)</t>
  </si>
  <si>
    <t>Line 577:  KOMONDOR SIMULATION 'sim_input_nodes_n2_s4_cb0.csv2.csv' (seed 1992)</t>
  </si>
  <si>
    <t>Line 579:  KOMONDOR SIMULATION 'sim_input_nodes_n2_s4_cb4.csv2.csv' (seed 1992)</t>
  </si>
  <si>
    <t>Line 580:  KOMONDOR SIMULATION 'sim_input_nodes_n2_s4_cb6.csv2.csv' (seed 1992)</t>
  </si>
  <si>
    <t>Line 581:  KOMONDOR SIMULATION 'sim_input_nodes_n2_s5_cb0.csv2.csv' (seed 1992)</t>
  </si>
  <si>
    <t>Line 583:  KOMONDOR SIMULATION 'sim_input_nodes_n2_s5_cb4.csv2.csv' (seed 1992)</t>
  </si>
  <si>
    <t>Line 584:  KOMONDOR SIMULATION 'sim_input_nodes_n2_s5_cb6.csv2.csv' (seed 1992)</t>
  </si>
  <si>
    <t>Line 585:  KOMONDOR SIMULATION 'sim_input_nodes_n2_s6_cb0.csv2.csv' (seed 1992)</t>
  </si>
  <si>
    <t>Line 587:  KOMONDOR SIMULATION 'sim_input_nodes_n2_s6_cb4.csv2.csv' (seed 1992)</t>
  </si>
  <si>
    <t>Line 588:  KOMONDOR SIMULATION 'sim_input_nodes_n2_s6_cb6.csv2.csv' (seed 1992)</t>
  </si>
  <si>
    <t>Line 589:  KOMONDOR SIMULATION 'sim_input_nodes_n2_s7_cb0.csv2.csv' (seed 1992)</t>
  </si>
  <si>
    <t>Line 591:  KOMONDOR SIMULATION 'sim_input_nodes_n2_s7_cb4.csv2.csv' (seed 1992)</t>
  </si>
  <si>
    <t>Line 592:  KOMONDOR SIMULATION 'sim_input_nodes_n2_s7_cb6.csv2.csv' (seed 1992)</t>
  </si>
  <si>
    <t>Line 593:  KOMONDOR SIMULATION 'sim_input_nodes_n2_s8_cb0.csv2.csv' (seed 1992)</t>
  </si>
  <si>
    <t>Line 595:  KOMONDOR SIMULATION 'sim_input_nodes_n2_s8_cb4.csv2.csv' (seed 1992)</t>
  </si>
  <si>
    <t>Line 596:  KOMONDOR SIMULATION 'sim_input_nodes_n2_s8_cb6.csv2.csv' (seed 1992)</t>
  </si>
  <si>
    <t>Line 597:  KOMONDOR SIMULATION 'sim_input_nodes_n2_s9_cb0.csv2.csv' (seed 1992)</t>
  </si>
  <si>
    <t>Line 599:  KOMONDOR SIMULATION 'sim_input_nodes_n2_s9_cb4.csv2.csv' (seed 1992)</t>
  </si>
  <si>
    <t>Line 600:  KOMONDOR SIMULATION 'sim_input_nodes_n2_s9_cb6.csv2.csv' (seed 1992)</t>
  </si>
  <si>
    <t>Line 1:  KOMONDOR SIMULATION 'sim_input_nodes_n10_s0_cb0.csv2.csv' (seed 1992)</t>
  </si>
  <si>
    <t>Line 5:  KOMONDOR SIMULATION 'sim_input_nodes_n10_s10_cb0.csv2.csv' (seed 1992)</t>
  </si>
  <si>
    <t>Line 9:  KOMONDOR SIMULATION 'sim_input_nodes_n10_s11_cb0.csv2.csv' (seed 1992)</t>
  </si>
  <si>
    <t>Line 13:  KOMONDOR SIMULATION 'sim_input_nodes_n10_s12_cb0.csv2.csv' (seed 1992)</t>
  </si>
  <si>
    <t>Line 17:  KOMONDOR SIMULATION 'sim_input_nodes_n10_s13_cb0.csv2.csv' (seed 1992)</t>
  </si>
  <si>
    <t>Line 21:  KOMONDOR SIMULATION 'sim_input_nodes_n10_s14_cb0.csv2.csv' (seed 1992)</t>
  </si>
  <si>
    <t>Line 25:  KOMONDOR SIMULATION 'sim_input_nodes_n10_s15_cb0.csv2.csv' (seed 1992)</t>
  </si>
  <si>
    <t>Line 29:  KOMONDOR SIMULATION 'sim_input_nodes_n10_s16_cb0.csv2.csv' (seed 1992)</t>
  </si>
  <si>
    <t>Line 33:  KOMONDOR SIMULATION 'sim_input_nodes_n10_s17_cb0.csv2.csv' (seed 1992)</t>
  </si>
  <si>
    <t>Line 37:  KOMONDOR SIMULATION 'sim_input_nodes_n10_s18_cb0.csv2.csv' (seed 1992)</t>
  </si>
  <si>
    <t>Line 41:  KOMONDOR SIMULATION 'sim_input_nodes_n10_s19_cb0.csv2.csv' (seed 1992)</t>
  </si>
  <si>
    <t>Line 45:  KOMONDOR SIMULATION 'sim_input_nodes_n10_s1_cb0.csv2.csv' (seed 1992)</t>
  </si>
  <si>
    <t>Line 49:  KOMONDOR SIMULATION 'sim_input_nodes_n10_s20_cb0.csv2.csv' (seed 1992)</t>
  </si>
  <si>
    <t>Line 53:  KOMONDOR SIMULATION 'sim_input_nodes_n10_s21_cb0.csv2.csv' (seed 1992)</t>
  </si>
  <si>
    <t>Line 57:  KOMONDOR SIMULATION 'sim_input_nodes_n10_s22_cb0.csv2.csv' (seed 1992)</t>
  </si>
  <si>
    <t>Line 61:  KOMONDOR SIMULATION 'sim_input_nodes_n10_s23_cb0.csv2.csv' (seed 1992)</t>
  </si>
  <si>
    <t>Line 65:  KOMONDOR SIMULATION 'sim_input_nodes_n10_s24_cb0.csv2.csv' (seed 1992)</t>
  </si>
  <si>
    <t>Line 69:  KOMONDOR SIMULATION 'sim_input_nodes_n10_s25_cb0.csv2.csv' (seed 1992)</t>
  </si>
  <si>
    <t>Line 73:  KOMONDOR SIMULATION 'sim_input_nodes_n10_s26_cb0.csv2.csv' (seed 1992)</t>
  </si>
  <si>
    <t>Line 77:  KOMONDOR SIMULATION 'sim_input_nodes_n10_s27_cb0.csv2.csv' (seed 1992)</t>
  </si>
  <si>
    <t>Line 81:  KOMONDOR SIMULATION 'sim_input_nodes_n10_s28_cb0.csv2.csv' (seed 1992)</t>
  </si>
  <si>
    <t>Line 85:  KOMONDOR SIMULATION 'sim_input_nodes_n10_s29_cb0.csv2.csv' (seed 1992)</t>
  </si>
  <si>
    <t>Line 89:  KOMONDOR SIMULATION 'sim_input_nodes_n10_s2_cb0.csv2.csv' (seed 1992)</t>
  </si>
  <si>
    <t>Line 93:  KOMONDOR SIMULATION 'sim_input_nodes_n10_s30_cb0.csv2.csv' (seed 1992)</t>
  </si>
  <si>
    <t>Line 97:  KOMONDOR SIMULATION 'sim_input_nodes_n10_s31_cb0.csv2.csv' (seed 1992)</t>
  </si>
  <si>
    <t>Line 101:  KOMONDOR SIMULATION 'sim_input_nodes_n10_s32_cb0.csv2.csv' (seed 1992)</t>
  </si>
  <si>
    <t>Line 105:  KOMONDOR SIMULATION 'sim_input_nodes_n10_s33_cb0.csv2.csv' (seed 1992)</t>
  </si>
  <si>
    <t>Line 109:  KOMONDOR SIMULATION 'sim_input_nodes_n10_s34_cb0.csv2.csv' (seed 1992)</t>
  </si>
  <si>
    <t>Line 113:  KOMONDOR SIMULATION 'sim_input_nodes_n10_s35_cb0.csv2.csv' (seed 1992)</t>
  </si>
  <si>
    <t>Line 117:  KOMONDOR SIMULATION 'sim_input_nodes_n10_s36_cb0.csv2.csv' (seed 1992)</t>
  </si>
  <si>
    <t>Line 121:  KOMONDOR SIMULATION 'sim_input_nodes_n10_s37_cb0.csv2.csv' (seed 1992)</t>
  </si>
  <si>
    <t>Line 125:  KOMONDOR SIMULATION 'sim_input_nodes_n10_s38_cb0.csv2.csv' (seed 1992)</t>
  </si>
  <si>
    <t>Line 129:  KOMONDOR SIMULATION 'sim_input_nodes_n10_s39_cb0.csv2.csv' (seed 1992)</t>
  </si>
  <si>
    <t>Line 133:  KOMONDOR SIMULATION 'sim_input_nodes_n10_s3_cb0.csv2.csv' (seed 1992)</t>
  </si>
  <si>
    <t>Line 137:  KOMONDOR SIMULATION 'sim_input_nodes_n10_s40_cb0.csv2.csv' (seed 1992)</t>
  </si>
  <si>
    <t>Line 141:  KOMONDOR SIMULATION 'sim_input_nodes_n10_s41_cb0.csv2.csv' (seed 1992)</t>
  </si>
  <si>
    <t>Line 145:  KOMONDOR SIMULATION 'sim_input_nodes_n10_s42_cb0.csv2.csv' (seed 1992)</t>
  </si>
  <si>
    <t>Line 149:  KOMONDOR SIMULATION 'sim_input_nodes_n10_s43_cb0.csv2.csv' (seed 1992)</t>
  </si>
  <si>
    <t>Line 153:  KOMONDOR SIMULATION 'sim_input_nodes_n10_s44_cb0.csv2.csv' (seed 1992)</t>
  </si>
  <si>
    <t>Line 157:  KOMONDOR SIMULATION 'sim_input_nodes_n10_s45_cb0.csv2.csv' (seed 1992)</t>
  </si>
  <si>
    <t>Line 161:  KOMONDOR SIMULATION 'sim_input_nodes_n10_s46_cb0.csv2.csv' (seed 1992)</t>
  </si>
  <si>
    <t>Line 165:  KOMONDOR SIMULATION 'sim_input_nodes_n10_s47_cb0.csv2.csv' (seed 1992)</t>
  </si>
  <si>
    <t>Line 169:  KOMONDOR SIMULATION 'sim_input_nodes_n10_s48_cb0.csv2.csv' (seed 1992)</t>
  </si>
  <si>
    <t>Line 173:  KOMONDOR SIMULATION 'sim_input_nodes_n10_s49_cb0.csv2.csv' (seed 1992)</t>
  </si>
  <si>
    <t>Line 177:  KOMONDOR SIMULATION 'sim_input_nodes_n10_s4_cb0.csv2.csv' (seed 1992)</t>
  </si>
  <si>
    <t>Line 181:  KOMONDOR SIMULATION 'sim_input_nodes_n10_s5_cb0.csv2.csv' (seed 1992)</t>
  </si>
  <si>
    <t>Line 185:  KOMONDOR SIMULATION 'sim_input_nodes_n10_s6_cb0.csv2.csv' (seed 1992)</t>
  </si>
  <si>
    <t>Line 189:  KOMONDOR SIMULATION 'sim_input_nodes_n10_s7_cb0.csv2.csv' (seed 1992)</t>
  </si>
  <si>
    <t>Line 193:  KOMONDOR SIMULATION 'sim_input_nodes_n10_s8_cb0.csv2.csv' (seed 1992)</t>
  </si>
  <si>
    <t>Line 197:  KOMONDOR SIMULATION 'sim_input_nodes_n10_s9_cb0.csv2.csv' (seed 1992)</t>
  </si>
  <si>
    <t>Line 201:  KOMONDOR SIMULATION 'sim_input_nodes_n20_s0_cb0.csv2.csv' (seed 1992)</t>
  </si>
  <si>
    <t>Line 205:  KOMONDOR SIMULATION 'sim_input_nodes_n20_s10_cb0.csv2.csv' (seed 1992)</t>
  </si>
  <si>
    <t>Line 209:  KOMONDOR SIMULATION 'sim_input_nodes_n20_s11_cb0.csv2.csv' (seed 1992)</t>
  </si>
  <si>
    <t>Line 213:  KOMONDOR SIMULATION 'sim_input_nodes_n20_s12_cb0.csv2.csv' (seed 1992)</t>
  </si>
  <si>
    <t>Line 217:  KOMONDOR SIMULATION 'sim_input_nodes_n20_s13_cb0.csv2.csv' (seed 1992)</t>
  </si>
  <si>
    <t>Line 221:  KOMONDOR SIMULATION 'sim_input_nodes_n20_s14_cb0.csv2.csv' (seed 1992)</t>
  </si>
  <si>
    <t>Line 225:  KOMONDOR SIMULATION 'sim_input_nodes_n20_s15_cb0.csv2.csv' (seed 1992)</t>
  </si>
  <si>
    <t>Line 229:  KOMONDOR SIMULATION 'sim_input_nodes_n20_s16_cb0.csv2.csv' (seed 1992)</t>
  </si>
  <si>
    <t>Line 233:  KOMONDOR SIMULATION 'sim_input_nodes_n20_s17_cb0.csv2.csv' (seed 1992)</t>
  </si>
  <si>
    <t>Line 237:  KOMONDOR SIMULATION 'sim_input_nodes_n20_s18_cb0.csv2.csv' (seed 1992)</t>
  </si>
  <si>
    <t>Line 241:  KOMONDOR SIMULATION 'sim_input_nodes_n20_s19_cb0.csv2.csv' (seed 1992)</t>
  </si>
  <si>
    <t>Line 245:  KOMONDOR SIMULATION 'sim_input_nodes_n20_s1_cb0.csv2.csv' (seed 1992)</t>
  </si>
  <si>
    <t>Line 249:  KOMONDOR SIMULATION 'sim_input_nodes_n20_s20_cb0.csv2.csv' (seed 1992)</t>
  </si>
  <si>
    <t>Line 253:  KOMONDOR SIMULATION 'sim_input_nodes_n20_s21_cb0.csv2.csv' (seed 1992)</t>
  </si>
  <si>
    <t>Line 257:  KOMONDOR SIMULATION 'sim_input_nodes_n20_s22_cb0.csv2.csv' (seed 1992)</t>
  </si>
  <si>
    <t>Line 261:  KOMONDOR SIMULATION 'sim_input_nodes_n20_s23_cb0.csv2.csv' (seed 1992)</t>
  </si>
  <si>
    <t>Line 265:  KOMONDOR SIMULATION 'sim_input_nodes_n20_s24_cb0.csv2.csv' (seed 1992)</t>
  </si>
  <si>
    <t>Line 269:  KOMONDOR SIMULATION 'sim_input_nodes_n20_s25_cb0.csv2.csv' (seed 1992)</t>
  </si>
  <si>
    <t>Line 273:  KOMONDOR SIMULATION 'sim_input_nodes_n20_s26_cb0.csv2.csv' (seed 1992)</t>
  </si>
  <si>
    <t>Line 277:  KOMONDOR SIMULATION 'sim_input_nodes_n20_s27_cb0.csv2.csv' (seed 1992)</t>
  </si>
  <si>
    <t>Line 281:  KOMONDOR SIMULATION 'sim_input_nodes_n20_s28_cb0.csv2.csv' (seed 1992)</t>
  </si>
  <si>
    <t>Line 285:  KOMONDOR SIMULATION 'sim_input_nodes_n20_s29_cb0.csv2.csv' (seed 1992)</t>
  </si>
  <si>
    <t>Line 289:  KOMONDOR SIMULATION 'sim_input_nodes_n20_s2_cb0.csv2.csv' (seed 1992)</t>
  </si>
  <si>
    <t>Line 293:  KOMONDOR SIMULATION 'sim_input_nodes_n20_s30_cb0.csv2.csv' (seed 1992)</t>
  </si>
  <si>
    <t>Line 297:  KOMONDOR SIMULATION 'sim_input_nodes_n20_s31_cb0.csv2.csv' (seed 1992)</t>
  </si>
  <si>
    <t>Line 301:  KOMONDOR SIMULATION 'sim_input_nodes_n20_s32_cb0.csv2.csv' (seed 1992)</t>
  </si>
  <si>
    <t>Line 305:  KOMONDOR SIMULATION 'sim_input_nodes_n20_s33_cb0.csv2.csv' (seed 1992)</t>
  </si>
  <si>
    <t>Line 309:  KOMONDOR SIMULATION 'sim_input_nodes_n20_s34_cb0.csv2.csv' (seed 1992)</t>
  </si>
  <si>
    <t>Line 313:  KOMONDOR SIMULATION 'sim_input_nodes_n20_s35_cb0.csv2.csv' (seed 1992)</t>
  </si>
  <si>
    <t>Line 317:  KOMONDOR SIMULATION 'sim_input_nodes_n20_s36_cb0.csv2.csv' (seed 1992)</t>
  </si>
  <si>
    <t>Line 321:  KOMONDOR SIMULATION 'sim_input_nodes_n20_s37_cb0.csv2.csv' (seed 1992)</t>
  </si>
  <si>
    <t>Line 325:  KOMONDOR SIMULATION 'sim_input_nodes_n20_s38_cb0.csv2.csv' (seed 1992)</t>
  </si>
  <si>
    <t>Line 329:  KOMONDOR SIMULATION 'sim_input_nodes_n20_s39_cb0.csv2.csv' (seed 1992)</t>
  </si>
  <si>
    <t>Line 333:  KOMONDOR SIMULATION 'sim_input_nodes_n20_s3_cb0.csv2.csv' (seed 1992)</t>
  </si>
  <si>
    <t>Line 337:  KOMONDOR SIMULATION 'sim_input_nodes_n20_s40_cb0.csv2.csv' (seed 1992)</t>
  </si>
  <si>
    <t>Line 341:  KOMONDOR SIMULATION 'sim_input_nodes_n20_s41_cb0.csv2.csv' (seed 1992)</t>
  </si>
  <si>
    <t>Line 345:  KOMONDOR SIMULATION 'sim_input_nodes_n20_s42_cb0.csv2.csv' (seed 1992)</t>
  </si>
  <si>
    <t>Line 349:  KOMONDOR SIMULATION 'sim_input_nodes_n20_s43_cb0.csv2.csv' (seed 1992)</t>
  </si>
  <si>
    <t>Line 353:  KOMONDOR SIMULATION 'sim_input_nodes_n20_s44_cb0.csv2.csv' (seed 1992)</t>
  </si>
  <si>
    <t>Line 357:  KOMONDOR SIMULATION 'sim_input_nodes_n20_s45_cb0.csv2.csv' (seed 1992)</t>
  </si>
  <si>
    <t>Line 361:  KOMONDOR SIMULATION 'sim_input_nodes_n20_s46_cb0.csv2.csv' (seed 1992)</t>
  </si>
  <si>
    <t>Line 365:  KOMONDOR SIMULATION 'sim_input_nodes_n20_s47_cb0.csv2.csv' (seed 1992)</t>
  </si>
  <si>
    <t>Line 369:  KOMONDOR SIMULATION 'sim_input_nodes_n20_s48_cb0.csv2.csv' (seed 1992)</t>
  </si>
  <si>
    <t>Line 373:  KOMONDOR SIMULATION 'sim_input_nodes_n20_s49_cb0.csv2.csv' (seed 1992)</t>
  </si>
  <si>
    <t>Line 377:  KOMONDOR SIMULATION 'sim_input_nodes_n20_s4_cb0.csv2.csv' (seed 1992)</t>
  </si>
  <si>
    <t>Line 381:  KOMONDOR SIMULATION 'sim_input_nodes_n20_s5_cb0.csv2.csv' (seed 1992)</t>
  </si>
  <si>
    <t>Line 385:  KOMONDOR SIMULATION 'sim_input_nodes_n20_s6_cb0.csv2.csv' (seed 1992)</t>
  </si>
  <si>
    <t>Line 389:  KOMONDOR SIMULATION 'sim_input_nodes_n20_s7_cb0.csv2.csv' (seed 1992)</t>
  </si>
  <si>
    <t>Line 393:  KOMONDOR SIMULATION 'sim_input_nodes_n20_s8_cb0.csv2.csv' (seed 1992)</t>
  </si>
  <si>
    <t>Line 397:  KOMONDOR SIMULATION 'sim_input_nodes_n20_s9_cb0.csv2.csv' (seed 1992)</t>
  </si>
  <si>
    <t>Line 601:  KOMONDOR SIMULATION 'sim_input_nodes_n30_s0_cb0.csv2.csv' (seed 1992)</t>
  </si>
  <si>
    <t>Line 605:  KOMONDOR SIMULATION 'sim_input_nodes_n30_s10_cb0.csv2.csv' (seed 1992)</t>
  </si>
  <si>
    <t>Line 609:  KOMONDOR SIMULATION 'sim_input_nodes_n30_s11_cb0.csv2.csv' (seed 1992)</t>
  </si>
  <si>
    <t>Line 613:  KOMONDOR SIMULATION 'sim_input_nodes_n30_s12_cb0.csv2.csv' (seed 1992)</t>
  </si>
  <si>
    <t>Line 617:  KOMONDOR SIMULATION 'sim_input_nodes_n30_s13_cb0.csv2.csv' (seed 1992)</t>
  </si>
  <si>
    <t>Line 621:  KOMONDOR SIMULATION 'sim_input_nodes_n30_s14_cb0.csv2.csv' (seed 1992)</t>
  </si>
  <si>
    <t>Line 625:  KOMONDOR SIMULATION 'sim_input_nodes_n30_s15_cb0.csv2.csv' (seed 1992)</t>
  </si>
  <si>
    <t>Line 629:  KOMONDOR SIMULATION 'sim_input_nodes_n30_s16_cb0.csv2.csv' (seed 1992)</t>
  </si>
  <si>
    <t>Line 633:  KOMONDOR SIMULATION 'sim_input_nodes_n30_s17_cb0.csv2.csv' (seed 1992)</t>
  </si>
  <si>
    <t>Line 637:  KOMONDOR SIMULATION 'sim_input_nodes_n30_s18_cb0.csv2.csv' (seed 1992)</t>
  </si>
  <si>
    <t>Line 641:  KOMONDOR SIMULATION 'sim_input_nodes_n30_s19_cb0.csv2.csv' (seed 1992)</t>
  </si>
  <si>
    <t>Line 645:  KOMONDOR SIMULATION 'sim_input_nodes_n30_s1_cb0.csv2.csv' (seed 1992)</t>
  </si>
  <si>
    <t>Line 649:  KOMONDOR SIMULATION 'sim_input_nodes_n30_s20_cb0.csv2.csv' (seed 1992)</t>
  </si>
  <si>
    <t>Line 653:  KOMONDOR SIMULATION 'sim_input_nodes_n30_s21_cb0.csv2.csv' (seed 1992)</t>
  </si>
  <si>
    <t>Line 657:  KOMONDOR SIMULATION 'sim_input_nodes_n30_s22_cb0.csv2.csv' (seed 1992)</t>
  </si>
  <si>
    <t>Line 661:  KOMONDOR SIMULATION 'sim_input_nodes_n30_s23_cb0.csv2.csv' (seed 1992)</t>
  </si>
  <si>
    <t>Line 665:  KOMONDOR SIMULATION 'sim_input_nodes_n30_s24_cb0.csv2.csv' (seed 1992)</t>
  </si>
  <si>
    <t>Line 669:  KOMONDOR SIMULATION 'sim_input_nodes_n30_s25_cb0.csv2.csv' (seed 1992)</t>
  </si>
  <si>
    <t>Line 673:  KOMONDOR SIMULATION 'sim_input_nodes_n30_s26_cb0.csv2.csv' (seed 1992)</t>
  </si>
  <si>
    <t>Line 677:  KOMONDOR SIMULATION 'sim_input_nodes_n30_s27_cb0.csv2.csv' (seed 1992)</t>
  </si>
  <si>
    <t>Line 681:  KOMONDOR SIMULATION 'sim_input_nodes_n30_s28_cb0.csv2.csv' (seed 1992)</t>
  </si>
  <si>
    <t>Line 685:  KOMONDOR SIMULATION 'sim_input_nodes_n30_s29_cb0.csv2.csv' (seed 1992)</t>
  </si>
  <si>
    <t>Line 689:  KOMONDOR SIMULATION 'sim_input_nodes_n30_s2_cb0.csv2.csv' (seed 1992)</t>
  </si>
  <si>
    <t>Line 693:  KOMONDOR SIMULATION 'sim_input_nodes_n30_s30_cb0.csv2.csv' (seed 1992)</t>
  </si>
  <si>
    <t>Line 697:  KOMONDOR SIMULATION 'sim_input_nodes_n30_s31_cb0.csv2.csv' (seed 1992)</t>
  </si>
  <si>
    <t>Line 701:  KOMONDOR SIMULATION 'sim_input_nodes_n30_s32_cb0.csv2.csv' (seed 1992)</t>
  </si>
  <si>
    <t>Line 705:  KOMONDOR SIMULATION 'sim_input_nodes_n30_s33_cb0.csv2.csv' (seed 1992)</t>
  </si>
  <si>
    <t>Line 709:  KOMONDOR SIMULATION 'sim_input_nodes_n30_s34_cb0.csv2.csv' (seed 1992)</t>
  </si>
  <si>
    <t>Line 713:  KOMONDOR SIMULATION 'sim_input_nodes_n30_s35_cb0.csv2.csv' (seed 1992)</t>
  </si>
  <si>
    <t>Line 717:  KOMONDOR SIMULATION 'sim_input_nodes_n30_s36_cb0.csv2.csv' (seed 1992)</t>
  </si>
  <si>
    <t>Line 721:  KOMONDOR SIMULATION 'sim_input_nodes_n30_s37_cb0.csv2.csv' (seed 1992)</t>
  </si>
  <si>
    <t>Line 725:  KOMONDOR SIMULATION 'sim_input_nodes_n30_s38_cb0.csv2.csv' (seed 1992)</t>
  </si>
  <si>
    <t>Line 729:  KOMONDOR SIMULATION 'sim_input_nodes_n30_s39_cb0.csv2.csv' (seed 1992)</t>
  </si>
  <si>
    <t>Line 733:  KOMONDOR SIMULATION 'sim_input_nodes_n30_s3_cb0.csv2.csv' (seed 1992)</t>
  </si>
  <si>
    <t>Line 737:  KOMONDOR SIMULATION 'sim_input_nodes_n30_s40_cb0.csv2.csv' (seed 1992)</t>
  </si>
  <si>
    <t>Line 741:  KOMONDOR SIMULATION 'sim_input_nodes_n30_s41_cb0.csv2.csv' (seed 1992)</t>
  </si>
  <si>
    <t>Line 745:  KOMONDOR SIMULATION 'sim_input_nodes_n30_s42_cb0.csv2.csv' (seed 1992)</t>
  </si>
  <si>
    <t>Line 749:  KOMONDOR SIMULATION 'sim_input_nodes_n30_s43_cb0.csv2.csv' (seed 1992)</t>
  </si>
  <si>
    <t>Line 753:  KOMONDOR SIMULATION 'sim_input_nodes_n30_s44_cb0.csv2.csv' (seed 1992)</t>
  </si>
  <si>
    <t>Line 757:  KOMONDOR SIMULATION 'sim_input_nodes_n30_s45_cb0.csv2.csv' (seed 1992)</t>
  </si>
  <si>
    <t>Line 761:  KOMONDOR SIMULATION 'sim_input_nodes_n30_s46_cb0.csv2.csv' (seed 1992)</t>
  </si>
  <si>
    <t>Line 765:  KOMONDOR SIMULATION 'sim_input_nodes_n30_s47_cb0.csv2.csv' (seed 1992)</t>
  </si>
  <si>
    <t>Line 769:  KOMONDOR SIMULATION 'sim_input_nodes_n30_s48_cb0.csv2.csv' (seed 1992)</t>
  </si>
  <si>
    <t>Line 773:  KOMONDOR SIMULATION 'sim_input_nodes_n30_s49_cb0.csv2.csv' (seed 1992)</t>
  </si>
  <si>
    <t>Line 777:  KOMONDOR SIMULATION 'sim_input_nodes_n30_s4_cb0.csv2.csv' (seed 1992)</t>
  </si>
  <si>
    <t>Line 781:  KOMONDOR SIMULATION 'sim_input_nodes_n30_s5_cb0.csv2.csv' (seed 1992)</t>
  </si>
  <si>
    <t>Line 785:  KOMONDOR SIMULATION 'sim_input_nodes_n30_s6_cb0.csv2.csv' (seed 1992)</t>
  </si>
  <si>
    <t>Line 789:  KOMONDOR SIMULATION 'sim_input_nodes_n30_s7_cb0.csv2.csv' (seed 1992)</t>
  </si>
  <si>
    <t>Line 793:  KOMONDOR SIMULATION 'sim_input_nodes_n30_s8_cb0.csv2.csv' (seed 1992)</t>
  </si>
  <si>
    <t>Line 797:  KOMONDOR SIMULATION 'sim_input_nodes_n30_s9_cb0.csv2.csv' (seed 1992)</t>
  </si>
  <si>
    <t>Line 801:  KOMONDOR SIMULATION 'sim_input_nodes_n40_s0_cb0.csv2.csv' (seed 1992)</t>
  </si>
  <si>
    <t>Line 805:  KOMONDOR SIMULATION 'sim_input_nodes_n40_s10_cb0.csv2.csv' (seed 1992)</t>
  </si>
  <si>
    <t>Line 809:  KOMONDOR SIMULATION 'sim_input_nodes_n40_s11_cb0.csv2.csv' (seed 1992)</t>
  </si>
  <si>
    <t>Line 813:  KOMONDOR SIMULATION 'sim_input_nodes_n40_s12_cb0.csv2.csv' (seed 1992)</t>
  </si>
  <si>
    <t>Line 817:  KOMONDOR SIMULATION 'sim_input_nodes_n40_s13_cb0.csv2.csv' (seed 1992)</t>
  </si>
  <si>
    <t>Line 821:  KOMONDOR SIMULATION 'sim_input_nodes_n40_s14_cb0.csv2.csv' (seed 1992)</t>
  </si>
  <si>
    <t>Line 825:  KOMONDOR SIMULATION 'sim_input_nodes_n40_s15_cb0.csv2.csv' (seed 1992)</t>
  </si>
  <si>
    <t>Line 829:  KOMONDOR SIMULATION 'sim_input_nodes_n40_s16_cb0.csv2.csv' (seed 1992)</t>
  </si>
  <si>
    <t>Line 833:  KOMONDOR SIMULATION 'sim_input_nodes_n40_s17_cb0.csv2.csv' (seed 1992)</t>
  </si>
  <si>
    <t>Line 837:  KOMONDOR SIMULATION 'sim_input_nodes_n40_s18_cb0.csv2.csv' (seed 1992)</t>
  </si>
  <si>
    <t>Line 841:  KOMONDOR SIMULATION 'sim_input_nodes_n40_s19_cb0.csv2.csv' (seed 1992)</t>
  </si>
  <si>
    <t>Line 845:  KOMONDOR SIMULATION 'sim_input_nodes_n40_s1_cb0.csv2.csv' (seed 1992)</t>
  </si>
  <si>
    <t>Line 849:  KOMONDOR SIMULATION 'sim_input_nodes_n40_s20_cb0.csv2.csv' (seed 1992)</t>
  </si>
  <si>
    <t>Line 853:  KOMONDOR SIMULATION 'sim_input_nodes_n40_s21_cb0.csv2.csv' (seed 1992)</t>
  </si>
  <si>
    <t>Line 857:  KOMONDOR SIMULATION 'sim_input_nodes_n40_s22_cb0.csv2.csv' (seed 1992)</t>
  </si>
  <si>
    <t>Line 861:  KOMONDOR SIMULATION 'sim_input_nodes_n40_s23_cb0.csv2.csv' (seed 1992)</t>
  </si>
  <si>
    <t>Line 865:  KOMONDOR SIMULATION 'sim_input_nodes_n40_s24_cb0.csv2.csv' (seed 1992)</t>
  </si>
  <si>
    <t>Line 869:  KOMONDOR SIMULATION 'sim_input_nodes_n40_s25_cb0.csv2.csv' (seed 1992)</t>
  </si>
  <si>
    <t>Line 873:  KOMONDOR SIMULATION 'sim_input_nodes_n40_s26_cb0.csv2.csv' (seed 1992)</t>
  </si>
  <si>
    <t>Line 877:  KOMONDOR SIMULATION 'sim_input_nodes_n40_s27_cb0.csv2.csv' (seed 1992)</t>
  </si>
  <si>
    <t>Line 881:  KOMONDOR SIMULATION 'sim_input_nodes_n40_s28_cb0.csv2.csv' (seed 1992)</t>
  </si>
  <si>
    <t>Line 885:  KOMONDOR SIMULATION 'sim_input_nodes_n40_s29_cb0.csv2.csv' (seed 1992)</t>
  </si>
  <si>
    <t>Line 889:  KOMONDOR SIMULATION 'sim_input_nodes_n40_s2_cb0.csv2.csv' (seed 1992)</t>
  </si>
  <si>
    <t>Line 893:  KOMONDOR SIMULATION 'sim_input_nodes_n40_s30_cb0.csv2.csv' (seed 1992)</t>
  </si>
  <si>
    <t>Line 897:  KOMONDOR SIMULATION 'sim_input_nodes_n40_s31_cb0.csv2.csv' (seed 1992)</t>
  </si>
  <si>
    <t>Line 901:  KOMONDOR SIMULATION 'sim_input_nodes_n40_s32_cb0.csv2.csv' (seed 1992)</t>
  </si>
  <si>
    <t>Line 905:  KOMONDOR SIMULATION 'sim_input_nodes_n40_s33_cb0.csv2.csv' (seed 1992)</t>
  </si>
  <si>
    <t>Line 909:  KOMONDOR SIMULATION 'sim_input_nodes_n40_s34_cb0.csv2.csv' (seed 1992)</t>
  </si>
  <si>
    <t>Line 913:  KOMONDOR SIMULATION 'sim_input_nodes_n40_s35_cb0.csv2.csv' (seed 1992)</t>
  </si>
  <si>
    <t>Line 917:  KOMONDOR SIMULATION 'sim_input_nodes_n40_s36_cb0.csv2.csv' (seed 1992)</t>
  </si>
  <si>
    <t>Line 921:  KOMONDOR SIMULATION 'sim_input_nodes_n40_s37_cb0.csv2.csv' (seed 1992)</t>
  </si>
  <si>
    <t>Line 925:  KOMONDOR SIMULATION 'sim_input_nodes_n40_s38_cb0.csv2.csv' (seed 1992)</t>
  </si>
  <si>
    <t>Line 929:  KOMONDOR SIMULATION 'sim_input_nodes_n40_s39_cb0.csv2.csv' (seed 1992)</t>
  </si>
  <si>
    <t>Line 933:  KOMONDOR SIMULATION 'sim_input_nodes_n40_s3_cb0.csv2.csv' (seed 1992)</t>
  </si>
  <si>
    <t>Line 937:  KOMONDOR SIMULATION 'sim_input_nodes_n40_s40_cb0.csv2.csv' (seed 1992)</t>
  </si>
  <si>
    <t>Line 941:  KOMONDOR SIMULATION 'sim_input_nodes_n40_s41_cb0.csv2.csv' (seed 1992)</t>
  </si>
  <si>
    <t>Line 945:  KOMONDOR SIMULATION 'sim_input_nodes_n40_s42_cb0.csv2.csv' (seed 1992)</t>
  </si>
  <si>
    <t>Line 949:  KOMONDOR SIMULATION 'sim_input_nodes_n40_s43_cb0.csv2.csv' (seed 1992)</t>
  </si>
  <si>
    <t>Line 953:  KOMONDOR SIMULATION 'sim_input_nodes_n40_s44_cb0.csv2.csv' (seed 1992)</t>
  </si>
  <si>
    <t>Line 957:  KOMONDOR SIMULATION 'sim_input_nodes_n40_s45_cb0.csv2.csv' (seed 1992)</t>
  </si>
  <si>
    <t>Line 961:  KOMONDOR SIMULATION 'sim_input_nodes_n40_s46_cb0.csv2.csv' (seed 1992)</t>
  </si>
  <si>
    <t>Line 965:  KOMONDOR SIMULATION 'sim_input_nodes_n40_s47_cb0.csv2.csv' (seed 1992)</t>
  </si>
  <si>
    <t>Line 969:  KOMONDOR SIMULATION 'sim_input_nodes_n40_s48_cb0.csv2.csv' (seed 1992)</t>
  </si>
  <si>
    <t>Line 973:  KOMONDOR SIMULATION 'sim_input_nodes_n40_s49_cb0.csv2.csv' (seed 1992)</t>
  </si>
  <si>
    <t>Line 977:  KOMONDOR SIMULATION 'sim_input_nodes_n40_s4_cb0.csv2.csv' (seed 1992)</t>
  </si>
  <si>
    <t>Line 981:  KOMONDOR SIMULATION 'sim_input_nodes_n40_s5_cb0.csv2.csv' (seed 1992)</t>
  </si>
  <si>
    <t>Line 985:  KOMONDOR SIMULATION 'sim_input_nodes_n40_s6_cb0.csv2.csv' (seed 1992)</t>
  </si>
  <si>
    <t>Line 989:  KOMONDOR SIMULATION 'sim_input_nodes_n40_s7_cb0.csv2.csv' (seed 1992)</t>
  </si>
  <si>
    <t>Line 993:  KOMONDOR SIMULATION 'sim_input_nodes_n40_s8_cb0.csv2.csv' (seed 1992)</t>
  </si>
  <si>
    <t>Line 997:  KOMONDOR SIMULATION 'sim_input_nodes_n40_s9_cb0.csv2.csv' (seed 1992)</t>
  </si>
  <si>
    <t>Line 1001:  KOMONDOR SIMULATION 'sim_input_nodes_n5_s0_cb0.csv2.csv' (seed 1992)</t>
  </si>
  <si>
    <t>Line 1005:  KOMONDOR SIMULATION 'sim_input_nodes_n5_s10_cb0.csv2.csv' (seed 1992)</t>
  </si>
  <si>
    <t>Line 1009:  KOMONDOR SIMULATION 'sim_input_nodes_n5_s11_cb0.csv2.csv' (seed 1992)</t>
  </si>
  <si>
    <t>Line 1013:  KOMONDOR SIMULATION 'sim_input_nodes_n5_s12_cb0.csv2.csv' (seed 1992)</t>
  </si>
  <si>
    <t>Line 1017:  KOMONDOR SIMULATION 'sim_input_nodes_n5_s13_cb0.csv2.csv' (seed 1992)</t>
  </si>
  <si>
    <t>Line 1021:  KOMONDOR SIMULATION 'sim_input_nodes_n5_s14_cb0.csv2.csv' (seed 1992)</t>
  </si>
  <si>
    <t>Line 1025:  KOMONDOR SIMULATION 'sim_input_nodes_n5_s15_cb0.csv2.csv' (seed 1992)</t>
  </si>
  <si>
    <t>Line 1029:  KOMONDOR SIMULATION 'sim_input_nodes_n5_s16_cb0.csv2.csv' (seed 1992)</t>
  </si>
  <si>
    <t>Line 1033:  KOMONDOR SIMULATION 'sim_input_nodes_n5_s17_cb0.csv2.csv' (seed 1992)</t>
  </si>
  <si>
    <t>Line 1037:  KOMONDOR SIMULATION 'sim_input_nodes_n5_s18_cb0.csv2.csv' (seed 1992)</t>
  </si>
  <si>
    <t>Line 1041:  KOMONDOR SIMULATION 'sim_input_nodes_n5_s19_cb0.csv2.csv' (seed 1992)</t>
  </si>
  <si>
    <t>Line 1045:  KOMONDOR SIMULATION 'sim_input_nodes_n5_s1_cb0.csv2.csv' (seed 1992)</t>
  </si>
  <si>
    <t>Line 1049:  KOMONDOR SIMULATION 'sim_input_nodes_n5_s20_cb0.csv2.csv' (seed 1992)</t>
  </si>
  <si>
    <t>Line 1053:  KOMONDOR SIMULATION 'sim_input_nodes_n5_s21_cb0.csv2.csv' (seed 1992)</t>
  </si>
  <si>
    <t>Line 1057:  KOMONDOR SIMULATION 'sim_input_nodes_n5_s22_cb0.csv2.csv' (seed 1992)</t>
  </si>
  <si>
    <t>Line 1061:  KOMONDOR SIMULATION 'sim_input_nodes_n5_s23_cb0.csv2.csv' (seed 1992)</t>
  </si>
  <si>
    <t>Line 1065:  KOMONDOR SIMULATION 'sim_input_nodes_n5_s24_cb0.csv2.csv' (seed 1992)</t>
  </si>
  <si>
    <t>Line 1069:  KOMONDOR SIMULATION 'sim_input_nodes_n5_s25_cb0.csv2.csv' (seed 1992)</t>
  </si>
  <si>
    <t>Line 1073:  KOMONDOR SIMULATION 'sim_input_nodes_n5_s26_cb0.csv2.csv' (seed 1992)</t>
  </si>
  <si>
    <t>Line 1077:  KOMONDOR SIMULATION 'sim_input_nodes_n5_s27_cb0.csv2.csv' (seed 1992)</t>
  </si>
  <si>
    <t>Line 1081:  KOMONDOR SIMULATION 'sim_input_nodes_n5_s28_cb0.csv2.csv' (seed 1992)</t>
  </si>
  <si>
    <t>Line 1085:  KOMONDOR SIMULATION 'sim_input_nodes_n5_s29_cb0.csv2.csv' (seed 1992)</t>
  </si>
  <si>
    <t>Line 1089:  KOMONDOR SIMULATION 'sim_input_nodes_n5_s2_cb0.csv2.csv' (seed 1992)</t>
  </si>
  <si>
    <t>Line 1093:  KOMONDOR SIMULATION 'sim_input_nodes_n5_s30_cb0.csv2.csv' (seed 1992)</t>
  </si>
  <si>
    <t>Line 1097:  KOMONDOR SIMULATION 'sim_input_nodes_n5_s31_cb0.csv2.csv' (seed 1992)</t>
  </si>
  <si>
    <t>Line 1101:  KOMONDOR SIMULATION 'sim_input_nodes_n5_s32_cb0.csv2.csv' (seed 1992)</t>
  </si>
  <si>
    <t>Line 1105:  KOMONDOR SIMULATION 'sim_input_nodes_n5_s33_cb0.csv2.csv' (seed 1992)</t>
  </si>
  <si>
    <t>Line 1109:  KOMONDOR SIMULATION 'sim_input_nodes_n5_s34_cb0.csv2.csv' (seed 1992)</t>
  </si>
  <si>
    <t>Line 1113:  KOMONDOR SIMULATION 'sim_input_nodes_n5_s35_cb0.csv2.csv' (seed 1992)</t>
  </si>
  <si>
    <t>Line 1117:  KOMONDOR SIMULATION 'sim_input_nodes_n5_s36_cb0.csv2.csv' (seed 1992)</t>
  </si>
  <si>
    <t>Line 1121:  KOMONDOR SIMULATION 'sim_input_nodes_n5_s37_cb0.csv2.csv' (seed 1992)</t>
  </si>
  <si>
    <t>Line 1125:  KOMONDOR SIMULATION 'sim_input_nodes_n5_s38_cb0.csv2.csv' (seed 1992)</t>
  </si>
  <si>
    <t>Line 1129:  KOMONDOR SIMULATION 'sim_input_nodes_n5_s39_cb0.csv2.csv' (seed 1992)</t>
  </si>
  <si>
    <t>Line 1133:  KOMONDOR SIMULATION 'sim_input_nodes_n5_s3_cb0.csv2.csv' (seed 1992)</t>
  </si>
  <si>
    <t>Line 1137:  KOMONDOR SIMULATION 'sim_input_nodes_n5_s40_cb0.csv2.csv' (seed 1992)</t>
  </si>
  <si>
    <t>Line 1141:  KOMONDOR SIMULATION 'sim_input_nodes_n5_s41_cb0.csv2.csv' (seed 1992)</t>
  </si>
  <si>
    <t>Line 1145:  KOMONDOR SIMULATION 'sim_input_nodes_n5_s42_cb0.csv2.csv' (seed 1992)</t>
  </si>
  <si>
    <t>Line 1149:  KOMONDOR SIMULATION 'sim_input_nodes_n5_s43_cb0.csv2.csv' (seed 1992)</t>
  </si>
  <si>
    <t>Line 1153:  KOMONDOR SIMULATION 'sim_input_nodes_n5_s44_cb0.csv2.csv' (seed 1992)</t>
  </si>
  <si>
    <t>Line 1157:  KOMONDOR SIMULATION 'sim_input_nodes_n5_s45_cb0.csv2.csv' (seed 1992)</t>
  </si>
  <si>
    <t>Line 1161:  KOMONDOR SIMULATION 'sim_input_nodes_n5_s46_cb0.csv2.csv' (seed 1992)</t>
  </si>
  <si>
    <t>Line 1165:  KOMONDOR SIMULATION 'sim_input_nodes_n5_s47_cb0.csv2.csv' (seed 1992)</t>
  </si>
  <si>
    <t>Line 1169:  KOMONDOR SIMULATION 'sim_input_nodes_n5_s48_cb0.csv2.csv' (seed 1992)</t>
  </si>
  <si>
    <t>Line 1173:  KOMONDOR SIMULATION 'sim_input_nodes_n5_s49_cb0.csv2.csv' (seed 1992)</t>
  </si>
  <si>
    <t>Line 1177:  KOMONDOR SIMULATION 'sim_input_nodes_n5_s4_cb0.csv2.csv' (seed 1992)</t>
  </si>
  <si>
    <t>Line 1181:  KOMONDOR SIMULATION 'sim_input_nodes_n5_s5_cb0.csv2.csv' (seed 1992)</t>
  </si>
  <si>
    <t>Line 1185:  KOMONDOR SIMULATION 'sim_input_nodes_n5_s6_cb0.csv2.csv' (seed 1992)</t>
  </si>
  <si>
    <t>Line 1189:  KOMONDOR SIMULATION 'sim_input_nodes_n5_s7_cb0.csv2.csv' (seed 1992)</t>
  </si>
  <si>
    <t>Line 1193:  KOMONDOR SIMULATION 'sim_input_nodes_n5_s8_cb0.csv2.csv' (seed 1992)</t>
  </si>
  <si>
    <t>Line 1197:  KOMONDOR SIMULATION 'sim_input_nodes_n5_s9_cb0.csv2.csv' (seed 1992)</t>
  </si>
  <si>
    <t>ONLY PRIMARY (PATH LOSS 2)</t>
  </si>
  <si>
    <t>Line 3:  KOMONDOR SIMULATION 'sim_input_nodes_n10_s0_cb4.csv2.csv' (seed 1992)</t>
  </si>
  <si>
    <t>Line 7:  KOMONDOR SIMULATION 'sim_input_nodes_n10_s10_cb4.csv2.csv' (seed 1992)</t>
  </si>
  <si>
    <t>Line 11:  KOMONDOR SIMULATION 'sim_input_nodes_n10_s11_cb4.csv2.csv' (seed 1992)</t>
  </si>
  <si>
    <t>Line 15:  KOMONDOR SIMULATION 'sim_input_nodes_n10_s12_cb4.csv2.csv' (seed 1992)</t>
  </si>
  <si>
    <t>Line 19:  KOMONDOR SIMULATION 'sim_input_nodes_n10_s13_cb4.csv2.csv' (seed 1992)</t>
  </si>
  <si>
    <t>Line 23:  KOMONDOR SIMULATION 'sim_input_nodes_n10_s14_cb4.csv2.csv' (seed 1992)</t>
  </si>
  <si>
    <t>Line 27:  KOMONDOR SIMULATION 'sim_input_nodes_n10_s15_cb4.csv2.csv' (seed 1992)</t>
  </si>
  <si>
    <t>Line 31:  KOMONDOR SIMULATION 'sim_input_nodes_n10_s16_cb4.csv2.csv' (seed 1992)</t>
  </si>
  <si>
    <t>Line 35:  KOMONDOR SIMULATION 'sim_input_nodes_n10_s17_cb4.csv2.csv' (seed 1992)</t>
  </si>
  <si>
    <t>Line 39:  KOMONDOR SIMULATION 'sim_input_nodes_n10_s18_cb4.csv2.csv' (seed 1992)</t>
  </si>
  <si>
    <t>Line 43:  KOMONDOR SIMULATION 'sim_input_nodes_n10_s19_cb4.csv2.csv' (seed 1992)</t>
  </si>
  <si>
    <t>Line 47:  KOMONDOR SIMULATION 'sim_input_nodes_n10_s1_cb4.csv2.csv' (seed 1992)</t>
  </si>
  <si>
    <t>Line 51:  KOMONDOR SIMULATION 'sim_input_nodes_n10_s20_cb4.csv2.csv' (seed 1992)</t>
  </si>
  <si>
    <t>Line 55:  KOMONDOR SIMULATION 'sim_input_nodes_n10_s21_cb4.csv2.csv' (seed 1992)</t>
  </si>
  <si>
    <t>Line 59:  KOMONDOR SIMULATION 'sim_input_nodes_n10_s22_cb4.csv2.csv' (seed 1992)</t>
  </si>
  <si>
    <t>Line 63:  KOMONDOR SIMULATION 'sim_input_nodes_n10_s23_cb4.csv2.csv' (seed 1992)</t>
  </si>
  <si>
    <t>Line 67:  KOMONDOR SIMULATION 'sim_input_nodes_n10_s24_cb4.csv2.csv' (seed 1992)</t>
  </si>
  <si>
    <t>Line 71:  KOMONDOR SIMULATION 'sim_input_nodes_n10_s25_cb4.csv2.csv' (seed 1992)</t>
  </si>
  <si>
    <t>Line 75:  KOMONDOR SIMULATION 'sim_input_nodes_n10_s26_cb4.csv2.csv' (seed 1992)</t>
  </si>
  <si>
    <t>Line 79:  KOMONDOR SIMULATION 'sim_input_nodes_n10_s27_cb4.csv2.csv' (seed 1992)</t>
  </si>
  <si>
    <t>Line 83:  KOMONDOR SIMULATION 'sim_input_nodes_n10_s28_cb4.csv2.csv' (seed 1992)</t>
  </si>
  <si>
    <t>Line 87:  KOMONDOR SIMULATION 'sim_input_nodes_n10_s29_cb4.csv2.csv' (seed 1992)</t>
  </si>
  <si>
    <t>Line 91:  KOMONDOR SIMULATION 'sim_input_nodes_n10_s2_cb4.csv2.csv' (seed 1992)</t>
  </si>
  <si>
    <t>Line 95:  KOMONDOR SIMULATION 'sim_input_nodes_n10_s30_cb4.csv2.csv' (seed 1992)</t>
  </si>
  <si>
    <t>Line 99:  KOMONDOR SIMULATION 'sim_input_nodes_n10_s31_cb4.csv2.csv' (seed 1992)</t>
  </si>
  <si>
    <t>Line 103:  KOMONDOR SIMULATION 'sim_input_nodes_n10_s32_cb4.csv2.csv' (seed 1992)</t>
  </si>
  <si>
    <t>Line 107:  KOMONDOR SIMULATION 'sim_input_nodes_n10_s33_cb4.csv2.csv' (seed 1992)</t>
  </si>
  <si>
    <t>Line 111:  KOMONDOR SIMULATION 'sim_input_nodes_n10_s34_cb4.csv2.csv' (seed 1992)</t>
  </si>
  <si>
    <t>Line 115:  KOMONDOR SIMULATION 'sim_input_nodes_n10_s35_cb4.csv2.csv' (seed 1992)</t>
  </si>
  <si>
    <t>Line 119:  KOMONDOR SIMULATION 'sim_input_nodes_n10_s36_cb4.csv2.csv' (seed 1992)</t>
  </si>
  <si>
    <t>Line 123:  KOMONDOR SIMULATION 'sim_input_nodes_n10_s37_cb4.csv2.csv' (seed 1992)</t>
  </si>
  <si>
    <t>Line 127:  KOMONDOR SIMULATION 'sim_input_nodes_n10_s38_cb4.csv2.csv' (seed 1992)</t>
  </si>
  <si>
    <t>Line 131:  KOMONDOR SIMULATION 'sim_input_nodes_n10_s39_cb4.csv2.csv' (seed 1992)</t>
  </si>
  <si>
    <t>Line 135:  KOMONDOR SIMULATION 'sim_input_nodes_n10_s3_cb4.csv2.csv' (seed 1992)</t>
  </si>
  <si>
    <t>Line 139:  KOMONDOR SIMULATION 'sim_input_nodes_n10_s40_cb4.csv2.csv' (seed 1992)</t>
  </si>
  <si>
    <t>Line 143:  KOMONDOR SIMULATION 'sim_input_nodes_n10_s41_cb4.csv2.csv' (seed 1992)</t>
  </si>
  <si>
    <t>Line 147:  KOMONDOR SIMULATION 'sim_input_nodes_n10_s42_cb4.csv2.csv' (seed 1992)</t>
  </si>
  <si>
    <t>Line 151:  KOMONDOR SIMULATION 'sim_input_nodes_n10_s43_cb4.csv2.csv' (seed 1992)</t>
  </si>
  <si>
    <t>Line 155:  KOMONDOR SIMULATION 'sim_input_nodes_n10_s44_cb4.csv2.csv' (seed 1992)</t>
  </si>
  <si>
    <t>Line 159:  KOMONDOR SIMULATION 'sim_input_nodes_n10_s45_cb4.csv2.csv' (seed 1992)</t>
  </si>
  <si>
    <t>Line 163:  KOMONDOR SIMULATION 'sim_input_nodes_n10_s46_cb4.csv2.csv' (seed 1992)</t>
  </si>
  <si>
    <t>Line 167:  KOMONDOR SIMULATION 'sim_input_nodes_n10_s47_cb4.csv2.csv' (seed 1992)</t>
  </si>
  <si>
    <t>Line 171:  KOMONDOR SIMULATION 'sim_input_nodes_n10_s48_cb4.csv2.csv' (seed 1992)</t>
  </si>
  <si>
    <t>Line 175:  KOMONDOR SIMULATION 'sim_input_nodes_n10_s49_cb4.csv2.csv' (seed 1992)</t>
  </si>
  <si>
    <t>Line 179:  KOMONDOR SIMULATION 'sim_input_nodes_n10_s4_cb4.csv2.csv' (seed 1992)</t>
  </si>
  <si>
    <t>Line 183:  KOMONDOR SIMULATION 'sim_input_nodes_n10_s5_cb4.csv2.csv' (seed 1992)</t>
  </si>
  <si>
    <t>Line 187:  KOMONDOR SIMULATION 'sim_input_nodes_n10_s6_cb4.csv2.csv' (seed 1992)</t>
  </si>
  <si>
    <t>Line 191:  KOMONDOR SIMULATION 'sim_input_nodes_n10_s7_cb4.csv2.csv' (seed 1992)</t>
  </si>
  <si>
    <t>Line 195:  KOMONDOR SIMULATION 'sim_input_nodes_n10_s8_cb4.csv2.csv' (seed 1992)</t>
  </si>
  <si>
    <t>Line 199:  KOMONDOR SIMULATION 'sim_input_nodes_n10_s9_cb4.csv2.csv' (seed 1992)</t>
  </si>
  <si>
    <t>Line 203:  KOMONDOR SIMULATION 'sim_input_nodes_n20_s0_cb4.csv2.csv' (seed 1992)</t>
  </si>
  <si>
    <t>Line 207:  KOMONDOR SIMULATION 'sim_input_nodes_n20_s10_cb4.csv2.csv' (seed 1992)</t>
  </si>
  <si>
    <t>Line 211:  KOMONDOR SIMULATION 'sim_input_nodes_n20_s11_cb4.csv2.csv' (seed 1992)</t>
  </si>
  <si>
    <t>Line 215:  KOMONDOR SIMULATION 'sim_input_nodes_n20_s12_cb4.csv2.csv' (seed 1992)</t>
  </si>
  <si>
    <t>Line 219:  KOMONDOR SIMULATION 'sim_input_nodes_n20_s13_cb4.csv2.csv' (seed 1992)</t>
  </si>
  <si>
    <t>Line 223:  KOMONDOR SIMULATION 'sim_input_nodes_n20_s14_cb4.csv2.csv' (seed 1992)</t>
  </si>
  <si>
    <t>Line 227:  KOMONDOR SIMULATION 'sim_input_nodes_n20_s15_cb4.csv2.csv' (seed 1992)</t>
  </si>
  <si>
    <t>Line 231:  KOMONDOR SIMULATION 'sim_input_nodes_n20_s16_cb4.csv2.csv' (seed 1992)</t>
  </si>
  <si>
    <t>Line 235:  KOMONDOR SIMULATION 'sim_input_nodes_n20_s17_cb4.csv2.csv' (seed 1992)</t>
  </si>
  <si>
    <t>Line 239:  KOMONDOR SIMULATION 'sim_input_nodes_n20_s18_cb4.csv2.csv' (seed 1992)</t>
  </si>
  <si>
    <t>Line 243:  KOMONDOR SIMULATION 'sim_input_nodes_n20_s19_cb4.csv2.csv' (seed 1992)</t>
  </si>
  <si>
    <t>Line 247:  KOMONDOR SIMULATION 'sim_input_nodes_n20_s1_cb4.csv2.csv' (seed 1992)</t>
  </si>
  <si>
    <t>Line 251:  KOMONDOR SIMULATION 'sim_input_nodes_n20_s20_cb4.csv2.csv' (seed 1992)</t>
  </si>
  <si>
    <t>Line 255:  KOMONDOR SIMULATION 'sim_input_nodes_n20_s21_cb4.csv2.csv' (seed 1992)</t>
  </si>
  <si>
    <t>Line 259:  KOMONDOR SIMULATION 'sim_input_nodes_n20_s22_cb4.csv2.csv' (seed 1992)</t>
  </si>
  <si>
    <t>Line 263:  KOMONDOR SIMULATION 'sim_input_nodes_n20_s23_cb4.csv2.csv' (seed 1992)</t>
  </si>
  <si>
    <t>Line 267:  KOMONDOR SIMULATION 'sim_input_nodes_n20_s24_cb4.csv2.csv' (seed 1992)</t>
  </si>
  <si>
    <t>Line 271:  KOMONDOR SIMULATION 'sim_input_nodes_n20_s25_cb4.csv2.csv' (seed 1992)</t>
  </si>
  <si>
    <t>Line 275:  KOMONDOR SIMULATION 'sim_input_nodes_n20_s26_cb4.csv2.csv' (seed 1992)</t>
  </si>
  <si>
    <t>Line 279:  KOMONDOR SIMULATION 'sim_input_nodes_n20_s27_cb4.csv2.csv' (seed 1992)</t>
  </si>
  <si>
    <t>Line 283:  KOMONDOR SIMULATION 'sim_input_nodes_n20_s28_cb4.csv2.csv' (seed 1992)</t>
  </si>
  <si>
    <t>Line 287:  KOMONDOR SIMULATION 'sim_input_nodes_n20_s29_cb4.csv2.csv' (seed 1992)</t>
  </si>
  <si>
    <t>Line 291:  KOMONDOR SIMULATION 'sim_input_nodes_n20_s2_cb4.csv2.csv' (seed 1992)</t>
  </si>
  <si>
    <t>Line 295:  KOMONDOR SIMULATION 'sim_input_nodes_n20_s30_cb4.csv2.csv' (seed 1992)</t>
  </si>
  <si>
    <t>Line 299:  KOMONDOR SIMULATION 'sim_input_nodes_n20_s31_cb4.csv2.csv' (seed 1992)</t>
  </si>
  <si>
    <t>Line 303:  KOMONDOR SIMULATION 'sim_input_nodes_n20_s32_cb4.csv2.csv' (seed 1992)</t>
  </si>
  <si>
    <t>Line 307:  KOMONDOR SIMULATION 'sim_input_nodes_n20_s33_cb4.csv2.csv' (seed 1992)</t>
  </si>
  <si>
    <t>Line 311:  KOMONDOR SIMULATION 'sim_input_nodes_n20_s34_cb4.csv2.csv' (seed 1992)</t>
  </si>
  <si>
    <t>Line 315:  KOMONDOR SIMULATION 'sim_input_nodes_n20_s35_cb4.csv2.csv' (seed 1992)</t>
  </si>
  <si>
    <t>Line 319:  KOMONDOR SIMULATION 'sim_input_nodes_n20_s36_cb4.csv2.csv' (seed 1992)</t>
  </si>
  <si>
    <t>Line 323:  KOMONDOR SIMULATION 'sim_input_nodes_n20_s37_cb4.csv2.csv' (seed 1992)</t>
  </si>
  <si>
    <t>Line 327:  KOMONDOR SIMULATION 'sim_input_nodes_n20_s38_cb4.csv2.csv' (seed 1992)</t>
  </si>
  <si>
    <t>Line 331:  KOMONDOR SIMULATION 'sim_input_nodes_n20_s39_cb4.csv2.csv' (seed 1992)</t>
  </si>
  <si>
    <t>Line 335:  KOMONDOR SIMULATION 'sim_input_nodes_n20_s3_cb4.csv2.csv' (seed 1992)</t>
  </si>
  <si>
    <t>Line 339:  KOMONDOR SIMULATION 'sim_input_nodes_n20_s40_cb4.csv2.csv' (seed 1992)</t>
  </si>
  <si>
    <t>Line 343:  KOMONDOR SIMULATION 'sim_input_nodes_n20_s41_cb4.csv2.csv' (seed 1992)</t>
  </si>
  <si>
    <t>Line 347:  KOMONDOR SIMULATION 'sim_input_nodes_n20_s42_cb4.csv2.csv' (seed 1992)</t>
  </si>
  <si>
    <t>Line 351:  KOMONDOR SIMULATION 'sim_input_nodes_n20_s43_cb4.csv2.csv' (seed 1992)</t>
  </si>
  <si>
    <t>Line 355:  KOMONDOR SIMULATION 'sim_input_nodes_n20_s44_cb4.csv2.csv' (seed 1992)</t>
  </si>
  <si>
    <t>Line 359:  KOMONDOR SIMULATION 'sim_input_nodes_n20_s45_cb4.csv2.csv' (seed 1992)</t>
  </si>
  <si>
    <t>Line 363:  KOMONDOR SIMULATION 'sim_input_nodes_n20_s46_cb4.csv2.csv' (seed 1992)</t>
  </si>
  <si>
    <t>Line 367:  KOMONDOR SIMULATION 'sim_input_nodes_n20_s47_cb4.csv2.csv' (seed 1992)</t>
  </si>
  <si>
    <t>Line 371:  KOMONDOR SIMULATION 'sim_input_nodes_n20_s48_cb4.csv2.csv' (seed 1992)</t>
  </si>
  <si>
    <t>Line 375:  KOMONDOR SIMULATION 'sim_input_nodes_n20_s49_cb4.csv2.csv' (seed 1992)</t>
  </si>
  <si>
    <t>Line 379:  KOMONDOR SIMULATION 'sim_input_nodes_n20_s4_cb4.csv2.csv' (seed 1992)</t>
  </si>
  <si>
    <t>Line 383:  KOMONDOR SIMULATION 'sim_input_nodes_n20_s5_cb4.csv2.csv' (seed 1992)</t>
  </si>
  <si>
    <t>Line 387:  KOMONDOR SIMULATION 'sim_input_nodes_n20_s6_cb4.csv2.csv' (seed 1992)</t>
  </si>
  <si>
    <t>Line 391:  KOMONDOR SIMULATION 'sim_input_nodes_n20_s7_cb4.csv2.csv' (seed 1992)</t>
  </si>
  <si>
    <t>Line 395:  KOMONDOR SIMULATION 'sim_input_nodes_n20_s8_cb4.csv2.csv' (seed 1992)</t>
  </si>
  <si>
    <t>Line 399:  KOMONDOR SIMULATION 'sim_input_nodes_n20_s9_cb4.csv2.csv' (seed 1992)</t>
  </si>
  <si>
    <t>Line 603:  KOMONDOR SIMULATION 'sim_input_nodes_n30_s0_cb4.csv2.csv' (seed 1992)</t>
  </si>
  <si>
    <t>Line 607:  KOMONDOR SIMULATION 'sim_input_nodes_n30_s10_cb4.csv2.csv' (seed 1992)</t>
  </si>
  <si>
    <t>Line 611:  KOMONDOR SIMULATION 'sim_input_nodes_n30_s11_cb4.csv2.csv' (seed 1992)</t>
  </si>
  <si>
    <t>Line 615:  KOMONDOR SIMULATION 'sim_input_nodes_n30_s12_cb4.csv2.csv' (seed 1992)</t>
  </si>
  <si>
    <t>Line 619:  KOMONDOR SIMULATION 'sim_input_nodes_n30_s13_cb4.csv2.csv' (seed 1992)</t>
  </si>
  <si>
    <t>Line 623:  KOMONDOR SIMULATION 'sim_input_nodes_n30_s14_cb4.csv2.csv' (seed 1992)</t>
  </si>
  <si>
    <t>Line 627:  KOMONDOR SIMULATION 'sim_input_nodes_n30_s15_cb4.csv2.csv' (seed 1992)</t>
  </si>
  <si>
    <t>Line 631:  KOMONDOR SIMULATION 'sim_input_nodes_n30_s16_cb4.csv2.csv' (seed 1992)</t>
  </si>
  <si>
    <t>Line 635:  KOMONDOR SIMULATION 'sim_input_nodes_n30_s17_cb4.csv2.csv' (seed 1992)</t>
  </si>
  <si>
    <t>Line 639:  KOMONDOR SIMULATION 'sim_input_nodes_n30_s18_cb4.csv2.csv' (seed 1992)</t>
  </si>
  <si>
    <t>Line 643:  KOMONDOR SIMULATION 'sim_input_nodes_n30_s19_cb4.csv2.csv' (seed 1992)</t>
  </si>
  <si>
    <t>Line 647:  KOMONDOR SIMULATION 'sim_input_nodes_n30_s1_cb4.csv2.csv' (seed 1992)</t>
  </si>
  <si>
    <t>Line 651:  KOMONDOR SIMULATION 'sim_input_nodes_n30_s20_cb4.csv2.csv' (seed 1992)</t>
  </si>
  <si>
    <t>Line 655:  KOMONDOR SIMULATION 'sim_input_nodes_n30_s21_cb4.csv2.csv' (seed 1992)</t>
  </si>
  <si>
    <t>Line 659:  KOMONDOR SIMULATION 'sim_input_nodes_n30_s22_cb4.csv2.csv' (seed 1992)</t>
  </si>
  <si>
    <t>Line 663:  KOMONDOR SIMULATION 'sim_input_nodes_n30_s23_cb4.csv2.csv' (seed 1992)</t>
  </si>
  <si>
    <t>Line 667:  KOMONDOR SIMULATION 'sim_input_nodes_n30_s24_cb4.csv2.csv' (seed 1992)</t>
  </si>
  <si>
    <t>Line 671:  KOMONDOR SIMULATION 'sim_input_nodes_n30_s25_cb4.csv2.csv' (seed 1992)</t>
  </si>
  <si>
    <t>Line 675:  KOMONDOR SIMULATION 'sim_input_nodes_n30_s26_cb4.csv2.csv' (seed 1992)</t>
  </si>
  <si>
    <t>Line 679:  KOMONDOR SIMULATION 'sim_input_nodes_n30_s27_cb4.csv2.csv' (seed 1992)</t>
  </si>
  <si>
    <t>Line 683:  KOMONDOR SIMULATION 'sim_input_nodes_n30_s28_cb4.csv2.csv' (seed 1992)</t>
  </si>
  <si>
    <t>Line 687:  KOMONDOR SIMULATION 'sim_input_nodes_n30_s29_cb4.csv2.csv' (seed 1992)</t>
  </si>
  <si>
    <t>Line 691:  KOMONDOR SIMULATION 'sim_input_nodes_n30_s2_cb4.csv2.csv' (seed 1992)</t>
  </si>
  <si>
    <t>Line 695:  KOMONDOR SIMULATION 'sim_input_nodes_n30_s30_cb4.csv2.csv' (seed 1992)</t>
  </si>
  <si>
    <t>Line 699:  KOMONDOR SIMULATION 'sim_input_nodes_n30_s31_cb4.csv2.csv' (seed 1992)</t>
  </si>
  <si>
    <t>Line 703:  KOMONDOR SIMULATION 'sim_input_nodes_n30_s32_cb4.csv2.csv' (seed 1992)</t>
  </si>
  <si>
    <t>Line 707:  KOMONDOR SIMULATION 'sim_input_nodes_n30_s33_cb4.csv2.csv' (seed 1992)</t>
  </si>
  <si>
    <t>Line 711:  KOMONDOR SIMULATION 'sim_input_nodes_n30_s34_cb4.csv2.csv' (seed 1992)</t>
  </si>
  <si>
    <t>Line 715:  KOMONDOR SIMULATION 'sim_input_nodes_n30_s35_cb4.csv2.csv' (seed 1992)</t>
  </si>
  <si>
    <t>Line 719:  KOMONDOR SIMULATION 'sim_input_nodes_n30_s36_cb4.csv2.csv' (seed 1992)</t>
  </si>
  <si>
    <t>Line 723:  KOMONDOR SIMULATION 'sim_input_nodes_n30_s37_cb4.csv2.csv' (seed 1992)</t>
  </si>
  <si>
    <t>Line 727:  KOMONDOR SIMULATION 'sim_input_nodes_n30_s38_cb4.csv2.csv' (seed 1992)</t>
  </si>
  <si>
    <t>Line 731:  KOMONDOR SIMULATION 'sim_input_nodes_n30_s39_cb4.csv2.csv' (seed 1992)</t>
  </si>
  <si>
    <t>Line 735:  KOMONDOR SIMULATION 'sim_input_nodes_n30_s3_cb4.csv2.csv' (seed 1992)</t>
  </si>
  <si>
    <t>Line 739:  KOMONDOR SIMULATION 'sim_input_nodes_n30_s40_cb4.csv2.csv' (seed 1992)</t>
  </si>
  <si>
    <t>Line 743:  KOMONDOR SIMULATION 'sim_input_nodes_n30_s41_cb4.csv2.csv' (seed 1992)</t>
  </si>
  <si>
    <t>Line 747:  KOMONDOR SIMULATION 'sim_input_nodes_n30_s42_cb4.csv2.csv' (seed 1992)</t>
  </si>
  <si>
    <t>Line 751:  KOMONDOR SIMULATION 'sim_input_nodes_n30_s43_cb4.csv2.csv' (seed 1992)</t>
  </si>
  <si>
    <t>Line 755:  KOMONDOR SIMULATION 'sim_input_nodes_n30_s44_cb4.csv2.csv' (seed 1992)</t>
  </si>
  <si>
    <t>Line 759:  KOMONDOR SIMULATION 'sim_input_nodes_n30_s45_cb4.csv2.csv' (seed 1992)</t>
  </si>
  <si>
    <t>Line 763:  KOMONDOR SIMULATION 'sim_input_nodes_n30_s46_cb4.csv2.csv' (seed 1992)</t>
  </si>
  <si>
    <t>Line 767:  KOMONDOR SIMULATION 'sim_input_nodes_n30_s47_cb4.csv2.csv' (seed 1992)</t>
  </si>
  <si>
    <t>Line 771:  KOMONDOR SIMULATION 'sim_input_nodes_n30_s48_cb4.csv2.csv' (seed 1992)</t>
  </si>
  <si>
    <t>Line 775:  KOMONDOR SIMULATION 'sim_input_nodes_n30_s49_cb4.csv2.csv' (seed 1992)</t>
  </si>
  <si>
    <t>Line 779:  KOMONDOR SIMULATION 'sim_input_nodes_n30_s4_cb4.csv2.csv' (seed 1992)</t>
  </si>
  <si>
    <t>Line 783:  KOMONDOR SIMULATION 'sim_input_nodes_n30_s5_cb4.csv2.csv' (seed 1992)</t>
  </si>
  <si>
    <t>Line 787:  KOMONDOR SIMULATION 'sim_input_nodes_n30_s6_cb4.csv2.csv' (seed 1992)</t>
  </si>
  <si>
    <t>Line 791:  KOMONDOR SIMULATION 'sim_input_nodes_n30_s7_cb4.csv2.csv' (seed 1992)</t>
  </si>
  <si>
    <t>Line 795:  KOMONDOR SIMULATION 'sim_input_nodes_n30_s8_cb4.csv2.csv' (seed 1992)</t>
  </si>
  <si>
    <t>Line 799:  KOMONDOR SIMULATION 'sim_input_nodes_n30_s9_cb4.csv2.csv' (seed 1992)</t>
  </si>
  <si>
    <t>Line 803:  KOMONDOR SIMULATION 'sim_input_nodes_n40_s0_cb4.csv2.csv' (seed 1992)</t>
  </si>
  <si>
    <t>Line 807:  KOMONDOR SIMULATION 'sim_input_nodes_n40_s10_cb4.csv2.csv' (seed 1992)</t>
  </si>
  <si>
    <t>Line 811:  KOMONDOR SIMULATION 'sim_input_nodes_n40_s11_cb4.csv2.csv' (seed 1992)</t>
  </si>
  <si>
    <t>Line 815:  KOMONDOR SIMULATION 'sim_input_nodes_n40_s12_cb4.csv2.csv' (seed 1992)</t>
  </si>
  <si>
    <t>Line 819:  KOMONDOR SIMULATION 'sim_input_nodes_n40_s13_cb4.csv2.csv' (seed 1992)</t>
  </si>
  <si>
    <t>Line 823:  KOMONDOR SIMULATION 'sim_input_nodes_n40_s14_cb4.csv2.csv' (seed 1992)</t>
  </si>
  <si>
    <t>Line 827:  KOMONDOR SIMULATION 'sim_input_nodes_n40_s15_cb4.csv2.csv' (seed 1992)</t>
  </si>
  <si>
    <t>Line 831:  KOMONDOR SIMULATION 'sim_input_nodes_n40_s16_cb4.csv2.csv' (seed 1992)</t>
  </si>
  <si>
    <t>Line 835:  KOMONDOR SIMULATION 'sim_input_nodes_n40_s17_cb4.csv2.csv' (seed 1992)</t>
  </si>
  <si>
    <t>Line 839:  KOMONDOR SIMULATION 'sim_input_nodes_n40_s18_cb4.csv2.csv' (seed 1992)</t>
  </si>
  <si>
    <t>Line 843:  KOMONDOR SIMULATION 'sim_input_nodes_n40_s19_cb4.csv2.csv' (seed 1992)</t>
  </si>
  <si>
    <t>Line 847:  KOMONDOR SIMULATION 'sim_input_nodes_n40_s1_cb4.csv2.csv' (seed 1992)</t>
  </si>
  <si>
    <t>Line 851:  KOMONDOR SIMULATION 'sim_input_nodes_n40_s20_cb4.csv2.csv' (seed 1992)</t>
  </si>
  <si>
    <t>Line 855:  KOMONDOR SIMULATION 'sim_input_nodes_n40_s21_cb4.csv2.csv' (seed 1992)</t>
  </si>
  <si>
    <t>Line 859:  KOMONDOR SIMULATION 'sim_input_nodes_n40_s22_cb4.csv2.csv' (seed 1992)</t>
  </si>
  <si>
    <t>Line 863:  KOMONDOR SIMULATION 'sim_input_nodes_n40_s23_cb4.csv2.csv' (seed 1992)</t>
  </si>
  <si>
    <t>Line 867:  KOMONDOR SIMULATION 'sim_input_nodes_n40_s24_cb4.csv2.csv' (seed 1992)</t>
  </si>
  <si>
    <t>Line 871:  KOMONDOR SIMULATION 'sim_input_nodes_n40_s25_cb4.csv2.csv' (seed 1992)</t>
  </si>
  <si>
    <t>Line 875:  KOMONDOR SIMULATION 'sim_input_nodes_n40_s26_cb4.csv2.csv' (seed 1992)</t>
  </si>
  <si>
    <t>Line 879:  KOMONDOR SIMULATION 'sim_input_nodes_n40_s27_cb4.csv2.csv' (seed 1992)</t>
  </si>
  <si>
    <t>Line 883:  KOMONDOR SIMULATION 'sim_input_nodes_n40_s28_cb4.csv2.csv' (seed 1992)</t>
  </si>
  <si>
    <t>Line 887:  KOMONDOR SIMULATION 'sim_input_nodes_n40_s29_cb4.csv2.csv' (seed 1992)</t>
  </si>
  <si>
    <t>Line 891:  KOMONDOR SIMULATION 'sim_input_nodes_n40_s2_cb4.csv2.csv' (seed 1992)</t>
  </si>
  <si>
    <t>Line 895:  KOMONDOR SIMULATION 'sim_input_nodes_n40_s30_cb4.csv2.csv' (seed 1992)</t>
  </si>
  <si>
    <t>Line 899:  KOMONDOR SIMULATION 'sim_input_nodes_n40_s31_cb4.csv2.csv' (seed 1992)</t>
  </si>
  <si>
    <t>Line 903:  KOMONDOR SIMULATION 'sim_input_nodes_n40_s32_cb4.csv2.csv' (seed 1992)</t>
  </si>
  <si>
    <t>Line 907:  KOMONDOR SIMULATION 'sim_input_nodes_n40_s33_cb4.csv2.csv' (seed 1992)</t>
  </si>
  <si>
    <t>Line 911:  KOMONDOR SIMULATION 'sim_input_nodes_n40_s34_cb4.csv2.csv' (seed 1992)</t>
  </si>
  <si>
    <t>Line 915:  KOMONDOR SIMULATION 'sim_input_nodes_n40_s35_cb4.csv2.csv' (seed 1992)</t>
  </si>
  <si>
    <t>Line 919:  KOMONDOR SIMULATION 'sim_input_nodes_n40_s36_cb4.csv2.csv' (seed 1992)</t>
  </si>
  <si>
    <t>Line 923:  KOMONDOR SIMULATION 'sim_input_nodes_n40_s37_cb4.csv2.csv' (seed 1992)</t>
  </si>
  <si>
    <t>Line 927:  KOMONDOR SIMULATION 'sim_input_nodes_n40_s38_cb4.csv2.csv' (seed 1992)</t>
  </si>
  <si>
    <t>Line 931:  KOMONDOR SIMULATION 'sim_input_nodes_n40_s39_cb4.csv2.csv' (seed 1992)</t>
  </si>
  <si>
    <t>Line 935:  KOMONDOR SIMULATION 'sim_input_nodes_n40_s3_cb4.csv2.csv' (seed 1992)</t>
  </si>
  <si>
    <t>Line 939:  KOMONDOR SIMULATION 'sim_input_nodes_n40_s40_cb4.csv2.csv' (seed 1992)</t>
  </si>
  <si>
    <t>Line 943:  KOMONDOR SIMULATION 'sim_input_nodes_n40_s41_cb4.csv2.csv' (seed 1992)</t>
  </si>
  <si>
    <t>Line 947:  KOMONDOR SIMULATION 'sim_input_nodes_n40_s42_cb4.csv2.csv' (seed 1992)</t>
  </si>
  <si>
    <t>Line 951:  KOMONDOR SIMULATION 'sim_input_nodes_n40_s43_cb4.csv2.csv' (seed 1992)</t>
  </si>
  <si>
    <t>Line 955:  KOMONDOR SIMULATION 'sim_input_nodes_n40_s44_cb4.csv2.csv' (seed 1992)</t>
  </si>
  <si>
    <t>Line 959:  KOMONDOR SIMULATION 'sim_input_nodes_n40_s45_cb4.csv2.csv' (seed 1992)</t>
  </si>
  <si>
    <t>Line 963:  KOMONDOR SIMULATION 'sim_input_nodes_n40_s46_cb4.csv2.csv' (seed 1992)</t>
  </si>
  <si>
    <t>Line 967:  KOMONDOR SIMULATION 'sim_input_nodes_n40_s47_cb4.csv2.csv' (seed 1992)</t>
  </si>
  <si>
    <t>Line 971:  KOMONDOR SIMULATION 'sim_input_nodes_n40_s48_cb4.csv2.csv' (seed 1992)</t>
  </si>
  <si>
    <t>Line 975:  KOMONDOR SIMULATION 'sim_input_nodes_n40_s49_cb4.csv2.csv' (seed 1992)</t>
  </si>
  <si>
    <t>Line 979:  KOMONDOR SIMULATION 'sim_input_nodes_n40_s4_cb4.csv2.csv' (seed 1992)</t>
  </si>
  <si>
    <t>Line 983:  KOMONDOR SIMULATION 'sim_input_nodes_n40_s5_cb4.csv2.csv' (seed 1992)</t>
  </si>
  <si>
    <t>Line 987:  KOMONDOR SIMULATION 'sim_input_nodes_n40_s6_cb4.csv2.csv' (seed 1992)</t>
  </si>
  <si>
    <t>Line 991:  KOMONDOR SIMULATION 'sim_input_nodes_n40_s7_cb4.csv2.csv' (seed 1992)</t>
  </si>
  <si>
    <t>Line 995:  KOMONDOR SIMULATION 'sim_input_nodes_n40_s8_cb4.csv2.csv' (seed 1992)</t>
  </si>
  <si>
    <t>Line 999:  KOMONDOR SIMULATION 'sim_input_nodes_n40_s9_cb4.csv2.csv' (seed 1992)</t>
  </si>
  <si>
    <t>Line 1003:  KOMONDOR SIMULATION 'sim_input_nodes_n5_s0_cb4.csv2.csv' (seed 1992)</t>
  </si>
  <si>
    <t>Line 1007:  KOMONDOR SIMULATION 'sim_input_nodes_n5_s10_cb4.csv2.csv' (seed 1992)</t>
  </si>
  <si>
    <t>Line 1011:  KOMONDOR SIMULATION 'sim_input_nodes_n5_s11_cb4.csv2.csv' (seed 1992)</t>
  </si>
  <si>
    <t>Line 1015:  KOMONDOR SIMULATION 'sim_input_nodes_n5_s12_cb4.csv2.csv' (seed 1992)</t>
  </si>
  <si>
    <t>Line 1019:  KOMONDOR SIMULATION 'sim_input_nodes_n5_s13_cb4.csv2.csv' (seed 1992)</t>
  </si>
  <si>
    <t>Line 1023:  KOMONDOR SIMULATION 'sim_input_nodes_n5_s14_cb4.csv2.csv' (seed 1992)</t>
  </si>
  <si>
    <t>Line 1027:  KOMONDOR SIMULATION 'sim_input_nodes_n5_s15_cb4.csv2.csv' (seed 1992)</t>
  </si>
  <si>
    <t>Line 1031:  KOMONDOR SIMULATION 'sim_input_nodes_n5_s16_cb4.csv2.csv' (seed 1992)</t>
  </si>
  <si>
    <t>Line 1035:  KOMONDOR SIMULATION 'sim_input_nodes_n5_s17_cb4.csv2.csv' (seed 1992)</t>
  </si>
  <si>
    <t>Line 1039:  KOMONDOR SIMULATION 'sim_input_nodes_n5_s18_cb4.csv2.csv' (seed 1992)</t>
  </si>
  <si>
    <t>Line 1043:  KOMONDOR SIMULATION 'sim_input_nodes_n5_s19_cb4.csv2.csv' (seed 1992)</t>
  </si>
  <si>
    <t>Line 1047:  KOMONDOR SIMULATION 'sim_input_nodes_n5_s1_cb4.csv2.csv' (seed 1992)</t>
  </si>
  <si>
    <t>Line 1051:  KOMONDOR SIMULATION 'sim_input_nodes_n5_s20_cb4.csv2.csv' (seed 1992)</t>
  </si>
  <si>
    <t>Line 1055:  KOMONDOR SIMULATION 'sim_input_nodes_n5_s21_cb4.csv2.csv' (seed 1992)</t>
  </si>
  <si>
    <t>Line 1059:  KOMONDOR SIMULATION 'sim_input_nodes_n5_s22_cb4.csv2.csv' (seed 1992)</t>
  </si>
  <si>
    <t>Line 1063:  KOMONDOR SIMULATION 'sim_input_nodes_n5_s23_cb4.csv2.csv' (seed 1992)</t>
  </si>
  <si>
    <t>Line 1067:  KOMONDOR SIMULATION 'sim_input_nodes_n5_s24_cb4.csv2.csv' (seed 1992)</t>
  </si>
  <si>
    <t>Line 1071:  KOMONDOR SIMULATION 'sim_input_nodes_n5_s25_cb4.csv2.csv' (seed 1992)</t>
  </si>
  <si>
    <t>Line 1075:  KOMONDOR SIMULATION 'sim_input_nodes_n5_s26_cb4.csv2.csv' (seed 1992)</t>
  </si>
  <si>
    <t>Line 1079:  KOMONDOR SIMULATION 'sim_input_nodes_n5_s27_cb4.csv2.csv' (seed 1992)</t>
  </si>
  <si>
    <t>Line 1083:  KOMONDOR SIMULATION 'sim_input_nodes_n5_s28_cb4.csv2.csv' (seed 1992)</t>
  </si>
  <si>
    <t>Line 1087:  KOMONDOR SIMULATION 'sim_input_nodes_n5_s29_cb4.csv2.csv' (seed 1992)</t>
  </si>
  <si>
    <t>Line 1091:  KOMONDOR SIMULATION 'sim_input_nodes_n5_s2_cb4.csv2.csv' (seed 1992)</t>
  </si>
  <si>
    <t>Line 1095:  KOMONDOR SIMULATION 'sim_input_nodes_n5_s30_cb4.csv2.csv' (seed 1992)</t>
  </si>
  <si>
    <t>Line 1099:  KOMONDOR SIMULATION 'sim_input_nodes_n5_s31_cb4.csv2.csv' (seed 1992)</t>
  </si>
  <si>
    <t>Line 1103:  KOMONDOR SIMULATION 'sim_input_nodes_n5_s32_cb4.csv2.csv' (seed 1992)</t>
  </si>
  <si>
    <t>Line 1107:  KOMONDOR SIMULATION 'sim_input_nodes_n5_s33_cb4.csv2.csv' (seed 1992)</t>
  </si>
  <si>
    <t>Line 1111:  KOMONDOR SIMULATION 'sim_input_nodes_n5_s34_cb4.csv2.csv' (seed 1992)</t>
  </si>
  <si>
    <t>Line 1115:  KOMONDOR SIMULATION 'sim_input_nodes_n5_s35_cb4.csv2.csv' (seed 1992)</t>
  </si>
  <si>
    <t>Line 1119:  KOMONDOR SIMULATION 'sim_input_nodes_n5_s36_cb4.csv2.csv' (seed 1992)</t>
  </si>
  <si>
    <t>Line 1123:  KOMONDOR SIMULATION 'sim_input_nodes_n5_s37_cb4.csv2.csv' (seed 1992)</t>
  </si>
  <si>
    <t>Line 1127:  KOMONDOR SIMULATION 'sim_input_nodes_n5_s38_cb4.csv2.csv' (seed 1992)</t>
  </si>
  <si>
    <t>Line 1131:  KOMONDOR SIMULATION 'sim_input_nodes_n5_s39_cb4.csv2.csv' (seed 1992)</t>
  </si>
  <si>
    <t>Line 1135:  KOMONDOR SIMULATION 'sim_input_nodes_n5_s3_cb4.csv2.csv' (seed 1992)</t>
  </si>
  <si>
    <t>Line 1139:  KOMONDOR SIMULATION 'sim_input_nodes_n5_s40_cb4.csv2.csv' (seed 1992)</t>
  </si>
  <si>
    <t>Line 1143:  KOMONDOR SIMULATION 'sim_input_nodes_n5_s41_cb4.csv2.csv' (seed 1992)</t>
  </si>
  <si>
    <t>Line 1147:  KOMONDOR SIMULATION 'sim_input_nodes_n5_s42_cb4.csv2.csv' (seed 1992)</t>
  </si>
  <si>
    <t>Line 1151:  KOMONDOR SIMULATION 'sim_input_nodes_n5_s43_cb4.csv2.csv' (seed 1992)</t>
  </si>
  <si>
    <t>Line 1155:  KOMONDOR SIMULATION 'sim_input_nodes_n5_s44_cb4.csv2.csv' (seed 1992)</t>
  </si>
  <si>
    <t>Line 1159:  KOMONDOR SIMULATION 'sim_input_nodes_n5_s45_cb4.csv2.csv' (seed 1992)</t>
  </si>
  <si>
    <t>Line 1163:  KOMONDOR SIMULATION 'sim_input_nodes_n5_s46_cb4.csv2.csv' (seed 1992)</t>
  </si>
  <si>
    <t>Line 1167:  KOMONDOR SIMULATION 'sim_input_nodes_n5_s47_cb4.csv2.csv' (seed 1992)</t>
  </si>
  <si>
    <t>Line 1171:  KOMONDOR SIMULATION 'sim_input_nodes_n5_s48_cb4.csv2.csv' (seed 1992)</t>
  </si>
  <si>
    <t>Line 1175:  KOMONDOR SIMULATION 'sim_input_nodes_n5_s49_cb4.csv2.csv' (seed 1992)</t>
  </si>
  <si>
    <t>Line 1179:  KOMONDOR SIMULATION 'sim_input_nodes_n5_s4_cb4.csv2.csv' (seed 1992)</t>
  </si>
  <si>
    <t>Line 1183:  KOMONDOR SIMULATION 'sim_input_nodes_n5_s5_cb4.csv2.csv' (seed 1992)</t>
  </si>
  <si>
    <t>Line 1187:  KOMONDOR SIMULATION 'sim_input_nodes_n5_s6_cb4.csv2.csv' (seed 1992)</t>
  </si>
  <si>
    <t>Line 1191:  KOMONDOR SIMULATION 'sim_input_nodes_n5_s7_cb4.csv2.csv' (seed 1992)</t>
  </si>
  <si>
    <t>Line 1195:  KOMONDOR SIMULATION 'sim_input_nodes_n5_s8_cb4.csv2.csv' (seed 1992)</t>
  </si>
  <si>
    <t>Line 1199:  KOMONDOR SIMULATION 'sim_input_nodes_n5_s9_cb4.csv2.csv' (seed 1992)</t>
  </si>
  <si>
    <t>OP PL2</t>
  </si>
  <si>
    <t>AM PL2</t>
  </si>
  <si>
    <t>Line 4:  KOMONDOR SIMULATION 'sim_input_nodes_n10_s0_cb6.csv2.csv' (seed 1992)</t>
  </si>
  <si>
    <t>Line 8:  KOMONDOR SIMULATION 'sim_input_nodes_n10_s10_cb6.csv2.csv' (seed 1992)</t>
  </si>
  <si>
    <t>Line 12:  KOMONDOR SIMULATION 'sim_input_nodes_n10_s11_cb6.csv2.csv' (seed 1992)</t>
  </si>
  <si>
    <t>Line 16:  KOMONDOR SIMULATION 'sim_input_nodes_n10_s12_cb6.csv2.csv' (seed 1992)</t>
  </si>
  <si>
    <t>Line 20:  KOMONDOR SIMULATION 'sim_input_nodes_n10_s13_cb6.csv2.csv' (seed 1992)</t>
  </si>
  <si>
    <t>Line 24:  KOMONDOR SIMULATION 'sim_input_nodes_n10_s14_cb6.csv2.csv' (seed 1992)</t>
  </si>
  <si>
    <t>Line 28:  KOMONDOR SIMULATION 'sim_input_nodes_n10_s15_cb6.csv2.csv' (seed 1992)</t>
  </si>
  <si>
    <t>Line 32:  KOMONDOR SIMULATION 'sim_input_nodes_n10_s16_cb6.csv2.csv' (seed 1992)</t>
  </si>
  <si>
    <t>Line 36:  KOMONDOR SIMULATION 'sim_input_nodes_n10_s17_cb6.csv2.csv' (seed 1992)</t>
  </si>
  <si>
    <t>Line 40:  KOMONDOR SIMULATION 'sim_input_nodes_n10_s18_cb6.csv2.csv' (seed 1992)</t>
  </si>
  <si>
    <t>Line 44:  KOMONDOR SIMULATION 'sim_input_nodes_n10_s19_cb6.csv2.csv' (seed 1992)</t>
  </si>
  <si>
    <t>Line 48:  KOMONDOR SIMULATION 'sim_input_nodes_n10_s1_cb6.csv2.csv' (seed 1992)</t>
  </si>
  <si>
    <t>Line 52:  KOMONDOR SIMULATION 'sim_input_nodes_n10_s20_cb6.csv2.csv' (seed 1992)</t>
  </si>
  <si>
    <t>Line 56:  KOMONDOR SIMULATION 'sim_input_nodes_n10_s21_cb6.csv2.csv' (seed 1992)</t>
  </si>
  <si>
    <t>Line 60:  KOMONDOR SIMULATION 'sim_input_nodes_n10_s22_cb6.csv2.csv' (seed 1992)</t>
  </si>
  <si>
    <t>Line 64:  KOMONDOR SIMULATION 'sim_input_nodes_n10_s23_cb6.csv2.csv' (seed 1992)</t>
  </si>
  <si>
    <t>Line 68:  KOMONDOR SIMULATION 'sim_input_nodes_n10_s24_cb6.csv2.csv' (seed 1992)</t>
  </si>
  <si>
    <t>Line 72:  KOMONDOR SIMULATION 'sim_input_nodes_n10_s25_cb6.csv2.csv' (seed 1992)</t>
  </si>
  <si>
    <t>Line 76:  KOMONDOR SIMULATION 'sim_input_nodes_n10_s26_cb6.csv2.csv' (seed 1992)</t>
  </si>
  <si>
    <t>Line 80:  KOMONDOR SIMULATION 'sim_input_nodes_n10_s27_cb6.csv2.csv' (seed 1992)</t>
  </si>
  <si>
    <t>Line 84:  KOMONDOR SIMULATION 'sim_input_nodes_n10_s28_cb6.csv2.csv' (seed 1992)</t>
  </si>
  <si>
    <t>Line 88:  KOMONDOR SIMULATION 'sim_input_nodes_n10_s29_cb6.csv2.csv' (seed 1992)</t>
  </si>
  <si>
    <t>Line 92:  KOMONDOR SIMULATION 'sim_input_nodes_n10_s2_cb6.csv2.csv' (seed 1992)</t>
  </si>
  <si>
    <t>Line 96:  KOMONDOR SIMULATION 'sim_input_nodes_n10_s30_cb6.csv2.csv' (seed 1992)</t>
  </si>
  <si>
    <t>Line 100:  KOMONDOR SIMULATION 'sim_input_nodes_n10_s31_cb6.csv2.csv' (seed 1992)</t>
  </si>
  <si>
    <t>Line 104:  KOMONDOR SIMULATION 'sim_input_nodes_n10_s32_cb6.csv2.csv' (seed 1992)</t>
  </si>
  <si>
    <t>Line 108:  KOMONDOR SIMULATION 'sim_input_nodes_n10_s33_cb6.csv2.csv' (seed 1992)</t>
  </si>
  <si>
    <t>Line 112:  KOMONDOR SIMULATION 'sim_input_nodes_n10_s34_cb6.csv2.csv' (seed 1992)</t>
  </si>
  <si>
    <t>Line 116:  KOMONDOR SIMULATION 'sim_input_nodes_n10_s35_cb6.csv2.csv' (seed 1992)</t>
  </si>
  <si>
    <t>Line 120:  KOMONDOR SIMULATION 'sim_input_nodes_n10_s36_cb6.csv2.csv' (seed 1992)</t>
  </si>
  <si>
    <t>Line 124:  KOMONDOR SIMULATION 'sim_input_nodes_n10_s37_cb6.csv2.csv' (seed 1992)</t>
  </si>
  <si>
    <t>Line 128:  KOMONDOR SIMULATION 'sim_input_nodes_n10_s38_cb6.csv2.csv' (seed 1992)</t>
  </si>
  <si>
    <t>Line 132:  KOMONDOR SIMULATION 'sim_input_nodes_n10_s39_cb6.csv2.csv' (seed 1992)</t>
  </si>
  <si>
    <t>Line 136:  KOMONDOR SIMULATION 'sim_input_nodes_n10_s3_cb6.csv2.csv' (seed 1992)</t>
  </si>
  <si>
    <t>Line 140:  KOMONDOR SIMULATION 'sim_input_nodes_n10_s40_cb6.csv2.csv' (seed 1992)</t>
  </si>
  <si>
    <t>Line 144:  KOMONDOR SIMULATION 'sim_input_nodes_n10_s41_cb6.csv2.csv' (seed 1992)</t>
  </si>
  <si>
    <t>Line 148:  KOMONDOR SIMULATION 'sim_input_nodes_n10_s42_cb6.csv2.csv' (seed 1992)</t>
  </si>
  <si>
    <t>Line 152:  KOMONDOR SIMULATION 'sim_input_nodes_n10_s43_cb6.csv2.csv' (seed 1992)</t>
  </si>
  <si>
    <t>Line 156:  KOMONDOR SIMULATION 'sim_input_nodes_n10_s44_cb6.csv2.csv' (seed 1992)</t>
  </si>
  <si>
    <t>Line 160:  KOMONDOR SIMULATION 'sim_input_nodes_n10_s45_cb6.csv2.csv' (seed 1992)</t>
  </si>
  <si>
    <t>Line 164:  KOMONDOR SIMULATION 'sim_input_nodes_n10_s46_cb6.csv2.csv' (seed 1992)</t>
  </si>
  <si>
    <t>Line 168:  KOMONDOR SIMULATION 'sim_input_nodes_n10_s47_cb6.csv2.csv' (seed 1992)</t>
  </si>
  <si>
    <t>Line 172:  KOMONDOR SIMULATION 'sim_input_nodes_n10_s48_cb6.csv2.csv' (seed 1992)</t>
  </si>
  <si>
    <t>Line 176:  KOMONDOR SIMULATION 'sim_input_nodes_n10_s49_cb6.csv2.csv' (seed 1992)</t>
  </si>
  <si>
    <t>Line 180:  KOMONDOR SIMULATION 'sim_input_nodes_n10_s4_cb6.csv2.csv' (seed 1992)</t>
  </si>
  <si>
    <t>Line 184:  KOMONDOR SIMULATION 'sim_input_nodes_n10_s5_cb6.csv2.csv' (seed 1992)</t>
  </si>
  <si>
    <t>Line 188:  KOMONDOR SIMULATION 'sim_input_nodes_n10_s6_cb6.csv2.csv' (seed 1992)</t>
  </si>
  <si>
    <t>Line 192:  KOMONDOR SIMULATION 'sim_input_nodes_n10_s7_cb6.csv2.csv' (seed 1992)</t>
  </si>
  <si>
    <t>Line 196:  KOMONDOR SIMULATION 'sim_input_nodes_n10_s8_cb6.csv2.csv' (seed 1992)</t>
  </si>
  <si>
    <t>Line 200:  KOMONDOR SIMULATION 'sim_input_nodes_n10_s9_cb6.csv2.csv' (seed 1992)</t>
  </si>
  <si>
    <t>Line 204:  KOMONDOR SIMULATION 'sim_input_nodes_n20_s0_cb6.csv2.csv' (seed 1992)</t>
  </si>
  <si>
    <t>Line 208:  KOMONDOR SIMULATION 'sim_input_nodes_n20_s10_cb6.csv2.csv' (seed 1992)</t>
  </si>
  <si>
    <t>Line 212:  KOMONDOR SIMULATION 'sim_input_nodes_n20_s11_cb6.csv2.csv' (seed 1992)</t>
  </si>
  <si>
    <t>Line 216:  KOMONDOR SIMULATION 'sim_input_nodes_n20_s12_cb6.csv2.csv' (seed 1992)</t>
  </si>
  <si>
    <t>Line 220:  KOMONDOR SIMULATION 'sim_input_nodes_n20_s13_cb6.csv2.csv' (seed 1992)</t>
  </si>
  <si>
    <t>Line 224:  KOMONDOR SIMULATION 'sim_input_nodes_n20_s14_cb6.csv2.csv' (seed 1992)</t>
  </si>
  <si>
    <t>Line 228:  KOMONDOR SIMULATION 'sim_input_nodes_n20_s15_cb6.csv2.csv' (seed 1992)</t>
  </si>
  <si>
    <t>Line 232:  KOMONDOR SIMULATION 'sim_input_nodes_n20_s16_cb6.csv2.csv' (seed 1992)</t>
  </si>
  <si>
    <t>Line 236:  KOMONDOR SIMULATION 'sim_input_nodes_n20_s17_cb6.csv2.csv' (seed 1992)</t>
  </si>
  <si>
    <t>Line 240:  KOMONDOR SIMULATION 'sim_input_nodes_n20_s18_cb6.csv2.csv' (seed 1992)</t>
  </si>
  <si>
    <t>Line 244:  KOMONDOR SIMULATION 'sim_input_nodes_n20_s19_cb6.csv2.csv' (seed 1992)</t>
  </si>
  <si>
    <t>Line 248:  KOMONDOR SIMULATION 'sim_input_nodes_n20_s1_cb6.csv2.csv' (seed 1992)</t>
  </si>
  <si>
    <t>Line 252:  KOMONDOR SIMULATION 'sim_input_nodes_n20_s20_cb6.csv2.csv' (seed 1992)</t>
  </si>
  <si>
    <t>Line 256:  KOMONDOR SIMULATION 'sim_input_nodes_n20_s21_cb6.csv2.csv' (seed 1992)</t>
  </si>
  <si>
    <t>Line 260:  KOMONDOR SIMULATION 'sim_input_nodes_n20_s22_cb6.csv2.csv' (seed 1992)</t>
  </si>
  <si>
    <t>Line 264:  KOMONDOR SIMULATION 'sim_input_nodes_n20_s23_cb6.csv2.csv' (seed 1992)</t>
  </si>
  <si>
    <t>Line 268:  KOMONDOR SIMULATION 'sim_input_nodes_n20_s24_cb6.csv2.csv' (seed 1992)</t>
  </si>
  <si>
    <t>Line 272:  KOMONDOR SIMULATION 'sim_input_nodes_n20_s25_cb6.csv2.csv' (seed 1992)</t>
  </si>
  <si>
    <t>Line 276:  KOMONDOR SIMULATION 'sim_input_nodes_n20_s26_cb6.csv2.csv' (seed 1992)</t>
  </si>
  <si>
    <t>Line 280:  KOMONDOR SIMULATION 'sim_input_nodes_n20_s27_cb6.csv2.csv' (seed 1992)</t>
  </si>
  <si>
    <t>Line 284:  KOMONDOR SIMULATION 'sim_input_nodes_n20_s28_cb6.csv2.csv' (seed 1992)</t>
  </si>
  <si>
    <t>Line 288:  KOMONDOR SIMULATION 'sim_input_nodes_n20_s29_cb6.csv2.csv' (seed 1992)</t>
  </si>
  <si>
    <t>Line 292:  KOMONDOR SIMULATION 'sim_input_nodes_n20_s2_cb6.csv2.csv' (seed 1992)</t>
  </si>
  <si>
    <t>Line 296:  KOMONDOR SIMULATION 'sim_input_nodes_n20_s30_cb6.csv2.csv' (seed 1992)</t>
  </si>
  <si>
    <t>Line 300:  KOMONDOR SIMULATION 'sim_input_nodes_n20_s31_cb6.csv2.csv' (seed 1992)</t>
  </si>
  <si>
    <t>Line 304:  KOMONDOR SIMULATION 'sim_input_nodes_n20_s32_cb6.csv2.csv' (seed 1992)</t>
  </si>
  <si>
    <t>Line 308:  KOMONDOR SIMULATION 'sim_input_nodes_n20_s33_cb6.csv2.csv' (seed 1992)</t>
  </si>
  <si>
    <t>Line 312:  KOMONDOR SIMULATION 'sim_input_nodes_n20_s34_cb6.csv2.csv' (seed 1992)</t>
  </si>
  <si>
    <t>Line 316:  KOMONDOR SIMULATION 'sim_input_nodes_n20_s35_cb6.csv2.csv' (seed 1992)</t>
  </si>
  <si>
    <t>Line 320:  KOMONDOR SIMULATION 'sim_input_nodes_n20_s36_cb6.csv2.csv' (seed 1992)</t>
  </si>
  <si>
    <t>Line 324:  KOMONDOR SIMULATION 'sim_input_nodes_n20_s37_cb6.csv2.csv' (seed 1992)</t>
  </si>
  <si>
    <t>Line 328:  KOMONDOR SIMULATION 'sim_input_nodes_n20_s38_cb6.csv2.csv' (seed 1992)</t>
  </si>
  <si>
    <t>Line 332:  KOMONDOR SIMULATION 'sim_input_nodes_n20_s39_cb6.csv2.csv' (seed 1992)</t>
  </si>
  <si>
    <t>Line 336:  KOMONDOR SIMULATION 'sim_input_nodes_n20_s3_cb6.csv2.csv' (seed 1992)</t>
  </si>
  <si>
    <t>Line 340:  KOMONDOR SIMULATION 'sim_input_nodes_n20_s40_cb6.csv2.csv' (seed 1992)</t>
  </si>
  <si>
    <t>Line 344:  KOMONDOR SIMULATION 'sim_input_nodes_n20_s41_cb6.csv2.csv' (seed 1992)</t>
  </si>
  <si>
    <t>Line 348:  KOMONDOR SIMULATION 'sim_input_nodes_n20_s42_cb6.csv2.csv' (seed 1992)</t>
  </si>
  <si>
    <t>Line 352:  KOMONDOR SIMULATION 'sim_input_nodes_n20_s43_cb6.csv2.csv' (seed 1992)</t>
  </si>
  <si>
    <t>Line 356:  KOMONDOR SIMULATION 'sim_input_nodes_n20_s44_cb6.csv2.csv' (seed 1992)</t>
  </si>
  <si>
    <t>Line 360:  KOMONDOR SIMULATION 'sim_input_nodes_n20_s45_cb6.csv2.csv' (seed 1992)</t>
  </si>
  <si>
    <t>Line 364:  KOMONDOR SIMULATION 'sim_input_nodes_n20_s46_cb6.csv2.csv' (seed 1992)</t>
  </si>
  <si>
    <t>Line 368:  KOMONDOR SIMULATION 'sim_input_nodes_n20_s47_cb6.csv2.csv' (seed 1992)</t>
  </si>
  <si>
    <t>Line 372:  KOMONDOR SIMULATION 'sim_input_nodes_n20_s48_cb6.csv2.csv' (seed 1992)</t>
  </si>
  <si>
    <t>Line 376:  KOMONDOR SIMULATION 'sim_input_nodes_n20_s49_cb6.csv2.csv' (seed 1992)</t>
  </si>
  <si>
    <t>Line 380:  KOMONDOR SIMULATION 'sim_input_nodes_n20_s4_cb6.csv2.csv' (seed 1992)</t>
  </si>
  <si>
    <t>Line 384:  KOMONDOR SIMULATION 'sim_input_nodes_n20_s5_cb6.csv2.csv' (seed 1992)</t>
  </si>
  <si>
    <t>Line 388:  KOMONDOR SIMULATION 'sim_input_nodes_n20_s6_cb6.csv2.csv' (seed 1992)</t>
  </si>
  <si>
    <t>Line 392:  KOMONDOR SIMULATION 'sim_input_nodes_n20_s7_cb6.csv2.csv' (seed 1992)</t>
  </si>
  <si>
    <t>Line 396:  KOMONDOR SIMULATION 'sim_input_nodes_n20_s8_cb6.csv2.csv' (seed 1992)</t>
  </si>
  <si>
    <t>Line 400:  KOMONDOR SIMULATION 'sim_input_nodes_n20_s9_cb6.csv2.csv' (seed 1992)</t>
  </si>
  <si>
    <t>Line 604:  KOMONDOR SIMULATION 'sim_input_nodes_n30_s0_cb6.csv2.csv' (seed 1992)</t>
  </si>
  <si>
    <t>Line 608:  KOMONDOR SIMULATION 'sim_input_nodes_n30_s10_cb6.csv2.csv' (seed 1992)</t>
  </si>
  <si>
    <t>Line 612:  KOMONDOR SIMULATION 'sim_input_nodes_n30_s11_cb6.csv2.csv' (seed 1992)</t>
  </si>
  <si>
    <t>Line 616:  KOMONDOR SIMULATION 'sim_input_nodes_n30_s12_cb6.csv2.csv' (seed 1992)</t>
  </si>
  <si>
    <t>Line 620:  KOMONDOR SIMULATION 'sim_input_nodes_n30_s13_cb6.csv2.csv' (seed 1992)</t>
  </si>
  <si>
    <t>Line 624:  KOMONDOR SIMULATION 'sim_input_nodes_n30_s14_cb6.csv2.csv' (seed 1992)</t>
  </si>
  <si>
    <t>Line 628:  KOMONDOR SIMULATION 'sim_input_nodes_n30_s15_cb6.csv2.csv' (seed 1992)</t>
  </si>
  <si>
    <t>Line 632:  KOMONDOR SIMULATION 'sim_input_nodes_n30_s16_cb6.csv2.csv' (seed 1992)</t>
  </si>
  <si>
    <t>Line 636:  KOMONDOR SIMULATION 'sim_input_nodes_n30_s17_cb6.csv2.csv' (seed 1992)</t>
  </si>
  <si>
    <t>Line 640:  KOMONDOR SIMULATION 'sim_input_nodes_n30_s18_cb6.csv2.csv' (seed 1992)</t>
  </si>
  <si>
    <t>Line 644:  KOMONDOR SIMULATION 'sim_input_nodes_n30_s19_cb6.csv2.csv' (seed 1992)</t>
  </si>
  <si>
    <t>Line 648:  KOMONDOR SIMULATION 'sim_input_nodes_n30_s1_cb6.csv2.csv' (seed 1992)</t>
  </si>
  <si>
    <t>Line 652:  KOMONDOR SIMULATION 'sim_input_nodes_n30_s20_cb6.csv2.csv' (seed 1992)</t>
  </si>
  <si>
    <t>Line 656:  KOMONDOR SIMULATION 'sim_input_nodes_n30_s21_cb6.csv2.csv' (seed 1992)</t>
  </si>
  <si>
    <t>Line 660:  KOMONDOR SIMULATION 'sim_input_nodes_n30_s22_cb6.csv2.csv' (seed 1992)</t>
  </si>
  <si>
    <t>Line 664:  KOMONDOR SIMULATION 'sim_input_nodes_n30_s23_cb6.csv2.csv' (seed 1992)</t>
  </si>
  <si>
    <t>Line 668:  KOMONDOR SIMULATION 'sim_input_nodes_n30_s24_cb6.csv2.csv' (seed 1992)</t>
  </si>
  <si>
    <t>Line 672:  KOMONDOR SIMULATION 'sim_input_nodes_n30_s25_cb6.csv2.csv' (seed 1992)</t>
  </si>
  <si>
    <t>Line 676:  KOMONDOR SIMULATION 'sim_input_nodes_n30_s26_cb6.csv2.csv' (seed 1992)</t>
  </si>
  <si>
    <t>Line 680:  KOMONDOR SIMULATION 'sim_input_nodes_n30_s27_cb6.csv2.csv' (seed 1992)</t>
  </si>
  <si>
    <t>Line 684:  KOMONDOR SIMULATION 'sim_input_nodes_n30_s28_cb6.csv2.csv' (seed 1992)</t>
  </si>
  <si>
    <t>Line 688:  KOMONDOR SIMULATION 'sim_input_nodes_n30_s29_cb6.csv2.csv' (seed 1992)</t>
  </si>
  <si>
    <t>Line 692:  KOMONDOR SIMULATION 'sim_input_nodes_n30_s2_cb6.csv2.csv' (seed 1992)</t>
  </si>
  <si>
    <t>Line 696:  KOMONDOR SIMULATION 'sim_input_nodes_n30_s30_cb6.csv2.csv' (seed 1992)</t>
  </si>
  <si>
    <t>Line 700:  KOMONDOR SIMULATION 'sim_input_nodes_n30_s31_cb6.csv2.csv' (seed 1992)</t>
  </si>
  <si>
    <t>Line 704:  KOMONDOR SIMULATION 'sim_input_nodes_n30_s32_cb6.csv2.csv' (seed 1992)</t>
  </si>
  <si>
    <t>Line 708:  KOMONDOR SIMULATION 'sim_input_nodes_n30_s33_cb6.csv2.csv' (seed 1992)</t>
  </si>
  <si>
    <t>Line 712:  KOMONDOR SIMULATION 'sim_input_nodes_n30_s34_cb6.csv2.csv' (seed 1992)</t>
  </si>
  <si>
    <t>Line 716:  KOMONDOR SIMULATION 'sim_input_nodes_n30_s35_cb6.csv2.csv' (seed 1992)</t>
  </si>
  <si>
    <t>Line 720:  KOMONDOR SIMULATION 'sim_input_nodes_n30_s36_cb6.csv2.csv' (seed 1992)</t>
  </si>
  <si>
    <t>Line 724:  KOMONDOR SIMULATION 'sim_input_nodes_n30_s37_cb6.csv2.csv' (seed 1992)</t>
  </si>
  <si>
    <t>Line 728:  KOMONDOR SIMULATION 'sim_input_nodes_n30_s38_cb6.csv2.csv' (seed 1992)</t>
  </si>
  <si>
    <t>Line 732:  KOMONDOR SIMULATION 'sim_input_nodes_n30_s39_cb6.csv2.csv' (seed 1992)</t>
  </si>
  <si>
    <t>Line 736:  KOMONDOR SIMULATION 'sim_input_nodes_n30_s3_cb6.csv2.csv' (seed 1992)</t>
  </si>
  <si>
    <t>Line 740:  KOMONDOR SIMULATION 'sim_input_nodes_n30_s40_cb6.csv2.csv' (seed 1992)</t>
  </si>
  <si>
    <t>Line 744:  KOMONDOR SIMULATION 'sim_input_nodes_n30_s41_cb6.csv2.csv' (seed 1992)</t>
  </si>
  <si>
    <t>Line 748:  KOMONDOR SIMULATION 'sim_input_nodes_n30_s42_cb6.csv2.csv' (seed 1992)</t>
  </si>
  <si>
    <t>Line 752:  KOMONDOR SIMULATION 'sim_input_nodes_n30_s43_cb6.csv2.csv' (seed 1992)</t>
  </si>
  <si>
    <t>Line 756:  KOMONDOR SIMULATION 'sim_input_nodes_n30_s44_cb6.csv2.csv' (seed 1992)</t>
  </si>
  <si>
    <t>Line 760:  KOMONDOR SIMULATION 'sim_input_nodes_n30_s45_cb6.csv2.csv' (seed 1992)</t>
  </si>
  <si>
    <t>Line 764:  KOMONDOR SIMULATION 'sim_input_nodes_n30_s46_cb6.csv2.csv' (seed 1992)</t>
  </si>
  <si>
    <t>Line 768:  KOMONDOR SIMULATION 'sim_input_nodes_n30_s47_cb6.csv2.csv' (seed 1992)</t>
  </si>
  <si>
    <t>Line 772:  KOMONDOR SIMULATION 'sim_input_nodes_n30_s48_cb6.csv2.csv' (seed 1992)</t>
  </si>
  <si>
    <t>Line 776:  KOMONDOR SIMULATION 'sim_input_nodes_n30_s49_cb6.csv2.csv' (seed 1992)</t>
  </si>
  <si>
    <t>Line 780:  KOMONDOR SIMULATION 'sim_input_nodes_n30_s4_cb6.csv2.csv' (seed 1992)</t>
  </si>
  <si>
    <t>Line 784:  KOMONDOR SIMULATION 'sim_input_nodes_n30_s5_cb6.csv2.csv' (seed 1992)</t>
  </si>
  <si>
    <t>Line 788:  KOMONDOR SIMULATION 'sim_input_nodes_n30_s6_cb6.csv2.csv' (seed 1992)</t>
  </si>
  <si>
    <t>Line 792:  KOMONDOR SIMULATION 'sim_input_nodes_n30_s7_cb6.csv2.csv' (seed 1992)</t>
  </si>
  <si>
    <t>Line 796:  KOMONDOR SIMULATION 'sim_input_nodes_n30_s8_cb6.csv2.csv' (seed 1992)</t>
  </si>
  <si>
    <t>Line 800:  KOMONDOR SIMULATION 'sim_input_nodes_n30_s9_cb6.csv2.csv' (seed 1992)</t>
  </si>
  <si>
    <t>Line 804:  KOMONDOR SIMULATION 'sim_input_nodes_n40_s0_cb6.csv2.csv' (seed 1992)</t>
  </si>
  <si>
    <t>Line 808:  KOMONDOR SIMULATION 'sim_input_nodes_n40_s10_cb6.csv2.csv' (seed 1992)</t>
  </si>
  <si>
    <t>Line 812:  KOMONDOR SIMULATION 'sim_input_nodes_n40_s11_cb6.csv2.csv' (seed 1992)</t>
  </si>
  <si>
    <t>Line 816:  KOMONDOR SIMULATION 'sim_input_nodes_n40_s12_cb6.csv2.csv' (seed 1992)</t>
  </si>
  <si>
    <t>Line 820:  KOMONDOR SIMULATION 'sim_input_nodes_n40_s13_cb6.csv2.csv' (seed 1992)</t>
  </si>
  <si>
    <t>Line 824:  KOMONDOR SIMULATION 'sim_input_nodes_n40_s14_cb6.csv2.csv' (seed 1992)</t>
  </si>
  <si>
    <t>Line 828:  KOMONDOR SIMULATION 'sim_input_nodes_n40_s15_cb6.csv2.csv' (seed 1992)</t>
  </si>
  <si>
    <t>Line 832:  KOMONDOR SIMULATION 'sim_input_nodes_n40_s16_cb6.csv2.csv' (seed 1992)</t>
  </si>
  <si>
    <t>Line 836:  KOMONDOR SIMULATION 'sim_input_nodes_n40_s17_cb6.csv2.csv' (seed 1992)</t>
  </si>
  <si>
    <t>Line 840:  KOMONDOR SIMULATION 'sim_input_nodes_n40_s18_cb6.csv2.csv' (seed 1992)</t>
  </si>
  <si>
    <t>Line 844:  KOMONDOR SIMULATION 'sim_input_nodes_n40_s19_cb6.csv2.csv' (seed 1992)</t>
  </si>
  <si>
    <t>Line 848:  KOMONDOR SIMULATION 'sim_input_nodes_n40_s1_cb6.csv2.csv' (seed 1992)</t>
  </si>
  <si>
    <t>Line 852:  KOMONDOR SIMULATION 'sim_input_nodes_n40_s20_cb6.csv2.csv' (seed 1992)</t>
  </si>
  <si>
    <t>Line 856:  KOMONDOR SIMULATION 'sim_input_nodes_n40_s21_cb6.csv2.csv' (seed 1992)</t>
  </si>
  <si>
    <t>Line 860:  KOMONDOR SIMULATION 'sim_input_nodes_n40_s22_cb6.csv2.csv' (seed 1992)</t>
  </si>
  <si>
    <t>Line 864:  KOMONDOR SIMULATION 'sim_input_nodes_n40_s23_cb6.csv2.csv' (seed 1992)</t>
  </si>
  <si>
    <t>Line 868:  KOMONDOR SIMULATION 'sim_input_nodes_n40_s24_cb6.csv2.csv' (seed 1992)</t>
  </si>
  <si>
    <t>Line 872:  KOMONDOR SIMULATION 'sim_input_nodes_n40_s25_cb6.csv2.csv' (seed 1992)</t>
  </si>
  <si>
    <t>Line 876:  KOMONDOR SIMULATION 'sim_input_nodes_n40_s26_cb6.csv2.csv' (seed 1992)</t>
  </si>
  <si>
    <t>Line 880:  KOMONDOR SIMULATION 'sim_input_nodes_n40_s27_cb6.csv2.csv' (seed 1992)</t>
  </si>
  <si>
    <t>Line 884:  KOMONDOR SIMULATION 'sim_input_nodes_n40_s28_cb6.csv2.csv' (seed 1992)</t>
  </si>
  <si>
    <t>Line 888:  KOMONDOR SIMULATION 'sim_input_nodes_n40_s29_cb6.csv2.csv' (seed 1992)</t>
  </si>
  <si>
    <t>Line 892:  KOMONDOR SIMULATION 'sim_input_nodes_n40_s2_cb6.csv2.csv' (seed 1992)</t>
  </si>
  <si>
    <t>Line 896:  KOMONDOR SIMULATION 'sim_input_nodes_n40_s30_cb6.csv2.csv' (seed 1992)</t>
  </si>
  <si>
    <t>Line 900:  KOMONDOR SIMULATION 'sim_input_nodes_n40_s31_cb6.csv2.csv' (seed 1992)</t>
  </si>
  <si>
    <t>Line 904:  KOMONDOR SIMULATION 'sim_input_nodes_n40_s32_cb6.csv2.csv' (seed 1992)</t>
  </si>
  <si>
    <t>Line 908:  KOMONDOR SIMULATION 'sim_input_nodes_n40_s33_cb6.csv2.csv' (seed 1992)</t>
  </si>
  <si>
    <t>Line 912:  KOMONDOR SIMULATION 'sim_input_nodes_n40_s34_cb6.csv2.csv' (seed 1992)</t>
  </si>
  <si>
    <t>Line 916:  KOMONDOR SIMULATION 'sim_input_nodes_n40_s35_cb6.csv2.csv' (seed 1992)</t>
  </si>
  <si>
    <t>Line 920:  KOMONDOR SIMULATION 'sim_input_nodes_n40_s36_cb6.csv2.csv' (seed 1992)</t>
  </si>
  <si>
    <t>Line 924:  KOMONDOR SIMULATION 'sim_input_nodes_n40_s37_cb6.csv2.csv' (seed 1992)</t>
  </si>
  <si>
    <t>Line 928:  KOMONDOR SIMULATION 'sim_input_nodes_n40_s38_cb6.csv2.csv' (seed 1992)</t>
  </si>
  <si>
    <t>Line 932:  KOMONDOR SIMULATION 'sim_input_nodes_n40_s39_cb6.csv2.csv' (seed 1992)</t>
  </si>
  <si>
    <t>Line 936:  KOMONDOR SIMULATION 'sim_input_nodes_n40_s3_cb6.csv2.csv' (seed 1992)</t>
  </si>
  <si>
    <t>Line 940:  KOMONDOR SIMULATION 'sim_input_nodes_n40_s40_cb6.csv2.csv' (seed 1992)</t>
  </si>
  <si>
    <t>Line 944:  KOMONDOR SIMULATION 'sim_input_nodes_n40_s41_cb6.csv2.csv' (seed 1992)</t>
  </si>
  <si>
    <t>Line 948:  KOMONDOR SIMULATION 'sim_input_nodes_n40_s42_cb6.csv2.csv' (seed 1992)</t>
  </si>
  <si>
    <t>Line 952:  KOMONDOR SIMULATION 'sim_input_nodes_n40_s43_cb6.csv2.csv' (seed 1992)</t>
  </si>
  <si>
    <t>Line 956:  KOMONDOR SIMULATION 'sim_input_nodes_n40_s44_cb6.csv2.csv' (seed 1992)</t>
  </si>
  <si>
    <t>Line 960:  KOMONDOR SIMULATION 'sim_input_nodes_n40_s45_cb6.csv2.csv' (seed 1992)</t>
  </si>
  <si>
    <t>Line 964:  KOMONDOR SIMULATION 'sim_input_nodes_n40_s46_cb6.csv2.csv' (seed 1992)</t>
  </si>
  <si>
    <t>Line 968:  KOMONDOR SIMULATION 'sim_input_nodes_n40_s47_cb6.csv2.csv' (seed 1992)</t>
  </si>
  <si>
    <t>Line 972:  KOMONDOR SIMULATION 'sim_input_nodes_n40_s48_cb6.csv2.csv' (seed 1992)</t>
  </si>
  <si>
    <t>Line 976:  KOMONDOR SIMULATION 'sim_input_nodes_n40_s49_cb6.csv2.csv' (seed 1992)</t>
  </si>
  <si>
    <t>Line 980:  KOMONDOR SIMULATION 'sim_input_nodes_n40_s4_cb6.csv2.csv' (seed 1992)</t>
  </si>
  <si>
    <t>Line 984:  KOMONDOR SIMULATION 'sim_input_nodes_n40_s5_cb6.csv2.csv' (seed 1992)</t>
  </si>
  <si>
    <t>Line 988:  KOMONDOR SIMULATION 'sim_input_nodes_n40_s6_cb6.csv2.csv' (seed 1992)</t>
  </si>
  <si>
    <t>Line 992:  KOMONDOR SIMULATION 'sim_input_nodes_n40_s7_cb6.csv2.csv' (seed 1992)</t>
  </si>
  <si>
    <t>Line 996:  KOMONDOR SIMULATION 'sim_input_nodes_n40_s8_cb6.csv2.csv' (seed 1992)</t>
  </si>
  <si>
    <t>Line 1000:  KOMONDOR SIMULATION 'sim_input_nodes_n40_s9_cb6.csv2.csv' (seed 1992)</t>
  </si>
  <si>
    <t>Line 1004:  KOMONDOR SIMULATION 'sim_input_nodes_n5_s0_cb6.csv2.csv' (seed 1992)</t>
  </si>
  <si>
    <t>Line 1008:  KOMONDOR SIMULATION 'sim_input_nodes_n5_s10_cb6.csv2.csv' (seed 1992)</t>
  </si>
  <si>
    <t>Line 1012:  KOMONDOR SIMULATION 'sim_input_nodes_n5_s11_cb6.csv2.csv' (seed 1992)</t>
  </si>
  <si>
    <t>Line 1016:  KOMONDOR SIMULATION 'sim_input_nodes_n5_s12_cb6.csv2.csv' (seed 1992)</t>
  </si>
  <si>
    <t>Line 1020:  KOMONDOR SIMULATION 'sim_input_nodes_n5_s13_cb6.csv2.csv' (seed 1992)</t>
  </si>
  <si>
    <t>Line 1024:  KOMONDOR SIMULATION 'sim_input_nodes_n5_s14_cb6.csv2.csv' (seed 1992)</t>
  </si>
  <si>
    <t>Line 1028:  KOMONDOR SIMULATION 'sim_input_nodes_n5_s15_cb6.csv2.csv' (seed 1992)</t>
  </si>
  <si>
    <t>Line 1032:  KOMONDOR SIMULATION 'sim_input_nodes_n5_s16_cb6.csv2.csv' (seed 1992)</t>
  </si>
  <si>
    <t>Line 1036:  KOMONDOR SIMULATION 'sim_input_nodes_n5_s17_cb6.csv2.csv' (seed 1992)</t>
  </si>
  <si>
    <t>Line 1040:  KOMONDOR SIMULATION 'sim_input_nodes_n5_s18_cb6.csv2.csv' (seed 1992)</t>
  </si>
  <si>
    <t>Line 1044:  KOMONDOR SIMULATION 'sim_input_nodes_n5_s19_cb6.csv2.csv' (seed 1992)</t>
  </si>
  <si>
    <t>Line 1048:  KOMONDOR SIMULATION 'sim_input_nodes_n5_s1_cb6.csv2.csv' (seed 1992)</t>
  </si>
  <si>
    <t>Line 1052:  KOMONDOR SIMULATION 'sim_input_nodes_n5_s20_cb6.csv2.csv' (seed 1992)</t>
  </si>
  <si>
    <t>Line 1056:  KOMONDOR SIMULATION 'sim_input_nodes_n5_s21_cb6.csv2.csv' (seed 1992)</t>
  </si>
  <si>
    <t>Line 1060:  KOMONDOR SIMULATION 'sim_input_nodes_n5_s22_cb6.csv2.csv' (seed 1992)</t>
  </si>
  <si>
    <t>Line 1064:  KOMONDOR SIMULATION 'sim_input_nodes_n5_s23_cb6.csv2.csv' (seed 1992)</t>
  </si>
  <si>
    <t>Line 1068:  KOMONDOR SIMULATION 'sim_input_nodes_n5_s24_cb6.csv2.csv' (seed 1992)</t>
  </si>
  <si>
    <t>Line 1072:  KOMONDOR SIMULATION 'sim_input_nodes_n5_s25_cb6.csv2.csv' (seed 1992)</t>
  </si>
  <si>
    <t>Line 1076:  KOMONDOR SIMULATION 'sim_input_nodes_n5_s26_cb6.csv2.csv' (seed 1992)</t>
  </si>
  <si>
    <t>Line 1080:  KOMONDOR SIMULATION 'sim_input_nodes_n5_s27_cb6.csv2.csv' (seed 1992)</t>
  </si>
  <si>
    <t>Line 1084:  KOMONDOR SIMULATION 'sim_input_nodes_n5_s28_cb6.csv2.csv' (seed 1992)</t>
  </si>
  <si>
    <t>Line 1088:  KOMONDOR SIMULATION 'sim_input_nodes_n5_s29_cb6.csv2.csv' (seed 1992)</t>
  </si>
  <si>
    <t>Line 1092:  KOMONDOR SIMULATION 'sim_input_nodes_n5_s2_cb6.csv2.csv' (seed 1992)</t>
  </si>
  <si>
    <t>Line 1096:  KOMONDOR SIMULATION 'sim_input_nodes_n5_s30_cb6.csv2.csv' (seed 1992)</t>
  </si>
  <si>
    <t>Line 1100:  KOMONDOR SIMULATION 'sim_input_nodes_n5_s31_cb6.csv2.csv' (seed 1992)</t>
  </si>
  <si>
    <t>Line 1104:  KOMONDOR SIMULATION 'sim_input_nodes_n5_s32_cb6.csv2.csv' (seed 1992)</t>
  </si>
  <si>
    <t>Line 1108:  KOMONDOR SIMULATION 'sim_input_nodes_n5_s33_cb6.csv2.csv' (seed 1992)</t>
  </si>
  <si>
    <t>Line 1112:  KOMONDOR SIMULATION 'sim_input_nodes_n5_s34_cb6.csv2.csv' (seed 1992)</t>
  </si>
  <si>
    <t>Line 1116:  KOMONDOR SIMULATION 'sim_input_nodes_n5_s35_cb6.csv2.csv' (seed 1992)</t>
  </si>
  <si>
    <t>Line 1120:  KOMONDOR SIMULATION 'sim_input_nodes_n5_s36_cb6.csv2.csv' (seed 1992)</t>
  </si>
  <si>
    <t>Line 1124:  KOMONDOR SIMULATION 'sim_input_nodes_n5_s37_cb6.csv2.csv' (seed 1992)</t>
  </si>
  <si>
    <t>Line 1128:  KOMONDOR SIMULATION 'sim_input_nodes_n5_s38_cb6.csv2.csv' (seed 1992)</t>
  </si>
  <si>
    <t>Line 1132:  KOMONDOR SIMULATION 'sim_input_nodes_n5_s39_cb6.csv2.csv' (seed 1992)</t>
  </si>
  <si>
    <t>Line 1136:  KOMONDOR SIMULATION 'sim_input_nodes_n5_s3_cb6.csv2.csv' (seed 1992)</t>
  </si>
  <si>
    <t>Line 1140:  KOMONDOR SIMULATION 'sim_input_nodes_n5_s40_cb6.csv2.csv' (seed 1992)</t>
  </si>
  <si>
    <t>Line 1144:  KOMONDOR SIMULATION 'sim_input_nodes_n5_s41_cb6.csv2.csv' (seed 1992)</t>
  </si>
  <si>
    <t>Line 1148:  KOMONDOR SIMULATION 'sim_input_nodes_n5_s42_cb6.csv2.csv' (seed 1992)</t>
  </si>
  <si>
    <t>Line 1152:  KOMONDOR SIMULATION 'sim_input_nodes_n5_s43_cb6.csv2.csv' (seed 1992)</t>
  </si>
  <si>
    <t>Line 1156:  KOMONDOR SIMULATION 'sim_input_nodes_n5_s44_cb6.csv2.csv' (seed 1992)</t>
  </si>
  <si>
    <t>Line 1160:  KOMONDOR SIMULATION 'sim_input_nodes_n5_s45_cb6.csv2.csv' (seed 1992)</t>
  </si>
  <si>
    <t>Line 1164:  KOMONDOR SIMULATION 'sim_input_nodes_n5_s46_cb6.csv2.csv' (seed 1992)</t>
  </si>
  <si>
    <t>Line 1168:  KOMONDOR SIMULATION 'sim_input_nodes_n5_s47_cb6.csv2.csv' (seed 1992)</t>
  </si>
  <si>
    <t>Line 1172:  KOMONDOR SIMULATION 'sim_input_nodes_n5_s48_cb6.csv2.csv' (seed 1992)</t>
  </si>
  <si>
    <t>Line 1176:  KOMONDOR SIMULATION 'sim_input_nodes_n5_s49_cb6.csv2.csv' (seed 1992)</t>
  </si>
  <si>
    <t>Line 1180:  KOMONDOR SIMULATION 'sim_input_nodes_n5_s4_cb6.csv2.csv' (seed 1992)</t>
  </si>
  <si>
    <t>Line 1184:  KOMONDOR SIMULATION 'sim_input_nodes_n5_s5_cb6.csv2.csv' (seed 1992)</t>
  </si>
  <si>
    <t>Line 1188:  KOMONDOR SIMULATION 'sim_input_nodes_n5_s6_cb6.csv2.csv' (seed 1992)</t>
  </si>
  <si>
    <t>Line 1192:  KOMONDOR SIMULATION 'sim_input_nodes_n5_s7_cb6.csv2.csv' (seed 1992)</t>
  </si>
  <si>
    <t>Line 1196:  KOMONDOR SIMULATION 'sim_input_nodes_n5_s8_cb6.csv2.csv' (seed 1992)</t>
  </si>
  <si>
    <t>Line 1200:  KOMONDOR SIMULATION 'sim_input_nodes_n5_s9_cb6.csv2.csv' (seed 1992)</t>
  </si>
  <si>
    <t>PU (PATH LOSS 2)</t>
  </si>
  <si>
    <t>AM (PATH LOSS 2)</t>
  </si>
  <si>
    <t>PU PL2</t>
  </si>
  <si>
    <t>ONLY PRIMARY (PATH LOSS 3)</t>
  </si>
  <si>
    <t>AM (PATH LOSS 3)</t>
  </si>
  <si>
    <t>PU (PATH LOSS 3)</t>
  </si>
  <si>
    <t>OP PL3</t>
  </si>
  <si>
    <t>AM PL3</t>
  </si>
  <si>
    <t>PU PL3</t>
  </si>
  <si>
    <t xml:space="preserve">	Line 1:  KOMONDOR SIMULATION 'sim_input_nodes_n10_s0_cb0.csv2.csv' (seed 1992)</t>
  </si>
  <si>
    <t xml:space="preserve">	Line 5:  KOMONDOR SIMULATION 'sim_input_nodes_n10_s10_cb0.csv2.csv' (seed 1992)</t>
  </si>
  <si>
    <t xml:space="preserve">	Line 9:  KOMONDOR SIMULATION 'sim_input_nodes_n10_s11_cb0.csv2.csv' (seed 1992)</t>
  </si>
  <si>
    <t xml:space="preserve">	Line 13:  KOMONDOR SIMULATION 'sim_input_nodes_n10_s12_cb0.csv2.csv' (seed 1992)</t>
  </si>
  <si>
    <t xml:space="preserve">	Line 17:  KOMONDOR SIMULATION 'sim_input_nodes_n10_s13_cb0.csv2.csv' (seed 1992)</t>
  </si>
  <si>
    <t xml:space="preserve">	Line 21:  KOMONDOR SIMULATION 'sim_input_nodes_n10_s14_cb0.csv2.csv' (seed 1992)</t>
  </si>
  <si>
    <t xml:space="preserve">	Line 25:  KOMONDOR SIMULATION 'sim_input_nodes_n10_s15_cb0.csv2.csv' (seed 1992)</t>
  </si>
  <si>
    <t xml:space="preserve">	Line 29:  KOMONDOR SIMULATION 'sim_input_nodes_n10_s16_cb0.csv2.csv' (seed 1992)</t>
  </si>
  <si>
    <t xml:space="preserve">	Line 33:  KOMONDOR SIMULATION 'sim_input_nodes_n10_s17_cb0.csv2.csv' (seed 1992)</t>
  </si>
  <si>
    <t xml:space="preserve">	Line 37:  KOMONDOR SIMULATION 'sim_input_nodes_n10_s18_cb0.csv2.csv' (seed 1992)</t>
  </si>
  <si>
    <t xml:space="preserve">	Line 41:  KOMONDOR SIMULATION 'sim_input_nodes_n10_s19_cb0.csv2.csv' (seed 1992)</t>
  </si>
  <si>
    <t xml:space="preserve">	Line 45:  KOMONDOR SIMULATION 'sim_input_nodes_n10_s1_cb0.csv2.csv' (seed 1992)</t>
  </si>
  <si>
    <t xml:space="preserve">	Line 49:  KOMONDOR SIMULATION 'sim_input_nodes_n10_s20_cb0.csv2.csv' (seed 1992)</t>
  </si>
  <si>
    <t xml:space="preserve">	Line 53:  KOMONDOR SIMULATION 'sim_input_nodes_n10_s21_cb0.csv2.csv' (seed 1992)</t>
  </si>
  <si>
    <t xml:space="preserve">	Line 57:  KOMONDOR SIMULATION 'sim_input_nodes_n10_s22_cb0.csv2.csv' (seed 1992)</t>
  </si>
  <si>
    <t xml:space="preserve">	Line 61:  KOMONDOR SIMULATION 'sim_input_nodes_n10_s23_cb0.csv2.csv' (seed 1992)</t>
  </si>
  <si>
    <t xml:space="preserve">	Line 65:  KOMONDOR SIMULATION 'sim_input_nodes_n10_s24_cb0.csv2.csv' (seed 1992)</t>
  </si>
  <si>
    <t xml:space="preserve">	Line 69:  KOMONDOR SIMULATION 'sim_input_nodes_n10_s25_cb0.csv2.csv' (seed 1992)</t>
  </si>
  <si>
    <t xml:space="preserve">	Line 73:  KOMONDOR SIMULATION 'sim_input_nodes_n10_s26_cb0.csv2.csv' (seed 1992)</t>
  </si>
  <si>
    <t xml:space="preserve">	Line 77:  KOMONDOR SIMULATION 'sim_input_nodes_n10_s27_cb0.csv2.csv' (seed 1992)</t>
  </si>
  <si>
    <t xml:space="preserve">	Line 81:  KOMONDOR SIMULATION 'sim_input_nodes_n10_s28_cb0.csv2.csv' (seed 1992)</t>
  </si>
  <si>
    <t xml:space="preserve">	Line 85:  KOMONDOR SIMULATION 'sim_input_nodes_n10_s29_cb0.csv2.csv' (seed 1992)</t>
  </si>
  <si>
    <t xml:space="preserve">	Line 89:  KOMONDOR SIMULATION 'sim_input_nodes_n10_s2_cb0.csv2.csv' (seed 1992)</t>
  </si>
  <si>
    <t xml:space="preserve">	Line 93:  KOMONDOR SIMULATION 'sim_input_nodes_n10_s30_cb0.csv2.csv' (seed 1992)</t>
  </si>
  <si>
    <t xml:space="preserve">	Line 97:  KOMONDOR SIMULATION 'sim_input_nodes_n10_s31_cb0.csv2.csv' (seed 1992)</t>
  </si>
  <si>
    <t xml:space="preserve">	Line 101:  KOMONDOR SIMULATION 'sim_input_nodes_n10_s32_cb0.csv2.csv' (seed 1992)</t>
  </si>
  <si>
    <t xml:space="preserve">	Line 105:  KOMONDOR SIMULATION 'sim_input_nodes_n10_s33_cb0.csv2.csv' (seed 1992)</t>
  </si>
  <si>
    <t xml:space="preserve">	Line 109:  KOMONDOR SIMULATION 'sim_input_nodes_n10_s34_cb0.csv2.csv' (seed 1992)</t>
  </si>
  <si>
    <t xml:space="preserve">	Line 113:  KOMONDOR SIMULATION 'sim_input_nodes_n10_s35_cb0.csv2.csv' (seed 1992)</t>
  </si>
  <si>
    <t xml:space="preserve">	Line 117:  KOMONDOR SIMULATION 'sim_input_nodes_n10_s36_cb0.csv2.csv' (seed 1992)</t>
  </si>
  <si>
    <t xml:space="preserve">	Line 121:  KOMONDOR SIMULATION 'sim_input_nodes_n10_s37_cb0.csv2.csv' (seed 1992)</t>
  </si>
  <si>
    <t xml:space="preserve">	Line 125:  KOMONDOR SIMULATION 'sim_input_nodes_n10_s38_cb0.csv2.csv' (seed 1992)</t>
  </si>
  <si>
    <t xml:space="preserve">	Line 129:  KOMONDOR SIMULATION 'sim_input_nodes_n10_s39_cb0.csv2.csv' (seed 1992)</t>
  </si>
  <si>
    <t xml:space="preserve">	Line 133:  KOMONDOR SIMULATION 'sim_input_nodes_n10_s3_cb0.csv2.csv' (seed 1992)</t>
  </si>
  <si>
    <t xml:space="preserve">	Line 137:  KOMONDOR SIMULATION 'sim_input_nodes_n10_s40_cb0.csv2.csv' (seed 1992)</t>
  </si>
  <si>
    <t xml:space="preserve">	Line 141:  KOMONDOR SIMULATION 'sim_input_nodes_n10_s41_cb0.csv2.csv' (seed 1992)</t>
  </si>
  <si>
    <t xml:space="preserve">	Line 145:  KOMONDOR SIMULATION 'sim_input_nodes_n10_s42_cb0.csv2.csv' (seed 1992)</t>
  </si>
  <si>
    <t xml:space="preserve">	Line 149:  KOMONDOR SIMULATION 'sim_input_nodes_n10_s43_cb0.csv2.csv' (seed 1992)</t>
  </si>
  <si>
    <t xml:space="preserve">	Line 153:  KOMONDOR SIMULATION 'sim_input_nodes_n10_s44_cb0.csv2.csv' (seed 1992)</t>
  </si>
  <si>
    <t xml:space="preserve">	Line 157:  KOMONDOR SIMULATION 'sim_input_nodes_n10_s45_cb0.csv2.csv' (seed 1992)</t>
  </si>
  <si>
    <t xml:space="preserve">	Line 161:  KOMONDOR SIMULATION 'sim_input_nodes_n10_s46_cb0.csv2.csv' (seed 1992)</t>
  </si>
  <si>
    <t xml:space="preserve">	Line 165:  KOMONDOR SIMULATION 'sim_input_nodes_n10_s47_cb0.csv2.csv' (seed 1992)</t>
  </si>
  <si>
    <t xml:space="preserve">	Line 169:  KOMONDOR SIMULATION 'sim_input_nodes_n10_s48_cb0.csv2.csv' (seed 1992)</t>
  </si>
  <si>
    <t xml:space="preserve">	Line 173:  KOMONDOR SIMULATION 'sim_input_nodes_n10_s49_cb0.csv2.csv' (seed 1992)</t>
  </si>
  <si>
    <t xml:space="preserve">	Line 177:  KOMONDOR SIMULATION 'sim_input_nodes_n10_s4_cb0.csv2.csv' (seed 1992)</t>
  </si>
  <si>
    <t xml:space="preserve">	Line 181:  KOMONDOR SIMULATION 'sim_input_nodes_n10_s5_cb0.csv2.csv' (seed 1992)</t>
  </si>
  <si>
    <t xml:space="preserve">	Line 185:  KOMONDOR SIMULATION 'sim_input_nodes_n10_s6_cb0.csv2.csv' (seed 1992)</t>
  </si>
  <si>
    <t xml:space="preserve">	Line 189:  KOMONDOR SIMULATION 'sim_input_nodes_n10_s7_cb0.csv2.csv' (seed 1992)</t>
  </si>
  <si>
    <t xml:space="preserve">	Line 193:  KOMONDOR SIMULATION 'sim_input_nodes_n10_s8_cb0.csv2.csv' (seed 1992)</t>
  </si>
  <si>
    <t xml:space="preserve">	Line 197:  KOMONDOR SIMULATION 'sim_input_nodes_n10_s9_cb0.csv2.csv' (seed 1992)</t>
  </si>
  <si>
    <t xml:space="preserve">	Line 201:  KOMONDOR SIMULATION 'sim_input_nodes_n20_s0_cb0.csv2.csv' (seed 1992)</t>
  </si>
  <si>
    <t xml:space="preserve">	Line 205:  KOMONDOR SIMULATION 'sim_input_nodes_n20_s10_cb0.csv2.csv' (seed 1992)</t>
  </si>
  <si>
    <t xml:space="preserve">	Line 209:  KOMONDOR SIMULATION 'sim_input_nodes_n20_s11_cb0.csv2.csv' (seed 1992)</t>
  </si>
  <si>
    <t xml:space="preserve">	Line 213:  KOMONDOR SIMULATION 'sim_input_nodes_n20_s12_cb0.csv2.csv' (seed 1992)</t>
  </si>
  <si>
    <t xml:space="preserve">	Line 217:  KOMONDOR SIMULATION 'sim_input_nodes_n20_s13_cb0.csv2.csv' (seed 1992)</t>
  </si>
  <si>
    <t xml:space="preserve">	Line 221:  KOMONDOR SIMULATION 'sim_input_nodes_n20_s14_cb0.csv2.csv' (seed 1992)</t>
  </si>
  <si>
    <t xml:space="preserve">	Line 225:  KOMONDOR SIMULATION 'sim_input_nodes_n20_s15_cb0.csv2.csv' (seed 1992)</t>
  </si>
  <si>
    <t xml:space="preserve">	Line 229:  KOMONDOR SIMULATION 'sim_input_nodes_n20_s16_cb0.csv2.csv' (seed 1992)</t>
  </si>
  <si>
    <t xml:space="preserve">	Line 233:  KOMONDOR SIMULATION 'sim_input_nodes_n20_s17_cb0.csv2.csv' (seed 1992)</t>
  </si>
  <si>
    <t xml:space="preserve">	Line 237:  KOMONDOR SIMULATION 'sim_input_nodes_n20_s18_cb0.csv2.csv' (seed 1992)</t>
  </si>
  <si>
    <t xml:space="preserve">	Line 241:  KOMONDOR SIMULATION 'sim_input_nodes_n20_s19_cb0.csv2.csv' (seed 1992)</t>
  </si>
  <si>
    <t xml:space="preserve">	Line 245:  KOMONDOR SIMULATION 'sim_input_nodes_n20_s1_cb0.csv2.csv' (seed 1992)</t>
  </si>
  <si>
    <t xml:space="preserve">	Line 249:  KOMONDOR SIMULATION 'sim_input_nodes_n20_s20_cb0.csv2.csv' (seed 1992)</t>
  </si>
  <si>
    <t xml:space="preserve">	Line 253:  KOMONDOR SIMULATION 'sim_input_nodes_n20_s21_cb0.csv2.csv' (seed 1992)</t>
  </si>
  <si>
    <t xml:space="preserve">	Line 257:  KOMONDOR SIMULATION 'sim_input_nodes_n20_s22_cb0.csv2.csv' (seed 1992)</t>
  </si>
  <si>
    <t xml:space="preserve">	Line 261:  KOMONDOR SIMULATION 'sim_input_nodes_n20_s23_cb0.csv2.csv' (seed 1992)</t>
  </si>
  <si>
    <t xml:space="preserve">	Line 265:  KOMONDOR SIMULATION 'sim_input_nodes_n20_s24_cb0.csv2.csv' (seed 1992)</t>
  </si>
  <si>
    <t xml:space="preserve">	Line 269:  KOMONDOR SIMULATION 'sim_input_nodes_n20_s25_cb0.csv2.csv' (seed 1992)</t>
  </si>
  <si>
    <t xml:space="preserve">	Line 273:  KOMONDOR SIMULATION 'sim_input_nodes_n20_s26_cb0.csv2.csv' (seed 1992)</t>
  </si>
  <si>
    <t xml:space="preserve">	Line 277:  KOMONDOR SIMULATION 'sim_input_nodes_n20_s27_cb0.csv2.csv' (seed 1992)</t>
  </si>
  <si>
    <t xml:space="preserve">	Line 281:  KOMONDOR SIMULATION 'sim_input_nodes_n20_s28_cb0.csv2.csv' (seed 1992)</t>
  </si>
  <si>
    <t xml:space="preserve">	Line 285:  KOMONDOR SIMULATION 'sim_input_nodes_n20_s29_cb0.csv2.csv' (seed 1992)</t>
  </si>
  <si>
    <t xml:space="preserve">	Line 289:  KOMONDOR SIMULATION 'sim_input_nodes_n20_s2_cb0.csv2.csv' (seed 1992)</t>
  </si>
  <si>
    <t xml:space="preserve">	Line 293:  KOMONDOR SIMULATION 'sim_input_nodes_n20_s30_cb0.csv2.csv' (seed 1992)</t>
  </si>
  <si>
    <t xml:space="preserve">	Line 297:  KOMONDOR SIMULATION 'sim_input_nodes_n20_s31_cb0.csv2.csv' (seed 1992)</t>
  </si>
  <si>
    <t xml:space="preserve">	Line 301:  KOMONDOR SIMULATION 'sim_input_nodes_n20_s32_cb0.csv2.csv' (seed 1992)</t>
  </si>
  <si>
    <t xml:space="preserve">	Line 305:  KOMONDOR SIMULATION 'sim_input_nodes_n20_s33_cb0.csv2.csv' (seed 1992)</t>
  </si>
  <si>
    <t xml:space="preserve">	Line 309:  KOMONDOR SIMULATION 'sim_input_nodes_n20_s34_cb0.csv2.csv' (seed 1992)</t>
  </si>
  <si>
    <t xml:space="preserve">	Line 313:  KOMONDOR SIMULATION 'sim_input_nodes_n20_s35_cb0.csv2.csv' (seed 1992)</t>
  </si>
  <si>
    <t xml:space="preserve">	Line 317:  KOMONDOR SIMULATION 'sim_input_nodes_n20_s36_cb0.csv2.csv' (seed 1992)</t>
  </si>
  <si>
    <t xml:space="preserve">	Line 321:  KOMONDOR SIMULATION 'sim_input_nodes_n20_s37_cb0.csv2.csv' (seed 1992)</t>
  </si>
  <si>
    <t xml:space="preserve">	Line 325:  KOMONDOR SIMULATION 'sim_input_nodes_n20_s38_cb0.csv2.csv' (seed 1992)</t>
  </si>
  <si>
    <t xml:space="preserve">	Line 329:  KOMONDOR SIMULATION 'sim_input_nodes_n20_s39_cb0.csv2.csv' (seed 1992)</t>
  </si>
  <si>
    <t xml:space="preserve">	Line 333:  KOMONDOR SIMULATION 'sim_input_nodes_n20_s3_cb0.csv2.csv' (seed 1992)</t>
  </si>
  <si>
    <t xml:space="preserve">	Line 337:  KOMONDOR SIMULATION 'sim_input_nodes_n20_s40_cb0.csv2.csv' (seed 1992)</t>
  </si>
  <si>
    <t xml:space="preserve">	Line 341:  KOMONDOR SIMULATION 'sim_input_nodes_n20_s41_cb0.csv2.csv' (seed 1992)</t>
  </si>
  <si>
    <t xml:space="preserve">	Line 345:  KOMONDOR SIMULATION 'sim_input_nodes_n20_s42_cb0.csv2.csv' (seed 1992)</t>
  </si>
  <si>
    <t xml:space="preserve">	Line 349:  KOMONDOR SIMULATION 'sim_input_nodes_n20_s43_cb0.csv2.csv' (seed 1992)</t>
  </si>
  <si>
    <t xml:space="preserve">	Line 353:  KOMONDOR SIMULATION 'sim_input_nodes_n20_s44_cb0.csv2.csv' (seed 1992)</t>
  </si>
  <si>
    <t xml:space="preserve">	Line 357:  KOMONDOR SIMULATION 'sim_input_nodes_n20_s45_cb0.csv2.csv' (seed 1992)</t>
  </si>
  <si>
    <t xml:space="preserve">	Line 361:  KOMONDOR SIMULATION 'sim_input_nodes_n20_s46_cb0.csv2.csv' (seed 1992)</t>
  </si>
  <si>
    <t xml:space="preserve">	Line 365:  KOMONDOR SIMULATION 'sim_input_nodes_n20_s47_cb0.csv2.csv' (seed 1992)</t>
  </si>
  <si>
    <t xml:space="preserve">	Line 369:  KOMONDOR SIMULATION 'sim_input_nodes_n20_s48_cb0.csv2.csv' (seed 1992)</t>
  </si>
  <si>
    <t xml:space="preserve">	Line 373:  KOMONDOR SIMULATION 'sim_input_nodes_n20_s49_cb0.csv2.csv' (seed 1992)</t>
  </si>
  <si>
    <t xml:space="preserve">	Line 377:  KOMONDOR SIMULATION 'sim_input_nodes_n20_s4_cb0.csv2.csv' (seed 1992)</t>
  </si>
  <si>
    <t xml:space="preserve">	Line 381:  KOMONDOR SIMULATION 'sim_input_nodes_n20_s5_cb0.csv2.csv' (seed 1992)</t>
  </si>
  <si>
    <t xml:space="preserve">	Line 385:  KOMONDOR SIMULATION 'sim_input_nodes_n20_s6_cb0.csv2.csv' (seed 1992)</t>
  </si>
  <si>
    <t xml:space="preserve">	Line 389:  KOMONDOR SIMULATION 'sim_input_nodes_n20_s7_cb0.csv2.csv' (seed 1992)</t>
  </si>
  <si>
    <t xml:space="preserve">	Line 393:  KOMONDOR SIMULATION 'sim_input_nodes_n20_s8_cb0.csv2.csv' (seed 1992)</t>
  </si>
  <si>
    <t xml:space="preserve">	Line 397:  KOMONDOR SIMULATION 'sim_input_nodes_n20_s9_cb0.csv2.csv' (seed 1992)</t>
  </si>
  <si>
    <t xml:space="preserve">	Line 401:  KOMONDOR SIMULATION 'sim_input_nodes_n2_s0_cb0.csv2.csv' (seed 1992)</t>
  </si>
  <si>
    <t xml:space="preserve">	Line 405:  KOMONDOR SIMULATION 'sim_input_nodes_n2_s10_cb0.csv2.csv' (seed 1992)</t>
  </si>
  <si>
    <t xml:space="preserve">	Line 409:  KOMONDOR SIMULATION 'sim_input_nodes_n2_s11_cb0.csv2.csv' (seed 1992)</t>
  </si>
  <si>
    <t xml:space="preserve">	Line 413:  KOMONDOR SIMULATION 'sim_input_nodes_n2_s12_cb0.csv2.csv' (seed 1992)</t>
  </si>
  <si>
    <t xml:space="preserve">	Line 417:  KOMONDOR SIMULATION 'sim_input_nodes_n2_s13_cb0.csv2.csv' (seed 1992)</t>
  </si>
  <si>
    <t xml:space="preserve">	Line 421:  KOMONDOR SIMULATION 'sim_input_nodes_n2_s14_cb0.csv2.csv' (seed 1992)</t>
  </si>
  <si>
    <t xml:space="preserve">	Line 425:  KOMONDOR SIMULATION 'sim_input_nodes_n2_s15_cb0.csv2.csv' (seed 1992)</t>
  </si>
  <si>
    <t xml:space="preserve">	Line 429:  KOMONDOR SIMULATION 'sim_input_nodes_n2_s16_cb0.csv2.csv' (seed 1992)</t>
  </si>
  <si>
    <t xml:space="preserve">	Line 433:  KOMONDOR SIMULATION 'sim_input_nodes_n2_s17_cb0.csv2.csv' (seed 1992)</t>
  </si>
  <si>
    <t xml:space="preserve">	Line 437:  KOMONDOR SIMULATION 'sim_input_nodes_n2_s18_cb0.csv2.csv' (seed 1992)</t>
  </si>
  <si>
    <t xml:space="preserve">	Line 441:  KOMONDOR SIMULATION 'sim_input_nodes_n2_s19_cb0.csv2.csv' (seed 1992)</t>
  </si>
  <si>
    <t xml:space="preserve">	Line 445:  KOMONDOR SIMULATION 'sim_input_nodes_n2_s1_cb0.csv2.csv' (seed 1992)</t>
  </si>
  <si>
    <t xml:space="preserve">	Line 449:  KOMONDOR SIMULATION 'sim_input_nodes_n2_s20_cb0.csv2.csv' (seed 1992)</t>
  </si>
  <si>
    <t xml:space="preserve">	Line 453:  KOMONDOR SIMULATION 'sim_input_nodes_n2_s21_cb0.csv2.csv' (seed 1992)</t>
  </si>
  <si>
    <t xml:space="preserve">	Line 457:  KOMONDOR SIMULATION 'sim_input_nodes_n2_s22_cb0.csv2.csv' (seed 1992)</t>
  </si>
  <si>
    <t xml:space="preserve">	Line 461:  KOMONDOR SIMULATION 'sim_input_nodes_n2_s23_cb0.csv2.csv' (seed 1992)</t>
  </si>
  <si>
    <t xml:space="preserve">	Line 465:  KOMONDOR SIMULATION 'sim_input_nodes_n2_s24_cb0.csv2.csv' (seed 1992)</t>
  </si>
  <si>
    <t xml:space="preserve">	Line 469:  KOMONDOR SIMULATION 'sim_input_nodes_n2_s25_cb0.csv2.csv' (seed 1992)</t>
  </si>
  <si>
    <t xml:space="preserve">	Line 473:  KOMONDOR SIMULATION 'sim_input_nodes_n2_s26_cb0.csv2.csv' (seed 1992)</t>
  </si>
  <si>
    <t xml:space="preserve">	Line 477:  KOMONDOR SIMULATION 'sim_input_nodes_n2_s27_cb0.csv2.csv' (seed 1992)</t>
  </si>
  <si>
    <t xml:space="preserve">	Line 481:  KOMONDOR SIMULATION 'sim_input_nodes_n2_s28_cb0.csv2.csv' (seed 1992)</t>
  </si>
  <si>
    <t xml:space="preserve">	Line 485:  KOMONDOR SIMULATION 'sim_input_nodes_n2_s29_cb0.csv2.csv' (seed 1992)</t>
  </si>
  <si>
    <t xml:space="preserve">	Line 489:  KOMONDOR SIMULATION 'sim_input_nodes_n2_s2_cb0.csv2.csv' (seed 1992)</t>
  </si>
  <si>
    <t xml:space="preserve">	Line 493:  KOMONDOR SIMULATION 'sim_input_nodes_n2_s30_cb0.csv2.csv' (seed 1992)</t>
  </si>
  <si>
    <t xml:space="preserve">	Line 497:  KOMONDOR SIMULATION 'sim_input_nodes_n2_s31_cb0.csv2.csv' (seed 1992)</t>
  </si>
  <si>
    <t xml:space="preserve">	Line 501:  KOMONDOR SIMULATION 'sim_input_nodes_n2_s32_cb0.csv2.csv' (seed 1992)</t>
  </si>
  <si>
    <t xml:space="preserve">	Line 505:  KOMONDOR SIMULATION 'sim_input_nodes_n2_s33_cb0.csv2.csv' (seed 1992)</t>
  </si>
  <si>
    <t xml:space="preserve">	Line 509:  KOMONDOR SIMULATION 'sim_input_nodes_n2_s34_cb0.csv2.csv' (seed 1992)</t>
  </si>
  <si>
    <t xml:space="preserve">	Line 513:  KOMONDOR SIMULATION 'sim_input_nodes_n2_s35_cb0.csv2.csv' (seed 1992)</t>
  </si>
  <si>
    <t xml:space="preserve">	Line 517:  KOMONDOR SIMULATION 'sim_input_nodes_n2_s36_cb0.csv2.csv' (seed 1992)</t>
  </si>
  <si>
    <t xml:space="preserve">	Line 521:  KOMONDOR SIMULATION 'sim_input_nodes_n2_s37_cb0.csv2.csv' (seed 1992)</t>
  </si>
  <si>
    <t xml:space="preserve">	Line 525:  KOMONDOR SIMULATION 'sim_input_nodes_n2_s38_cb0.csv2.csv' (seed 1992)</t>
  </si>
  <si>
    <t xml:space="preserve">	Line 529:  KOMONDOR SIMULATION 'sim_input_nodes_n2_s39_cb0.csv2.csv' (seed 1992)</t>
  </si>
  <si>
    <t xml:space="preserve">	Line 533:  KOMONDOR SIMULATION 'sim_input_nodes_n2_s3_cb0.csv2.csv' (seed 1992)</t>
  </si>
  <si>
    <t xml:space="preserve">	Line 537:  KOMONDOR SIMULATION 'sim_input_nodes_n2_s40_cb0.csv2.csv' (seed 1992)</t>
  </si>
  <si>
    <t xml:space="preserve">	Line 541:  KOMONDOR SIMULATION 'sim_input_nodes_n2_s41_cb0.csv2.csv' (seed 1992)</t>
  </si>
  <si>
    <t xml:space="preserve">	Line 545:  KOMONDOR SIMULATION 'sim_input_nodes_n2_s42_cb0.csv2.csv' (seed 1992)</t>
  </si>
  <si>
    <t xml:space="preserve">	Line 549:  KOMONDOR SIMULATION 'sim_input_nodes_n2_s43_cb0.csv2.csv' (seed 1992)</t>
  </si>
  <si>
    <t xml:space="preserve">	Line 553:  KOMONDOR SIMULATION 'sim_input_nodes_n2_s44_cb0.csv2.csv' (seed 1992)</t>
  </si>
  <si>
    <t xml:space="preserve">	Line 557:  KOMONDOR SIMULATION 'sim_input_nodes_n2_s45_cb0.csv2.csv' (seed 1992)</t>
  </si>
  <si>
    <t xml:space="preserve">	Line 561:  KOMONDOR SIMULATION 'sim_input_nodes_n2_s46_cb0.csv2.csv' (seed 1992)</t>
  </si>
  <si>
    <t xml:space="preserve">	Line 565:  KOMONDOR SIMULATION 'sim_input_nodes_n2_s47_cb0.csv2.csv' (seed 1992)</t>
  </si>
  <si>
    <t xml:space="preserve">	Line 569:  KOMONDOR SIMULATION 'sim_input_nodes_n2_s48_cb0.csv2.csv' (seed 1992)</t>
  </si>
  <si>
    <t xml:space="preserve">	Line 573:  KOMONDOR SIMULATION 'sim_input_nodes_n2_s49_cb0.csv2.csv' (seed 1992)</t>
  </si>
  <si>
    <t xml:space="preserve">	Line 577:  KOMONDOR SIMULATION 'sim_input_nodes_n2_s4_cb0.csv2.csv' (seed 1992)</t>
  </si>
  <si>
    <t xml:space="preserve">	Line 581:  KOMONDOR SIMULATION 'sim_input_nodes_n2_s5_cb0.csv2.csv' (seed 1992)</t>
  </si>
  <si>
    <t xml:space="preserve">	Line 585:  KOMONDOR SIMULATION 'sim_input_nodes_n2_s6_cb0.csv2.csv' (seed 1992)</t>
  </si>
  <si>
    <t xml:space="preserve">	Line 589:  KOMONDOR SIMULATION 'sim_input_nodes_n2_s7_cb0.csv2.csv' (seed 1992)</t>
  </si>
  <si>
    <t xml:space="preserve">	Line 593:  KOMONDOR SIMULATION 'sim_input_nodes_n2_s8_cb0.csv2.csv' (seed 1992)</t>
  </si>
  <si>
    <t xml:space="preserve">	Line 597:  KOMONDOR SIMULATION 'sim_input_nodes_n2_s9_cb0.csv2.csv' (seed 1992)</t>
  </si>
  <si>
    <t xml:space="preserve">	Line 601:  KOMONDOR SIMULATION 'sim_input_nodes_n30_s0_cb0.csv2.csv' (seed 1992)</t>
  </si>
  <si>
    <t xml:space="preserve">	Line 605:  KOMONDOR SIMULATION 'sim_input_nodes_n30_s10_cb0.csv2.csv' (seed 1992)</t>
  </si>
  <si>
    <t xml:space="preserve">	Line 609:  KOMONDOR SIMULATION 'sim_input_nodes_n30_s11_cb0.csv2.csv' (seed 1992)</t>
  </si>
  <si>
    <t xml:space="preserve">	Line 613:  KOMONDOR SIMULATION 'sim_input_nodes_n30_s12_cb0.csv2.csv' (seed 1992)</t>
  </si>
  <si>
    <t xml:space="preserve">	Line 617:  KOMONDOR SIMULATION 'sim_input_nodes_n30_s13_cb0.csv2.csv' (seed 1992)</t>
  </si>
  <si>
    <t xml:space="preserve">	Line 621:  KOMONDOR SIMULATION 'sim_input_nodes_n30_s14_cb0.csv2.csv' (seed 1992)</t>
  </si>
  <si>
    <t xml:space="preserve">	Line 625:  KOMONDOR SIMULATION 'sim_input_nodes_n30_s15_cb0.csv2.csv' (seed 1992)</t>
  </si>
  <si>
    <t xml:space="preserve">	Line 629:  KOMONDOR SIMULATION 'sim_input_nodes_n30_s16_cb0.csv2.csv' (seed 1992)</t>
  </si>
  <si>
    <t xml:space="preserve">	Line 633:  KOMONDOR SIMULATION 'sim_input_nodes_n30_s17_cb0.csv2.csv' (seed 1992)</t>
  </si>
  <si>
    <t xml:space="preserve">	Line 637:  KOMONDOR SIMULATION 'sim_input_nodes_n30_s18_cb0.csv2.csv' (seed 1992)</t>
  </si>
  <si>
    <t xml:space="preserve">	Line 641:  KOMONDOR SIMULATION 'sim_input_nodes_n30_s19_cb0.csv2.csv' (seed 1992)</t>
  </si>
  <si>
    <t xml:space="preserve">	Line 645:  KOMONDOR SIMULATION 'sim_input_nodes_n30_s1_cb0.csv2.csv' (seed 1992)</t>
  </si>
  <si>
    <t xml:space="preserve">	Line 649:  KOMONDOR SIMULATION 'sim_input_nodes_n30_s20_cb0.csv2.csv' (seed 1992)</t>
  </si>
  <si>
    <t xml:space="preserve">	Line 653:  KOMONDOR SIMULATION 'sim_input_nodes_n30_s21_cb0.csv2.csv' (seed 1992)</t>
  </si>
  <si>
    <t xml:space="preserve">	Line 657:  KOMONDOR SIMULATION 'sim_input_nodes_n30_s22_cb0.csv2.csv' (seed 1992)</t>
  </si>
  <si>
    <t xml:space="preserve">	Line 661:  KOMONDOR SIMULATION 'sim_input_nodes_n30_s23_cb0.csv2.csv' (seed 1992)</t>
  </si>
  <si>
    <t xml:space="preserve">	Line 665:  KOMONDOR SIMULATION 'sim_input_nodes_n30_s24_cb0.csv2.csv' (seed 1992)</t>
  </si>
  <si>
    <t xml:space="preserve">	Line 669:  KOMONDOR SIMULATION 'sim_input_nodes_n30_s25_cb0.csv2.csv' (seed 1992)</t>
  </si>
  <si>
    <t xml:space="preserve">	Line 673:  KOMONDOR SIMULATION 'sim_input_nodes_n30_s26_cb0.csv2.csv' (seed 1992)</t>
  </si>
  <si>
    <t xml:space="preserve">	Line 677:  KOMONDOR SIMULATION 'sim_input_nodes_n30_s27_cb0.csv2.csv' (seed 1992)</t>
  </si>
  <si>
    <t xml:space="preserve">	Line 681:  KOMONDOR SIMULATION 'sim_input_nodes_n30_s28_cb0.csv2.csv' (seed 1992)</t>
  </si>
  <si>
    <t xml:space="preserve">	Line 685:  KOMONDOR SIMULATION 'sim_input_nodes_n30_s29_cb0.csv2.csv' (seed 1992)</t>
  </si>
  <si>
    <t xml:space="preserve">	Line 689:  KOMONDOR SIMULATION 'sim_input_nodes_n30_s2_cb0.csv2.csv' (seed 1992)</t>
  </si>
  <si>
    <t xml:space="preserve">	Line 693:  KOMONDOR SIMULATION 'sim_input_nodes_n30_s30_cb0.csv2.csv' (seed 1992)</t>
  </si>
  <si>
    <t xml:space="preserve">	Line 697:  KOMONDOR SIMULATION 'sim_input_nodes_n30_s31_cb0.csv2.csv' (seed 1992)</t>
  </si>
  <si>
    <t xml:space="preserve">	Line 701:  KOMONDOR SIMULATION 'sim_input_nodes_n30_s32_cb0.csv2.csv' (seed 1992)</t>
  </si>
  <si>
    <t xml:space="preserve">	Line 705:  KOMONDOR SIMULATION 'sim_input_nodes_n30_s33_cb0.csv2.csv' (seed 1992)</t>
  </si>
  <si>
    <t xml:space="preserve">	Line 709:  KOMONDOR SIMULATION 'sim_input_nodes_n30_s34_cb0.csv2.csv' (seed 1992)</t>
  </si>
  <si>
    <t xml:space="preserve">	Line 713:  KOMONDOR SIMULATION 'sim_input_nodes_n30_s35_cb0.csv2.csv' (seed 1992)</t>
  </si>
  <si>
    <t xml:space="preserve">	Line 717:  KOMONDOR SIMULATION 'sim_input_nodes_n30_s36_cb0.csv2.csv' (seed 1992)</t>
  </si>
  <si>
    <t xml:space="preserve">	Line 721:  KOMONDOR SIMULATION 'sim_input_nodes_n30_s37_cb0.csv2.csv' (seed 1992)</t>
  </si>
  <si>
    <t xml:space="preserve">	Line 725:  KOMONDOR SIMULATION 'sim_input_nodes_n30_s38_cb0.csv2.csv' (seed 1992)</t>
  </si>
  <si>
    <t xml:space="preserve">	Line 729:  KOMONDOR SIMULATION 'sim_input_nodes_n30_s39_cb0.csv2.csv' (seed 1992)</t>
  </si>
  <si>
    <t xml:space="preserve">	Line 733:  KOMONDOR SIMULATION 'sim_input_nodes_n30_s3_cb0.csv2.csv' (seed 1992)</t>
  </si>
  <si>
    <t xml:space="preserve">	Line 737:  KOMONDOR SIMULATION 'sim_input_nodes_n30_s40_cb0.csv2.csv' (seed 1992)</t>
  </si>
  <si>
    <t xml:space="preserve">	Line 741:  KOMONDOR SIMULATION 'sim_input_nodes_n30_s41_cb0.csv2.csv' (seed 1992)</t>
  </si>
  <si>
    <t xml:space="preserve">	Line 745:  KOMONDOR SIMULATION 'sim_input_nodes_n30_s42_cb0.csv2.csv' (seed 1992)</t>
  </si>
  <si>
    <t xml:space="preserve">	Line 749:  KOMONDOR SIMULATION 'sim_input_nodes_n30_s43_cb0.csv2.csv' (seed 1992)</t>
  </si>
  <si>
    <t xml:space="preserve">	Line 753:  KOMONDOR SIMULATION 'sim_input_nodes_n30_s44_cb0.csv2.csv' (seed 1992)</t>
  </si>
  <si>
    <t xml:space="preserve">	Line 757:  KOMONDOR SIMULATION 'sim_input_nodes_n30_s45_cb0.csv2.csv' (seed 1992)</t>
  </si>
  <si>
    <t xml:space="preserve">	Line 761:  KOMONDOR SIMULATION 'sim_input_nodes_n30_s46_cb0.csv2.csv' (seed 1992)</t>
  </si>
  <si>
    <t xml:space="preserve">	Line 765:  KOMONDOR SIMULATION 'sim_input_nodes_n30_s47_cb0.csv2.csv' (seed 1992)</t>
  </si>
  <si>
    <t xml:space="preserve">	Line 769:  KOMONDOR SIMULATION 'sim_input_nodes_n30_s48_cb0.csv2.csv' (seed 1992)</t>
  </si>
  <si>
    <t xml:space="preserve">	Line 773:  KOMONDOR SIMULATION 'sim_input_nodes_n30_s49_cb0.csv2.csv' (seed 1992)</t>
  </si>
  <si>
    <t xml:space="preserve">	Line 777:  KOMONDOR SIMULATION 'sim_input_nodes_n30_s4_cb0.csv2.csv' (seed 1992)</t>
  </si>
  <si>
    <t xml:space="preserve">	Line 781:  KOMONDOR SIMULATION 'sim_input_nodes_n30_s5_cb0.csv2.csv' (seed 1992)</t>
  </si>
  <si>
    <t xml:space="preserve">	Line 785:  KOMONDOR SIMULATION 'sim_input_nodes_n30_s6_cb0.csv2.csv' (seed 1992)</t>
  </si>
  <si>
    <t xml:space="preserve">	Line 789:  KOMONDOR SIMULATION 'sim_input_nodes_n30_s7_cb0.csv2.csv' (seed 1992)</t>
  </si>
  <si>
    <t xml:space="preserve">	Line 793:  KOMONDOR SIMULATION 'sim_input_nodes_n30_s8_cb0.csv2.csv' (seed 1992)</t>
  </si>
  <si>
    <t xml:space="preserve">	Line 797:  KOMONDOR SIMULATION 'sim_input_nodes_n30_s9_cb0.csv2.csv' (seed 1992)</t>
  </si>
  <si>
    <t xml:space="preserve">	Line 801:  KOMONDOR SIMULATION 'sim_input_nodes_n40_s0_cb0.csv2.csv' (seed 1992)</t>
  </si>
  <si>
    <t xml:space="preserve">	Line 805:  KOMONDOR SIMULATION 'sim_input_nodes_n40_s10_cb0.csv2.csv' (seed 1992)</t>
  </si>
  <si>
    <t xml:space="preserve">	Line 809:  KOMONDOR SIMULATION 'sim_input_nodes_n40_s11_cb0.csv2.csv' (seed 1992)</t>
  </si>
  <si>
    <t xml:space="preserve">	Line 813:  KOMONDOR SIMULATION 'sim_input_nodes_n40_s12_cb0.csv2.csv' (seed 1992)</t>
  </si>
  <si>
    <t xml:space="preserve">	Line 817:  KOMONDOR SIMULATION 'sim_input_nodes_n40_s13_cb0.csv2.csv' (seed 1992)</t>
  </si>
  <si>
    <t xml:space="preserve">	Line 821:  KOMONDOR SIMULATION 'sim_input_nodes_n40_s14_cb0.csv2.csv' (seed 1992)</t>
  </si>
  <si>
    <t xml:space="preserve">	Line 825:  KOMONDOR SIMULATION 'sim_input_nodes_n40_s15_cb0.csv2.csv' (seed 1992)</t>
  </si>
  <si>
    <t xml:space="preserve">	Line 829:  KOMONDOR SIMULATION 'sim_input_nodes_n40_s16_cb0.csv2.csv' (seed 1992)</t>
  </si>
  <si>
    <t xml:space="preserve">	Line 833:  KOMONDOR SIMULATION 'sim_input_nodes_n40_s17_cb0.csv2.csv' (seed 1992)</t>
  </si>
  <si>
    <t xml:space="preserve">	Line 837:  KOMONDOR SIMULATION 'sim_input_nodes_n40_s18_cb0.csv2.csv' (seed 1992)</t>
  </si>
  <si>
    <t xml:space="preserve">	Line 841:  KOMONDOR SIMULATION 'sim_input_nodes_n40_s19_cb0.csv2.csv' (seed 1992)</t>
  </si>
  <si>
    <t xml:space="preserve">	Line 845:  KOMONDOR SIMULATION 'sim_input_nodes_n40_s1_cb0.csv2.csv' (seed 1992)</t>
  </si>
  <si>
    <t xml:space="preserve">	Line 849:  KOMONDOR SIMULATION 'sim_input_nodes_n40_s20_cb0.csv2.csv' (seed 1992)</t>
  </si>
  <si>
    <t xml:space="preserve">	Line 853:  KOMONDOR SIMULATION 'sim_input_nodes_n40_s21_cb0.csv2.csv' (seed 1992)</t>
  </si>
  <si>
    <t xml:space="preserve">	Line 857:  KOMONDOR SIMULATION 'sim_input_nodes_n40_s22_cb0.csv2.csv' (seed 1992)</t>
  </si>
  <si>
    <t xml:space="preserve">	Line 861:  KOMONDOR SIMULATION 'sim_input_nodes_n40_s23_cb0.csv2.csv' (seed 1992)</t>
  </si>
  <si>
    <t xml:space="preserve">	Line 865:  KOMONDOR SIMULATION 'sim_input_nodes_n40_s24_cb0.csv2.csv' (seed 1992)</t>
  </si>
  <si>
    <t xml:space="preserve">	Line 869:  KOMONDOR SIMULATION 'sim_input_nodes_n40_s25_cb0.csv2.csv' (seed 1992)</t>
  </si>
  <si>
    <t xml:space="preserve">	Line 873:  KOMONDOR SIMULATION 'sim_input_nodes_n40_s26_cb0.csv2.csv' (seed 1992)</t>
  </si>
  <si>
    <t xml:space="preserve">	Line 877:  KOMONDOR SIMULATION 'sim_input_nodes_n40_s27_cb0.csv2.csv' (seed 1992)</t>
  </si>
  <si>
    <t xml:space="preserve">	Line 881:  KOMONDOR SIMULATION 'sim_input_nodes_n40_s28_cb0.csv2.csv' (seed 1992)</t>
  </si>
  <si>
    <t xml:space="preserve">	Line 885:  KOMONDOR SIMULATION 'sim_input_nodes_n40_s29_cb0.csv2.csv' (seed 1992)</t>
  </si>
  <si>
    <t xml:space="preserve">	Line 889:  KOMONDOR SIMULATION 'sim_input_nodes_n40_s2_cb0.csv2.csv' (seed 1992)</t>
  </si>
  <si>
    <t xml:space="preserve">	Line 893:  KOMONDOR SIMULATION 'sim_input_nodes_n40_s30_cb0.csv2.csv' (seed 1992)</t>
  </si>
  <si>
    <t xml:space="preserve">	Line 897:  KOMONDOR SIMULATION 'sim_input_nodes_n40_s31_cb0.csv2.csv' (seed 1992)</t>
  </si>
  <si>
    <t xml:space="preserve">	Line 901:  KOMONDOR SIMULATION 'sim_input_nodes_n40_s32_cb0.csv2.csv' (seed 1992)</t>
  </si>
  <si>
    <t xml:space="preserve">	Line 905:  KOMONDOR SIMULATION 'sim_input_nodes_n40_s33_cb0.csv2.csv' (seed 1992)</t>
  </si>
  <si>
    <t xml:space="preserve">	Line 909:  KOMONDOR SIMULATION 'sim_input_nodes_n40_s34_cb0.csv2.csv' (seed 1992)</t>
  </si>
  <si>
    <t xml:space="preserve">	Line 913:  KOMONDOR SIMULATION 'sim_input_nodes_n40_s35_cb0.csv2.csv' (seed 1992)</t>
  </si>
  <si>
    <t xml:space="preserve">	Line 917:  KOMONDOR SIMULATION 'sim_input_nodes_n40_s36_cb0.csv2.csv' (seed 1992)</t>
  </si>
  <si>
    <t xml:space="preserve">	Line 921:  KOMONDOR SIMULATION 'sim_input_nodes_n40_s37_cb0.csv2.csv' (seed 1992)</t>
  </si>
  <si>
    <t xml:space="preserve">	Line 925:  KOMONDOR SIMULATION 'sim_input_nodes_n40_s38_cb0.csv2.csv' (seed 1992)</t>
  </si>
  <si>
    <t xml:space="preserve">	Line 929:  KOMONDOR SIMULATION 'sim_input_nodes_n40_s39_cb0.csv2.csv' (seed 1992)</t>
  </si>
  <si>
    <t xml:space="preserve">	Line 933:  KOMONDOR SIMULATION 'sim_input_nodes_n40_s3_cb0.csv2.csv' (seed 1992)</t>
  </si>
  <si>
    <t xml:space="preserve">	Line 937:  KOMONDOR SIMULATION 'sim_input_nodes_n40_s40_cb0.csv2.csv' (seed 1992)</t>
  </si>
  <si>
    <t xml:space="preserve">	Line 941:  KOMONDOR SIMULATION 'sim_input_nodes_n40_s41_cb0.csv2.csv' (seed 1992)</t>
  </si>
  <si>
    <t xml:space="preserve">	Line 945:  KOMONDOR SIMULATION 'sim_input_nodes_n40_s42_cb0.csv2.csv' (seed 1992)</t>
  </si>
  <si>
    <t xml:space="preserve">	Line 949:  KOMONDOR SIMULATION 'sim_input_nodes_n40_s43_cb0.csv2.csv' (seed 1992)</t>
  </si>
  <si>
    <t xml:space="preserve">	Line 953:  KOMONDOR SIMULATION 'sim_input_nodes_n40_s44_cb0.csv2.csv' (seed 1992)</t>
  </si>
  <si>
    <t xml:space="preserve">	Line 957:  KOMONDOR SIMULATION 'sim_input_nodes_n40_s45_cb0.csv2.csv' (seed 1992)</t>
  </si>
  <si>
    <t xml:space="preserve">	Line 961:  KOMONDOR SIMULATION 'sim_input_nodes_n40_s46_cb0.csv2.csv' (seed 1992)</t>
  </si>
  <si>
    <t xml:space="preserve">	Line 965:  KOMONDOR SIMULATION 'sim_input_nodes_n40_s47_cb0.csv2.csv' (seed 1992)</t>
  </si>
  <si>
    <t xml:space="preserve">	Line 969:  KOMONDOR SIMULATION 'sim_input_nodes_n40_s48_cb0.csv2.csv' (seed 1992)</t>
  </si>
  <si>
    <t xml:space="preserve">	Line 973:  KOMONDOR SIMULATION 'sim_input_nodes_n40_s49_cb0.csv2.csv' (seed 1992)</t>
  </si>
  <si>
    <t xml:space="preserve">	Line 977:  KOMONDOR SIMULATION 'sim_input_nodes_n40_s4_cb0.csv2.csv' (seed 1992)</t>
  </si>
  <si>
    <t xml:space="preserve">	Line 981:  KOMONDOR SIMULATION 'sim_input_nodes_n40_s5_cb0.csv2.csv' (seed 1992)</t>
  </si>
  <si>
    <t xml:space="preserve">	Line 985:  KOMONDOR SIMULATION 'sim_input_nodes_n40_s6_cb0.csv2.csv' (seed 1992)</t>
  </si>
  <si>
    <t xml:space="preserve">	Line 989:  KOMONDOR SIMULATION 'sim_input_nodes_n40_s7_cb0.csv2.csv' (seed 1992)</t>
  </si>
  <si>
    <t xml:space="preserve">	Line 993:  KOMONDOR SIMULATION 'sim_input_nodes_n40_s8_cb0.csv2.csv' (seed 1992)</t>
  </si>
  <si>
    <t xml:space="preserve">	Line 997:  KOMONDOR SIMULATION 'sim_input_nodes_n40_s9_cb0.csv2.csv' (seed 1992)</t>
  </si>
  <si>
    <t xml:space="preserve">	Line 1001:  KOMONDOR SIMULATION 'sim_input_nodes_n5_s0_cb0.csv2.csv' (seed 1992)</t>
  </si>
  <si>
    <t xml:space="preserve">	Line 1005:  KOMONDOR SIMULATION 'sim_input_nodes_n5_s10_cb0.csv2.csv' (seed 1992)</t>
  </si>
  <si>
    <t xml:space="preserve">	Line 1009:  KOMONDOR SIMULATION 'sim_input_nodes_n5_s11_cb0.csv2.csv' (seed 1992)</t>
  </si>
  <si>
    <t xml:space="preserve">	Line 1013:  KOMONDOR SIMULATION 'sim_input_nodes_n5_s12_cb0.csv2.csv' (seed 1992)</t>
  </si>
  <si>
    <t xml:space="preserve">	Line 1017:  KOMONDOR SIMULATION 'sim_input_nodes_n5_s13_cb0.csv2.csv' (seed 1992)</t>
  </si>
  <si>
    <t xml:space="preserve">	Line 1021:  KOMONDOR SIMULATION 'sim_input_nodes_n5_s14_cb0.csv2.csv' (seed 1992)</t>
  </si>
  <si>
    <t xml:space="preserve">	Line 1025:  KOMONDOR SIMULATION 'sim_input_nodes_n5_s15_cb0.csv2.csv' (seed 1992)</t>
  </si>
  <si>
    <t xml:space="preserve">	Line 1029:  KOMONDOR SIMULATION 'sim_input_nodes_n5_s16_cb0.csv2.csv' (seed 1992)</t>
  </si>
  <si>
    <t xml:space="preserve">	Line 1033:  KOMONDOR SIMULATION 'sim_input_nodes_n5_s17_cb0.csv2.csv' (seed 1992)</t>
  </si>
  <si>
    <t xml:space="preserve">	Line 1037:  KOMONDOR SIMULATION 'sim_input_nodes_n5_s18_cb0.csv2.csv' (seed 1992)</t>
  </si>
  <si>
    <t xml:space="preserve">	Line 1041:  KOMONDOR SIMULATION 'sim_input_nodes_n5_s19_cb0.csv2.csv' (seed 1992)</t>
  </si>
  <si>
    <t xml:space="preserve">	Line 1045:  KOMONDOR SIMULATION 'sim_input_nodes_n5_s1_cb0.csv2.csv' (seed 1992)</t>
  </si>
  <si>
    <t xml:space="preserve">	Line 1049:  KOMONDOR SIMULATION 'sim_input_nodes_n5_s20_cb0.csv2.csv' (seed 1992)</t>
  </si>
  <si>
    <t xml:space="preserve">	Line 1053:  KOMONDOR SIMULATION 'sim_input_nodes_n5_s21_cb0.csv2.csv' (seed 1992)</t>
  </si>
  <si>
    <t xml:space="preserve">	Line 1057:  KOMONDOR SIMULATION 'sim_input_nodes_n5_s22_cb0.csv2.csv' (seed 1992)</t>
  </si>
  <si>
    <t xml:space="preserve">	Line 1061:  KOMONDOR SIMULATION 'sim_input_nodes_n5_s23_cb0.csv2.csv' (seed 1992)</t>
  </si>
  <si>
    <t xml:space="preserve">	Line 1065:  KOMONDOR SIMULATION 'sim_input_nodes_n5_s24_cb0.csv2.csv' (seed 1992)</t>
  </si>
  <si>
    <t xml:space="preserve">	Line 1069:  KOMONDOR SIMULATION 'sim_input_nodes_n5_s25_cb0.csv2.csv' (seed 1992)</t>
  </si>
  <si>
    <t xml:space="preserve">	Line 1073:  KOMONDOR SIMULATION 'sim_input_nodes_n5_s26_cb0.csv2.csv' (seed 1992)</t>
  </si>
  <si>
    <t xml:space="preserve">	Line 1077:  KOMONDOR SIMULATION 'sim_input_nodes_n5_s27_cb0.csv2.csv' (seed 1992)</t>
  </si>
  <si>
    <t xml:space="preserve">	Line 1081:  KOMONDOR SIMULATION 'sim_input_nodes_n5_s28_cb0.csv2.csv' (seed 1992)</t>
  </si>
  <si>
    <t xml:space="preserve">	Line 1085:  KOMONDOR SIMULATION 'sim_input_nodes_n5_s29_cb0.csv2.csv' (seed 1992)</t>
  </si>
  <si>
    <t xml:space="preserve">	Line 1089:  KOMONDOR SIMULATION 'sim_input_nodes_n5_s2_cb0.csv2.csv' (seed 1992)</t>
  </si>
  <si>
    <t xml:space="preserve">	Line 1093:  KOMONDOR SIMULATION 'sim_input_nodes_n5_s30_cb0.csv2.csv' (seed 1992)</t>
  </si>
  <si>
    <t xml:space="preserve">	Line 1097:  KOMONDOR SIMULATION 'sim_input_nodes_n5_s31_cb0.csv2.csv' (seed 1992)</t>
  </si>
  <si>
    <t xml:space="preserve">	Line 1101:  KOMONDOR SIMULATION 'sim_input_nodes_n5_s32_cb0.csv2.csv' (seed 1992)</t>
  </si>
  <si>
    <t xml:space="preserve">	Line 1105:  KOMONDOR SIMULATION 'sim_input_nodes_n5_s33_cb0.csv2.csv' (seed 1992)</t>
  </si>
  <si>
    <t xml:space="preserve">	Line 1109:  KOMONDOR SIMULATION 'sim_input_nodes_n5_s34_cb0.csv2.csv' (seed 1992)</t>
  </si>
  <si>
    <t xml:space="preserve">	Line 1113:  KOMONDOR SIMULATION 'sim_input_nodes_n5_s35_cb0.csv2.csv' (seed 1992)</t>
  </si>
  <si>
    <t xml:space="preserve">	Line 1117:  KOMONDOR SIMULATION 'sim_input_nodes_n5_s36_cb0.csv2.csv' (seed 1992)</t>
  </si>
  <si>
    <t xml:space="preserve">	Line 1121:  KOMONDOR SIMULATION 'sim_input_nodes_n5_s37_cb0.csv2.csv' (seed 1992)</t>
  </si>
  <si>
    <t xml:space="preserve">	Line 1125:  KOMONDOR SIMULATION 'sim_input_nodes_n5_s38_cb0.csv2.csv' (seed 1992)</t>
  </si>
  <si>
    <t xml:space="preserve">	Line 1129:  KOMONDOR SIMULATION 'sim_input_nodes_n5_s39_cb0.csv2.csv' (seed 1992)</t>
  </si>
  <si>
    <t xml:space="preserve">	Line 1133:  KOMONDOR SIMULATION 'sim_input_nodes_n5_s3_cb0.csv2.csv' (seed 1992)</t>
  </si>
  <si>
    <t xml:space="preserve">	Line 1137:  KOMONDOR SIMULATION 'sim_input_nodes_n5_s40_cb0.csv2.csv' (seed 1992)</t>
  </si>
  <si>
    <t xml:space="preserve">	Line 1141:  KOMONDOR SIMULATION 'sim_input_nodes_n5_s41_cb0.csv2.csv' (seed 1992)</t>
  </si>
  <si>
    <t xml:space="preserve">	Line 1145:  KOMONDOR SIMULATION 'sim_input_nodes_n5_s42_cb0.csv2.csv' (seed 1992)</t>
  </si>
  <si>
    <t xml:space="preserve">	Line 1149:  KOMONDOR SIMULATION 'sim_input_nodes_n5_s43_cb0.csv2.csv' (seed 1992)</t>
  </si>
  <si>
    <t xml:space="preserve">	Line 1153:  KOMONDOR SIMULATION 'sim_input_nodes_n5_s44_cb0.csv2.csv' (seed 1992)</t>
  </si>
  <si>
    <t xml:space="preserve">	Line 1157:  KOMONDOR SIMULATION 'sim_input_nodes_n5_s45_cb0.csv2.csv' (seed 1992)</t>
  </si>
  <si>
    <t xml:space="preserve">	Line 1161:  KOMONDOR SIMULATION 'sim_input_nodes_n5_s46_cb0.csv2.csv' (seed 1992)</t>
  </si>
  <si>
    <t xml:space="preserve">	Line 1165:  KOMONDOR SIMULATION 'sim_input_nodes_n5_s47_cb0.csv2.csv' (seed 1992)</t>
  </si>
  <si>
    <t xml:space="preserve">	Line 1169:  KOMONDOR SIMULATION 'sim_input_nodes_n5_s48_cb0.csv2.csv' (seed 1992)</t>
  </si>
  <si>
    <t xml:space="preserve">	Line 1173:  KOMONDOR SIMULATION 'sim_input_nodes_n5_s49_cb0.csv2.csv' (seed 1992)</t>
  </si>
  <si>
    <t xml:space="preserve">	Line 1177:  KOMONDOR SIMULATION 'sim_input_nodes_n5_s4_cb0.csv2.csv' (seed 1992)</t>
  </si>
  <si>
    <t xml:space="preserve">	Line 1181:  KOMONDOR SIMULATION 'sim_input_nodes_n5_s5_cb0.csv2.csv' (seed 1992)</t>
  </si>
  <si>
    <t xml:space="preserve">	Line 1185:  KOMONDOR SIMULATION 'sim_input_nodes_n5_s6_cb0.csv2.csv' (seed 1992)</t>
  </si>
  <si>
    <t xml:space="preserve">	Line 1189:  KOMONDOR SIMULATION 'sim_input_nodes_n5_s7_cb0.csv2.csv' (seed 1992)</t>
  </si>
  <si>
    <t xml:space="preserve">	Line 1193:  KOMONDOR SIMULATION 'sim_input_nodes_n5_s8_cb0.csv2.csv' (seed 1992)</t>
  </si>
  <si>
    <t xml:space="preserve">	Line 1197:  KOMONDOR SIMULATION 'sim_input_nodes_n5_s9_cb0.csv2.csv' (seed 1992)</t>
  </si>
  <si>
    <t xml:space="preserve">	Line 3:  KOMONDOR SIMULATION 'sim_input_nodes_n10_s0_cb4.csv2.csv' (seed 1992)</t>
  </si>
  <si>
    <t xml:space="preserve">	Line 7:  KOMONDOR SIMULATION 'sim_input_nodes_n10_s10_cb4.csv2.csv' (seed 1992)</t>
  </si>
  <si>
    <t xml:space="preserve">	Line 11:  KOMONDOR SIMULATION 'sim_input_nodes_n10_s11_cb4.csv2.csv' (seed 1992)</t>
  </si>
  <si>
    <t xml:space="preserve">	Line 15:  KOMONDOR SIMULATION 'sim_input_nodes_n10_s12_cb4.csv2.csv' (seed 1992)</t>
  </si>
  <si>
    <t xml:space="preserve">	Line 19:  KOMONDOR SIMULATION 'sim_input_nodes_n10_s13_cb4.csv2.csv' (seed 1992)</t>
  </si>
  <si>
    <t xml:space="preserve">	Line 23:  KOMONDOR SIMULATION 'sim_input_nodes_n10_s14_cb4.csv2.csv' (seed 1992)</t>
  </si>
  <si>
    <t xml:space="preserve">	Line 27:  KOMONDOR SIMULATION 'sim_input_nodes_n10_s15_cb4.csv2.csv' (seed 1992)</t>
  </si>
  <si>
    <t xml:space="preserve">	Line 31:  KOMONDOR SIMULATION 'sim_input_nodes_n10_s16_cb4.csv2.csv' (seed 1992)</t>
  </si>
  <si>
    <t xml:space="preserve">	Line 35:  KOMONDOR SIMULATION 'sim_input_nodes_n10_s17_cb4.csv2.csv' (seed 1992)</t>
  </si>
  <si>
    <t xml:space="preserve">	Line 39:  KOMONDOR SIMULATION 'sim_input_nodes_n10_s18_cb4.csv2.csv' (seed 1992)</t>
  </si>
  <si>
    <t xml:space="preserve">	Line 43:  KOMONDOR SIMULATION 'sim_input_nodes_n10_s19_cb4.csv2.csv' (seed 1992)</t>
  </si>
  <si>
    <t xml:space="preserve">	Line 47:  KOMONDOR SIMULATION 'sim_input_nodes_n10_s1_cb4.csv2.csv' (seed 1992)</t>
  </si>
  <si>
    <t xml:space="preserve">	Line 51:  KOMONDOR SIMULATION 'sim_input_nodes_n10_s20_cb4.csv2.csv' (seed 1992)</t>
  </si>
  <si>
    <t xml:space="preserve">	Line 55:  KOMONDOR SIMULATION 'sim_input_nodes_n10_s21_cb4.csv2.csv' (seed 1992)</t>
  </si>
  <si>
    <t xml:space="preserve">	Line 59:  KOMONDOR SIMULATION 'sim_input_nodes_n10_s22_cb4.csv2.csv' (seed 1992)</t>
  </si>
  <si>
    <t xml:space="preserve">	Line 63:  KOMONDOR SIMULATION 'sim_input_nodes_n10_s23_cb4.csv2.csv' (seed 1992)</t>
  </si>
  <si>
    <t xml:space="preserve">	Line 67:  KOMONDOR SIMULATION 'sim_input_nodes_n10_s24_cb4.csv2.csv' (seed 1992)</t>
  </si>
  <si>
    <t xml:space="preserve">	Line 71:  KOMONDOR SIMULATION 'sim_input_nodes_n10_s25_cb4.csv2.csv' (seed 1992)</t>
  </si>
  <si>
    <t xml:space="preserve">	Line 75:  KOMONDOR SIMULATION 'sim_input_nodes_n10_s26_cb4.csv2.csv' (seed 1992)</t>
  </si>
  <si>
    <t xml:space="preserve">	Line 79:  KOMONDOR SIMULATION 'sim_input_nodes_n10_s27_cb4.csv2.csv' (seed 1992)</t>
  </si>
  <si>
    <t xml:space="preserve">	Line 83:  KOMONDOR SIMULATION 'sim_input_nodes_n10_s28_cb4.csv2.csv' (seed 1992)</t>
  </si>
  <si>
    <t xml:space="preserve">	Line 87:  KOMONDOR SIMULATION 'sim_input_nodes_n10_s29_cb4.csv2.csv' (seed 1992)</t>
  </si>
  <si>
    <t xml:space="preserve">	Line 91:  KOMONDOR SIMULATION 'sim_input_nodes_n10_s2_cb4.csv2.csv' (seed 1992)</t>
  </si>
  <si>
    <t xml:space="preserve">	Line 95:  KOMONDOR SIMULATION 'sim_input_nodes_n10_s30_cb4.csv2.csv' (seed 1992)</t>
  </si>
  <si>
    <t xml:space="preserve">	Line 99:  KOMONDOR SIMULATION 'sim_input_nodes_n10_s31_cb4.csv2.csv' (seed 1992)</t>
  </si>
  <si>
    <t xml:space="preserve">	Line 103:  KOMONDOR SIMULATION 'sim_input_nodes_n10_s32_cb4.csv2.csv' (seed 1992)</t>
  </si>
  <si>
    <t xml:space="preserve">	Line 107:  KOMONDOR SIMULATION 'sim_input_nodes_n10_s33_cb4.csv2.csv' (seed 1992)</t>
  </si>
  <si>
    <t xml:space="preserve">	Line 111:  KOMONDOR SIMULATION 'sim_input_nodes_n10_s34_cb4.csv2.csv' (seed 1992)</t>
  </si>
  <si>
    <t xml:space="preserve">	Line 115:  KOMONDOR SIMULATION 'sim_input_nodes_n10_s35_cb4.csv2.csv' (seed 1992)</t>
  </si>
  <si>
    <t xml:space="preserve">	Line 119:  KOMONDOR SIMULATION 'sim_input_nodes_n10_s36_cb4.csv2.csv' (seed 1992)</t>
  </si>
  <si>
    <t xml:space="preserve">	Line 123:  KOMONDOR SIMULATION 'sim_input_nodes_n10_s37_cb4.csv2.csv' (seed 1992)</t>
  </si>
  <si>
    <t xml:space="preserve">	Line 127:  KOMONDOR SIMULATION 'sim_input_nodes_n10_s38_cb4.csv2.csv' (seed 1992)</t>
  </si>
  <si>
    <t xml:space="preserve">	Line 131:  KOMONDOR SIMULATION 'sim_input_nodes_n10_s39_cb4.csv2.csv' (seed 1992)</t>
  </si>
  <si>
    <t xml:space="preserve">	Line 135:  KOMONDOR SIMULATION 'sim_input_nodes_n10_s3_cb4.csv2.csv' (seed 1992)</t>
  </si>
  <si>
    <t xml:space="preserve">	Line 139:  KOMONDOR SIMULATION 'sim_input_nodes_n10_s40_cb4.csv2.csv' (seed 1992)</t>
  </si>
  <si>
    <t xml:space="preserve">	Line 143:  KOMONDOR SIMULATION 'sim_input_nodes_n10_s41_cb4.csv2.csv' (seed 1992)</t>
  </si>
  <si>
    <t xml:space="preserve">	Line 147:  KOMONDOR SIMULATION 'sim_input_nodes_n10_s42_cb4.csv2.csv' (seed 1992)</t>
  </si>
  <si>
    <t xml:space="preserve">	Line 151:  KOMONDOR SIMULATION 'sim_input_nodes_n10_s43_cb4.csv2.csv' (seed 1992)</t>
  </si>
  <si>
    <t xml:space="preserve">	Line 155:  KOMONDOR SIMULATION 'sim_input_nodes_n10_s44_cb4.csv2.csv' (seed 1992)</t>
  </si>
  <si>
    <t xml:space="preserve">	Line 159:  KOMONDOR SIMULATION 'sim_input_nodes_n10_s45_cb4.csv2.csv' (seed 1992)</t>
  </si>
  <si>
    <t xml:space="preserve">	Line 163:  KOMONDOR SIMULATION 'sim_input_nodes_n10_s46_cb4.csv2.csv' (seed 1992)</t>
  </si>
  <si>
    <t xml:space="preserve">	Line 167:  KOMONDOR SIMULATION 'sim_input_nodes_n10_s47_cb4.csv2.csv' (seed 1992)</t>
  </si>
  <si>
    <t xml:space="preserve">	Line 171:  KOMONDOR SIMULATION 'sim_input_nodes_n10_s48_cb4.csv2.csv' (seed 1992)</t>
  </si>
  <si>
    <t xml:space="preserve">	Line 175:  KOMONDOR SIMULATION 'sim_input_nodes_n10_s49_cb4.csv2.csv' (seed 1992)</t>
  </si>
  <si>
    <t xml:space="preserve">	Line 179:  KOMONDOR SIMULATION 'sim_input_nodes_n10_s4_cb4.csv2.csv' (seed 1992)</t>
  </si>
  <si>
    <t xml:space="preserve">	Line 183:  KOMONDOR SIMULATION 'sim_input_nodes_n10_s5_cb4.csv2.csv' (seed 1992)</t>
  </si>
  <si>
    <t xml:space="preserve">	Line 187:  KOMONDOR SIMULATION 'sim_input_nodes_n10_s6_cb4.csv2.csv' (seed 1992)</t>
  </si>
  <si>
    <t xml:space="preserve">	Line 191:  KOMONDOR SIMULATION 'sim_input_nodes_n10_s7_cb4.csv2.csv' (seed 1992)</t>
  </si>
  <si>
    <t xml:space="preserve">	Line 195:  KOMONDOR SIMULATION 'sim_input_nodes_n10_s8_cb4.csv2.csv' (seed 1992)</t>
  </si>
  <si>
    <t xml:space="preserve">	Line 199:  KOMONDOR SIMULATION 'sim_input_nodes_n10_s9_cb4.csv2.csv' (seed 1992)</t>
  </si>
  <si>
    <t xml:space="preserve">	Line 203:  KOMONDOR SIMULATION 'sim_input_nodes_n20_s0_cb4.csv2.csv' (seed 1992)</t>
  </si>
  <si>
    <t xml:space="preserve">	Line 207:  KOMONDOR SIMULATION 'sim_input_nodes_n20_s10_cb4.csv2.csv' (seed 1992)</t>
  </si>
  <si>
    <t xml:space="preserve">	Line 211:  KOMONDOR SIMULATION 'sim_input_nodes_n20_s11_cb4.csv2.csv' (seed 1992)</t>
  </si>
  <si>
    <t xml:space="preserve">	Line 215:  KOMONDOR SIMULATION 'sim_input_nodes_n20_s12_cb4.csv2.csv' (seed 1992)</t>
  </si>
  <si>
    <t xml:space="preserve">	Line 219:  KOMONDOR SIMULATION 'sim_input_nodes_n20_s13_cb4.csv2.csv' (seed 1992)</t>
  </si>
  <si>
    <t xml:space="preserve">	Line 223:  KOMONDOR SIMULATION 'sim_input_nodes_n20_s14_cb4.csv2.csv' (seed 1992)</t>
  </si>
  <si>
    <t xml:space="preserve">	Line 227:  KOMONDOR SIMULATION 'sim_input_nodes_n20_s15_cb4.csv2.csv' (seed 1992)</t>
  </si>
  <si>
    <t xml:space="preserve">	Line 231:  KOMONDOR SIMULATION 'sim_input_nodes_n20_s16_cb4.csv2.csv' (seed 1992)</t>
  </si>
  <si>
    <t xml:space="preserve">	Line 235:  KOMONDOR SIMULATION 'sim_input_nodes_n20_s17_cb4.csv2.csv' (seed 1992)</t>
  </si>
  <si>
    <t xml:space="preserve">	Line 239:  KOMONDOR SIMULATION 'sim_input_nodes_n20_s18_cb4.csv2.csv' (seed 1992)</t>
  </si>
  <si>
    <t xml:space="preserve">	Line 243:  KOMONDOR SIMULATION 'sim_input_nodes_n20_s19_cb4.csv2.csv' (seed 1992)</t>
  </si>
  <si>
    <t xml:space="preserve">	Line 247:  KOMONDOR SIMULATION 'sim_input_nodes_n20_s1_cb4.csv2.csv' (seed 1992)</t>
  </si>
  <si>
    <t xml:space="preserve">	Line 251:  KOMONDOR SIMULATION 'sim_input_nodes_n20_s20_cb4.csv2.csv' (seed 1992)</t>
  </si>
  <si>
    <t xml:space="preserve">	Line 255:  KOMONDOR SIMULATION 'sim_input_nodes_n20_s21_cb4.csv2.csv' (seed 1992)</t>
  </si>
  <si>
    <t xml:space="preserve">	Line 259:  KOMONDOR SIMULATION 'sim_input_nodes_n20_s22_cb4.csv2.csv' (seed 1992)</t>
  </si>
  <si>
    <t xml:space="preserve">	Line 263:  KOMONDOR SIMULATION 'sim_input_nodes_n20_s23_cb4.csv2.csv' (seed 1992)</t>
  </si>
  <si>
    <t xml:space="preserve">	Line 267:  KOMONDOR SIMULATION 'sim_input_nodes_n20_s24_cb4.csv2.csv' (seed 1992)</t>
  </si>
  <si>
    <t xml:space="preserve">	Line 271:  KOMONDOR SIMULATION 'sim_input_nodes_n20_s25_cb4.csv2.csv' (seed 1992)</t>
  </si>
  <si>
    <t xml:space="preserve">	Line 275:  KOMONDOR SIMULATION 'sim_input_nodes_n20_s26_cb4.csv2.csv' (seed 1992)</t>
  </si>
  <si>
    <t xml:space="preserve">	Line 279:  KOMONDOR SIMULATION 'sim_input_nodes_n20_s27_cb4.csv2.csv' (seed 1992)</t>
  </si>
  <si>
    <t xml:space="preserve">	Line 283:  KOMONDOR SIMULATION 'sim_input_nodes_n20_s28_cb4.csv2.csv' (seed 1992)</t>
  </si>
  <si>
    <t xml:space="preserve">	Line 287:  KOMONDOR SIMULATION 'sim_input_nodes_n20_s29_cb4.csv2.csv' (seed 1992)</t>
  </si>
  <si>
    <t xml:space="preserve">	Line 291:  KOMONDOR SIMULATION 'sim_input_nodes_n20_s2_cb4.csv2.csv' (seed 1992)</t>
  </si>
  <si>
    <t xml:space="preserve">	Line 295:  KOMONDOR SIMULATION 'sim_input_nodes_n20_s30_cb4.csv2.csv' (seed 1992)</t>
  </si>
  <si>
    <t xml:space="preserve">	Line 299:  KOMONDOR SIMULATION 'sim_input_nodes_n20_s31_cb4.csv2.csv' (seed 1992)</t>
  </si>
  <si>
    <t xml:space="preserve">	Line 303:  KOMONDOR SIMULATION 'sim_input_nodes_n20_s32_cb4.csv2.csv' (seed 1992)</t>
  </si>
  <si>
    <t xml:space="preserve">	Line 307:  KOMONDOR SIMULATION 'sim_input_nodes_n20_s33_cb4.csv2.csv' (seed 1992)</t>
  </si>
  <si>
    <t xml:space="preserve">	Line 311:  KOMONDOR SIMULATION 'sim_input_nodes_n20_s34_cb4.csv2.csv' (seed 1992)</t>
  </si>
  <si>
    <t xml:space="preserve">	Line 315:  KOMONDOR SIMULATION 'sim_input_nodes_n20_s35_cb4.csv2.csv' (seed 1992)</t>
  </si>
  <si>
    <t xml:space="preserve">	Line 319:  KOMONDOR SIMULATION 'sim_input_nodes_n20_s36_cb4.csv2.csv' (seed 1992)</t>
  </si>
  <si>
    <t xml:space="preserve">	Line 323:  KOMONDOR SIMULATION 'sim_input_nodes_n20_s37_cb4.csv2.csv' (seed 1992)</t>
  </si>
  <si>
    <t xml:space="preserve">	Line 327:  KOMONDOR SIMULATION 'sim_input_nodes_n20_s38_cb4.csv2.csv' (seed 1992)</t>
  </si>
  <si>
    <t xml:space="preserve">	Line 331:  KOMONDOR SIMULATION 'sim_input_nodes_n20_s39_cb4.csv2.csv' (seed 1992)</t>
  </si>
  <si>
    <t xml:space="preserve">	Line 335:  KOMONDOR SIMULATION 'sim_input_nodes_n20_s3_cb4.csv2.csv' (seed 1992)</t>
  </si>
  <si>
    <t xml:space="preserve">	Line 339:  KOMONDOR SIMULATION 'sim_input_nodes_n20_s40_cb4.csv2.csv' (seed 1992)</t>
  </si>
  <si>
    <t xml:space="preserve">	Line 343:  KOMONDOR SIMULATION 'sim_input_nodes_n20_s41_cb4.csv2.csv' (seed 1992)</t>
  </si>
  <si>
    <t xml:space="preserve">	Line 347:  KOMONDOR SIMULATION 'sim_input_nodes_n20_s42_cb4.csv2.csv' (seed 1992)</t>
  </si>
  <si>
    <t xml:space="preserve">	Line 351:  KOMONDOR SIMULATION 'sim_input_nodes_n20_s43_cb4.csv2.csv' (seed 1992)</t>
  </si>
  <si>
    <t xml:space="preserve">	Line 355:  KOMONDOR SIMULATION 'sim_input_nodes_n20_s44_cb4.csv2.csv' (seed 1992)</t>
  </si>
  <si>
    <t xml:space="preserve">	Line 359:  KOMONDOR SIMULATION 'sim_input_nodes_n20_s45_cb4.csv2.csv' (seed 1992)</t>
  </si>
  <si>
    <t xml:space="preserve">	Line 363:  KOMONDOR SIMULATION 'sim_input_nodes_n20_s46_cb4.csv2.csv' (seed 1992)</t>
  </si>
  <si>
    <t xml:space="preserve">	Line 367:  KOMONDOR SIMULATION 'sim_input_nodes_n20_s47_cb4.csv2.csv' (seed 1992)</t>
  </si>
  <si>
    <t xml:space="preserve">	Line 371:  KOMONDOR SIMULATION 'sim_input_nodes_n20_s48_cb4.csv2.csv' (seed 1992)</t>
  </si>
  <si>
    <t xml:space="preserve">	Line 375:  KOMONDOR SIMULATION 'sim_input_nodes_n20_s49_cb4.csv2.csv' (seed 1992)</t>
  </si>
  <si>
    <t xml:space="preserve">	Line 379:  KOMONDOR SIMULATION 'sim_input_nodes_n20_s4_cb4.csv2.csv' (seed 1992)</t>
  </si>
  <si>
    <t xml:space="preserve">	Line 383:  KOMONDOR SIMULATION 'sim_input_nodes_n20_s5_cb4.csv2.csv' (seed 1992)</t>
  </si>
  <si>
    <t xml:space="preserve">	Line 387:  KOMONDOR SIMULATION 'sim_input_nodes_n20_s6_cb4.csv2.csv' (seed 1992)</t>
  </si>
  <si>
    <t xml:space="preserve">	Line 391:  KOMONDOR SIMULATION 'sim_input_nodes_n20_s7_cb4.csv2.csv' (seed 1992)</t>
  </si>
  <si>
    <t xml:space="preserve">	Line 395:  KOMONDOR SIMULATION 'sim_input_nodes_n20_s8_cb4.csv2.csv' (seed 1992)</t>
  </si>
  <si>
    <t xml:space="preserve">	Line 399:  KOMONDOR SIMULATION 'sim_input_nodes_n20_s9_cb4.csv2.csv' (seed 1992)</t>
  </si>
  <si>
    <t xml:space="preserve">	Line 403:  KOMONDOR SIMULATION 'sim_input_nodes_n2_s0_cb4.csv2.csv' (seed 1992)</t>
  </si>
  <si>
    <t xml:space="preserve">	Line 407:  KOMONDOR SIMULATION 'sim_input_nodes_n2_s10_cb4.csv2.csv' (seed 1992)</t>
  </si>
  <si>
    <t xml:space="preserve">	Line 411:  KOMONDOR SIMULATION 'sim_input_nodes_n2_s11_cb4.csv2.csv' (seed 1992)</t>
  </si>
  <si>
    <t xml:space="preserve">	Line 415:  KOMONDOR SIMULATION 'sim_input_nodes_n2_s12_cb4.csv2.csv' (seed 1992)</t>
  </si>
  <si>
    <t xml:space="preserve">	Line 419:  KOMONDOR SIMULATION 'sim_input_nodes_n2_s13_cb4.csv2.csv' (seed 1992)</t>
  </si>
  <si>
    <t xml:space="preserve">	Line 423:  KOMONDOR SIMULATION 'sim_input_nodes_n2_s14_cb4.csv2.csv' (seed 1992)</t>
  </si>
  <si>
    <t xml:space="preserve">	Line 427:  KOMONDOR SIMULATION 'sim_input_nodes_n2_s15_cb4.csv2.csv' (seed 1992)</t>
  </si>
  <si>
    <t xml:space="preserve">	Line 431:  KOMONDOR SIMULATION 'sim_input_nodes_n2_s16_cb4.csv2.csv' (seed 1992)</t>
  </si>
  <si>
    <t xml:space="preserve">	Line 435:  KOMONDOR SIMULATION 'sim_input_nodes_n2_s17_cb4.csv2.csv' (seed 1992)</t>
  </si>
  <si>
    <t xml:space="preserve">	Line 439:  KOMONDOR SIMULATION 'sim_input_nodes_n2_s18_cb4.csv2.csv' (seed 1992)</t>
  </si>
  <si>
    <t xml:space="preserve">	Line 443:  KOMONDOR SIMULATION 'sim_input_nodes_n2_s19_cb4.csv2.csv' (seed 1992)</t>
  </si>
  <si>
    <t xml:space="preserve">	Line 447:  KOMONDOR SIMULATION 'sim_input_nodes_n2_s1_cb4.csv2.csv' (seed 1992)</t>
  </si>
  <si>
    <t xml:space="preserve">	Line 451:  KOMONDOR SIMULATION 'sim_input_nodes_n2_s20_cb4.csv2.csv' (seed 1992)</t>
  </si>
  <si>
    <t xml:space="preserve">	Line 455:  KOMONDOR SIMULATION 'sim_input_nodes_n2_s21_cb4.csv2.csv' (seed 1992)</t>
  </si>
  <si>
    <t xml:space="preserve">	Line 459:  KOMONDOR SIMULATION 'sim_input_nodes_n2_s22_cb4.csv2.csv' (seed 1992)</t>
  </si>
  <si>
    <t xml:space="preserve">	Line 463:  KOMONDOR SIMULATION 'sim_input_nodes_n2_s23_cb4.csv2.csv' (seed 1992)</t>
  </si>
  <si>
    <t xml:space="preserve">	Line 467:  KOMONDOR SIMULATION 'sim_input_nodes_n2_s24_cb4.csv2.csv' (seed 1992)</t>
  </si>
  <si>
    <t xml:space="preserve">	Line 471:  KOMONDOR SIMULATION 'sim_input_nodes_n2_s25_cb4.csv2.csv' (seed 1992)</t>
  </si>
  <si>
    <t xml:space="preserve">	Line 475:  KOMONDOR SIMULATION 'sim_input_nodes_n2_s26_cb4.csv2.csv' (seed 1992)</t>
  </si>
  <si>
    <t xml:space="preserve">	Line 479:  KOMONDOR SIMULATION 'sim_input_nodes_n2_s27_cb4.csv2.csv' (seed 1992)</t>
  </si>
  <si>
    <t xml:space="preserve">	Line 483:  KOMONDOR SIMULATION 'sim_input_nodes_n2_s28_cb4.csv2.csv' (seed 1992)</t>
  </si>
  <si>
    <t xml:space="preserve">	Line 487:  KOMONDOR SIMULATION 'sim_input_nodes_n2_s29_cb4.csv2.csv' (seed 1992)</t>
  </si>
  <si>
    <t xml:space="preserve">	Line 491:  KOMONDOR SIMULATION 'sim_input_nodes_n2_s2_cb4.csv2.csv' (seed 1992)</t>
  </si>
  <si>
    <t xml:space="preserve">	Line 495:  KOMONDOR SIMULATION 'sim_input_nodes_n2_s30_cb4.csv2.csv' (seed 1992)</t>
  </si>
  <si>
    <t xml:space="preserve">	Line 499:  KOMONDOR SIMULATION 'sim_input_nodes_n2_s31_cb4.csv2.csv' (seed 1992)</t>
  </si>
  <si>
    <t xml:space="preserve">	Line 503:  KOMONDOR SIMULATION 'sim_input_nodes_n2_s32_cb4.csv2.csv' (seed 1992)</t>
  </si>
  <si>
    <t xml:space="preserve">	Line 507:  KOMONDOR SIMULATION 'sim_input_nodes_n2_s33_cb4.csv2.csv' (seed 1992)</t>
  </si>
  <si>
    <t xml:space="preserve">	Line 511:  KOMONDOR SIMULATION 'sim_input_nodes_n2_s34_cb4.csv2.csv' (seed 1992)</t>
  </si>
  <si>
    <t xml:space="preserve">	Line 515:  KOMONDOR SIMULATION 'sim_input_nodes_n2_s35_cb4.csv2.csv' (seed 1992)</t>
  </si>
  <si>
    <t xml:space="preserve">	Line 519:  KOMONDOR SIMULATION 'sim_input_nodes_n2_s36_cb4.csv2.csv' (seed 1992)</t>
  </si>
  <si>
    <t xml:space="preserve">	Line 523:  KOMONDOR SIMULATION 'sim_input_nodes_n2_s37_cb4.csv2.csv' (seed 1992)</t>
  </si>
  <si>
    <t xml:space="preserve">	Line 527:  KOMONDOR SIMULATION 'sim_input_nodes_n2_s38_cb4.csv2.csv' (seed 1992)</t>
  </si>
  <si>
    <t xml:space="preserve">	Line 531:  KOMONDOR SIMULATION 'sim_input_nodes_n2_s39_cb4.csv2.csv' (seed 1992)</t>
  </si>
  <si>
    <t xml:space="preserve">	Line 535:  KOMONDOR SIMULATION 'sim_input_nodes_n2_s3_cb4.csv2.csv' (seed 1992)</t>
  </si>
  <si>
    <t xml:space="preserve">	Line 539:  KOMONDOR SIMULATION 'sim_input_nodes_n2_s40_cb4.csv2.csv' (seed 1992)</t>
  </si>
  <si>
    <t xml:space="preserve">	Line 543:  KOMONDOR SIMULATION 'sim_input_nodes_n2_s41_cb4.csv2.csv' (seed 1992)</t>
  </si>
  <si>
    <t xml:space="preserve">	Line 547:  KOMONDOR SIMULATION 'sim_input_nodes_n2_s42_cb4.csv2.csv' (seed 1992)</t>
  </si>
  <si>
    <t xml:space="preserve">	Line 551:  KOMONDOR SIMULATION 'sim_input_nodes_n2_s43_cb4.csv2.csv' (seed 1992)</t>
  </si>
  <si>
    <t xml:space="preserve">	Line 555:  KOMONDOR SIMULATION 'sim_input_nodes_n2_s44_cb4.csv2.csv' (seed 1992)</t>
  </si>
  <si>
    <t xml:space="preserve">	Line 559:  KOMONDOR SIMULATION 'sim_input_nodes_n2_s45_cb4.csv2.csv' (seed 1992)</t>
  </si>
  <si>
    <t xml:space="preserve">	Line 563:  KOMONDOR SIMULATION 'sim_input_nodes_n2_s46_cb4.csv2.csv' (seed 1992)</t>
  </si>
  <si>
    <t xml:space="preserve">	Line 567:  KOMONDOR SIMULATION 'sim_input_nodes_n2_s47_cb4.csv2.csv' (seed 1992)</t>
  </si>
  <si>
    <t xml:space="preserve">	Line 571:  KOMONDOR SIMULATION 'sim_input_nodes_n2_s48_cb4.csv2.csv' (seed 1992)</t>
  </si>
  <si>
    <t xml:space="preserve">	Line 575:  KOMONDOR SIMULATION 'sim_input_nodes_n2_s49_cb4.csv2.csv' (seed 1992)</t>
  </si>
  <si>
    <t xml:space="preserve">	Line 579:  KOMONDOR SIMULATION 'sim_input_nodes_n2_s4_cb4.csv2.csv' (seed 1992)</t>
  </si>
  <si>
    <t xml:space="preserve">	Line 583:  KOMONDOR SIMULATION 'sim_input_nodes_n2_s5_cb4.csv2.csv' (seed 1992)</t>
  </si>
  <si>
    <t xml:space="preserve">	Line 587:  KOMONDOR SIMULATION 'sim_input_nodes_n2_s6_cb4.csv2.csv' (seed 1992)</t>
  </si>
  <si>
    <t xml:space="preserve">	Line 591:  KOMONDOR SIMULATION 'sim_input_nodes_n2_s7_cb4.csv2.csv' (seed 1992)</t>
  </si>
  <si>
    <t xml:space="preserve">	Line 595:  KOMONDOR SIMULATION 'sim_input_nodes_n2_s8_cb4.csv2.csv' (seed 1992)</t>
  </si>
  <si>
    <t xml:space="preserve">	Line 599:  KOMONDOR SIMULATION 'sim_input_nodes_n2_s9_cb4.csv2.csv' (seed 1992)</t>
  </si>
  <si>
    <t xml:space="preserve">	Line 603:  KOMONDOR SIMULATION 'sim_input_nodes_n30_s0_cb4.csv2.csv' (seed 1992)</t>
  </si>
  <si>
    <t xml:space="preserve">	Line 607:  KOMONDOR SIMULATION 'sim_input_nodes_n30_s10_cb4.csv2.csv' (seed 1992)</t>
  </si>
  <si>
    <t xml:space="preserve">	Line 611:  KOMONDOR SIMULATION 'sim_input_nodes_n30_s11_cb4.csv2.csv' (seed 1992)</t>
  </si>
  <si>
    <t xml:space="preserve">	Line 615:  KOMONDOR SIMULATION 'sim_input_nodes_n30_s12_cb4.csv2.csv' (seed 1992)</t>
  </si>
  <si>
    <t xml:space="preserve">	Line 619:  KOMONDOR SIMULATION 'sim_input_nodes_n30_s13_cb4.csv2.csv' (seed 1992)</t>
  </si>
  <si>
    <t xml:space="preserve">	Line 623:  KOMONDOR SIMULATION 'sim_input_nodes_n30_s14_cb4.csv2.csv' (seed 1992)</t>
  </si>
  <si>
    <t xml:space="preserve">	Line 627:  KOMONDOR SIMULATION 'sim_input_nodes_n30_s15_cb4.csv2.csv' (seed 1992)</t>
  </si>
  <si>
    <t xml:space="preserve">	Line 631:  KOMONDOR SIMULATION 'sim_input_nodes_n30_s16_cb4.csv2.csv' (seed 1992)</t>
  </si>
  <si>
    <t xml:space="preserve">	Line 635:  KOMONDOR SIMULATION 'sim_input_nodes_n30_s17_cb4.csv2.csv' (seed 1992)</t>
  </si>
  <si>
    <t xml:space="preserve">	Line 639:  KOMONDOR SIMULATION 'sim_input_nodes_n30_s18_cb4.csv2.csv' (seed 1992)</t>
  </si>
  <si>
    <t xml:space="preserve">	Line 643:  KOMONDOR SIMULATION 'sim_input_nodes_n30_s19_cb4.csv2.csv' (seed 1992)</t>
  </si>
  <si>
    <t xml:space="preserve">	Line 647:  KOMONDOR SIMULATION 'sim_input_nodes_n30_s1_cb4.csv2.csv' (seed 1992)</t>
  </si>
  <si>
    <t xml:space="preserve">	Line 651:  KOMONDOR SIMULATION 'sim_input_nodes_n30_s20_cb4.csv2.csv' (seed 1992)</t>
  </si>
  <si>
    <t xml:space="preserve">	Line 655:  KOMONDOR SIMULATION 'sim_input_nodes_n30_s21_cb4.csv2.csv' (seed 1992)</t>
  </si>
  <si>
    <t xml:space="preserve">	Line 659:  KOMONDOR SIMULATION 'sim_input_nodes_n30_s22_cb4.csv2.csv' (seed 1992)</t>
  </si>
  <si>
    <t xml:space="preserve">	Line 663:  KOMONDOR SIMULATION 'sim_input_nodes_n30_s23_cb4.csv2.csv' (seed 1992)</t>
  </si>
  <si>
    <t xml:space="preserve">	Line 667:  KOMONDOR SIMULATION 'sim_input_nodes_n30_s24_cb4.csv2.csv' (seed 1992)</t>
  </si>
  <si>
    <t xml:space="preserve">	Line 671:  KOMONDOR SIMULATION 'sim_input_nodes_n30_s25_cb4.csv2.csv' (seed 1992)</t>
  </si>
  <si>
    <t xml:space="preserve">	Line 675:  KOMONDOR SIMULATION 'sim_input_nodes_n30_s26_cb4.csv2.csv' (seed 1992)</t>
  </si>
  <si>
    <t xml:space="preserve">	Line 679:  KOMONDOR SIMULATION 'sim_input_nodes_n30_s27_cb4.csv2.csv' (seed 1992)</t>
  </si>
  <si>
    <t xml:space="preserve">	Line 683:  KOMONDOR SIMULATION 'sim_input_nodes_n30_s28_cb4.csv2.csv' (seed 1992)</t>
  </si>
  <si>
    <t xml:space="preserve">	Line 687:  KOMONDOR SIMULATION 'sim_input_nodes_n30_s29_cb4.csv2.csv' (seed 1992)</t>
  </si>
  <si>
    <t xml:space="preserve">	Line 691:  KOMONDOR SIMULATION 'sim_input_nodes_n30_s2_cb4.csv2.csv' (seed 1992)</t>
  </si>
  <si>
    <t xml:space="preserve">	Line 695:  KOMONDOR SIMULATION 'sim_input_nodes_n30_s30_cb4.csv2.csv' (seed 1992)</t>
  </si>
  <si>
    <t xml:space="preserve">	Line 699:  KOMONDOR SIMULATION 'sim_input_nodes_n30_s31_cb4.csv2.csv' (seed 1992)</t>
  </si>
  <si>
    <t xml:space="preserve">	Line 703:  KOMONDOR SIMULATION 'sim_input_nodes_n30_s32_cb4.csv2.csv' (seed 1992)</t>
  </si>
  <si>
    <t xml:space="preserve">	Line 707:  KOMONDOR SIMULATION 'sim_input_nodes_n30_s33_cb4.csv2.csv' (seed 1992)</t>
  </si>
  <si>
    <t xml:space="preserve">	Line 711:  KOMONDOR SIMULATION 'sim_input_nodes_n30_s34_cb4.csv2.csv' (seed 1992)</t>
  </si>
  <si>
    <t xml:space="preserve">	Line 715:  KOMONDOR SIMULATION 'sim_input_nodes_n30_s35_cb4.csv2.csv' (seed 1992)</t>
  </si>
  <si>
    <t xml:space="preserve">	Line 719:  KOMONDOR SIMULATION 'sim_input_nodes_n30_s36_cb4.csv2.csv' (seed 1992)</t>
  </si>
  <si>
    <t xml:space="preserve">	Line 723:  KOMONDOR SIMULATION 'sim_input_nodes_n30_s37_cb4.csv2.csv' (seed 1992)</t>
  </si>
  <si>
    <t xml:space="preserve">	Line 727:  KOMONDOR SIMULATION 'sim_input_nodes_n30_s38_cb4.csv2.csv' (seed 1992)</t>
  </si>
  <si>
    <t xml:space="preserve">	Line 731:  KOMONDOR SIMULATION 'sim_input_nodes_n30_s39_cb4.csv2.csv' (seed 1992)</t>
  </si>
  <si>
    <t xml:space="preserve">	Line 735:  KOMONDOR SIMULATION 'sim_input_nodes_n30_s3_cb4.csv2.csv' (seed 1992)</t>
  </si>
  <si>
    <t xml:space="preserve">	Line 739:  KOMONDOR SIMULATION 'sim_input_nodes_n30_s40_cb4.csv2.csv' (seed 1992)</t>
  </si>
  <si>
    <t xml:space="preserve">	Line 743:  KOMONDOR SIMULATION 'sim_input_nodes_n30_s41_cb4.csv2.csv' (seed 1992)</t>
  </si>
  <si>
    <t xml:space="preserve">	Line 747:  KOMONDOR SIMULATION 'sim_input_nodes_n30_s42_cb4.csv2.csv' (seed 1992)</t>
  </si>
  <si>
    <t xml:space="preserve">	Line 751:  KOMONDOR SIMULATION 'sim_input_nodes_n30_s43_cb4.csv2.csv' (seed 1992)</t>
  </si>
  <si>
    <t xml:space="preserve">	Line 755:  KOMONDOR SIMULATION 'sim_input_nodes_n30_s44_cb4.csv2.csv' (seed 1992)</t>
  </si>
  <si>
    <t xml:space="preserve">	Line 759:  KOMONDOR SIMULATION 'sim_input_nodes_n30_s45_cb4.csv2.csv' (seed 1992)</t>
  </si>
  <si>
    <t xml:space="preserve">	Line 763:  KOMONDOR SIMULATION 'sim_input_nodes_n30_s46_cb4.csv2.csv' (seed 1992)</t>
  </si>
  <si>
    <t xml:space="preserve">	Line 767:  KOMONDOR SIMULATION 'sim_input_nodes_n30_s47_cb4.csv2.csv' (seed 1992)</t>
  </si>
  <si>
    <t xml:space="preserve">	Line 771:  KOMONDOR SIMULATION 'sim_input_nodes_n30_s48_cb4.csv2.csv' (seed 1992)</t>
  </si>
  <si>
    <t xml:space="preserve">	Line 775:  KOMONDOR SIMULATION 'sim_input_nodes_n30_s49_cb4.csv2.csv' (seed 1992)</t>
  </si>
  <si>
    <t xml:space="preserve">	Line 779:  KOMONDOR SIMULATION 'sim_input_nodes_n30_s4_cb4.csv2.csv' (seed 1992)</t>
  </si>
  <si>
    <t xml:space="preserve">	Line 783:  KOMONDOR SIMULATION 'sim_input_nodes_n30_s5_cb4.csv2.csv' (seed 1992)</t>
  </si>
  <si>
    <t xml:space="preserve">	Line 787:  KOMONDOR SIMULATION 'sim_input_nodes_n30_s6_cb4.csv2.csv' (seed 1992)</t>
  </si>
  <si>
    <t xml:space="preserve">	Line 791:  KOMONDOR SIMULATION 'sim_input_nodes_n30_s7_cb4.csv2.csv' (seed 1992)</t>
  </si>
  <si>
    <t xml:space="preserve">	Line 795:  KOMONDOR SIMULATION 'sim_input_nodes_n30_s8_cb4.csv2.csv' (seed 1992)</t>
  </si>
  <si>
    <t xml:space="preserve">	Line 799:  KOMONDOR SIMULATION 'sim_input_nodes_n30_s9_cb4.csv2.csv' (seed 1992)</t>
  </si>
  <si>
    <t xml:space="preserve">	Line 803:  KOMONDOR SIMULATION 'sim_input_nodes_n40_s0_cb4.csv2.csv' (seed 1992)</t>
  </si>
  <si>
    <t xml:space="preserve">	Line 807:  KOMONDOR SIMULATION 'sim_input_nodes_n40_s10_cb4.csv2.csv' (seed 1992)</t>
  </si>
  <si>
    <t xml:space="preserve">	Line 811:  KOMONDOR SIMULATION 'sim_input_nodes_n40_s11_cb4.csv2.csv' (seed 1992)</t>
  </si>
  <si>
    <t xml:space="preserve">	Line 815:  KOMONDOR SIMULATION 'sim_input_nodes_n40_s12_cb4.csv2.csv' (seed 1992)</t>
  </si>
  <si>
    <t xml:space="preserve">	Line 819:  KOMONDOR SIMULATION 'sim_input_nodes_n40_s13_cb4.csv2.csv' (seed 1992)</t>
  </si>
  <si>
    <t xml:space="preserve">	Line 823:  KOMONDOR SIMULATION 'sim_input_nodes_n40_s14_cb4.csv2.csv' (seed 1992)</t>
  </si>
  <si>
    <t xml:space="preserve">	Line 827:  KOMONDOR SIMULATION 'sim_input_nodes_n40_s15_cb4.csv2.csv' (seed 1992)</t>
  </si>
  <si>
    <t xml:space="preserve">	Line 831:  KOMONDOR SIMULATION 'sim_input_nodes_n40_s16_cb4.csv2.csv' (seed 1992)</t>
  </si>
  <si>
    <t xml:space="preserve">	Line 835:  KOMONDOR SIMULATION 'sim_input_nodes_n40_s17_cb4.csv2.csv' (seed 1992)</t>
  </si>
  <si>
    <t xml:space="preserve">	Line 839:  KOMONDOR SIMULATION 'sim_input_nodes_n40_s18_cb4.csv2.csv' (seed 1992)</t>
  </si>
  <si>
    <t xml:space="preserve">	Line 843:  KOMONDOR SIMULATION 'sim_input_nodes_n40_s19_cb4.csv2.csv' (seed 1992)</t>
  </si>
  <si>
    <t xml:space="preserve">	Line 847:  KOMONDOR SIMULATION 'sim_input_nodes_n40_s1_cb4.csv2.csv' (seed 1992)</t>
  </si>
  <si>
    <t xml:space="preserve">	Line 851:  KOMONDOR SIMULATION 'sim_input_nodes_n40_s20_cb4.csv2.csv' (seed 1992)</t>
  </si>
  <si>
    <t xml:space="preserve">	Line 855:  KOMONDOR SIMULATION 'sim_input_nodes_n40_s21_cb4.csv2.csv' (seed 1992)</t>
  </si>
  <si>
    <t xml:space="preserve">	Line 859:  KOMONDOR SIMULATION 'sim_input_nodes_n40_s22_cb4.csv2.csv' (seed 1992)</t>
  </si>
  <si>
    <t xml:space="preserve">	Line 863:  KOMONDOR SIMULATION 'sim_input_nodes_n40_s23_cb4.csv2.csv' (seed 1992)</t>
  </si>
  <si>
    <t xml:space="preserve">	Line 867:  KOMONDOR SIMULATION 'sim_input_nodes_n40_s24_cb4.csv2.csv' (seed 1992)</t>
  </si>
  <si>
    <t xml:space="preserve">	Line 871:  KOMONDOR SIMULATION 'sim_input_nodes_n40_s25_cb4.csv2.csv' (seed 1992)</t>
  </si>
  <si>
    <t xml:space="preserve">	Line 875:  KOMONDOR SIMULATION 'sim_input_nodes_n40_s26_cb4.csv2.csv' (seed 1992)</t>
  </si>
  <si>
    <t xml:space="preserve">	Line 879:  KOMONDOR SIMULATION 'sim_input_nodes_n40_s27_cb4.csv2.csv' (seed 1992)</t>
  </si>
  <si>
    <t xml:space="preserve">	Line 883:  KOMONDOR SIMULATION 'sim_input_nodes_n40_s28_cb4.csv2.csv' (seed 1992)</t>
  </si>
  <si>
    <t xml:space="preserve">	Line 887:  KOMONDOR SIMULATION 'sim_input_nodes_n40_s29_cb4.csv2.csv' (seed 1992)</t>
  </si>
  <si>
    <t xml:space="preserve">	Line 891:  KOMONDOR SIMULATION 'sim_input_nodes_n40_s2_cb4.csv2.csv' (seed 1992)</t>
  </si>
  <si>
    <t xml:space="preserve">	Line 895:  KOMONDOR SIMULATION 'sim_input_nodes_n40_s30_cb4.csv2.csv' (seed 1992)</t>
  </si>
  <si>
    <t xml:space="preserve">	Line 899:  KOMONDOR SIMULATION 'sim_input_nodes_n40_s31_cb4.csv2.csv' (seed 1992)</t>
  </si>
  <si>
    <t xml:space="preserve">	Line 903:  KOMONDOR SIMULATION 'sim_input_nodes_n40_s32_cb4.csv2.csv' (seed 1992)</t>
  </si>
  <si>
    <t xml:space="preserve">	Line 907:  KOMONDOR SIMULATION 'sim_input_nodes_n40_s33_cb4.csv2.csv' (seed 1992)</t>
  </si>
  <si>
    <t xml:space="preserve">	Line 911:  KOMONDOR SIMULATION 'sim_input_nodes_n40_s34_cb4.csv2.csv' (seed 1992)</t>
  </si>
  <si>
    <t xml:space="preserve">	Line 915:  KOMONDOR SIMULATION 'sim_input_nodes_n40_s35_cb4.csv2.csv' (seed 1992)</t>
  </si>
  <si>
    <t xml:space="preserve">	Line 919:  KOMONDOR SIMULATION 'sim_input_nodes_n40_s36_cb4.csv2.csv' (seed 1992)</t>
  </si>
  <si>
    <t xml:space="preserve">	Line 923:  KOMONDOR SIMULATION 'sim_input_nodes_n40_s37_cb4.csv2.csv' (seed 1992)</t>
  </si>
  <si>
    <t xml:space="preserve">	Line 927:  KOMONDOR SIMULATION 'sim_input_nodes_n40_s38_cb4.csv2.csv' (seed 1992)</t>
  </si>
  <si>
    <t xml:space="preserve">	Line 931:  KOMONDOR SIMULATION 'sim_input_nodes_n40_s39_cb4.csv2.csv' (seed 1992)</t>
  </si>
  <si>
    <t xml:space="preserve">	Line 935:  KOMONDOR SIMULATION 'sim_input_nodes_n40_s3_cb4.csv2.csv' (seed 1992)</t>
  </si>
  <si>
    <t xml:space="preserve">	Line 939:  KOMONDOR SIMULATION 'sim_input_nodes_n40_s40_cb4.csv2.csv' (seed 1992)</t>
  </si>
  <si>
    <t xml:space="preserve">	Line 943:  KOMONDOR SIMULATION 'sim_input_nodes_n40_s41_cb4.csv2.csv' (seed 1992)</t>
  </si>
  <si>
    <t xml:space="preserve">	Line 947:  KOMONDOR SIMULATION 'sim_input_nodes_n40_s42_cb4.csv2.csv' (seed 1992)</t>
  </si>
  <si>
    <t xml:space="preserve">	Line 951:  KOMONDOR SIMULATION 'sim_input_nodes_n40_s43_cb4.csv2.csv' (seed 1992)</t>
  </si>
  <si>
    <t xml:space="preserve">	Line 955:  KOMONDOR SIMULATION 'sim_input_nodes_n40_s44_cb4.csv2.csv' (seed 1992)</t>
  </si>
  <si>
    <t xml:space="preserve">	Line 959:  KOMONDOR SIMULATION 'sim_input_nodes_n40_s45_cb4.csv2.csv' (seed 1992)</t>
  </si>
  <si>
    <t xml:space="preserve">	Line 963:  KOMONDOR SIMULATION 'sim_input_nodes_n40_s46_cb4.csv2.csv' (seed 1992)</t>
  </si>
  <si>
    <t xml:space="preserve">	Line 967:  KOMONDOR SIMULATION 'sim_input_nodes_n40_s47_cb4.csv2.csv' (seed 1992)</t>
  </si>
  <si>
    <t xml:space="preserve">	Line 971:  KOMONDOR SIMULATION 'sim_input_nodes_n40_s48_cb4.csv2.csv' (seed 1992)</t>
  </si>
  <si>
    <t xml:space="preserve">	Line 975:  KOMONDOR SIMULATION 'sim_input_nodes_n40_s49_cb4.csv2.csv' (seed 1992)</t>
  </si>
  <si>
    <t xml:space="preserve">	Line 979:  KOMONDOR SIMULATION 'sim_input_nodes_n40_s4_cb4.csv2.csv' (seed 1992)</t>
  </si>
  <si>
    <t xml:space="preserve">	Line 983:  KOMONDOR SIMULATION 'sim_input_nodes_n40_s5_cb4.csv2.csv' (seed 1992)</t>
  </si>
  <si>
    <t xml:space="preserve">	Line 987:  KOMONDOR SIMULATION 'sim_input_nodes_n40_s6_cb4.csv2.csv' (seed 1992)</t>
  </si>
  <si>
    <t xml:space="preserve">	Line 991:  KOMONDOR SIMULATION 'sim_input_nodes_n40_s7_cb4.csv2.csv' (seed 1992)</t>
  </si>
  <si>
    <t xml:space="preserve">	Line 995:  KOMONDOR SIMULATION 'sim_input_nodes_n40_s8_cb4.csv2.csv' (seed 1992)</t>
  </si>
  <si>
    <t xml:space="preserve">	Line 999:  KOMONDOR SIMULATION 'sim_input_nodes_n40_s9_cb4.csv2.csv' (seed 1992)</t>
  </si>
  <si>
    <t xml:space="preserve">	Line 1003:  KOMONDOR SIMULATION 'sim_input_nodes_n5_s0_cb4.csv2.csv' (seed 1992)</t>
  </si>
  <si>
    <t xml:space="preserve">	Line 1007:  KOMONDOR SIMULATION 'sim_input_nodes_n5_s10_cb4.csv2.csv' (seed 1992)</t>
  </si>
  <si>
    <t xml:space="preserve">	Line 1011:  KOMONDOR SIMULATION 'sim_input_nodes_n5_s11_cb4.csv2.csv' (seed 1992)</t>
  </si>
  <si>
    <t xml:space="preserve">	Line 1015:  KOMONDOR SIMULATION 'sim_input_nodes_n5_s12_cb4.csv2.csv' (seed 1992)</t>
  </si>
  <si>
    <t xml:space="preserve">	Line 1019:  KOMONDOR SIMULATION 'sim_input_nodes_n5_s13_cb4.csv2.csv' (seed 1992)</t>
  </si>
  <si>
    <t xml:space="preserve">	Line 1023:  KOMONDOR SIMULATION 'sim_input_nodes_n5_s14_cb4.csv2.csv' (seed 1992)</t>
  </si>
  <si>
    <t xml:space="preserve">	Line 1027:  KOMONDOR SIMULATION 'sim_input_nodes_n5_s15_cb4.csv2.csv' (seed 1992)</t>
  </si>
  <si>
    <t xml:space="preserve">	Line 1031:  KOMONDOR SIMULATION 'sim_input_nodes_n5_s16_cb4.csv2.csv' (seed 1992)</t>
  </si>
  <si>
    <t xml:space="preserve">	Line 1035:  KOMONDOR SIMULATION 'sim_input_nodes_n5_s17_cb4.csv2.csv' (seed 1992)</t>
  </si>
  <si>
    <t xml:space="preserve">	Line 1039:  KOMONDOR SIMULATION 'sim_input_nodes_n5_s18_cb4.csv2.csv' (seed 1992)</t>
  </si>
  <si>
    <t xml:space="preserve">	Line 1043:  KOMONDOR SIMULATION 'sim_input_nodes_n5_s19_cb4.csv2.csv' (seed 1992)</t>
  </si>
  <si>
    <t xml:space="preserve">	Line 1047:  KOMONDOR SIMULATION 'sim_input_nodes_n5_s1_cb4.csv2.csv' (seed 1992)</t>
  </si>
  <si>
    <t xml:space="preserve">	Line 1051:  KOMONDOR SIMULATION 'sim_input_nodes_n5_s20_cb4.csv2.csv' (seed 1992)</t>
  </si>
  <si>
    <t xml:space="preserve">	Line 1055:  KOMONDOR SIMULATION 'sim_input_nodes_n5_s21_cb4.csv2.csv' (seed 1992)</t>
  </si>
  <si>
    <t xml:space="preserve">	Line 1059:  KOMONDOR SIMULATION 'sim_input_nodes_n5_s22_cb4.csv2.csv' (seed 1992)</t>
  </si>
  <si>
    <t xml:space="preserve">	Line 1063:  KOMONDOR SIMULATION 'sim_input_nodes_n5_s23_cb4.csv2.csv' (seed 1992)</t>
  </si>
  <si>
    <t xml:space="preserve">	Line 1067:  KOMONDOR SIMULATION 'sim_input_nodes_n5_s24_cb4.csv2.csv' (seed 1992)</t>
  </si>
  <si>
    <t xml:space="preserve">	Line 1071:  KOMONDOR SIMULATION 'sim_input_nodes_n5_s25_cb4.csv2.csv' (seed 1992)</t>
  </si>
  <si>
    <t xml:space="preserve">	Line 1075:  KOMONDOR SIMULATION 'sim_input_nodes_n5_s26_cb4.csv2.csv' (seed 1992)</t>
  </si>
  <si>
    <t xml:space="preserve">	Line 1079:  KOMONDOR SIMULATION 'sim_input_nodes_n5_s27_cb4.csv2.csv' (seed 1992)</t>
  </si>
  <si>
    <t xml:space="preserve">	Line 1083:  KOMONDOR SIMULATION 'sim_input_nodes_n5_s28_cb4.csv2.csv' (seed 1992)</t>
  </si>
  <si>
    <t xml:space="preserve">	Line 1087:  KOMONDOR SIMULATION 'sim_input_nodes_n5_s29_cb4.csv2.csv' (seed 1992)</t>
  </si>
  <si>
    <t xml:space="preserve">	Line 1091:  KOMONDOR SIMULATION 'sim_input_nodes_n5_s2_cb4.csv2.csv' (seed 1992)</t>
  </si>
  <si>
    <t xml:space="preserve">	Line 1095:  KOMONDOR SIMULATION 'sim_input_nodes_n5_s30_cb4.csv2.csv' (seed 1992)</t>
  </si>
  <si>
    <t xml:space="preserve">	Line 1099:  KOMONDOR SIMULATION 'sim_input_nodes_n5_s31_cb4.csv2.csv' (seed 1992)</t>
  </si>
  <si>
    <t xml:space="preserve">	Line 1103:  KOMONDOR SIMULATION 'sim_input_nodes_n5_s32_cb4.csv2.csv' (seed 1992)</t>
  </si>
  <si>
    <t xml:space="preserve">	Line 1107:  KOMONDOR SIMULATION 'sim_input_nodes_n5_s33_cb4.csv2.csv' (seed 1992)</t>
  </si>
  <si>
    <t xml:space="preserve">	Line 1111:  KOMONDOR SIMULATION 'sim_input_nodes_n5_s34_cb4.csv2.csv' (seed 1992)</t>
  </si>
  <si>
    <t xml:space="preserve">	Line 1115:  KOMONDOR SIMULATION 'sim_input_nodes_n5_s35_cb4.csv2.csv' (seed 1992)</t>
  </si>
  <si>
    <t xml:space="preserve">	Line 1119:  KOMONDOR SIMULATION 'sim_input_nodes_n5_s36_cb4.csv2.csv' (seed 1992)</t>
  </si>
  <si>
    <t xml:space="preserve">	Line 1123:  KOMONDOR SIMULATION 'sim_input_nodes_n5_s37_cb4.csv2.csv' (seed 1992)</t>
  </si>
  <si>
    <t xml:space="preserve">	Line 1127:  KOMONDOR SIMULATION 'sim_input_nodes_n5_s38_cb4.csv2.csv' (seed 1992)</t>
  </si>
  <si>
    <t xml:space="preserve">	Line 1131:  KOMONDOR SIMULATION 'sim_input_nodes_n5_s39_cb4.csv2.csv' (seed 1992)</t>
  </si>
  <si>
    <t xml:space="preserve">	Line 1135:  KOMONDOR SIMULATION 'sim_input_nodes_n5_s3_cb4.csv2.csv' (seed 1992)</t>
  </si>
  <si>
    <t xml:space="preserve">	Line 1139:  KOMONDOR SIMULATION 'sim_input_nodes_n5_s40_cb4.csv2.csv' (seed 1992)</t>
  </si>
  <si>
    <t xml:space="preserve">	Line 1143:  KOMONDOR SIMULATION 'sim_input_nodes_n5_s41_cb4.csv2.csv' (seed 1992)</t>
  </si>
  <si>
    <t xml:space="preserve">	Line 1147:  KOMONDOR SIMULATION 'sim_input_nodes_n5_s42_cb4.csv2.csv' (seed 1992)</t>
  </si>
  <si>
    <t xml:space="preserve">	Line 1151:  KOMONDOR SIMULATION 'sim_input_nodes_n5_s43_cb4.csv2.csv' (seed 1992)</t>
  </si>
  <si>
    <t xml:space="preserve">	Line 1155:  KOMONDOR SIMULATION 'sim_input_nodes_n5_s44_cb4.csv2.csv' (seed 1992)</t>
  </si>
  <si>
    <t xml:space="preserve">	Line 1159:  KOMONDOR SIMULATION 'sim_input_nodes_n5_s45_cb4.csv2.csv' (seed 1992)</t>
  </si>
  <si>
    <t xml:space="preserve">	Line 1163:  KOMONDOR SIMULATION 'sim_input_nodes_n5_s46_cb4.csv2.csv' (seed 1992)</t>
  </si>
  <si>
    <t xml:space="preserve">	Line 1167:  KOMONDOR SIMULATION 'sim_input_nodes_n5_s47_cb4.csv2.csv' (seed 1992)</t>
  </si>
  <si>
    <t xml:space="preserve">	Line 1171:  KOMONDOR SIMULATION 'sim_input_nodes_n5_s48_cb4.csv2.csv' (seed 1992)</t>
  </si>
  <si>
    <t xml:space="preserve">	Line 1175:  KOMONDOR SIMULATION 'sim_input_nodes_n5_s49_cb4.csv2.csv' (seed 1992)</t>
  </si>
  <si>
    <t xml:space="preserve">	Line 1179:  KOMONDOR SIMULATION 'sim_input_nodes_n5_s4_cb4.csv2.csv' (seed 1992)</t>
  </si>
  <si>
    <t xml:space="preserve">	Line 1183:  KOMONDOR SIMULATION 'sim_input_nodes_n5_s5_cb4.csv2.csv' (seed 1992)</t>
  </si>
  <si>
    <t xml:space="preserve">	Line 1187:  KOMONDOR SIMULATION 'sim_input_nodes_n5_s6_cb4.csv2.csv' (seed 1992)</t>
  </si>
  <si>
    <t xml:space="preserve">	Line 1191:  KOMONDOR SIMULATION 'sim_input_nodes_n5_s7_cb4.csv2.csv' (seed 1992)</t>
  </si>
  <si>
    <t xml:space="preserve">	Line 1195:  KOMONDOR SIMULATION 'sim_input_nodes_n5_s8_cb4.csv2.csv' (seed 1992)</t>
  </si>
  <si>
    <t xml:space="preserve">	Line 1199:  KOMONDOR SIMULATION 'sim_input_nodes_n5_s9_cb4.csv2.csv' (seed 1992)</t>
  </si>
  <si>
    <t xml:space="preserve">	Line 4:  KOMONDOR SIMULATION 'sim_input_nodes_n10_s0_cb6.csv2.csv' (seed 1992)</t>
  </si>
  <si>
    <t xml:space="preserve">	Line 8:  KOMONDOR SIMULATION 'sim_input_nodes_n10_s10_cb6.csv2.csv' (seed 1992)</t>
  </si>
  <si>
    <t xml:space="preserve">	Line 12:  KOMONDOR SIMULATION 'sim_input_nodes_n10_s11_cb6.csv2.csv' (seed 1992)</t>
  </si>
  <si>
    <t xml:space="preserve">	Line 16:  KOMONDOR SIMULATION 'sim_input_nodes_n10_s12_cb6.csv2.csv' (seed 1992)</t>
  </si>
  <si>
    <t xml:space="preserve">	Line 20:  KOMONDOR SIMULATION 'sim_input_nodes_n10_s13_cb6.csv2.csv' (seed 1992)</t>
  </si>
  <si>
    <t xml:space="preserve">	Line 24:  KOMONDOR SIMULATION 'sim_input_nodes_n10_s14_cb6.csv2.csv' (seed 1992)</t>
  </si>
  <si>
    <t xml:space="preserve">	Line 28:  KOMONDOR SIMULATION 'sim_input_nodes_n10_s15_cb6.csv2.csv' (seed 1992)</t>
  </si>
  <si>
    <t xml:space="preserve">	Line 32:  KOMONDOR SIMULATION 'sim_input_nodes_n10_s16_cb6.csv2.csv' (seed 1992)</t>
  </si>
  <si>
    <t xml:space="preserve">	Line 36:  KOMONDOR SIMULATION 'sim_input_nodes_n10_s17_cb6.csv2.csv' (seed 1992)</t>
  </si>
  <si>
    <t xml:space="preserve">	Line 40:  KOMONDOR SIMULATION 'sim_input_nodes_n10_s18_cb6.csv2.csv' (seed 1992)</t>
  </si>
  <si>
    <t xml:space="preserve">	Line 44:  KOMONDOR SIMULATION 'sim_input_nodes_n10_s19_cb6.csv2.csv' (seed 1992)</t>
  </si>
  <si>
    <t xml:space="preserve">	Line 48:  KOMONDOR SIMULATION 'sim_input_nodes_n10_s1_cb6.csv2.csv' (seed 1992)</t>
  </si>
  <si>
    <t xml:space="preserve">	Line 52:  KOMONDOR SIMULATION 'sim_input_nodes_n10_s20_cb6.csv2.csv' (seed 1992)</t>
  </si>
  <si>
    <t xml:space="preserve">	Line 56:  KOMONDOR SIMULATION 'sim_input_nodes_n10_s21_cb6.csv2.csv' (seed 1992)</t>
  </si>
  <si>
    <t xml:space="preserve">	Line 60:  KOMONDOR SIMULATION 'sim_input_nodes_n10_s22_cb6.csv2.csv' (seed 1992)</t>
  </si>
  <si>
    <t xml:space="preserve">	Line 64:  KOMONDOR SIMULATION 'sim_input_nodes_n10_s23_cb6.csv2.csv' (seed 1992)</t>
  </si>
  <si>
    <t xml:space="preserve">	Line 68:  KOMONDOR SIMULATION 'sim_input_nodes_n10_s24_cb6.csv2.csv' (seed 1992)</t>
  </si>
  <si>
    <t xml:space="preserve">	Line 72:  KOMONDOR SIMULATION 'sim_input_nodes_n10_s25_cb6.csv2.csv' (seed 1992)</t>
  </si>
  <si>
    <t xml:space="preserve">	Line 76:  KOMONDOR SIMULATION 'sim_input_nodes_n10_s26_cb6.csv2.csv' (seed 1992)</t>
  </si>
  <si>
    <t xml:space="preserve">	Line 80:  KOMONDOR SIMULATION 'sim_input_nodes_n10_s27_cb6.csv2.csv' (seed 1992)</t>
  </si>
  <si>
    <t xml:space="preserve">	Line 84:  KOMONDOR SIMULATION 'sim_input_nodes_n10_s28_cb6.csv2.csv' (seed 1992)</t>
  </si>
  <si>
    <t xml:space="preserve">	Line 88:  KOMONDOR SIMULATION 'sim_input_nodes_n10_s29_cb6.csv2.csv' (seed 1992)</t>
  </si>
  <si>
    <t xml:space="preserve">	Line 92:  KOMONDOR SIMULATION 'sim_input_nodes_n10_s2_cb6.csv2.csv' (seed 1992)</t>
  </si>
  <si>
    <t xml:space="preserve">	Line 96:  KOMONDOR SIMULATION 'sim_input_nodes_n10_s30_cb6.csv2.csv' (seed 1992)</t>
  </si>
  <si>
    <t xml:space="preserve">	Line 100:  KOMONDOR SIMULATION 'sim_input_nodes_n10_s31_cb6.csv2.csv' (seed 1992)</t>
  </si>
  <si>
    <t xml:space="preserve">	Line 104:  KOMONDOR SIMULATION 'sim_input_nodes_n10_s32_cb6.csv2.csv' (seed 1992)</t>
  </si>
  <si>
    <t xml:space="preserve">	Line 108:  KOMONDOR SIMULATION 'sim_input_nodes_n10_s33_cb6.csv2.csv' (seed 1992)</t>
  </si>
  <si>
    <t xml:space="preserve">	Line 112:  KOMONDOR SIMULATION 'sim_input_nodes_n10_s34_cb6.csv2.csv' (seed 1992)</t>
  </si>
  <si>
    <t xml:space="preserve">	Line 116:  KOMONDOR SIMULATION 'sim_input_nodes_n10_s35_cb6.csv2.csv' (seed 1992)</t>
  </si>
  <si>
    <t xml:space="preserve">	Line 120:  KOMONDOR SIMULATION 'sim_input_nodes_n10_s36_cb6.csv2.csv' (seed 1992)</t>
  </si>
  <si>
    <t xml:space="preserve">	Line 124:  KOMONDOR SIMULATION 'sim_input_nodes_n10_s37_cb6.csv2.csv' (seed 1992)</t>
  </si>
  <si>
    <t xml:space="preserve">	Line 128:  KOMONDOR SIMULATION 'sim_input_nodes_n10_s38_cb6.csv2.csv' (seed 1992)</t>
  </si>
  <si>
    <t xml:space="preserve">	Line 132:  KOMONDOR SIMULATION 'sim_input_nodes_n10_s39_cb6.csv2.csv' (seed 1992)</t>
  </si>
  <si>
    <t xml:space="preserve">	Line 136:  KOMONDOR SIMULATION 'sim_input_nodes_n10_s3_cb6.csv2.csv' (seed 1992)</t>
  </si>
  <si>
    <t xml:space="preserve">	Line 140:  KOMONDOR SIMULATION 'sim_input_nodes_n10_s40_cb6.csv2.csv' (seed 1992)</t>
  </si>
  <si>
    <t xml:space="preserve">	Line 144:  KOMONDOR SIMULATION 'sim_input_nodes_n10_s41_cb6.csv2.csv' (seed 1992)</t>
  </si>
  <si>
    <t xml:space="preserve">	Line 148:  KOMONDOR SIMULATION 'sim_input_nodes_n10_s42_cb6.csv2.csv' (seed 1992)</t>
  </si>
  <si>
    <t xml:space="preserve">	Line 152:  KOMONDOR SIMULATION 'sim_input_nodes_n10_s43_cb6.csv2.csv' (seed 1992)</t>
  </si>
  <si>
    <t xml:space="preserve">	Line 156:  KOMONDOR SIMULATION 'sim_input_nodes_n10_s44_cb6.csv2.csv' (seed 1992)</t>
  </si>
  <si>
    <t xml:space="preserve">	Line 160:  KOMONDOR SIMULATION 'sim_input_nodes_n10_s45_cb6.csv2.csv' (seed 1992)</t>
  </si>
  <si>
    <t xml:space="preserve">	Line 164:  KOMONDOR SIMULATION 'sim_input_nodes_n10_s46_cb6.csv2.csv' (seed 1992)</t>
  </si>
  <si>
    <t xml:space="preserve">	Line 168:  KOMONDOR SIMULATION 'sim_input_nodes_n10_s47_cb6.csv2.csv' (seed 1992)</t>
  </si>
  <si>
    <t xml:space="preserve">	Line 172:  KOMONDOR SIMULATION 'sim_input_nodes_n10_s48_cb6.csv2.csv' (seed 1992)</t>
  </si>
  <si>
    <t xml:space="preserve">	Line 176:  KOMONDOR SIMULATION 'sim_input_nodes_n10_s49_cb6.csv2.csv' (seed 1992)</t>
  </si>
  <si>
    <t xml:space="preserve">	Line 180:  KOMONDOR SIMULATION 'sim_input_nodes_n10_s4_cb6.csv2.csv' (seed 1992)</t>
  </si>
  <si>
    <t xml:space="preserve">	Line 184:  KOMONDOR SIMULATION 'sim_input_nodes_n10_s5_cb6.csv2.csv' (seed 1992)</t>
  </si>
  <si>
    <t xml:space="preserve">	Line 188:  KOMONDOR SIMULATION 'sim_input_nodes_n10_s6_cb6.csv2.csv' (seed 1992)</t>
  </si>
  <si>
    <t xml:space="preserve">	Line 192:  KOMONDOR SIMULATION 'sim_input_nodes_n10_s7_cb6.csv2.csv' (seed 1992)</t>
  </si>
  <si>
    <t xml:space="preserve">	Line 196:  KOMONDOR SIMULATION 'sim_input_nodes_n10_s8_cb6.csv2.csv' (seed 1992)</t>
  </si>
  <si>
    <t xml:space="preserve">	Line 200:  KOMONDOR SIMULATION 'sim_input_nodes_n10_s9_cb6.csv2.csv' (seed 1992)</t>
  </si>
  <si>
    <t xml:space="preserve">	Line 204:  KOMONDOR SIMULATION 'sim_input_nodes_n20_s0_cb6.csv2.csv' (seed 1992)</t>
  </si>
  <si>
    <t xml:space="preserve">	Line 208:  KOMONDOR SIMULATION 'sim_input_nodes_n20_s10_cb6.csv2.csv' (seed 1992)</t>
  </si>
  <si>
    <t xml:space="preserve">	Line 212:  KOMONDOR SIMULATION 'sim_input_nodes_n20_s11_cb6.csv2.csv' (seed 1992)</t>
  </si>
  <si>
    <t xml:space="preserve">	Line 216:  KOMONDOR SIMULATION 'sim_input_nodes_n20_s12_cb6.csv2.csv' (seed 1992)</t>
  </si>
  <si>
    <t xml:space="preserve">	Line 220:  KOMONDOR SIMULATION 'sim_input_nodes_n20_s13_cb6.csv2.csv' (seed 1992)</t>
  </si>
  <si>
    <t xml:space="preserve">	Line 224:  KOMONDOR SIMULATION 'sim_input_nodes_n20_s14_cb6.csv2.csv' (seed 1992)</t>
  </si>
  <si>
    <t xml:space="preserve">	Line 228:  KOMONDOR SIMULATION 'sim_input_nodes_n20_s15_cb6.csv2.csv' (seed 1992)</t>
  </si>
  <si>
    <t xml:space="preserve">	Line 232:  KOMONDOR SIMULATION 'sim_input_nodes_n20_s16_cb6.csv2.csv' (seed 1992)</t>
  </si>
  <si>
    <t xml:space="preserve">	Line 236:  KOMONDOR SIMULATION 'sim_input_nodes_n20_s17_cb6.csv2.csv' (seed 1992)</t>
  </si>
  <si>
    <t xml:space="preserve">	Line 240:  KOMONDOR SIMULATION 'sim_input_nodes_n20_s18_cb6.csv2.csv' (seed 1992)</t>
  </si>
  <si>
    <t xml:space="preserve">	Line 244:  KOMONDOR SIMULATION 'sim_input_nodes_n20_s19_cb6.csv2.csv' (seed 1992)</t>
  </si>
  <si>
    <t xml:space="preserve">	Line 248:  KOMONDOR SIMULATION 'sim_input_nodes_n20_s1_cb6.csv2.csv' (seed 1992)</t>
  </si>
  <si>
    <t xml:space="preserve">	Line 252:  KOMONDOR SIMULATION 'sim_input_nodes_n20_s20_cb6.csv2.csv' (seed 1992)</t>
  </si>
  <si>
    <t xml:space="preserve">	Line 256:  KOMONDOR SIMULATION 'sim_input_nodes_n20_s21_cb6.csv2.csv' (seed 1992)</t>
  </si>
  <si>
    <t xml:space="preserve">	Line 260:  KOMONDOR SIMULATION 'sim_input_nodes_n20_s22_cb6.csv2.csv' (seed 1992)</t>
  </si>
  <si>
    <t xml:space="preserve">	Line 264:  KOMONDOR SIMULATION 'sim_input_nodes_n20_s23_cb6.csv2.csv' (seed 1992)</t>
  </si>
  <si>
    <t xml:space="preserve">	Line 268:  KOMONDOR SIMULATION 'sim_input_nodes_n20_s24_cb6.csv2.csv' (seed 1992)</t>
  </si>
  <si>
    <t xml:space="preserve">	Line 272:  KOMONDOR SIMULATION 'sim_input_nodes_n20_s25_cb6.csv2.csv' (seed 1992)</t>
  </si>
  <si>
    <t xml:space="preserve">	Line 276:  KOMONDOR SIMULATION 'sim_input_nodes_n20_s26_cb6.csv2.csv' (seed 1992)</t>
  </si>
  <si>
    <t xml:space="preserve">	Line 280:  KOMONDOR SIMULATION 'sim_input_nodes_n20_s27_cb6.csv2.csv' (seed 1992)</t>
  </si>
  <si>
    <t xml:space="preserve">	Line 284:  KOMONDOR SIMULATION 'sim_input_nodes_n20_s28_cb6.csv2.csv' (seed 1992)</t>
  </si>
  <si>
    <t xml:space="preserve">	Line 288:  KOMONDOR SIMULATION 'sim_input_nodes_n20_s29_cb6.csv2.csv' (seed 1992)</t>
  </si>
  <si>
    <t xml:space="preserve">	Line 292:  KOMONDOR SIMULATION 'sim_input_nodes_n20_s2_cb6.csv2.csv' (seed 1992)</t>
  </si>
  <si>
    <t xml:space="preserve">	Line 296:  KOMONDOR SIMULATION 'sim_input_nodes_n20_s30_cb6.csv2.csv' (seed 1992)</t>
  </si>
  <si>
    <t xml:space="preserve">	Line 300:  KOMONDOR SIMULATION 'sim_input_nodes_n20_s31_cb6.csv2.csv' (seed 1992)</t>
  </si>
  <si>
    <t xml:space="preserve">	Line 304:  KOMONDOR SIMULATION 'sim_input_nodes_n20_s32_cb6.csv2.csv' (seed 1992)</t>
  </si>
  <si>
    <t xml:space="preserve">	Line 308:  KOMONDOR SIMULATION 'sim_input_nodes_n20_s33_cb6.csv2.csv' (seed 1992)</t>
  </si>
  <si>
    <t xml:space="preserve">	Line 312:  KOMONDOR SIMULATION 'sim_input_nodes_n20_s34_cb6.csv2.csv' (seed 1992)</t>
  </si>
  <si>
    <t xml:space="preserve">	Line 316:  KOMONDOR SIMULATION 'sim_input_nodes_n20_s35_cb6.csv2.csv' (seed 1992)</t>
  </si>
  <si>
    <t xml:space="preserve">	Line 320:  KOMONDOR SIMULATION 'sim_input_nodes_n20_s36_cb6.csv2.csv' (seed 1992)</t>
  </si>
  <si>
    <t xml:space="preserve">	Line 324:  KOMONDOR SIMULATION 'sim_input_nodes_n20_s37_cb6.csv2.csv' (seed 1992)</t>
  </si>
  <si>
    <t xml:space="preserve">	Line 328:  KOMONDOR SIMULATION 'sim_input_nodes_n20_s38_cb6.csv2.csv' (seed 1992)</t>
  </si>
  <si>
    <t xml:space="preserve">	Line 332:  KOMONDOR SIMULATION 'sim_input_nodes_n20_s39_cb6.csv2.csv' (seed 1992)</t>
  </si>
  <si>
    <t xml:space="preserve">	Line 336:  KOMONDOR SIMULATION 'sim_input_nodes_n20_s3_cb6.csv2.csv' (seed 1992)</t>
  </si>
  <si>
    <t xml:space="preserve">	Line 340:  KOMONDOR SIMULATION 'sim_input_nodes_n20_s40_cb6.csv2.csv' (seed 1992)</t>
  </si>
  <si>
    <t xml:space="preserve">	Line 344:  KOMONDOR SIMULATION 'sim_input_nodes_n20_s41_cb6.csv2.csv' (seed 1992)</t>
  </si>
  <si>
    <t xml:space="preserve">	Line 348:  KOMONDOR SIMULATION 'sim_input_nodes_n20_s42_cb6.csv2.csv' (seed 1992)</t>
  </si>
  <si>
    <t xml:space="preserve">	Line 352:  KOMONDOR SIMULATION 'sim_input_nodes_n20_s43_cb6.csv2.csv' (seed 1992)</t>
  </si>
  <si>
    <t xml:space="preserve">	Line 356:  KOMONDOR SIMULATION 'sim_input_nodes_n20_s44_cb6.csv2.csv' (seed 1992)</t>
  </si>
  <si>
    <t xml:space="preserve">	Line 360:  KOMONDOR SIMULATION 'sim_input_nodes_n20_s45_cb6.csv2.csv' (seed 1992)</t>
  </si>
  <si>
    <t xml:space="preserve">	Line 364:  KOMONDOR SIMULATION 'sim_input_nodes_n20_s46_cb6.csv2.csv' (seed 1992)</t>
  </si>
  <si>
    <t xml:space="preserve">	Line 368:  KOMONDOR SIMULATION 'sim_input_nodes_n20_s47_cb6.csv2.csv' (seed 1992)</t>
  </si>
  <si>
    <t xml:space="preserve">	Line 372:  KOMONDOR SIMULATION 'sim_input_nodes_n20_s48_cb6.csv2.csv' (seed 1992)</t>
  </si>
  <si>
    <t xml:space="preserve">	Line 376:  KOMONDOR SIMULATION 'sim_input_nodes_n20_s49_cb6.csv2.csv' (seed 1992)</t>
  </si>
  <si>
    <t xml:space="preserve">	Line 380:  KOMONDOR SIMULATION 'sim_input_nodes_n20_s4_cb6.csv2.csv' (seed 1992)</t>
  </si>
  <si>
    <t xml:space="preserve">	Line 384:  KOMONDOR SIMULATION 'sim_input_nodes_n20_s5_cb6.csv2.csv' (seed 1992)</t>
  </si>
  <si>
    <t xml:space="preserve">	Line 388:  KOMONDOR SIMULATION 'sim_input_nodes_n20_s6_cb6.csv2.csv' (seed 1992)</t>
  </si>
  <si>
    <t xml:space="preserve">	Line 392:  KOMONDOR SIMULATION 'sim_input_nodes_n20_s7_cb6.csv2.csv' (seed 1992)</t>
  </si>
  <si>
    <t xml:space="preserve">	Line 396:  KOMONDOR SIMULATION 'sim_input_nodes_n20_s8_cb6.csv2.csv' (seed 1992)</t>
  </si>
  <si>
    <t xml:space="preserve">	Line 400:  KOMONDOR SIMULATION 'sim_input_nodes_n20_s9_cb6.csv2.csv' (seed 1992)</t>
  </si>
  <si>
    <t xml:space="preserve">	Line 404:  KOMONDOR SIMULATION 'sim_input_nodes_n2_s0_cb6.csv2.csv' (seed 1992)</t>
  </si>
  <si>
    <t xml:space="preserve">	Line 408:  KOMONDOR SIMULATION 'sim_input_nodes_n2_s10_cb6.csv2.csv' (seed 1992)</t>
  </si>
  <si>
    <t xml:space="preserve">	Line 412:  KOMONDOR SIMULATION 'sim_input_nodes_n2_s11_cb6.csv2.csv' (seed 1992)</t>
  </si>
  <si>
    <t xml:space="preserve">	Line 416:  KOMONDOR SIMULATION 'sim_input_nodes_n2_s12_cb6.csv2.csv' (seed 1992)</t>
  </si>
  <si>
    <t xml:space="preserve">	Line 420:  KOMONDOR SIMULATION 'sim_input_nodes_n2_s13_cb6.csv2.csv' (seed 1992)</t>
  </si>
  <si>
    <t xml:space="preserve">	Line 424:  KOMONDOR SIMULATION 'sim_input_nodes_n2_s14_cb6.csv2.csv' (seed 1992)</t>
  </si>
  <si>
    <t xml:space="preserve">	Line 428:  KOMONDOR SIMULATION 'sim_input_nodes_n2_s15_cb6.csv2.csv' (seed 1992)</t>
  </si>
  <si>
    <t xml:space="preserve">	Line 432:  KOMONDOR SIMULATION 'sim_input_nodes_n2_s16_cb6.csv2.csv' (seed 1992)</t>
  </si>
  <si>
    <t xml:space="preserve">	Line 436:  KOMONDOR SIMULATION 'sim_input_nodes_n2_s17_cb6.csv2.csv' (seed 1992)</t>
  </si>
  <si>
    <t xml:space="preserve">	Line 440:  KOMONDOR SIMULATION 'sim_input_nodes_n2_s18_cb6.csv2.csv' (seed 1992)</t>
  </si>
  <si>
    <t xml:space="preserve">	Line 444:  KOMONDOR SIMULATION 'sim_input_nodes_n2_s19_cb6.csv2.csv' (seed 1992)</t>
  </si>
  <si>
    <t xml:space="preserve">	Line 448:  KOMONDOR SIMULATION 'sim_input_nodes_n2_s1_cb6.csv2.csv' (seed 1992)</t>
  </si>
  <si>
    <t xml:space="preserve">	Line 452:  KOMONDOR SIMULATION 'sim_input_nodes_n2_s20_cb6.csv2.csv' (seed 1992)</t>
  </si>
  <si>
    <t xml:space="preserve">	Line 456:  KOMONDOR SIMULATION 'sim_input_nodes_n2_s21_cb6.csv2.csv' (seed 1992)</t>
  </si>
  <si>
    <t xml:space="preserve">	Line 460:  KOMONDOR SIMULATION 'sim_input_nodes_n2_s22_cb6.csv2.csv' (seed 1992)</t>
  </si>
  <si>
    <t xml:space="preserve">	Line 464:  KOMONDOR SIMULATION 'sim_input_nodes_n2_s23_cb6.csv2.csv' (seed 1992)</t>
  </si>
  <si>
    <t xml:space="preserve">	Line 468:  KOMONDOR SIMULATION 'sim_input_nodes_n2_s24_cb6.csv2.csv' (seed 1992)</t>
  </si>
  <si>
    <t xml:space="preserve">	Line 472:  KOMONDOR SIMULATION 'sim_input_nodes_n2_s25_cb6.csv2.csv' (seed 1992)</t>
  </si>
  <si>
    <t xml:space="preserve">	Line 476:  KOMONDOR SIMULATION 'sim_input_nodes_n2_s26_cb6.csv2.csv' (seed 1992)</t>
  </si>
  <si>
    <t xml:space="preserve">	Line 480:  KOMONDOR SIMULATION 'sim_input_nodes_n2_s27_cb6.csv2.csv' (seed 1992)</t>
  </si>
  <si>
    <t xml:space="preserve">	Line 484:  KOMONDOR SIMULATION 'sim_input_nodes_n2_s28_cb6.csv2.csv' (seed 1992)</t>
  </si>
  <si>
    <t xml:space="preserve">	Line 488:  KOMONDOR SIMULATION 'sim_input_nodes_n2_s29_cb6.csv2.csv' (seed 1992)</t>
  </si>
  <si>
    <t xml:space="preserve">	Line 492:  KOMONDOR SIMULATION 'sim_input_nodes_n2_s2_cb6.csv2.csv' (seed 1992)</t>
  </si>
  <si>
    <t xml:space="preserve">	Line 496:  KOMONDOR SIMULATION 'sim_input_nodes_n2_s30_cb6.csv2.csv' (seed 1992)</t>
  </si>
  <si>
    <t xml:space="preserve">	Line 500:  KOMONDOR SIMULATION 'sim_input_nodes_n2_s31_cb6.csv2.csv' (seed 1992)</t>
  </si>
  <si>
    <t xml:space="preserve">	Line 504:  KOMONDOR SIMULATION 'sim_input_nodes_n2_s32_cb6.csv2.csv' (seed 1992)</t>
  </si>
  <si>
    <t xml:space="preserve">	Line 508:  KOMONDOR SIMULATION 'sim_input_nodes_n2_s33_cb6.csv2.csv' (seed 1992)</t>
  </si>
  <si>
    <t xml:space="preserve">	Line 512:  KOMONDOR SIMULATION 'sim_input_nodes_n2_s34_cb6.csv2.csv' (seed 1992)</t>
  </si>
  <si>
    <t xml:space="preserve">	Line 516:  KOMONDOR SIMULATION 'sim_input_nodes_n2_s35_cb6.csv2.csv' (seed 1992)</t>
  </si>
  <si>
    <t xml:space="preserve">	Line 520:  KOMONDOR SIMULATION 'sim_input_nodes_n2_s36_cb6.csv2.csv' (seed 1992)</t>
  </si>
  <si>
    <t xml:space="preserve">	Line 524:  KOMONDOR SIMULATION 'sim_input_nodes_n2_s37_cb6.csv2.csv' (seed 1992)</t>
  </si>
  <si>
    <t xml:space="preserve">	Line 528:  KOMONDOR SIMULATION 'sim_input_nodes_n2_s38_cb6.csv2.csv' (seed 1992)</t>
  </si>
  <si>
    <t xml:space="preserve">	Line 532:  KOMONDOR SIMULATION 'sim_input_nodes_n2_s39_cb6.csv2.csv' (seed 1992)</t>
  </si>
  <si>
    <t xml:space="preserve">	Line 536:  KOMONDOR SIMULATION 'sim_input_nodes_n2_s3_cb6.csv2.csv' (seed 1992)</t>
  </si>
  <si>
    <t xml:space="preserve">	Line 540:  KOMONDOR SIMULATION 'sim_input_nodes_n2_s40_cb6.csv2.csv' (seed 1992)</t>
  </si>
  <si>
    <t xml:space="preserve">	Line 544:  KOMONDOR SIMULATION 'sim_input_nodes_n2_s41_cb6.csv2.csv' (seed 1992)</t>
  </si>
  <si>
    <t xml:space="preserve">	Line 548:  KOMONDOR SIMULATION 'sim_input_nodes_n2_s42_cb6.csv2.csv' (seed 1992)</t>
  </si>
  <si>
    <t xml:space="preserve">	Line 552:  KOMONDOR SIMULATION 'sim_input_nodes_n2_s43_cb6.csv2.csv' (seed 1992)</t>
  </si>
  <si>
    <t xml:space="preserve">	Line 556:  KOMONDOR SIMULATION 'sim_input_nodes_n2_s44_cb6.csv2.csv' (seed 1992)</t>
  </si>
  <si>
    <t xml:space="preserve">	Line 560:  KOMONDOR SIMULATION 'sim_input_nodes_n2_s45_cb6.csv2.csv' (seed 1992)</t>
  </si>
  <si>
    <t xml:space="preserve">	Line 564:  KOMONDOR SIMULATION 'sim_input_nodes_n2_s46_cb6.csv2.csv' (seed 1992)</t>
  </si>
  <si>
    <t xml:space="preserve">	Line 568:  KOMONDOR SIMULATION 'sim_input_nodes_n2_s47_cb6.csv2.csv' (seed 1992)</t>
  </si>
  <si>
    <t xml:space="preserve">	Line 572:  KOMONDOR SIMULATION 'sim_input_nodes_n2_s48_cb6.csv2.csv' (seed 1992)</t>
  </si>
  <si>
    <t xml:space="preserve">	Line 576:  KOMONDOR SIMULATION 'sim_input_nodes_n2_s49_cb6.csv2.csv' (seed 1992)</t>
  </si>
  <si>
    <t xml:space="preserve">	Line 580:  KOMONDOR SIMULATION 'sim_input_nodes_n2_s4_cb6.csv2.csv' (seed 1992)</t>
  </si>
  <si>
    <t xml:space="preserve">	Line 584:  KOMONDOR SIMULATION 'sim_input_nodes_n2_s5_cb6.csv2.csv' (seed 1992)</t>
  </si>
  <si>
    <t xml:space="preserve">	Line 588:  KOMONDOR SIMULATION 'sim_input_nodes_n2_s6_cb6.csv2.csv' (seed 1992)</t>
  </si>
  <si>
    <t xml:space="preserve">	Line 592:  KOMONDOR SIMULATION 'sim_input_nodes_n2_s7_cb6.csv2.csv' (seed 1992)</t>
  </si>
  <si>
    <t xml:space="preserve">	Line 596:  KOMONDOR SIMULATION 'sim_input_nodes_n2_s8_cb6.csv2.csv' (seed 1992)</t>
  </si>
  <si>
    <t xml:space="preserve">	Line 600:  KOMONDOR SIMULATION 'sim_input_nodes_n2_s9_cb6.csv2.csv' (seed 1992)</t>
  </si>
  <si>
    <t xml:space="preserve">	Line 604:  KOMONDOR SIMULATION 'sim_input_nodes_n30_s0_cb6.csv2.csv' (seed 1992)</t>
  </si>
  <si>
    <t xml:space="preserve">	Line 608:  KOMONDOR SIMULATION 'sim_input_nodes_n30_s10_cb6.csv2.csv' (seed 1992)</t>
  </si>
  <si>
    <t xml:space="preserve">	Line 612:  KOMONDOR SIMULATION 'sim_input_nodes_n30_s11_cb6.csv2.csv' (seed 1992)</t>
  </si>
  <si>
    <t xml:space="preserve">	Line 616:  KOMONDOR SIMULATION 'sim_input_nodes_n30_s12_cb6.csv2.csv' (seed 1992)</t>
  </si>
  <si>
    <t xml:space="preserve">	Line 620:  KOMONDOR SIMULATION 'sim_input_nodes_n30_s13_cb6.csv2.csv' (seed 1992)</t>
  </si>
  <si>
    <t xml:space="preserve">	Line 624:  KOMONDOR SIMULATION 'sim_input_nodes_n30_s14_cb6.csv2.csv' (seed 1992)</t>
  </si>
  <si>
    <t xml:space="preserve">	Line 628:  KOMONDOR SIMULATION 'sim_input_nodes_n30_s15_cb6.csv2.csv' (seed 1992)</t>
  </si>
  <si>
    <t xml:space="preserve">	Line 632:  KOMONDOR SIMULATION 'sim_input_nodes_n30_s16_cb6.csv2.csv' (seed 1992)</t>
  </si>
  <si>
    <t xml:space="preserve">	Line 636:  KOMONDOR SIMULATION 'sim_input_nodes_n30_s17_cb6.csv2.csv' (seed 1992)</t>
  </si>
  <si>
    <t xml:space="preserve">	Line 640:  KOMONDOR SIMULATION 'sim_input_nodes_n30_s18_cb6.csv2.csv' (seed 1992)</t>
  </si>
  <si>
    <t xml:space="preserve">	Line 644:  KOMONDOR SIMULATION 'sim_input_nodes_n30_s19_cb6.csv2.csv' (seed 1992)</t>
  </si>
  <si>
    <t xml:space="preserve">	Line 648:  KOMONDOR SIMULATION 'sim_input_nodes_n30_s1_cb6.csv2.csv' (seed 1992)</t>
  </si>
  <si>
    <t xml:space="preserve">	Line 652:  KOMONDOR SIMULATION 'sim_input_nodes_n30_s20_cb6.csv2.csv' (seed 1992)</t>
  </si>
  <si>
    <t xml:space="preserve">	Line 656:  KOMONDOR SIMULATION 'sim_input_nodes_n30_s21_cb6.csv2.csv' (seed 1992)</t>
  </si>
  <si>
    <t xml:space="preserve">	Line 660:  KOMONDOR SIMULATION 'sim_input_nodes_n30_s22_cb6.csv2.csv' (seed 1992)</t>
  </si>
  <si>
    <t xml:space="preserve">	Line 664:  KOMONDOR SIMULATION 'sim_input_nodes_n30_s23_cb6.csv2.csv' (seed 1992)</t>
  </si>
  <si>
    <t xml:space="preserve">	Line 668:  KOMONDOR SIMULATION 'sim_input_nodes_n30_s24_cb6.csv2.csv' (seed 1992)</t>
  </si>
  <si>
    <t xml:space="preserve">	Line 672:  KOMONDOR SIMULATION 'sim_input_nodes_n30_s25_cb6.csv2.csv' (seed 1992)</t>
  </si>
  <si>
    <t xml:space="preserve">	Line 676:  KOMONDOR SIMULATION 'sim_input_nodes_n30_s26_cb6.csv2.csv' (seed 1992)</t>
  </si>
  <si>
    <t xml:space="preserve">	Line 680:  KOMONDOR SIMULATION 'sim_input_nodes_n30_s27_cb6.csv2.csv' (seed 1992)</t>
  </si>
  <si>
    <t xml:space="preserve">	Line 684:  KOMONDOR SIMULATION 'sim_input_nodes_n30_s28_cb6.csv2.csv' (seed 1992)</t>
  </si>
  <si>
    <t xml:space="preserve">	Line 688:  KOMONDOR SIMULATION 'sim_input_nodes_n30_s29_cb6.csv2.csv' (seed 1992)</t>
  </si>
  <si>
    <t xml:space="preserve">	Line 692:  KOMONDOR SIMULATION 'sim_input_nodes_n30_s2_cb6.csv2.csv' (seed 1992)</t>
  </si>
  <si>
    <t xml:space="preserve">	Line 696:  KOMONDOR SIMULATION 'sim_input_nodes_n30_s30_cb6.csv2.csv' (seed 1992)</t>
  </si>
  <si>
    <t xml:space="preserve">	Line 700:  KOMONDOR SIMULATION 'sim_input_nodes_n30_s31_cb6.csv2.csv' (seed 1992)</t>
  </si>
  <si>
    <t xml:space="preserve">	Line 704:  KOMONDOR SIMULATION 'sim_input_nodes_n30_s32_cb6.csv2.csv' (seed 1992)</t>
  </si>
  <si>
    <t xml:space="preserve">	Line 708:  KOMONDOR SIMULATION 'sim_input_nodes_n30_s33_cb6.csv2.csv' (seed 1992)</t>
  </si>
  <si>
    <t xml:space="preserve">	Line 712:  KOMONDOR SIMULATION 'sim_input_nodes_n30_s34_cb6.csv2.csv' (seed 1992)</t>
  </si>
  <si>
    <t xml:space="preserve">	Line 716:  KOMONDOR SIMULATION 'sim_input_nodes_n30_s35_cb6.csv2.csv' (seed 1992)</t>
  </si>
  <si>
    <t xml:space="preserve">	Line 720:  KOMONDOR SIMULATION 'sim_input_nodes_n30_s36_cb6.csv2.csv' (seed 1992)</t>
  </si>
  <si>
    <t xml:space="preserve">	Line 724:  KOMONDOR SIMULATION 'sim_input_nodes_n30_s37_cb6.csv2.csv' (seed 1992)</t>
  </si>
  <si>
    <t xml:space="preserve">	Line 728:  KOMONDOR SIMULATION 'sim_input_nodes_n30_s38_cb6.csv2.csv' (seed 1992)</t>
  </si>
  <si>
    <t xml:space="preserve">	Line 732:  KOMONDOR SIMULATION 'sim_input_nodes_n30_s39_cb6.csv2.csv' (seed 1992)</t>
  </si>
  <si>
    <t xml:space="preserve">	Line 736:  KOMONDOR SIMULATION 'sim_input_nodes_n30_s3_cb6.csv2.csv' (seed 1992)</t>
  </si>
  <si>
    <t xml:space="preserve">	Line 740:  KOMONDOR SIMULATION 'sim_input_nodes_n30_s40_cb6.csv2.csv' (seed 1992)</t>
  </si>
  <si>
    <t xml:space="preserve">	Line 744:  KOMONDOR SIMULATION 'sim_input_nodes_n30_s41_cb6.csv2.csv' (seed 1992)</t>
  </si>
  <si>
    <t xml:space="preserve">	Line 748:  KOMONDOR SIMULATION 'sim_input_nodes_n30_s42_cb6.csv2.csv' (seed 1992)</t>
  </si>
  <si>
    <t xml:space="preserve">	Line 752:  KOMONDOR SIMULATION 'sim_input_nodes_n30_s43_cb6.csv2.csv' (seed 1992)</t>
  </si>
  <si>
    <t xml:space="preserve">	Line 756:  KOMONDOR SIMULATION 'sim_input_nodes_n30_s44_cb6.csv2.csv' (seed 1992)</t>
  </si>
  <si>
    <t xml:space="preserve">	Line 760:  KOMONDOR SIMULATION 'sim_input_nodes_n30_s45_cb6.csv2.csv' (seed 1992)</t>
  </si>
  <si>
    <t xml:space="preserve">	Line 764:  KOMONDOR SIMULATION 'sim_input_nodes_n30_s46_cb6.csv2.csv' (seed 1992)</t>
  </si>
  <si>
    <t xml:space="preserve">	Line 768:  KOMONDOR SIMULATION 'sim_input_nodes_n30_s47_cb6.csv2.csv' (seed 1992)</t>
  </si>
  <si>
    <t xml:space="preserve">	Line 772:  KOMONDOR SIMULATION 'sim_input_nodes_n30_s48_cb6.csv2.csv' (seed 1992)</t>
  </si>
  <si>
    <t xml:space="preserve">	Line 776:  KOMONDOR SIMULATION 'sim_input_nodes_n30_s49_cb6.csv2.csv' (seed 1992)</t>
  </si>
  <si>
    <t xml:space="preserve">	Line 780:  KOMONDOR SIMULATION 'sim_input_nodes_n30_s4_cb6.csv2.csv' (seed 1992)</t>
  </si>
  <si>
    <t xml:space="preserve">	Line 784:  KOMONDOR SIMULATION 'sim_input_nodes_n30_s5_cb6.csv2.csv' (seed 1992)</t>
  </si>
  <si>
    <t xml:space="preserve">	Line 788:  KOMONDOR SIMULATION 'sim_input_nodes_n30_s6_cb6.csv2.csv' (seed 1992)</t>
  </si>
  <si>
    <t xml:space="preserve">	Line 792:  KOMONDOR SIMULATION 'sim_input_nodes_n30_s7_cb6.csv2.csv' (seed 1992)</t>
  </si>
  <si>
    <t xml:space="preserve">	Line 796:  KOMONDOR SIMULATION 'sim_input_nodes_n30_s8_cb6.csv2.csv' (seed 1992)</t>
  </si>
  <si>
    <t xml:space="preserve">	Line 800:  KOMONDOR SIMULATION 'sim_input_nodes_n30_s9_cb6.csv2.csv' (seed 1992)</t>
  </si>
  <si>
    <t xml:space="preserve">	Line 804:  KOMONDOR SIMULATION 'sim_input_nodes_n40_s0_cb6.csv2.csv' (seed 1992)</t>
  </si>
  <si>
    <t xml:space="preserve">	Line 808:  KOMONDOR SIMULATION 'sim_input_nodes_n40_s10_cb6.csv2.csv' (seed 1992)</t>
  </si>
  <si>
    <t xml:space="preserve">	Line 812:  KOMONDOR SIMULATION 'sim_input_nodes_n40_s11_cb6.csv2.csv' (seed 1992)</t>
  </si>
  <si>
    <t xml:space="preserve">	Line 816:  KOMONDOR SIMULATION 'sim_input_nodes_n40_s12_cb6.csv2.csv' (seed 1992)</t>
  </si>
  <si>
    <t xml:space="preserve">	Line 820:  KOMONDOR SIMULATION 'sim_input_nodes_n40_s13_cb6.csv2.csv' (seed 1992)</t>
  </si>
  <si>
    <t xml:space="preserve">	Line 824:  KOMONDOR SIMULATION 'sim_input_nodes_n40_s14_cb6.csv2.csv' (seed 1992)</t>
  </si>
  <si>
    <t xml:space="preserve">	Line 828:  KOMONDOR SIMULATION 'sim_input_nodes_n40_s15_cb6.csv2.csv' (seed 1992)</t>
  </si>
  <si>
    <t xml:space="preserve">	Line 832:  KOMONDOR SIMULATION 'sim_input_nodes_n40_s16_cb6.csv2.csv' (seed 1992)</t>
  </si>
  <si>
    <t xml:space="preserve">	Line 836:  KOMONDOR SIMULATION 'sim_input_nodes_n40_s17_cb6.csv2.csv' (seed 1992)</t>
  </si>
  <si>
    <t xml:space="preserve">	Line 840:  KOMONDOR SIMULATION 'sim_input_nodes_n40_s18_cb6.csv2.csv' (seed 1992)</t>
  </si>
  <si>
    <t xml:space="preserve">	Line 844:  KOMONDOR SIMULATION 'sim_input_nodes_n40_s19_cb6.csv2.csv' (seed 1992)</t>
  </si>
  <si>
    <t xml:space="preserve">	Line 848:  KOMONDOR SIMULATION 'sim_input_nodes_n40_s1_cb6.csv2.csv' (seed 1992)</t>
  </si>
  <si>
    <t xml:space="preserve">	Line 852:  KOMONDOR SIMULATION 'sim_input_nodes_n40_s20_cb6.csv2.csv' (seed 1992)</t>
  </si>
  <si>
    <t xml:space="preserve">	Line 856:  KOMONDOR SIMULATION 'sim_input_nodes_n40_s21_cb6.csv2.csv' (seed 1992)</t>
  </si>
  <si>
    <t xml:space="preserve">	Line 860:  KOMONDOR SIMULATION 'sim_input_nodes_n40_s22_cb6.csv2.csv' (seed 1992)</t>
  </si>
  <si>
    <t xml:space="preserve">	Line 864:  KOMONDOR SIMULATION 'sim_input_nodes_n40_s23_cb6.csv2.csv' (seed 1992)</t>
  </si>
  <si>
    <t xml:space="preserve">	Line 868:  KOMONDOR SIMULATION 'sim_input_nodes_n40_s24_cb6.csv2.csv' (seed 1992)</t>
  </si>
  <si>
    <t xml:space="preserve">	Line 872:  KOMONDOR SIMULATION 'sim_input_nodes_n40_s25_cb6.csv2.csv' (seed 1992)</t>
  </si>
  <si>
    <t xml:space="preserve">	Line 876:  KOMONDOR SIMULATION 'sim_input_nodes_n40_s26_cb6.csv2.csv' (seed 1992)</t>
  </si>
  <si>
    <t xml:space="preserve">	Line 880:  KOMONDOR SIMULATION 'sim_input_nodes_n40_s27_cb6.csv2.csv' (seed 1992)</t>
  </si>
  <si>
    <t xml:space="preserve">	Line 884:  KOMONDOR SIMULATION 'sim_input_nodes_n40_s28_cb6.csv2.csv' (seed 1992)</t>
  </si>
  <si>
    <t xml:space="preserve">	Line 888:  KOMONDOR SIMULATION 'sim_input_nodes_n40_s29_cb6.csv2.csv' (seed 1992)</t>
  </si>
  <si>
    <t xml:space="preserve">	Line 892:  KOMONDOR SIMULATION 'sim_input_nodes_n40_s2_cb6.csv2.csv' (seed 1992)</t>
  </si>
  <si>
    <t xml:space="preserve">	Line 896:  KOMONDOR SIMULATION 'sim_input_nodes_n40_s30_cb6.csv2.csv' (seed 1992)</t>
  </si>
  <si>
    <t xml:space="preserve">	Line 900:  KOMONDOR SIMULATION 'sim_input_nodes_n40_s31_cb6.csv2.csv' (seed 1992)</t>
  </si>
  <si>
    <t xml:space="preserve">	Line 904:  KOMONDOR SIMULATION 'sim_input_nodes_n40_s32_cb6.csv2.csv' (seed 1992)</t>
  </si>
  <si>
    <t xml:space="preserve">	Line 908:  KOMONDOR SIMULATION 'sim_input_nodes_n40_s33_cb6.csv2.csv' (seed 1992)</t>
  </si>
  <si>
    <t xml:space="preserve">	Line 912:  KOMONDOR SIMULATION 'sim_input_nodes_n40_s34_cb6.csv2.csv' (seed 1992)</t>
  </si>
  <si>
    <t xml:space="preserve">	Line 916:  KOMONDOR SIMULATION 'sim_input_nodes_n40_s35_cb6.csv2.csv' (seed 1992)</t>
  </si>
  <si>
    <t xml:space="preserve">	Line 920:  KOMONDOR SIMULATION 'sim_input_nodes_n40_s36_cb6.csv2.csv' (seed 1992)</t>
  </si>
  <si>
    <t xml:space="preserve">	Line 924:  KOMONDOR SIMULATION 'sim_input_nodes_n40_s37_cb6.csv2.csv' (seed 1992)</t>
  </si>
  <si>
    <t xml:space="preserve">	Line 928:  KOMONDOR SIMULATION 'sim_input_nodes_n40_s38_cb6.csv2.csv' (seed 1992)</t>
  </si>
  <si>
    <t xml:space="preserve">	Line 932:  KOMONDOR SIMULATION 'sim_input_nodes_n40_s39_cb6.csv2.csv' (seed 1992)</t>
  </si>
  <si>
    <t xml:space="preserve">	Line 936:  KOMONDOR SIMULATION 'sim_input_nodes_n40_s3_cb6.csv2.csv' (seed 1992)</t>
  </si>
  <si>
    <t xml:space="preserve">	Line 940:  KOMONDOR SIMULATION 'sim_input_nodes_n40_s40_cb6.csv2.csv' (seed 1992)</t>
  </si>
  <si>
    <t xml:space="preserve">	Line 944:  KOMONDOR SIMULATION 'sim_input_nodes_n40_s41_cb6.csv2.csv' (seed 1992)</t>
  </si>
  <si>
    <t xml:space="preserve">	Line 948:  KOMONDOR SIMULATION 'sim_input_nodes_n40_s42_cb6.csv2.csv' (seed 1992)</t>
  </si>
  <si>
    <t xml:space="preserve">	Line 952:  KOMONDOR SIMULATION 'sim_input_nodes_n40_s43_cb6.csv2.csv' (seed 1992)</t>
  </si>
  <si>
    <t xml:space="preserve">	Line 956:  KOMONDOR SIMULATION 'sim_input_nodes_n40_s44_cb6.csv2.csv' (seed 1992)</t>
  </si>
  <si>
    <t xml:space="preserve">	Line 960:  KOMONDOR SIMULATION 'sim_input_nodes_n40_s45_cb6.csv2.csv' (seed 1992)</t>
  </si>
  <si>
    <t xml:space="preserve">	Line 964:  KOMONDOR SIMULATION 'sim_input_nodes_n40_s46_cb6.csv2.csv' (seed 1992)</t>
  </si>
  <si>
    <t xml:space="preserve">	Line 968:  KOMONDOR SIMULATION 'sim_input_nodes_n40_s47_cb6.csv2.csv' (seed 1992)</t>
  </si>
  <si>
    <t xml:space="preserve">	Line 972:  KOMONDOR SIMULATION 'sim_input_nodes_n40_s48_cb6.csv2.csv' (seed 1992)</t>
  </si>
  <si>
    <t xml:space="preserve">	Line 976:  KOMONDOR SIMULATION 'sim_input_nodes_n40_s49_cb6.csv2.csv' (seed 1992)</t>
  </si>
  <si>
    <t xml:space="preserve">	Line 980:  KOMONDOR SIMULATION 'sim_input_nodes_n40_s4_cb6.csv2.csv' (seed 1992)</t>
  </si>
  <si>
    <t xml:space="preserve">	Line 984:  KOMONDOR SIMULATION 'sim_input_nodes_n40_s5_cb6.csv2.csv' (seed 1992)</t>
  </si>
  <si>
    <t xml:space="preserve">	Line 988:  KOMONDOR SIMULATION 'sim_input_nodes_n40_s6_cb6.csv2.csv' (seed 1992)</t>
  </si>
  <si>
    <t xml:space="preserve">	Line 992:  KOMONDOR SIMULATION 'sim_input_nodes_n40_s7_cb6.csv2.csv' (seed 1992)</t>
  </si>
  <si>
    <t xml:space="preserve">	Line 996:  KOMONDOR SIMULATION 'sim_input_nodes_n40_s8_cb6.csv2.csv' (seed 1992)</t>
  </si>
  <si>
    <t xml:space="preserve">	Line 1000:  KOMONDOR SIMULATION 'sim_input_nodes_n40_s9_cb6.csv2.csv' (seed 1992)</t>
  </si>
  <si>
    <t xml:space="preserve">	Line 1004:  KOMONDOR SIMULATION 'sim_input_nodes_n5_s0_cb6.csv2.csv' (seed 1992)</t>
  </si>
  <si>
    <t xml:space="preserve">	Line 1008:  KOMONDOR SIMULATION 'sim_input_nodes_n5_s10_cb6.csv2.csv' (seed 1992)</t>
  </si>
  <si>
    <t xml:space="preserve">	Line 1012:  KOMONDOR SIMULATION 'sim_input_nodes_n5_s11_cb6.csv2.csv' (seed 1992)</t>
  </si>
  <si>
    <t xml:space="preserve">	Line 1016:  KOMONDOR SIMULATION 'sim_input_nodes_n5_s12_cb6.csv2.csv' (seed 1992)</t>
  </si>
  <si>
    <t xml:space="preserve">	Line 1020:  KOMONDOR SIMULATION 'sim_input_nodes_n5_s13_cb6.csv2.csv' (seed 1992)</t>
  </si>
  <si>
    <t xml:space="preserve">	Line 1024:  KOMONDOR SIMULATION 'sim_input_nodes_n5_s14_cb6.csv2.csv' (seed 1992)</t>
  </si>
  <si>
    <t xml:space="preserve">	Line 1028:  KOMONDOR SIMULATION 'sim_input_nodes_n5_s15_cb6.csv2.csv' (seed 1992)</t>
  </si>
  <si>
    <t xml:space="preserve">	Line 1032:  KOMONDOR SIMULATION 'sim_input_nodes_n5_s16_cb6.csv2.csv' (seed 1992)</t>
  </si>
  <si>
    <t xml:space="preserve">	Line 1036:  KOMONDOR SIMULATION 'sim_input_nodes_n5_s17_cb6.csv2.csv' (seed 1992)</t>
  </si>
  <si>
    <t xml:space="preserve">	Line 1040:  KOMONDOR SIMULATION 'sim_input_nodes_n5_s18_cb6.csv2.csv' (seed 1992)</t>
  </si>
  <si>
    <t xml:space="preserve">	Line 1044:  KOMONDOR SIMULATION 'sim_input_nodes_n5_s19_cb6.csv2.csv' (seed 1992)</t>
  </si>
  <si>
    <t xml:space="preserve">	Line 1048:  KOMONDOR SIMULATION 'sim_input_nodes_n5_s1_cb6.csv2.csv' (seed 1992)</t>
  </si>
  <si>
    <t xml:space="preserve">	Line 1052:  KOMONDOR SIMULATION 'sim_input_nodes_n5_s20_cb6.csv2.csv' (seed 1992)</t>
  </si>
  <si>
    <t xml:space="preserve">	Line 1056:  KOMONDOR SIMULATION 'sim_input_nodes_n5_s21_cb6.csv2.csv' (seed 1992)</t>
  </si>
  <si>
    <t xml:space="preserve">	Line 1060:  KOMONDOR SIMULATION 'sim_input_nodes_n5_s22_cb6.csv2.csv' (seed 1992)</t>
  </si>
  <si>
    <t xml:space="preserve">	Line 1064:  KOMONDOR SIMULATION 'sim_input_nodes_n5_s23_cb6.csv2.csv' (seed 1992)</t>
  </si>
  <si>
    <t xml:space="preserve">	Line 1068:  KOMONDOR SIMULATION 'sim_input_nodes_n5_s24_cb6.csv2.csv' (seed 1992)</t>
  </si>
  <si>
    <t xml:space="preserve">	Line 1072:  KOMONDOR SIMULATION 'sim_input_nodes_n5_s25_cb6.csv2.csv' (seed 1992)</t>
  </si>
  <si>
    <t xml:space="preserve">	Line 1076:  KOMONDOR SIMULATION 'sim_input_nodes_n5_s26_cb6.csv2.csv' (seed 1992)</t>
  </si>
  <si>
    <t xml:space="preserve">	Line 1080:  KOMONDOR SIMULATION 'sim_input_nodes_n5_s27_cb6.csv2.csv' (seed 1992)</t>
  </si>
  <si>
    <t xml:space="preserve">	Line 1084:  KOMONDOR SIMULATION 'sim_input_nodes_n5_s28_cb6.csv2.csv' (seed 1992)</t>
  </si>
  <si>
    <t xml:space="preserve">	Line 1088:  KOMONDOR SIMULATION 'sim_input_nodes_n5_s29_cb6.csv2.csv' (seed 1992)</t>
  </si>
  <si>
    <t xml:space="preserve">	Line 1092:  KOMONDOR SIMULATION 'sim_input_nodes_n5_s2_cb6.csv2.csv' (seed 1992)</t>
  </si>
  <si>
    <t xml:space="preserve">	Line 1096:  KOMONDOR SIMULATION 'sim_input_nodes_n5_s30_cb6.csv2.csv' (seed 1992)</t>
  </si>
  <si>
    <t xml:space="preserve">	Line 1100:  KOMONDOR SIMULATION 'sim_input_nodes_n5_s31_cb6.csv2.csv' (seed 1992)</t>
  </si>
  <si>
    <t xml:space="preserve">	Line 1104:  KOMONDOR SIMULATION 'sim_input_nodes_n5_s32_cb6.csv2.csv' (seed 1992)</t>
  </si>
  <si>
    <t xml:space="preserve">	Line 1108:  KOMONDOR SIMULATION 'sim_input_nodes_n5_s33_cb6.csv2.csv' (seed 1992)</t>
  </si>
  <si>
    <t xml:space="preserve">	Line 1112:  KOMONDOR SIMULATION 'sim_input_nodes_n5_s34_cb6.csv2.csv' (seed 1992)</t>
  </si>
  <si>
    <t xml:space="preserve">	Line 1116:  KOMONDOR SIMULATION 'sim_input_nodes_n5_s35_cb6.csv2.csv' (seed 1992)</t>
  </si>
  <si>
    <t xml:space="preserve">	Line 1120:  KOMONDOR SIMULATION 'sim_input_nodes_n5_s36_cb6.csv2.csv' (seed 1992)</t>
  </si>
  <si>
    <t xml:space="preserve">	Line 1124:  KOMONDOR SIMULATION 'sim_input_nodes_n5_s37_cb6.csv2.csv' (seed 1992)</t>
  </si>
  <si>
    <t xml:space="preserve">	Line 1128:  KOMONDOR SIMULATION 'sim_input_nodes_n5_s38_cb6.csv2.csv' (seed 1992)</t>
  </si>
  <si>
    <t xml:space="preserve">	Line 1132:  KOMONDOR SIMULATION 'sim_input_nodes_n5_s39_cb6.csv2.csv' (seed 1992)</t>
  </si>
  <si>
    <t xml:space="preserve">	Line 1136:  KOMONDOR SIMULATION 'sim_input_nodes_n5_s3_cb6.csv2.csv' (seed 1992)</t>
  </si>
  <si>
    <t xml:space="preserve">	Line 1140:  KOMONDOR SIMULATION 'sim_input_nodes_n5_s40_cb6.csv2.csv' (seed 1992)</t>
  </si>
  <si>
    <t xml:space="preserve">	Line 1144:  KOMONDOR SIMULATION 'sim_input_nodes_n5_s41_cb6.csv2.csv' (seed 1992)</t>
  </si>
  <si>
    <t xml:space="preserve">	Line 1148:  KOMONDOR SIMULATION 'sim_input_nodes_n5_s42_cb6.csv2.csv' (seed 1992)</t>
  </si>
  <si>
    <t xml:space="preserve">	Line 1152:  KOMONDOR SIMULATION 'sim_input_nodes_n5_s43_cb6.csv2.csv' (seed 1992)</t>
  </si>
  <si>
    <t xml:space="preserve">	Line 1156:  KOMONDOR SIMULATION 'sim_input_nodes_n5_s44_cb6.csv2.csv' (seed 1992)</t>
  </si>
  <si>
    <t xml:space="preserve">	Line 1160:  KOMONDOR SIMULATION 'sim_input_nodes_n5_s45_cb6.csv2.csv' (seed 1992)</t>
  </si>
  <si>
    <t xml:space="preserve">	Line 1164:  KOMONDOR SIMULATION 'sim_input_nodes_n5_s46_cb6.csv2.csv' (seed 1992)</t>
  </si>
  <si>
    <t xml:space="preserve">	Line 1168:  KOMONDOR SIMULATION 'sim_input_nodes_n5_s47_cb6.csv2.csv' (seed 1992)</t>
  </si>
  <si>
    <t xml:space="preserve">	Line 1172:  KOMONDOR SIMULATION 'sim_input_nodes_n5_s48_cb6.csv2.csv' (seed 1992)</t>
  </si>
  <si>
    <t xml:space="preserve">	Line 1176:  KOMONDOR SIMULATION 'sim_input_nodes_n5_s49_cb6.csv2.csv' (seed 1992)</t>
  </si>
  <si>
    <t xml:space="preserve">	Line 1180:  KOMONDOR SIMULATION 'sim_input_nodes_n5_s4_cb6.csv2.csv' (seed 1992)</t>
  </si>
  <si>
    <t xml:space="preserve">	Line 1184:  KOMONDOR SIMULATION 'sim_input_nodes_n5_s5_cb6.csv2.csv' (seed 1992)</t>
  </si>
  <si>
    <t xml:space="preserve">	Line 1188:  KOMONDOR SIMULATION 'sim_input_nodes_n5_s6_cb6.csv2.csv' (seed 1992)</t>
  </si>
  <si>
    <t xml:space="preserve">	Line 1192:  KOMONDOR SIMULATION 'sim_input_nodes_n5_s7_cb6.csv2.csv' (seed 1992)</t>
  </si>
  <si>
    <t xml:space="preserve">	Line 1196:  KOMONDOR SIMULATION 'sim_input_nodes_n5_s8_cb6.csv2.csv' (seed 1992)</t>
  </si>
  <si>
    <t xml:space="preserve">	Line 1200:  KOMONDOR SIMULATION 'sim_input_nodes_n5_s9_cb6.csv2.csv' (seed 1992)</t>
  </si>
  <si>
    <t>OP PL1</t>
  </si>
  <si>
    <t>PU PL1</t>
  </si>
  <si>
    <t>AM PL1</t>
  </si>
  <si>
    <t>ONLY PRIMARY (PATH LOSS 3 - 11ax)</t>
  </si>
  <si>
    <t>AM (PATH LOSS 3 - 11ax)</t>
  </si>
  <si>
    <t>SCB (PATH LOSS 3 - 11ax)</t>
  </si>
  <si>
    <t>PU (PATH LOSS 3 - 11ax)</t>
  </si>
  <si>
    <t>Line 2:  KOMONDOR SIMULATION 'sim_input_nodes_n10_s0_cb2.csv2.csv' (seed 1992)</t>
  </si>
  <si>
    <t>Line 6:  KOMONDOR SIMULATION 'sim_input_nodes_n10_s10_cb2.csv2.csv' (seed 1992)</t>
  </si>
  <si>
    <t>Line 10:  KOMONDOR SIMULATION 'sim_input_nodes_n10_s11_cb2.csv2.csv' (seed 1992)</t>
  </si>
  <si>
    <t>Line 14:  KOMONDOR SIMULATION 'sim_input_nodes_n10_s12_cb2.csv2.csv' (seed 1992)</t>
  </si>
  <si>
    <t>Line 18:  KOMONDOR SIMULATION 'sim_input_nodes_n10_s13_cb2.csv2.csv' (seed 1992)</t>
  </si>
  <si>
    <t>Line 22:  KOMONDOR SIMULATION 'sim_input_nodes_n10_s14_cb2.csv2.csv' (seed 1992)</t>
  </si>
  <si>
    <t>Line 26:  KOMONDOR SIMULATION 'sim_input_nodes_n10_s15_cb2.csv2.csv' (seed 1992)</t>
  </si>
  <si>
    <t>Line 30:  KOMONDOR SIMULATION 'sim_input_nodes_n10_s16_cb2.csv2.csv' (seed 1992)</t>
  </si>
  <si>
    <t>Line 34:  KOMONDOR SIMULATION 'sim_input_nodes_n10_s17_cb2.csv2.csv' (seed 1992)</t>
  </si>
  <si>
    <t>Line 38:  KOMONDOR SIMULATION 'sim_input_nodes_n10_s18_cb2.csv2.csv' (seed 1992)</t>
  </si>
  <si>
    <t>Line 42:  KOMONDOR SIMULATION 'sim_input_nodes_n10_s19_cb2.csv2.csv' (seed 1992)</t>
  </si>
  <si>
    <t>Line 46:  KOMONDOR SIMULATION 'sim_input_nodes_n10_s1_cb2.csv2.csv' (seed 1992)</t>
  </si>
  <si>
    <t>Line 50:  KOMONDOR SIMULATION 'sim_input_nodes_n10_s20_cb2.csv2.csv' (seed 1992)</t>
  </si>
  <si>
    <t>Line 54:  KOMONDOR SIMULATION 'sim_input_nodes_n10_s21_cb2.csv2.csv' (seed 1992)</t>
  </si>
  <si>
    <t>Line 58:  KOMONDOR SIMULATION 'sim_input_nodes_n10_s22_cb2.csv2.csv' (seed 1992)</t>
  </si>
  <si>
    <t>Line 62:  KOMONDOR SIMULATION 'sim_input_nodes_n10_s23_cb2.csv2.csv' (seed 1992)</t>
  </si>
  <si>
    <t>Line 66:  KOMONDOR SIMULATION 'sim_input_nodes_n10_s24_cb2.csv2.csv' (seed 1992)</t>
  </si>
  <si>
    <t>Line 70:  KOMONDOR SIMULATION 'sim_input_nodes_n10_s25_cb2.csv2.csv' (seed 1992)</t>
  </si>
  <si>
    <t>Line 74:  KOMONDOR SIMULATION 'sim_input_nodes_n10_s26_cb2.csv2.csv' (seed 1992)</t>
  </si>
  <si>
    <t>Line 78:  KOMONDOR SIMULATION 'sim_input_nodes_n10_s27_cb2.csv2.csv' (seed 1992)</t>
  </si>
  <si>
    <t>Line 82:  KOMONDOR SIMULATION 'sim_input_nodes_n10_s28_cb2.csv2.csv' (seed 1992)</t>
  </si>
  <si>
    <t>Line 86:  KOMONDOR SIMULATION 'sim_input_nodes_n10_s29_cb2.csv2.csv' (seed 1992)</t>
  </si>
  <si>
    <t>Line 90:  KOMONDOR SIMULATION 'sim_input_nodes_n10_s2_cb2.csv2.csv' (seed 1992)</t>
  </si>
  <si>
    <t>Line 94:  KOMONDOR SIMULATION 'sim_input_nodes_n10_s30_cb2.csv2.csv' (seed 1992)</t>
  </si>
  <si>
    <t>Line 98:  KOMONDOR SIMULATION 'sim_input_nodes_n10_s31_cb2.csv2.csv' (seed 1992)</t>
  </si>
  <si>
    <t>Line 102:  KOMONDOR SIMULATION 'sim_input_nodes_n10_s32_cb2.csv2.csv' (seed 1992)</t>
  </si>
  <si>
    <t>Line 106:  KOMONDOR SIMULATION 'sim_input_nodes_n10_s33_cb2.csv2.csv' (seed 1992)</t>
  </si>
  <si>
    <t>Line 110:  KOMONDOR SIMULATION 'sim_input_nodes_n10_s34_cb2.csv2.csv' (seed 1992)</t>
  </si>
  <si>
    <t>Line 114:  KOMONDOR SIMULATION 'sim_input_nodes_n10_s35_cb2.csv2.csv' (seed 1992)</t>
  </si>
  <si>
    <t>Line 118:  KOMONDOR SIMULATION 'sim_input_nodes_n10_s36_cb2.csv2.csv' (seed 1992)</t>
  </si>
  <si>
    <t>Line 122:  KOMONDOR SIMULATION 'sim_input_nodes_n10_s37_cb2.csv2.csv' (seed 1992)</t>
  </si>
  <si>
    <t>Line 126:  KOMONDOR SIMULATION 'sim_input_nodes_n10_s38_cb2.csv2.csv' (seed 1992)</t>
  </si>
  <si>
    <t>Line 130:  KOMONDOR SIMULATION 'sim_input_nodes_n10_s39_cb2.csv2.csv' (seed 1992)</t>
  </si>
  <si>
    <t>Line 134:  KOMONDOR SIMULATION 'sim_input_nodes_n10_s3_cb2.csv2.csv' (seed 1992)</t>
  </si>
  <si>
    <t>Line 138:  KOMONDOR SIMULATION 'sim_input_nodes_n10_s40_cb2.csv2.csv' (seed 1992)</t>
  </si>
  <si>
    <t>Line 142:  KOMONDOR SIMULATION 'sim_input_nodes_n10_s41_cb2.csv2.csv' (seed 1992)</t>
  </si>
  <si>
    <t>Line 146:  KOMONDOR SIMULATION 'sim_input_nodes_n10_s42_cb2.csv2.csv' (seed 1992)</t>
  </si>
  <si>
    <t>Line 150:  KOMONDOR SIMULATION 'sim_input_nodes_n10_s43_cb2.csv2.csv' (seed 1992)</t>
  </si>
  <si>
    <t>Line 154:  KOMONDOR SIMULATION 'sim_input_nodes_n10_s44_cb2.csv2.csv' (seed 1992)</t>
  </si>
  <si>
    <t>Line 158:  KOMONDOR SIMULATION 'sim_input_nodes_n10_s45_cb2.csv2.csv' (seed 1992)</t>
  </si>
  <si>
    <t>Line 162:  KOMONDOR SIMULATION 'sim_input_nodes_n10_s46_cb2.csv2.csv' (seed 1992)</t>
  </si>
  <si>
    <t>Line 166:  KOMONDOR SIMULATION 'sim_input_nodes_n10_s47_cb2.csv2.csv' (seed 1992)</t>
  </si>
  <si>
    <t>Line 170:  KOMONDOR SIMULATION 'sim_input_nodes_n10_s48_cb2.csv2.csv' (seed 1992)</t>
  </si>
  <si>
    <t>Line 174:  KOMONDOR SIMULATION 'sim_input_nodes_n10_s49_cb2.csv2.csv' (seed 1992)</t>
  </si>
  <si>
    <t>Line 178:  KOMONDOR SIMULATION 'sim_input_nodes_n10_s4_cb2.csv2.csv' (seed 1992)</t>
  </si>
  <si>
    <t>Line 182:  KOMONDOR SIMULATION 'sim_input_nodes_n10_s5_cb2.csv2.csv' (seed 1992)</t>
  </si>
  <si>
    <t>Line 186:  KOMONDOR SIMULATION 'sim_input_nodes_n10_s6_cb2.csv2.csv' (seed 1992)</t>
  </si>
  <si>
    <t>Line 190:  KOMONDOR SIMULATION 'sim_input_nodes_n10_s7_cb2.csv2.csv' (seed 1992)</t>
  </si>
  <si>
    <t>Line 194:  KOMONDOR SIMULATION 'sim_input_nodes_n10_s8_cb2.csv2.csv' (seed 1992)</t>
  </si>
  <si>
    <t>Line 198:  KOMONDOR SIMULATION 'sim_input_nodes_n10_s9_cb2.csv2.csv' (seed 1992)</t>
  </si>
  <si>
    <t>Line 1001:  KOMONDOR SIMULATION 'sim_input_nodes_n50_s0_cb0.csv2.csv' (seed 1992)</t>
  </si>
  <si>
    <t>Line 1005:  KOMONDOR SIMULATION 'sim_input_nodes_n50_s10_cb0.csv2.csv' (seed 1992)</t>
  </si>
  <si>
    <t>Line 1009:  KOMONDOR SIMULATION 'sim_input_nodes_n50_s11_cb0.csv2.csv' (seed 1992)</t>
  </si>
  <si>
    <t>Line 1013:  KOMONDOR SIMULATION 'sim_input_nodes_n50_s12_cb0.csv2.csv' (seed 1992)</t>
  </si>
  <si>
    <t>Line 1017:  KOMONDOR SIMULATION 'sim_input_nodes_n50_s13_cb0.csv2.csv' (seed 1992)</t>
  </si>
  <si>
    <t>Line 1021:  KOMONDOR SIMULATION 'sim_input_nodes_n50_s14_cb0.csv2.csv' (seed 1992)</t>
  </si>
  <si>
    <t>Line 1025:  KOMONDOR SIMULATION 'sim_input_nodes_n50_s15_cb0.csv2.csv' (seed 1992)</t>
  </si>
  <si>
    <t>Line 1029:  KOMONDOR SIMULATION 'sim_input_nodes_n50_s16_cb0.csv2.csv' (seed 1992)</t>
  </si>
  <si>
    <t>Line 1033:  KOMONDOR SIMULATION 'sim_input_nodes_n50_s17_cb0.csv2.csv' (seed 1992)</t>
  </si>
  <si>
    <t>Line 1037:  KOMONDOR SIMULATION 'sim_input_nodes_n50_s18_cb0.csv2.csv' (seed 1992)</t>
  </si>
  <si>
    <t>Line 1041:  KOMONDOR SIMULATION 'sim_input_nodes_n50_s19_cb0.csv2.csv' (seed 1992)</t>
  </si>
  <si>
    <t>Line 1045:  KOMONDOR SIMULATION 'sim_input_nodes_n50_s1_cb0.csv2.csv' (seed 1992)</t>
  </si>
  <si>
    <t>Line 1049:  KOMONDOR SIMULATION 'sim_input_nodes_n50_s20_cb0.csv2.csv' (seed 1992)</t>
  </si>
  <si>
    <t>Line 1053:  KOMONDOR SIMULATION 'sim_input_nodes_n50_s21_cb0.csv2.csv' (seed 1992)</t>
  </si>
  <si>
    <t>Line 1057:  KOMONDOR SIMULATION 'sim_input_nodes_n50_s22_cb0.csv2.csv' (seed 1992)</t>
  </si>
  <si>
    <t>Line 1061:  KOMONDOR SIMULATION 'sim_input_nodes_n50_s23_cb0.csv2.csv' (seed 1992)</t>
  </si>
  <si>
    <t>Line 1065:  KOMONDOR SIMULATION 'sim_input_nodes_n50_s24_cb0.csv2.csv' (seed 1992)</t>
  </si>
  <si>
    <t>Line 1069:  KOMONDOR SIMULATION 'sim_input_nodes_n50_s25_cb0.csv2.csv' (seed 1992)</t>
  </si>
  <si>
    <t>Line 1073:  KOMONDOR SIMULATION 'sim_input_nodes_n50_s26_cb0.csv2.csv' (seed 1992)</t>
  </si>
  <si>
    <t>Line 1077:  KOMONDOR SIMULATION 'sim_input_nodes_n50_s27_cb0.csv2.csv' (seed 1992)</t>
  </si>
  <si>
    <t>Line 1081:  KOMONDOR SIMULATION 'sim_input_nodes_n50_s28_cb0.csv2.csv' (seed 1992)</t>
  </si>
  <si>
    <t>Line 1085:  KOMONDOR SIMULATION 'sim_input_nodes_n50_s29_cb0.csv2.csv' (seed 1992)</t>
  </si>
  <si>
    <t>Line 1089:  KOMONDOR SIMULATION 'sim_input_nodes_n50_s2_cb0.csv2.csv' (seed 1992)</t>
  </si>
  <si>
    <t>Line 1093:  KOMONDOR SIMULATION 'sim_input_nodes_n50_s30_cb0.csv2.csv' (seed 1992)</t>
  </si>
  <si>
    <t>Line 1097:  KOMONDOR SIMULATION 'sim_input_nodes_n50_s31_cb0.csv2.csv' (seed 1992)</t>
  </si>
  <si>
    <t>Line 1101:  KOMONDOR SIMULATION 'sim_input_nodes_n50_s32_cb0.csv2.csv' (seed 1992)</t>
  </si>
  <si>
    <t>Line 1105:  KOMONDOR SIMULATION 'sim_input_nodes_n50_s33_cb0.csv2.csv' (seed 1992)</t>
  </si>
  <si>
    <t>Line 1109:  KOMONDOR SIMULATION 'sim_input_nodes_n50_s34_cb0.csv2.csv' (seed 1992)</t>
  </si>
  <si>
    <t>Line 1113:  KOMONDOR SIMULATION 'sim_input_nodes_n50_s35_cb0.csv2.csv' (seed 1992)</t>
  </si>
  <si>
    <t>Line 1117:  KOMONDOR SIMULATION 'sim_input_nodes_n50_s36_cb0.csv2.csv' (seed 1992)</t>
  </si>
  <si>
    <t>Line 1121:  KOMONDOR SIMULATION 'sim_input_nodes_n50_s37_cb0.csv2.csv' (seed 1992)</t>
  </si>
  <si>
    <t>Line 1125:  KOMONDOR SIMULATION 'sim_input_nodes_n50_s38_cb0.csv2.csv' (seed 1992)</t>
  </si>
  <si>
    <t>Line 1129:  KOMONDOR SIMULATION 'sim_input_nodes_n50_s39_cb0.csv2.csv' (seed 1992)</t>
  </si>
  <si>
    <t>Line 1133:  KOMONDOR SIMULATION 'sim_input_nodes_n50_s3_cb0.csv2.csv' (seed 1992)</t>
  </si>
  <si>
    <t>Line 1137:  KOMONDOR SIMULATION 'sim_input_nodes_n50_s40_cb0.csv2.csv' (seed 1992)</t>
  </si>
  <si>
    <t>Line 1141:  KOMONDOR SIMULATION 'sim_input_nodes_n50_s41_cb0.csv2.csv' (seed 1992)</t>
  </si>
  <si>
    <t>Line 1145:  KOMONDOR SIMULATION 'sim_input_nodes_n50_s42_cb0.csv2.csv' (seed 1992)</t>
  </si>
  <si>
    <t>Line 1149:  KOMONDOR SIMULATION 'sim_input_nodes_n50_s43_cb0.csv2.csv' (seed 1992)</t>
  </si>
  <si>
    <t>Line 1153:  KOMONDOR SIMULATION 'sim_input_nodes_n50_s44_cb0.csv2.csv' (seed 1992)</t>
  </si>
  <si>
    <t>Line 1157:  KOMONDOR SIMULATION 'sim_input_nodes_n50_s45_cb0.csv2.csv' (seed 1992)</t>
  </si>
  <si>
    <t>Line 1161:  KOMONDOR SIMULATION 'sim_input_nodes_n50_s46_cb0.csv2.csv' (seed 1992)</t>
  </si>
  <si>
    <t>Line 1165:  KOMONDOR SIMULATION 'sim_input_nodes_n50_s47_cb0.csv2.csv' (seed 1992)</t>
  </si>
  <si>
    <t>Line 1169:  KOMONDOR SIMULATION 'sim_input_nodes_n50_s48_cb0.csv2.csv' (seed 1992)</t>
  </si>
  <si>
    <t>Line 1173:  KOMONDOR SIMULATION 'sim_input_nodes_n50_s49_cb0.csv2.csv' (seed 1992)</t>
  </si>
  <si>
    <t>Line 1177:  KOMONDOR SIMULATION 'sim_input_nodes_n50_s4_cb0.csv2.csv' (seed 1992)</t>
  </si>
  <si>
    <t>Line 1181:  KOMONDOR SIMULATION 'sim_input_nodes_n50_s5_cb0.csv2.csv' (seed 1992)</t>
  </si>
  <si>
    <t>Line 1185:  KOMONDOR SIMULATION 'sim_input_nodes_n50_s6_cb0.csv2.csv' (seed 1992)</t>
  </si>
  <si>
    <t>Line 1189:  KOMONDOR SIMULATION 'sim_input_nodes_n50_s7_cb0.csv2.csv' (seed 1992)</t>
  </si>
  <si>
    <t>Line 1193:  KOMONDOR SIMULATION 'sim_input_nodes_n50_s8_cb0.csv2.csv' (seed 1992)</t>
  </si>
  <si>
    <t>Line 1197:  KOMONDOR SIMULATION 'sim_input_nodes_n50_s9_cb0.csv2.csv' (seed 1992)</t>
  </si>
  <si>
    <t>Line 1201:  KOMONDOR SIMULATION 'sim_input_nodes_n5_s0_cb0.csv2.csv' (seed 1992)</t>
  </si>
  <si>
    <t>Line 1205:  KOMONDOR SIMULATION 'sim_input_nodes_n5_s10_cb0.csv2.csv' (seed 1992)</t>
  </si>
  <si>
    <t>Line 1209:  KOMONDOR SIMULATION 'sim_input_nodes_n5_s11_cb0.csv2.csv' (seed 1992)</t>
  </si>
  <si>
    <t>Line 1213:  KOMONDOR SIMULATION 'sim_input_nodes_n5_s12_cb0.csv2.csv' (seed 1992)</t>
  </si>
  <si>
    <t>Line 1217:  KOMONDOR SIMULATION 'sim_input_nodes_n5_s13_cb0.csv2.csv' (seed 1992)</t>
  </si>
  <si>
    <t>Line 1221:  KOMONDOR SIMULATION 'sim_input_nodes_n5_s14_cb0.csv2.csv' (seed 1992)</t>
  </si>
  <si>
    <t>Line 1225:  KOMONDOR SIMULATION 'sim_input_nodes_n5_s15_cb0.csv2.csv' (seed 1992)</t>
  </si>
  <si>
    <t>Line 1229:  KOMONDOR SIMULATION 'sim_input_nodes_n5_s16_cb0.csv2.csv' (seed 1992)</t>
  </si>
  <si>
    <t>Line 1233:  KOMONDOR SIMULATION 'sim_input_nodes_n5_s17_cb0.csv2.csv' (seed 1992)</t>
  </si>
  <si>
    <t>Line 1237:  KOMONDOR SIMULATION 'sim_input_nodes_n5_s18_cb0.csv2.csv' (seed 1992)</t>
  </si>
  <si>
    <t>Line 1241:  KOMONDOR SIMULATION 'sim_input_nodes_n5_s19_cb0.csv2.csv' (seed 1992)</t>
  </si>
  <si>
    <t>Line 1245:  KOMONDOR SIMULATION 'sim_input_nodes_n5_s1_cb0.csv2.csv' (seed 1992)</t>
  </si>
  <si>
    <t>Line 1249:  KOMONDOR SIMULATION 'sim_input_nodes_n5_s20_cb0.csv2.csv' (seed 1992)</t>
  </si>
  <si>
    <t>Line 1253:  KOMONDOR SIMULATION 'sim_input_nodes_n5_s21_cb0.csv2.csv' (seed 1992)</t>
  </si>
  <si>
    <t>Line 1257:  KOMONDOR SIMULATION 'sim_input_nodes_n5_s22_cb0.csv2.csv' (seed 1992)</t>
  </si>
  <si>
    <t>Line 1261:  KOMONDOR SIMULATION 'sim_input_nodes_n5_s23_cb0.csv2.csv' (seed 1992)</t>
  </si>
  <si>
    <t>Line 1265:  KOMONDOR SIMULATION 'sim_input_nodes_n5_s24_cb0.csv2.csv' (seed 1992)</t>
  </si>
  <si>
    <t>Line 1269:  KOMONDOR SIMULATION 'sim_input_nodes_n5_s25_cb0.csv2.csv' (seed 1992)</t>
  </si>
  <si>
    <t>Line 1273:  KOMONDOR SIMULATION 'sim_input_nodes_n5_s26_cb0.csv2.csv' (seed 1992)</t>
  </si>
  <si>
    <t>Line 1277:  KOMONDOR SIMULATION 'sim_input_nodes_n5_s27_cb0.csv2.csv' (seed 1992)</t>
  </si>
  <si>
    <t>Line 1281:  KOMONDOR SIMULATION 'sim_input_nodes_n5_s28_cb0.csv2.csv' (seed 1992)</t>
  </si>
  <si>
    <t>Line 1285:  KOMONDOR SIMULATION 'sim_input_nodes_n5_s29_cb0.csv2.csv' (seed 1992)</t>
  </si>
  <si>
    <t>Line 1289:  KOMONDOR SIMULATION 'sim_input_nodes_n5_s2_cb0.csv2.csv' (seed 1992)</t>
  </si>
  <si>
    <t>Line 1293:  KOMONDOR SIMULATION 'sim_input_nodes_n5_s30_cb0.csv2.csv' (seed 1992)</t>
  </si>
  <si>
    <t>Line 1297:  KOMONDOR SIMULATION 'sim_input_nodes_n5_s31_cb0.csv2.csv' (seed 1992)</t>
  </si>
  <si>
    <t>Line 1301:  KOMONDOR SIMULATION 'sim_input_nodes_n5_s32_cb0.csv2.csv' (seed 1992)</t>
  </si>
  <si>
    <t>Line 1305:  KOMONDOR SIMULATION 'sim_input_nodes_n5_s33_cb0.csv2.csv' (seed 1992)</t>
  </si>
  <si>
    <t>Line 1309:  KOMONDOR SIMULATION 'sim_input_nodes_n5_s34_cb0.csv2.csv' (seed 1992)</t>
  </si>
  <si>
    <t>Line 1313:  KOMONDOR SIMULATION 'sim_input_nodes_n5_s35_cb0.csv2.csv' (seed 1992)</t>
  </si>
  <si>
    <t>Line 1317:  KOMONDOR SIMULATION 'sim_input_nodes_n5_s36_cb0.csv2.csv' (seed 1992)</t>
  </si>
  <si>
    <t>Line 1321:  KOMONDOR SIMULATION 'sim_input_nodes_n5_s37_cb0.csv2.csv' (seed 1992)</t>
  </si>
  <si>
    <t>Line 1325:  KOMONDOR SIMULATION 'sim_input_nodes_n5_s38_cb0.csv2.csv' (seed 1992)</t>
  </si>
  <si>
    <t>Line 1329:  KOMONDOR SIMULATION 'sim_input_nodes_n5_s39_cb0.csv2.csv' (seed 1992)</t>
  </si>
  <si>
    <t>Line 1333:  KOMONDOR SIMULATION 'sim_input_nodes_n5_s3_cb0.csv2.csv' (seed 1992)</t>
  </si>
  <si>
    <t>Line 1337:  KOMONDOR SIMULATION 'sim_input_nodes_n5_s40_cb0.csv2.csv' (seed 1992)</t>
  </si>
  <si>
    <t>Line 1341:  KOMONDOR SIMULATION 'sim_input_nodes_n5_s41_cb0.csv2.csv' (seed 1992)</t>
  </si>
  <si>
    <t>Line 1345:  KOMONDOR SIMULATION 'sim_input_nodes_n5_s42_cb0.csv2.csv' (seed 1992)</t>
  </si>
  <si>
    <t>Line 1349:  KOMONDOR SIMULATION 'sim_input_nodes_n5_s43_cb0.csv2.csv' (seed 1992)</t>
  </si>
  <si>
    <t>Line 1353:  KOMONDOR SIMULATION 'sim_input_nodes_n5_s44_cb0.csv2.csv' (seed 1992)</t>
  </si>
  <si>
    <t>Line 1357:  KOMONDOR SIMULATION 'sim_input_nodes_n5_s45_cb0.csv2.csv' (seed 1992)</t>
  </si>
  <si>
    <t>Line 1361:  KOMONDOR SIMULATION 'sim_input_nodes_n5_s46_cb0.csv2.csv' (seed 1992)</t>
  </si>
  <si>
    <t>Line 1365:  KOMONDOR SIMULATION 'sim_input_nodes_n5_s47_cb0.csv2.csv' (seed 1992)</t>
  </si>
  <si>
    <t>Line 1369:  KOMONDOR SIMULATION 'sim_input_nodes_n5_s48_cb0.csv2.csv' (seed 1992)</t>
  </si>
  <si>
    <t>Line 1373:  KOMONDOR SIMULATION 'sim_input_nodes_n5_s49_cb0.csv2.csv' (seed 1992)</t>
  </si>
  <si>
    <t>Line 1377:  KOMONDOR SIMULATION 'sim_input_nodes_n5_s4_cb0.csv2.csv' (seed 1992)</t>
  </si>
  <si>
    <t>Line 1381:  KOMONDOR SIMULATION 'sim_input_nodes_n5_s5_cb0.csv2.csv' (seed 1992)</t>
  </si>
  <si>
    <t>Line 1385:  KOMONDOR SIMULATION 'sim_input_nodes_n5_s6_cb0.csv2.csv' (seed 1992)</t>
  </si>
  <si>
    <t>Line 1389:  KOMONDOR SIMULATION 'sim_input_nodes_n5_s7_cb0.csv2.csv' (seed 1992)</t>
  </si>
  <si>
    <t>Line 1393:  KOMONDOR SIMULATION 'sim_input_nodes_n5_s8_cb0.csv2.csv' (seed 1992)</t>
  </si>
  <si>
    <t>Line 1397:  KOMONDOR SIMULATION 'sim_input_nodes_n5_s9_cb0.csv2.csv' (seed 1992)</t>
  </si>
  <si>
    <t>Line 202:  KOMONDOR SIMULATION 'sim_input_nodes_n20_s0_cb2.csv2.csv' (seed 1992)</t>
  </si>
  <si>
    <t>Line 206:  KOMONDOR SIMULATION 'sim_input_nodes_n20_s10_cb2.csv2.csv' (seed 1992)</t>
  </si>
  <si>
    <t>Line 210:  KOMONDOR SIMULATION 'sim_input_nodes_n20_s11_cb2.csv2.csv' (seed 1992)</t>
  </si>
  <si>
    <t>Line 214:  KOMONDOR SIMULATION 'sim_input_nodes_n20_s12_cb2.csv2.csv' (seed 1992)</t>
  </si>
  <si>
    <t>Line 218:  KOMONDOR SIMULATION 'sim_input_nodes_n20_s13_cb2.csv2.csv' (seed 1992)</t>
  </si>
  <si>
    <t>Line 222:  KOMONDOR SIMULATION 'sim_input_nodes_n20_s14_cb2.csv2.csv' (seed 1992)</t>
  </si>
  <si>
    <t>Line 226:  KOMONDOR SIMULATION 'sim_input_nodes_n20_s15_cb2.csv2.csv' (seed 1992)</t>
  </si>
  <si>
    <t>Line 230:  KOMONDOR SIMULATION 'sim_input_nodes_n20_s16_cb2.csv2.csv' (seed 1992)</t>
  </si>
  <si>
    <t>Line 234:  KOMONDOR SIMULATION 'sim_input_nodes_n20_s17_cb2.csv2.csv' (seed 1992)</t>
  </si>
  <si>
    <t>Line 238:  KOMONDOR SIMULATION 'sim_input_nodes_n20_s18_cb2.csv2.csv' (seed 1992)</t>
  </si>
  <si>
    <t>Line 242:  KOMONDOR SIMULATION 'sim_input_nodes_n20_s19_cb2.csv2.csv' (seed 1992)</t>
  </si>
  <si>
    <t>Line 246:  KOMONDOR SIMULATION 'sim_input_nodes_n20_s1_cb2.csv2.csv' (seed 1992)</t>
  </si>
  <si>
    <t>Line 250:  KOMONDOR SIMULATION 'sim_input_nodes_n20_s20_cb2.csv2.csv' (seed 1992)</t>
  </si>
  <si>
    <t>Line 254:  KOMONDOR SIMULATION 'sim_input_nodes_n20_s21_cb2.csv2.csv' (seed 1992)</t>
  </si>
  <si>
    <t>Line 258:  KOMONDOR SIMULATION 'sim_input_nodes_n20_s22_cb2.csv2.csv' (seed 1992)</t>
  </si>
  <si>
    <t>Line 262:  KOMONDOR SIMULATION 'sim_input_nodes_n20_s23_cb2.csv2.csv' (seed 1992)</t>
  </si>
  <si>
    <t>Line 266:  KOMONDOR SIMULATION 'sim_input_nodes_n20_s24_cb2.csv2.csv' (seed 1992)</t>
  </si>
  <si>
    <t>Line 270:  KOMONDOR SIMULATION 'sim_input_nodes_n20_s25_cb2.csv2.csv' (seed 1992)</t>
  </si>
  <si>
    <t>Line 274:  KOMONDOR SIMULATION 'sim_input_nodes_n20_s26_cb2.csv2.csv' (seed 1992)</t>
  </si>
  <si>
    <t>Line 278:  KOMONDOR SIMULATION 'sim_input_nodes_n20_s27_cb2.csv2.csv' (seed 1992)</t>
  </si>
  <si>
    <t>Line 282:  KOMONDOR SIMULATION 'sim_input_nodes_n20_s28_cb2.csv2.csv' (seed 1992)</t>
  </si>
  <si>
    <t>Line 286:  KOMONDOR SIMULATION 'sim_input_nodes_n20_s29_cb2.csv2.csv' (seed 1992)</t>
  </si>
  <si>
    <t>Line 290:  KOMONDOR SIMULATION 'sim_input_nodes_n20_s2_cb2.csv2.csv' (seed 1992)</t>
  </si>
  <si>
    <t>Line 294:  KOMONDOR SIMULATION 'sim_input_nodes_n20_s30_cb2.csv2.csv' (seed 1992)</t>
  </si>
  <si>
    <t>Line 298:  KOMONDOR SIMULATION 'sim_input_nodes_n20_s31_cb2.csv2.csv' (seed 1992)</t>
  </si>
  <si>
    <t>Line 302:  KOMONDOR SIMULATION 'sim_input_nodes_n20_s32_cb2.csv2.csv' (seed 1992)</t>
  </si>
  <si>
    <t>Line 306:  KOMONDOR SIMULATION 'sim_input_nodes_n20_s33_cb2.csv2.csv' (seed 1992)</t>
  </si>
  <si>
    <t>Line 310:  KOMONDOR SIMULATION 'sim_input_nodes_n20_s34_cb2.csv2.csv' (seed 1992)</t>
  </si>
  <si>
    <t>Line 314:  KOMONDOR SIMULATION 'sim_input_nodes_n20_s35_cb2.csv2.csv' (seed 1992)</t>
  </si>
  <si>
    <t>Line 318:  KOMONDOR SIMULATION 'sim_input_nodes_n20_s36_cb2.csv2.csv' (seed 1992)</t>
  </si>
  <si>
    <t>Line 322:  KOMONDOR SIMULATION 'sim_input_nodes_n20_s37_cb2.csv2.csv' (seed 1992)</t>
  </si>
  <si>
    <t>Line 326:  KOMONDOR SIMULATION 'sim_input_nodes_n20_s38_cb2.csv2.csv' (seed 1992)</t>
  </si>
  <si>
    <t>Line 330:  KOMONDOR SIMULATION 'sim_input_nodes_n20_s39_cb2.csv2.csv' (seed 1992)</t>
  </si>
  <si>
    <t>Line 334:  KOMONDOR SIMULATION 'sim_input_nodes_n20_s3_cb2.csv2.csv' (seed 1992)</t>
  </si>
  <si>
    <t>Line 338:  KOMONDOR SIMULATION 'sim_input_nodes_n20_s40_cb2.csv2.csv' (seed 1992)</t>
  </si>
  <si>
    <t>Line 342:  KOMONDOR SIMULATION 'sim_input_nodes_n20_s41_cb2.csv2.csv' (seed 1992)</t>
  </si>
  <si>
    <t>Line 346:  KOMONDOR SIMULATION 'sim_input_nodes_n20_s42_cb2.csv2.csv' (seed 1992)</t>
  </si>
  <si>
    <t>Line 350:  KOMONDOR SIMULATION 'sim_input_nodes_n20_s43_cb2.csv2.csv' (seed 1992)</t>
  </si>
  <si>
    <t>Line 354:  KOMONDOR SIMULATION 'sim_input_nodes_n20_s44_cb2.csv2.csv' (seed 1992)</t>
  </si>
  <si>
    <t>Line 358:  KOMONDOR SIMULATION 'sim_input_nodes_n20_s45_cb2.csv2.csv' (seed 1992)</t>
  </si>
  <si>
    <t>Line 362:  KOMONDOR SIMULATION 'sim_input_nodes_n20_s46_cb2.csv2.csv' (seed 1992)</t>
  </si>
  <si>
    <t>Line 366:  KOMONDOR SIMULATION 'sim_input_nodes_n20_s47_cb2.csv2.csv' (seed 1992)</t>
  </si>
  <si>
    <t>Line 370:  KOMONDOR SIMULATION 'sim_input_nodes_n20_s48_cb2.csv2.csv' (seed 1992)</t>
  </si>
  <si>
    <t>Line 374:  KOMONDOR SIMULATION 'sim_input_nodes_n20_s49_cb2.csv2.csv' (seed 1992)</t>
  </si>
  <si>
    <t>Line 378:  KOMONDOR SIMULATION 'sim_input_nodes_n20_s4_cb2.csv2.csv' (seed 1992)</t>
  </si>
  <si>
    <t>Line 382:  KOMONDOR SIMULATION 'sim_input_nodes_n20_s5_cb2.csv2.csv' (seed 1992)</t>
  </si>
  <si>
    <t>Line 386:  KOMONDOR SIMULATION 'sim_input_nodes_n20_s6_cb2.csv2.csv' (seed 1992)</t>
  </si>
  <si>
    <t>Line 390:  KOMONDOR SIMULATION 'sim_input_nodes_n20_s7_cb2.csv2.csv' (seed 1992)</t>
  </si>
  <si>
    <t>Line 394:  KOMONDOR SIMULATION 'sim_input_nodes_n20_s8_cb2.csv2.csv' (seed 1992)</t>
  </si>
  <si>
    <t>Line 398:  KOMONDOR SIMULATION 'sim_input_nodes_n20_s9_cb2.csv2.csv' (seed 1992)</t>
  </si>
  <si>
    <t>Line 402:  KOMONDOR SIMULATION 'sim_input_nodes_n2_s0_cb2.csv2.csv' (seed 1992)</t>
  </si>
  <si>
    <t>Line 406:  KOMONDOR SIMULATION 'sim_input_nodes_n2_s10_cb2.csv2.csv' (seed 1992)</t>
  </si>
  <si>
    <t>Line 410:  KOMONDOR SIMULATION 'sim_input_nodes_n2_s11_cb2.csv2.csv' (seed 1992)</t>
  </si>
  <si>
    <t>Line 414:  KOMONDOR SIMULATION 'sim_input_nodes_n2_s12_cb2.csv2.csv' (seed 1992)</t>
  </si>
  <si>
    <t>Line 418:  KOMONDOR SIMULATION 'sim_input_nodes_n2_s13_cb2.csv2.csv' (seed 1992)</t>
  </si>
  <si>
    <t>Line 422:  KOMONDOR SIMULATION 'sim_input_nodes_n2_s14_cb2.csv2.csv' (seed 1992)</t>
  </si>
  <si>
    <t>Line 426:  KOMONDOR SIMULATION 'sim_input_nodes_n2_s15_cb2.csv2.csv' (seed 1992)</t>
  </si>
  <si>
    <t>Line 430:  KOMONDOR SIMULATION 'sim_input_nodes_n2_s16_cb2.csv2.csv' (seed 1992)</t>
  </si>
  <si>
    <t>Line 434:  KOMONDOR SIMULATION 'sim_input_nodes_n2_s17_cb2.csv2.csv' (seed 1992)</t>
  </si>
  <si>
    <t>Line 438:  KOMONDOR SIMULATION 'sim_input_nodes_n2_s18_cb2.csv2.csv' (seed 1992)</t>
  </si>
  <si>
    <t>Line 442:  KOMONDOR SIMULATION 'sim_input_nodes_n2_s19_cb2.csv2.csv' (seed 1992)</t>
  </si>
  <si>
    <t>Line 446:  KOMONDOR SIMULATION 'sim_input_nodes_n2_s1_cb2.csv2.csv' (seed 1992)</t>
  </si>
  <si>
    <t>Line 450:  KOMONDOR SIMULATION 'sim_input_nodes_n2_s20_cb2.csv2.csv' (seed 1992)</t>
  </si>
  <si>
    <t>Line 454:  KOMONDOR SIMULATION 'sim_input_nodes_n2_s21_cb2.csv2.csv' (seed 1992)</t>
  </si>
  <si>
    <t>Line 458:  KOMONDOR SIMULATION 'sim_input_nodes_n2_s22_cb2.csv2.csv' (seed 1992)</t>
  </si>
  <si>
    <t>Line 462:  KOMONDOR SIMULATION 'sim_input_nodes_n2_s23_cb2.csv2.csv' (seed 1992)</t>
  </si>
  <si>
    <t>Line 466:  KOMONDOR SIMULATION 'sim_input_nodes_n2_s24_cb2.csv2.csv' (seed 1992)</t>
  </si>
  <si>
    <t>Line 470:  KOMONDOR SIMULATION 'sim_input_nodes_n2_s25_cb2.csv2.csv' (seed 1992)</t>
  </si>
  <si>
    <t>Line 474:  KOMONDOR SIMULATION 'sim_input_nodes_n2_s26_cb2.csv2.csv' (seed 1992)</t>
  </si>
  <si>
    <t>Line 478:  KOMONDOR SIMULATION 'sim_input_nodes_n2_s27_cb2.csv2.csv' (seed 1992)</t>
  </si>
  <si>
    <t>Line 482:  KOMONDOR SIMULATION 'sim_input_nodes_n2_s28_cb2.csv2.csv' (seed 1992)</t>
  </si>
  <si>
    <t>Line 486:  KOMONDOR SIMULATION 'sim_input_nodes_n2_s29_cb2.csv2.csv' (seed 1992)</t>
  </si>
  <si>
    <t>Line 490:  KOMONDOR SIMULATION 'sim_input_nodes_n2_s2_cb2.csv2.csv' (seed 1992)</t>
  </si>
  <si>
    <t>Line 494:  KOMONDOR SIMULATION 'sim_input_nodes_n2_s30_cb2.csv2.csv' (seed 1992)</t>
  </si>
  <si>
    <t>Line 498:  KOMONDOR SIMULATION 'sim_input_nodes_n2_s31_cb2.csv2.csv' (seed 1992)</t>
  </si>
  <si>
    <t>Line 502:  KOMONDOR SIMULATION 'sim_input_nodes_n2_s32_cb2.csv2.csv' (seed 1992)</t>
  </si>
  <si>
    <t>Line 506:  KOMONDOR SIMULATION 'sim_input_nodes_n2_s33_cb2.csv2.csv' (seed 1992)</t>
  </si>
  <si>
    <t>Line 510:  KOMONDOR SIMULATION 'sim_input_nodes_n2_s34_cb2.csv2.csv' (seed 1992)</t>
  </si>
  <si>
    <t>Line 514:  KOMONDOR SIMULATION 'sim_input_nodes_n2_s35_cb2.csv2.csv' (seed 1992)</t>
  </si>
  <si>
    <t>Line 518:  KOMONDOR SIMULATION 'sim_input_nodes_n2_s36_cb2.csv2.csv' (seed 1992)</t>
  </si>
  <si>
    <t>Line 522:  KOMONDOR SIMULATION 'sim_input_nodes_n2_s37_cb2.csv2.csv' (seed 1992)</t>
  </si>
  <si>
    <t>Line 526:  KOMONDOR SIMULATION 'sim_input_nodes_n2_s38_cb2.csv2.csv' (seed 1992)</t>
  </si>
  <si>
    <t>Line 530:  KOMONDOR SIMULATION 'sim_input_nodes_n2_s39_cb2.csv2.csv' (seed 1992)</t>
  </si>
  <si>
    <t>Line 534:  KOMONDOR SIMULATION 'sim_input_nodes_n2_s3_cb2.csv2.csv' (seed 1992)</t>
  </si>
  <si>
    <t>Line 538:  KOMONDOR SIMULATION 'sim_input_nodes_n2_s40_cb2.csv2.csv' (seed 1992)</t>
  </si>
  <si>
    <t>Line 542:  KOMONDOR SIMULATION 'sim_input_nodes_n2_s41_cb2.csv2.csv' (seed 1992)</t>
  </si>
  <si>
    <t>Line 546:  KOMONDOR SIMULATION 'sim_input_nodes_n2_s42_cb2.csv2.csv' (seed 1992)</t>
  </si>
  <si>
    <t>Line 550:  KOMONDOR SIMULATION 'sim_input_nodes_n2_s43_cb2.csv2.csv' (seed 1992)</t>
  </si>
  <si>
    <t>Line 554:  KOMONDOR SIMULATION 'sim_input_nodes_n2_s44_cb2.csv2.csv' (seed 1992)</t>
  </si>
  <si>
    <t>Line 558:  KOMONDOR SIMULATION 'sim_input_nodes_n2_s45_cb2.csv2.csv' (seed 1992)</t>
  </si>
  <si>
    <t>Line 562:  KOMONDOR SIMULATION 'sim_input_nodes_n2_s46_cb2.csv2.csv' (seed 1992)</t>
  </si>
  <si>
    <t>Line 566:  KOMONDOR SIMULATION 'sim_input_nodes_n2_s47_cb2.csv2.csv' (seed 1992)</t>
  </si>
  <si>
    <t>Line 570:  KOMONDOR SIMULATION 'sim_input_nodes_n2_s48_cb2.csv2.csv' (seed 1992)</t>
  </si>
  <si>
    <t>Line 574:  KOMONDOR SIMULATION 'sim_input_nodes_n2_s49_cb2.csv2.csv' (seed 1992)</t>
  </si>
  <si>
    <t>Line 578:  KOMONDOR SIMULATION 'sim_input_nodes_n2_s4_cb2.csv2.csv' (seed 1992)</t>
  </si>
  <si>
    <t>Line 582:  KOMONDOR SIMULATION 'sim_input_nodes_n2_s5_cb2.csv2.csv' (seed 1992)</t>
  </si>
  <si>
    <t>Line 586:  KOMONDOR SIMULATION 'sim_input_nodes_n2_s6_cb2.csv2.csv' (seed 1992)</t>
  </si>
  <si>
    <t>Line 590:  KOMONDOR SIMULATION 'sim_input_nodes_n2_s7_cb2.csv2.csv' (seed 1992)</t>
  </si>
  <si>
    <t>Line 594:  KOMONDOR SIMULATION 'sim_input_nodes_n2_s8_cb2.csv2.csv' (seed 1992)</t>
  </si>
  <si>
    <t>Line 598:  KOMONDOR SIMULATION 'sim_input_nodes_n2_s9_cb2.csv2.csv' (seed 1992)</t>
  </si>
  <si>
    <t>Line 602:  KOMONDOR SIMULATION 'sim_input_nodes_n30_s0_cb2.csv2.csv' (seed 1992)</t>
  </si>
  <si>
    <t>Line 606:  KOMONDOR SIMULATION 'sim_input_nodes_n30_s10_cb2.csv2.csv' (seed 1992)</t>
  </si>
  <si>
    <t>Line 610:  KOMONDOR SIMULATION 'sim_input_nodes_n30_s11_cb2.csv2.csv' (seed 1992)</t>
  </si>
  <si>
    <t>Line 614:  KOMONDOR SIMULATION 'sim_input_nodes_n30_s12_cb2.csv2.csv' (seed 1992)</t>
  </si>
  <si>
    <t>Line 618:  KOMONDOR SIMULATION 'sim_input_nodes_n30_s13_cb2.csv2.csv' (seed 1992)</t>
  </si>
  <si>
    <t>Line 622:  KOMONDOR SIMULATION 'sim_input_nodes_n30_s14_cb2.csv2.csv' (seed 1992)</t>
  </si>
  <si>
    <t>Line 626:  KOMONDOR SIMULATION 'sim_input_nodes_n30_s15_cb2.csv2.csv' (seed 1992)</t>
  </si>
  <si>
    <t>Line 630:  KOMONDOR SIMULATION 'sim_input_nodes_n30_s16_cb2.csv2.csv' (seed 1992)</t>
  </si>
  <si>
    <t>Line 634:  KOMONDOR SIMULATION 'sim_input_nodes_n30_s17_cb2.csv2.csv' (seed 1992)</t>
  </si>
  <si>
    <t>Line 638:  KOMONDOR SIMULATION 'sim_input_nodes_n30_s18_cb2.csv2.csv' (seed 1992)</t>
  </si>
  <si>
    <t>Line 642:  KOMONDOR SIMULATION 'sim_input_nodes_n30_s19_cb2.csv2.csv' (seed 1992)</t>
  </si>
  <si>
    <t>Line 646:  KOMONDOR SIMULATION 'sim_input_nodes_n30_s1_cb2.csv2.csv' (seed 1992)</t>
  </si>
  <si>
    <t>Line 650:  KOMONDOR SIMULATION 'sim_input_nodes_n30_s20_cb2.csv2.csv' (seed 1992)</t>
  </si>
  <si>
    <t>Line 654:  KOMONDOR SIMULATION 'sim_input_nodes_n30_s21_cb2.csv2.csv' (seed 1992)</t>
  </si>
  <si>
    <t>Line 658:  KOMONDOR SIMULATION 'sim_input_nodes_n30_s22_cb2.csv2.csv' (seed 1992)</t>
  </si>
  <si>
    <t>Line 662:  KOMONDOR SIMULATION 'sim_input_nodes_n30_s23_cb2.csv2.csv' (seed 1992)</t>
  </si>
  <si>
    <t>Line 666:  KOMONDOR SIMULATION 'sim_input_nodes_n30_s24_cb2.csv2.csv' (seed 1992)</t>
  </si>
  <si>
    <t>Line 670:  KOMONDOR SIMULATION 'sim_input_nodes_n30_s25_cb2.csv2.csv' (seed 1992)</t>
  </si>
  <si>
    <t>Line 674:  KOMONDOR SIMULATION 'sim_input_nodes_n30_s26_cb2.csv2.csv' (seed 1992)</t>
  </si>
  <si>
    <t>Line 678:  KOMONDOR SIMULATION 'sim_input_nodes_n30_s27_cb2.csv2.csv' (seed 1992)</t>
  </si>
  <si>
    <t>Line 682:  KOMONDOR SIMULATION 'sim_input_nodes_n30_s28_cb2.csv2.csv' (seed 1992)</t>
  </si>
  <si>
    <t>Line 686:  KOMONDOR SIMULATION 'sim_input_nodes_n30_s29_cb2.csv2.csv' (seed 1992)</t>
  </si>
  <si>
    <t>Line 690:  KOMONDOR SIMULATION 'sim_input_nodes_n30_s2_cb2.csv2.csv' (seed 1992)</t>
  </si>
  <si>
    <t>Line 694:  KOMONDOR SIMULATION 'sim_input_nodes_n30_s30_cb2.csv2.csv' (seed 1992)</t>
  </si>
  <si>
    <t>Line 698:  KOMONDOR SIMULATION 'sim_input_nodes_n30_s31_cb2.csv2.csv' (seed 1992)</t>
  </si>
  <si>
    <t>Line 702:  KOMONDOR SIMULATION 'sim_input_nodes_n30_s32_cb2.csv2.csv' (seed 1992)</t>
  </si>
  <si>
    <t>Line 706:  KOMONDOR SIMULATION 'sim_input_nodes_n30_s33_cb2.csv2.csv' (seed 1992)</t>
  </si>
  <si>
    <t>Line 710:  KOMONDOR SIMULATION 'sim_input_nodes_n30_s34_cb2.csv2.csv' (seed 1992)</t>
  </si>
  <si>
    <t>Line 714:  KOMONDOR SIMULATION 'sim_input_nodes_n30_s35_cb2.csv2.csv' (seed 1992)</t>
  </si>
  <si>
    <t>Line 718:  KOMONDOR SIMULATION 'sim_input_nodes_n30_s36_cb2.csv2.csv' (seed 1992)</t>
  </si>
  <si>
    <t>Line 722:  KOMONDOR SIMULATION 'sim_input_nodes_n30_s37_cb2.csv2.csv' (seed 1992)</t>
  </si>
  <si>
    <t>Line 726:  KOMONDOR SIMULATION 'sim_input_nodes_n30_s38_cb2.csv2.csv' (seed 1992)</t>
  </si>
  <si>
    <t>Line 730:  KOMONDOR SIMULATION 'sim_input_nodes_n30_s39_cb2.csv2.csv' (seed 1992)</t>
  </si>
  <si>
    <t>Line 734:  KOMONDOR SIMULATION 'sim_input_nodes_n30_s3_cb2.csv2.csv' (seed 1992)</t>
  </si>
  <si>
    <t>Line 738:  KOMONDOR SIMULATION 'sim_input_nodes_n30_s40_cb2.csv2.csv' (seed 1992)</t>
  </si>
  <si>
    <t>Line 742:  KOMONDOR SIMULATION 'sim_input_nodes_n30_s41_cb2.csv2.csv' (seed 1992)</t>
  </si>
  <si>
    <t>Line 746:  KOMONDOR SIMULATION 'sim_input_nodes_n30_s42_cb2.csv2.csv' (seed 1992)</t>
  </si>
  <si>
    <t>Line 750:  KOMONDOR SIMULATION 'sim_input_nodes_n30_s43_cb2.csv2.csv' (seed 1992)</t>
  </si>
  <si>
    <t>Line 754:  KOMONDOR SIMULATION 'sim_input_nodes_n30_s44_cb2.csv2.csv' (seed 1992)</t>
  </si>
  <si>
    <t>Line 758:  KOMONDOR SIMULATION 'sim_input_nodes_n30_s45_cb2.csv2.csv' (seed 1992)</t>
  </si>
  <si>
    <t>Line 762:  KOMONDOR SIMULATION 'sim_input_nodes_n30_s46_cb2.csv2.csv' (seed 1992)</t>
  </si>
  <si>
    <t>Line 766:  KOMONDOR SIMULATION 'sim_input_nodes_n30_s47_cb2.csv2.csv' (seed 1992)</t>
  </si>
  <si>
    <t>Line 770:  KOMONDOR SIMULATION 'sim_input_nodes_n30_s48_cb2.csv2.csv' (seed 1992)</t>
  </si>
  <si>
    <t>Line 774:  KOMONDOR SIMULATION 'sim_input_nodes_n30_s49_cb2.csv2.csv' (seed 1992)</t>
  </si>
  <si>
    <t>Line 778:  KOMONDOR SIMULATION 'sim_input_nodes_n30_s4_cb2.csv2.csv' (seed 1992)</t>
  </si>
  <si>
    <t>Line 782:  KOMONDOR SIMULATION 'sim_input_nodes_n30_s5_cb2.csv2.csv' (seed 1992)</t>
  </si>
  <si>
    <t>Line 786:  KOMONDOR SIMULATION 'sim_input_nodes_n30_s6_cb2.csv2.csv' (seed 1992)</t>
  </si>
  <si>
    <t>Line 790:  KOMONDOR SIMULATION 'sim_input_nodes_n30_s7_cb2.csv2.csv' (seed 1992)</t>
  </si>
  <si>
    <t>Line 794:  KOMONDOR SIMULATION 'sim_input_nodes_n30_s8_cb2.csv2.csv' (seed 1992)</t>
  </si>
  <si>
    <t>Line 798:  KOMONDOR SIMULATION 'sim_input_nodes_n30_s9_cb2.csv2.csv' (seed 1992)</t>
  </si>
  <si>
    <t>Line 802:  KOMONDOR SIMULATION 'sim_input_nodes_n40_s0_cb2.csv2.csv' (seed 1992)</t>
  </si>
  <si>
    <t>Line 806:  KOMONDOR SIMULATION 'sim_input_nodes_n40_s10_cb2.csv2.csv' (seed 1992)</t>
  </si>
  <si>
    <t>Line 810:  KOMONDOR SIMULATION 'sim_input_nodes_n40_s11_cb2.csv2.csv' (seed 1992)</t>
  </si>
  <si>
    <t>Line 814:  KOMONDOR SIMULATION 'sim_input_nodes_n40_s12_cb2.csv2.csv' (seed 1992)</t>
  </si>
  <si>
    <t>Line 818:  KOMONDOR SIMULATION 'sim_input_nodes_n40_s13_cb2.csv2.csv' (seed 1992)</t>
  </si>
  <si>
    <t>Line 822:  KOMONDOR SIMULATION 'sim_input_nodes_n40_s14_cb2.csv2.csv' (seed 1992)</t>
  </si>
  <si>
    <t>Line 826:  KOMONDOR SIMULATION 'sim_input_nodes_n40_s15_cb2.csv2.csv' (seed 1992)</t>
  </si>
  <si>
    <t>Line 830:  KOMONDOR SIMULATION 'sim_input_nodes_n40_s16_cb2.csv2.csv' (seed 1992)</t>
  </si>
  <si>
    <t>Line 834:  KOMONDOR SIMULATION 'sim_input_nodes_n40_s17_cb2.csv2.csv' (seed 1992)</t>
  </si>
  <si>
    <t>Line 838:  KOMONDOR SIMULATION 'sim_input_nodes_n40_s18_cb2.csv2.csv' (seed 1992)</t>
  </si>
  <si>
    <t>Line 842:  KOMONDOR SIMULATION 'sim_input_nodes_n40_s19_cb2.csv2.csv' (seed 1992)</t>
  </si>
  <si>
    <t>Line 846:  KOMONDOR SIMULATION 'sim_input_nodes_n40_s1_cb2.csv2.csv' (seed 1992)</t>
  </si>
  <si>
    <t>Line 850:  KOMONDOR SIMULATION 'sim_input_nodes_n40_s20_cb2.csv2.csv' (seed 1992)</t>
  </si>
  <si>
    <t>Line 854:  KOMONDOR SIMULATION 'sim_input_nodes_n40_s21_cb2.csv2.csv' (seed 1992)</t>
  </si>
  <si>
    <t>Line 858:  KOMONDOR SIMULATION 'sim_input_nodes_n40_s22_cb2.csv2.csv' (seed 1992)</t>
  </si>
  <si>
    <t>Line 862:  KOMONDOR SIMULATION 'sim_input_nodes_n40_s23_cb2.csv2.csv' (seed 1992)</t>
  </si>
  <si>
    <t>Line 866:  KOMONDOR SIMULATION 'sim_input_nodes_n40_s24_cb2.csv2.csv' (seed 1992)</t>
  </si>
  <si>
    <t>Line 870:  KOMONDOR SIMULATION 'sim_input_nodes_n40_s25_cb2.csv2.csv' (seed 1992)</t>
  </si>
  <si>
    <t>Line 874:  KOMONDOR SIMULATION 'sim_input_nodes_n40_s26_cb2.csv2.csv' (seed 1992)</t>
  </si>
  <si>
    <t>Line 878:  KOMONDOR SIMULATION 'sim_input_nodes_n40_s27_cb2.csv2.csv' (seed 1992)</t>
  </si>
  <si>
    <t>Line 882:  KOMONDOR SIMULATION 'sim_input_nodes_n40_s28_cb2.csv2.csv' (seed 1992)</t>
  </si>
  <si>
    <t>Line 886:  KOMONDOR SIMULATION 'sim_input_nodes_n40_s29_cb2.csv2.csv' (seed 1992)</t>
  </si>
  <si>
    <t>Line 890:  KOMONDOR SIMULATION 'sim_input_nodes_n40_s2_cb2.csv2.csv' (seed 1992)</t>
  </si>
  <si>
    <t>Line 894:  KOMONDOR SIMULATION 'sim_input_nodes_n40_s30_cb2.csv2.csv' (seed 1992)</t>
  </si>
  <si>
    <t>Line 898:  KOMONDOR SIMULATION 'sim_input_nodes_n40_s31_cb2.csv2.csv' (seed 1992)</t>
  </si>
  <si>
    <t>Line 902:  KOMONDOR SIMULATION 'sim_input_nodes_n40_s32_cb2.csv2.csv' (seed 1992)</t>
  </si>
  <si>
    <t>Line 906:  KOMONDOR SIMULATION 'sim_input_nodes_n40_s33_cb2.csv2.csv' (seed 1992)</t>
  </si>
  <si>
    <t>Line 910:  KOMONDOR SIMULATION 'sim_input_nodes_n40_s34_cb2.csv2.csv' (seed 1992)</t>
  </si>
  <si>
    <t>Line 914:  KOMONDOR SIMULATION 'sim_input_nodes_n40_s35_cb2.csv2.csv' (seed 1992)</t>
  </si>
  <si>
    <t>Line 918:  KOMONDOR SIMULATION 'sim_input_nodes_n40_s36_cb2.csv2.csv' (seed 1992)</t>
  </si>
  <si>
    <t>Line 922:  KOMONDOR SIMULATION 'sim_input_nodes_n40_s37_cb2.csv2.csv' (seed 1992)</t>
  </si>
  <si>
    <t>Line 926:  KOMONDOR SIMULATION 'sim_input_nodes_n40_s38_cb2.csv2.csv' (seed 1992)</t>
  </si>
  <si>
    <t>Line 930:  KOMONDOR SIMULATION 'sim_input_nodes_n40_s39_cb2.csv2.csv' (seed 1992)</t>
  </si>
  <si>
    <t>Line 934:  KOMONDOR SIMULATION 'sim_input_nodes_n40_s3_cb2.csv2.csv' (seed 1992)</t>
  </si>
  <si>
    <t>Line 938:  KOMONDOR SIMULATION 'sim_input_nodes_n40_s40_cb2.csv2.csv' (seed 1992)</t>
  </si>
  <si>
    <t>Line 942:  KOMONDOR SIMULATION 'sim_input_nodes_n40_s41_cb2.csv2.csv' (seed 1992)</t>
  </si>
  <si>
    <t>Line 946:  KOMONDOR SIMULATION 'sim_input_nodes_n40_s42_cb2.csv2.csv' (seed 1992)</t>
  </si>
  <si>
    <t>Line 950:  KOMONDOR SIMULATION 'sim_input_nodes_n40_s43_cb2.csv2.csv' (seed 1992)</t>
  </si>
  <si>
    <t>Line 954:  KOMONDOR SIMULATION 'sim_input_nodes_n40_s44_cb2.csv2.csv' (seed 1992)</t>
  </si>
  <si>
    <t>Line 958:  KOMONDOR SIMULATION 'sim_input_nodes_n40_s45_cb2.csv2.csv' (seed 1992)</t>
  </si>
  <si>
    <t>Line 962:  KOMONDOR SIMULATION 'sim_input_nodes_n40_s46_cb2.csv2.csv' (seed 1992)</t>
  </si>
  <si>
    <t>Line 966:  KOMONDOR SIMULATION 'sim_input_nodes_n40_s47_cb2.csv2.csv' (seed 1992)</t>
  </si>
  <si>
    <t>Line 970:  KOMONDOR SIMULATION 'sim_input_nodes_n40_s48_cb2.csv2.csv' (seed 1992)</t>
  </si>
  <si>
    <t>Line 974:  KOMONDOR SIMULATION 'sim_input_nodes_n40_s49_cb2.csv2.csv' (seed 1992)</t>
  </si>
  <si>
    <t>Line 978:  KOMONDOR SIMULATION 'sim_input_nodes_n40_s4_cb2.csv2.csv' (seed 1992)</t>
  </si>
  <si>
    <t>Line 982:  KOMONDOR SIMULATION 'sim_input_nodes_n40_s5_cb2.csv2.csv' (seed 1992)</t>
  </si>
  <si>
    <t>Line 986:  KOMONDOR SIMULATION 'sim_input_nodes_n40_s6_cb2.csv2.csv' (seed 1992)</t>
  </si>
  <si>
    <t>Line 990:  KOMONDOR SIMULATION 'sim_input_nodes_n40_s7_cb2.csv2.csv' (seed 1992)</t>
  </si>
  <si>
    <t>Line 994:  KOMONDOR SIMULATION 'sim_input_nodes_n40_s8_cb2.csv2.csv' (seed 1992)</t>
  </si>
  <si>
    <t>Line 998:  KOMONDOR SIMULATION 'sim_input_nodes_n40_s9_cb2.csv2.csv' (seed 1992)</t>
  </si>
  <si>
    <t>Line 1002:  KOMONDOR SIMULATION 'sim_input_nodes_n50_s0_cb2.csv2.csv' (seed 1992)</t>
  </si>
  <si>
    <t>Line 1006:  KOMONDOR SIMULATION 'sim_input_nodes_n50_s10_cb2.csv2.csv' (seed 1992)</t>
  </si>
  <si>
    <t>Line 1010:  KOMONDOR SIMULATION 'sim_input_nodes_n50_s11_cb2.csv2.csv' (seed 1992)</t>
  </si>
  <si>
    <t>Line 1014:  KOMONDOR SIMULATION 'sim_input_nodes_n50_s12_cb2.csv2.csv' (seed 1992)</t>
  </si>
  <si>
    <t>Line 1018:  KOMONDOR SIMULATION 'sim_input_nodes_n50_s13_cb2.csv2.csv' (seed 1992)</t>
  </si>
  <si>
    <t>Line 1022:  KOMONDOR SIMULATION 'sim_input_nodes_n50_s14_cb2.csv2.csv' (seed 1992)</t>
  </si>
  <si>
    <t>Line 1026:  KOMONDOR SIMULATION 'sim_input_nodes_n50_s15_cb2.csv2.csv' (seed 1992)</t>
  </si>
  <si>
    <t>Line 1030:  KOMONDOR SIMULATION 'sim_input_nodes_n50_s16_cb2.csv2.csv' (seed 1992)</t>
  </si>
  <si>
    <t>Line 1034:  KOMONDOR SIMULATION 'sim_input_nodes_n50_s17_cb2.csv2.csv' (seed 1992)</t>
  </si>
  <si>
    <t>Line 1038:  KOMONDOR SIMULATION 'sim_input_nodes_n50_s18_cb2.csv2.csv' (seed 1992)</t>
  </si>
  <si>
    <t>Line 1042:  KOMONDOR SIMULATION 'sim_input_nodes_n50_s19_cb2.csv2.csv' (seed 1992)</t>
  </si>
  <si>
    <t>Line 1046:  KOMONDOR SIMULATION 'sim_input_nodes_n50_s1_cb2.csv2.csv' (seed 1992)</t>
  </si>
  <si>
    <t>Line 1050:  KOMONDOR SIMULATION 'sim_input_nodes_n50_s20_cb2.csv2.csv' (seed 1992)</t>
  </si>
  <si>
    <t>Line 1054:  KOMONDOR SIMULATION 'sim_input_nodes_n50_s21_cb2.csv2.csv' (seed 1992)</t>
  </si>
  <si>
    <t>Line 1058:  KOMONDOR SIMULATION 'sim_input_nodes_n50_s22_cb2.csv2.csv' (seed 1992)</t>
  </si>
  <si>
    <t>Line 1062:  KOMONDOR SIMULATION 'sim_input_nodes_n50_s23_cb2.csv2.csv' (seed 1992)</t>
  </si>
  <si>
    <t>Line 1066:  KOMONDOR SIMULATION 'sim_input_nodes_n50_s24_cb2.csv2.csv' (seed 1992)</t>
  </si>
  <si>
    <t>Line 1070:  KOMONDOR SIMULATION 'sim_input_nodes_n50_s25_cb2.csv2.csv' (seed 1992)</t>
  </si>
  <si>
    <t>Line 1074:  KOMONDOR SIMULATION 'sim_input_nodes_n50_s26_cb2.csv2.csv' (seed 1992)</t>
  </si>
  <si>
    <t>Line 1078:  KOMONDOR SIMULATION 'sim_input_nodes_n50_s27_cb2.csv2.csv' (seed 1992)</t>
  </si>
  <si>
    <t>Line 1082:  KOMONDOR SIMULATION 'sim_input_nodes_n50_s28_cb2.csv2.csv' (seed 1992)</t>
  </si>
  <si>
    <t>Line 1086:  KOMONDOR SIMULATION 'sim_input_nodes_n50_s29_cb2.csv2.csv' (seed 1992)</t>
  </si>
  <si>
    <t>Line 1090:  KOMONDOR SIMULATION 'sim_input_nodes_n50_s2_cb2.csv2.csv' (seed 1992)</t>
  </si>
  <si>
    <t>Line 1094:  KOMONDOR SIMULATION 'sim_input_nodes_n50_s30_cb2.csv2.csv' (seed 1992)</t>
  </si>
  <si>
    <t>Line 1098:  KOMONDOR SIMULATION 'sim_input_nodes_n50_s31_cb2.csv2.csv' (seed 1992)</t>
  </si>
  <si>
    <t>Line 1102:  KOMONDOR SIMULATION 'sim_input_nodes_n50_s32_cb2.csv2.csv' (seed 1992)</t>
  </si>
  <si>
    <t>Line 1106:  KOMONDOR SIMULATION 'sim_input_nodes_n50_s33_cb2.csv2.csv' (seed 1992)</t>
  </si>
  <si>
    <t>Line 1110:  KOMONDOR SIMULATION 'sim_input_nodes_n50_s34_cb2.csv2.csv' (seed 1992)</t>
  </si>
  <si>
    <t>Line 1114:  KOMONDOR SIMULATION 'sim_input_nodes_n50_s35_cb2.csv2.csv' (seed 1992)</t>
  </si>
  <si>
    <t>Line 1118:  KOMONDOR SIMULATION 'sim_input_nodes_n50_s36_cb2.csv2.csv' (seed 1992)</t>
  </si>
  <si>
    <t>Line 1122:  KOMONDOR SIMULATION 'sim_input_nodes_n50_s37_cb2.csv2.csv' (seed 1992)</t>
  </si>
  <si>
    <t>Line 1126:  KOMONDOR SIMULATION 'sim_input_nodes_n50_s38_cb2.csv2.csv' (seed 1992)</t>
  </si>
  <si>
    <t>Line 1130:  KOMONDOR SIMULATION 'sim_input_nodes_n50_s39_cb2.csv2.csv' (seed 1992)</t>
  </si>
  <si>
    <t>Line 1134:  KOMONDOR SIMULATION 'sim_input_nodes_n50_s3_cb2.csv2.csv' (seed 1992)</t>
  </si>
  <si>
    <t>Line 1138:  KOMONDOR SIMULATION 'sim_input_nodes_n50_s40_cb2.csv2.csv' (seed 1992)</t>
  </si>
  <si>
    <t>Line 1142:  KOMONDOR SIMULATION 'sim_input_nodes_n50_s41_cb2.csv2.csv' (seed 1992)</t>
  </si>
  <si>
    <t>Line 1146:  KOMONDOR SIMULATION 'sim_input_nodes_n50_s42_cb2.csv2.csv' (seed 1992)</t>
  </si>
  <si>
    <t>Line 1150:  KOMONDOR SIMULATION 'sim_input_nodes_n50_s43_cb2.csv2.csv' (seed 1992)</t>
  </si>
  <si>
    <t>Line 1154:  KOMONDOR SIMULATION 'sim_input_nodes_n50_s44_cb2.csv2.csv' (seed 1992)</t>
  </si>
  <si>
    <t>Line 1158:  KOMONDOR SIMULATION 'sim_input_nodes_n50_s45_cb2.csv2.csv' (seed 1992)</t>
  </si>
  <si>
    <t>Line 1162:  KOMONDOR SIMULATION 'sim_input_nodes_n50_s46_cb2.csv2.csv' (seed 1992)</t>
  </si>
  <si>
    <t>Line 1166:  KOMONDOR SIMULATION 'sim_input_nodes_n50_s47_cb2.csv2.csv' (seed 1992)</t>
  </si>
  <si>
    <t>Line 1170:  KOMONDOR SIMULATION 'sim_input_nodes_n50_s48_cb2.csv2.csv' (seed 1992)</t>
  </si>
  <si>
    <t>Line 1174:  KOMONDOR SIMULATION 'sim_input_nodes_n50_s49_cb2.csv2.csv' (seed 1992)</t>
  </si>
  <si>
    <t>Line 1178:  KOMONDOR SIMULATION 'sim_input_nodes_n50_s4_cb2.csv2.csv' (seed 1992)</t>
  </si>
  <si>
    <t>Line 1182:  KOMONDOR SIMULATION 'sim_input_nodes_n50_s5_cb2.csv2.csv' (seed 1992)</t>
  </si>
  <si>
    <t>Line 1186:  KOMONDOR SIMULATION 'sim_input_nodes_n50_s6_cb2.csv2.csv' (seed 1992)</t>
  </si>
  <si>
    <t>Line 1190:  KOMONDOR SIMULATION 'sim_input_nodes_n50_s7_cb2.csv2.csv' (seed 1992)</t>
  </si>
  <si>
    <t>Line 1194:  KOMONDOR SIMULATION 'sim_input_nodes_n50_s8_cb2.csv2.csv' (seed 1992)</t>
  </si>
  <si>
    <t>Line 1198:  KOMONDOR SIMULATION 'sim_input_nodes_n50_s9_cb2.csv2.csv' (seed 1992)</t>
  </si>
  <si>
    <t>Line 1202:  KOMONDOR SIMULATION 'sim_input_nodes_n5_s0_cb2.csv2.csv' (seed 1992)</t>
  </si>
  <si>
    <t>Line 1206:  KOMONDOR SIMULATION 'sim_input_nodes_n5_s10_cb2.csv2.csv' (seed 1992)</t>
  </si>
  <si>
    <t>Line 1210:  KOMONDOR SIMULATION 'sim_input_nodes_n5_s11_cb2.csv2.csv' (seed 1992)</t>
  </si>
  <si>
    <t>Line 1214:  KOMONDOR SIMULATION 'sim_input_nodes_n5_s12_cb2.csv2.csv' (seed 1992)</t>
  </si>
  <si>
    <t>Line 1218:  KOMONDOR SIMULATION 'sim_input_nodes_n5_s13_cb2.csv2.csv' (seed 1992)</t>
  </si>
  <si>
    <t>Line 1222:  KOMONDOR SIMULATION 'sim_input_nodes_n5_s14_cb2.csv2.csv' (seed 1992)</t>
  </si>
  <si>
    <t>Line 1226:  KOMONDOR SIMULATION 'sim_input_nodes_n5_s15_cb2.csv2.csv' (seed 1992)</t>
  </si>
  <si>
    <t>Line 1230:  KOMONDOR SIMULATION 'sim_input_nodes_n5_s16_cb2.csv2.csv' (seed 1992)</t>
  </si>
  <si>
    <t>Line 1234:  KOMONDOR SIMULATION 'sim_input_nodes_n5_s17_cb2.csv2.csv' (seed 1992)</t>
  </si>
  <si>
    <t>Line 1238:  KOMONDOR SIMULATION 'sim_input_nodes_n5_s18_cb2.csv2.csv' (seed 1992)</t>
  </si>
  <si>
    <t>Line 1242:  KOMONDOR SIMULATION 'sim_input_nodes_n5_s19_cb2.csv2.csv' (seed 1992)</t>
  </si>
  <si>
    <t>Line 1246:  KOMONDOR SIMULATION 'sim_input_nodes_n5_s1_cb2.csv2.csv' (seed 1992)</t>
  </si>
  <si>
    <t>Line 1250:  KOMONDOR SIMULATION 'sim_input_nodes_n5_s20_cb2.csv2.csv' (seed 1992)</t>
  </si>
  <si>
    <t>Line 1254:  KOMONDOR SIMULATION 'sim_input_nodes_n5_s21_cb2.csv2.csv' (seed 1992)</t>
  </si>
  <si>
    <t>Line 1258:  KOMONDOR SIMULATION 'sim_input_nodes_n5_s22_cb2.csv2.csv' (seed 1992)</t>
  </si>
  <si>
    <t>Line 1262:  KOMONDOR SIMULATION 'sim_input_nodes_n5_s23_cb2.csv2.csv' (seed 1992)</t>
  </si>
  <si>
    <t>Line 1266:  KOMONDOR SIMULATION 'sim_input_nodes_n5_s24_cb2.csv2.csv' (seed 1992)</t>
  </si>
  <si>
    <t>Line 1270:  KOMONDOR SIMULATION 'sim_input_nodes_n5_s25_cb2.csv2.csv' (seed 1992)</t>
  </si>
  <si>
    <t>Line 1274:  KOMONDOR SIMULATION 'sim_input_nodes_n5_s26_cb2.csv2.csv' (seed 1992)</t>
  </si>
  <si>
    <t>Line 1278:  KOMONDOR SIMULATION 'sim_input_nodes_n5_s27_cb2.csv2.csv' (seed 1992)</t>
  </si>
  <si>
    <t>Line 1282:  KOMONDOR SIMULATION 'sim_input_nodes_n5_s28_cb2.csv2.csv' (seed 1992)</t>
  </si>
  <si>
    <t>Line 1286:  KOMONDOR SIMULATION 'sim_input_nodes_n5_s29_cb2.csv2.csv' (seed 1992)</t>
  </si>
  <si>
    <t>Line 1290:  KOMONDOR SIMULATION 'sim_input_nodes_n5_s2_cb2.csv2.csv' (seed 1992)</t>
  </si>
  <si>
    <t>Line 1294:  KOMONDOR SIMULATION 'sim_input_nodes_n5_s30_cb2.csv2.csv' (seed 1992)</t>
  </si>
  <si>
    <t>Line 1298:  KOMONDOR SIMULATION 'sim_input_nodes_n5_s31_cb2.csv2.csv' (seed 1992)</t>
  </si>
  <si>
    <t>Line 1302:  KOMONDOR SIMULATION 'sim_input_nodes_n5_s32_cb2.csv2.csv' (seed 1992)</t>
  </si>
  <si>
    <t>Line 1306:  KOMONDOR SIMULATION 'sim_input_nodes_n5_s33_cb2.csv2.csv' (seed 1992)</t>
  </si>
  <si>
    <t>Line 1310:  KOMONDOR SIMULATION 'sim_input_nodes_n5_s34_cb2.csv2.csv' (seed 1992)</t>
  </si>
  <si>
    <t>Line 1314:  KOMONDOR SIMULATION 'sim_input_nodes_n5_s35_cb2.csv2.csv' (seed 1992)</t>
  </si>
  <si>
    <t>Line 1318:  KOMONDOR SIMULATION 'sim_input_nodes_n5_s36_cb2.csv2.csv' (seed 1992)</t>
  </si>
  <si>
    <t>Line 1322:  KOMONDOR SIMULATION 'sim_input_nodes_n5_s37_cb2.csv2.csv' (seed 1992)</t>
  </si>
  <si>
    <t>Line 1326:  KOMONDOR SIMULATION 'sim_input_nodes_n5_s38_cb2.csv2.csv' (seed 1992)</t>
  </si>
  <si>
    <t>Line 1330:  KOMONDOR SIMULATION 'sim_input_nodes_n5_s39_cb2.csv2.csv' (seed 1992)</t>
  </si>
  <si>
    <t>Line 1334:  KOMONDOR SIMULATION 'sim_input_nodes_n5_s3_cb2.csv2.csv' (seed 1992)</t>
  </si>
  <si>
    <t>Line 1338:  KOMONDOR SIMULATION 'sim_input_nodes_n5_s40_cb2.csv2.csv' (seed 1992)</t>
  </si>
  <si>
    <t>Line 1342:  KOMONDOR SIMULATION 'sim_input_nodes_n5_s41_cb2.csv2.csv' (seed 1992)</t>
  </si>
  <si>
    <t>Line 1346:  KOMONDOR SIMULATION 'sim_input_nodes_n5_s42_cb2.csv2.csv' (seed 1992)</t>
  </si>
  <si>
    <t>Line 1350:  KOMONDOR SIMULATION 'sim_input_nodes_n5_s43_cb2.csv2.csv' (seed 1992)</t>
  </si>
  <si>
    <t>Line 1354:  KOMONDOR SIMULATION 'sim_input_nodes_n5_s44_cb2.csv2.csv' (seed 1992)</t>
  </si>
  <si>
    <t>Line 1358:  KOMONDOR SIMULATION 'sim_input_nodes_n5_s45_cb2.csv2.csv' (seed 1992)</t>
  </si>
  <si>
    <t>Line 1362:  KOMONDOR SIMULATION 'sim_input_nodes_n5_s46_cb2.csv2.csv' (seed 1992)</t>
  </si>
  <si>
    <t>Line 1366:  KOMONDOR SIMULATION 'sim_input_nodes_n5_s47_cb2.csv2.csv' (seed 1992)</t>
  </si>
  <si>
    <t>Line 1370:  KOMONDOR SIMULATION 'sim_input_nodes_n5_s48_cb2.csv2.csv' (seed 1992)</t>
  </si>
  <si>
    <t>Line 1374:  KOMONDOR SIMULATION 'sim_input_nodes_n5_s49_cb2.csv2.csv' (seed 1992)</t>
  </si>
  <si>
    <t>Line 1378:  KOMONDOR SIMULATION 'sim_input_nodes_n5_s4_cb2.csv2.csv' (seed 1992)</t>
  </si>
  <si>
    <t>Line 1382:  KOMONDOR SIMULATION 'sim_input_nodes_n5_s5_cb2.csv2.csv' (seed 1992)</t>
  </si>
  <si>
    <t>Line 1386:  KOMONDOR SIMULATION 'sim_input_nodes_n5_s6_cb2.csv2.csv' (seed 1992)</t>
  </si>
  <si>
    <t>Line 1390:  KOMONDOR SIMULATION 'sim_input_nodes_n5_s7_cb2.csv2.csv' (seed 1992)</t>
  </si>
  <si>
    <t>Line 1394:  KOMONDOR SIMULATION 'sim_input_nodes_n5_s8_cb2.csv2.csv' (seed 1992)</t>
  </si>
  <si>
    <t>Line 1398:  KOMONDOR SIMULATION 'sim_input_nodes_n5_s9_cb2.csv2.csv' (seed 1992)</t>
  </si>
  <si>
    <t>Line 1003:  KOMONDOR SIMULATION 'sim_input_nodes_n50_s0_cb4.csv2.csv' (seed 1992)</t>
  </si>
  <si>
    <t>Line 1007:  KOMONDOR SIMULATION 'sim_input_nodes_n50_s10_cb4.csv2.csv' (seed 1992)</t>
  </si>
  <si>
    <t>Line 1011:  KOMONDOR SIMULATION 'sim_input_nodes_n50_s11_cb4.csv2.csv' (seed 1992)</t>
  </si>
  <si>
    <t>Line 1015:  KOMONDOR SIMULATION 'sim_input_nodes_n50_s12_cb4.csv2.csv' (seed 1992)</t>
  </si>
  <si>
    <t>Line 1019:  KOMONDOR SIMULATION 'sim_input_nodes_n50_s13_cb4.csv2.csv' (seed 1992)</t>
  </si>
  <si>
    <t>Line 1023:  KOMONDOR SIMULATION 'sim_input_nodes_n50_s14_cb4.csv2.csv' (seed 1992)</t>
  </si>
  <si>
    <t>Line 1027:  KOMONDOR SIMULATION 'sim_input_nodes_n50_s15_cb4.csv2.csv' (seed 1992)</t>
  </si>
  <si>
    <t>Line 1031:  KOMONDOR SIMULATION 'sim_input_nodes_n50_s16_cb4.csv2.csv' (seed 1992)</t>
  </si>
  <si>
    <t>Line 1035:  KOMONDOR SIMULATION 'sim_input_nodes_n50_s17_cb4.csv2.csv' (seed 1992)</t>
  </si>
  <si>
    <t>Line 1039:  KOMONDOR SIMULATION 'sim_input_nodes_n50_s18_cb4.csv2.csv' (seed 1992)</t>
  </si>
  <si>
    <t>Line 1043:  KOMONDOR SIMULATION 'sim_input_nodes_n50_s19_cb4.csv2.csv' (seed 1992)</t>
  </si>
  <si>
    <t>Line 1047:  KOMONDOR SIMULATION 'sim_input_nodes_n50_s1_cb4.csv2.csv' (seed 1992)</t>
  </si>
  <si>
    <t>Line 1051:  KOMONDOR SIMULATION 'sim_input_nodes_n50_s20_cb4.csv2.csv' (seed 1992)</t>
  </si>
  <si>
    <t>Line 1055:  KOMONDOR SIMULATION 'sim_input_nodes_n50_s21_cb4.csv2.csv' (seed 1992)</t>
  </si>
  <si>
    <t>Line 1059:  KOMONDOR SIMULATION 'sim_input_nodes_n50_s22_cb4.csv2.csv' (seed 1992)</t>
  </si>
  <si>
    <t>Line 1063:  KOMONDOR SIMULATION 'sim_input_nodes_n50_s23_cb4.csv2.csv' (seed 1992)</t>
  </si>
  <si>
    <t>Line 1067:  KOMONDOR SIMULATION 'sim_input_nodes_n50_s24_cb4.csv2.csv' (seed 1992)</t>
  </si>
  <si>
    <t>Line 1071:  KOMONDOR SIMULATION 'sim_input_nodes_n50_s25_cb4.csv2.csv' (seed 1992)</t>
  </si>
  <si>
    <t>Line 1075:  KOMONDOR SIMULATION 'sim_input_nodes_n50_s26_cb4.csv2.csv' (seed 1992)</t>
  </si>
  <si>
    <t>Line 1079:  KOMONDOR SIMULATION 'sim_input_nodes_n50_s27_cb4.csv2.csv' (seed 1992)</t>
  </si>
  <si>
    <t>Line 1083:  KOMONDOR SIMULATION 'sim_input_nodes_n50_s28_cb4.csv2.csv' (seed 1992)</t>
  </si>
  <si>
    <t>Line 1087:  KOMONDOR SIMULATION 'sim_input_nodes_n50_s29_cb4.csv2.csv' (seed 1992)</t>
  </si>
  <si>
    <t>Line 1091:  KOMONDOR SIMULATION 'sim_input_nodes_n50_s2_cb4.csv2.csv' (seed 1992)</t>
  </si>
  <si>
    <t>Line 1095:  KOMONDOR SIMULATION 'sim_input_nodes_n50_s30_cb4.csv2.csv' (seed 1992)</t>
  </si>
  <si>
    <t>Line 1099:  KOMONDOR SIMULATION 'sim_input_nodes_n50_s31_cb4.csv2.csv' (seed 1992)</t>
  </si>
  <si>
    <t>Line 1103:  KOMONDOR SIMULATION 'sim_input_nodes_n50_s32_cb4.csv2.csv' (seed 1992)</t>
  </si>
  <si>
    <t>Line 1107:  KOMONDOR SIMULATION 'sim_input_nodes_n50_s33_cb4.csv2.csv' (seed 1992)</t>
  </si>
  <si>
    <t>Line 1111:  KOMONDOR SIMULATION 'sim_input_nodes_n50_s34_cb4.csv2.csv' (seed 1992)</t>
  </si>
  <si>
    <t>Line 1115:  KOMONDOR SIMULATION 'sim_input_nodes_n50_s35_cb4.csv2.csv' (seed 1992)</t>
  </si>
  <si>
    <t>Line 1119:  KOMONDOR SIMULATION 'sim_input_nodes_n50_s36_cb4.csv2.csv' (seed 1992)</t>
  </si>
  <si>
    <t>Line 1123:  KOMONDOR SIMULATION 'sim_input_nodes_n50_s37_cb4.csv2.csv' (seed 1992)</t>
  </si>
  <si>
    <t>Line 1127:  KOMONDOR SIMULATION 'sim_input_nodes_n50_s38_cb4.csv2.csv' (seed 1992)</t>
  </si>
  <si>
    <t>Line 1131:  KOMONDOR SIMULATION 'sim_input_nodes_n50_s39_cb4.csv2.csv' (seed 1992)</t>
  </si>
  <si>
    <t>Line 1135:  KOMONDOR SIMULATION 'sim_input_nodes_n50_s3_cb4.csv2.csv' (seed 1992)</t>
  </si>
  <si>
    <t>Line 1139:  KOMONDOR SIMULATION 'sim_input_nodes_n50_s40_cb4.csv2.csv' (seed 1992)</t>
  </si>
  <si>
    <t>Line 1143:  KOMONDOR SIMULATION 'sim_input_nodes_n50_s41_cb4.csv2.csv' (seed 1992)</t>
  </si>
  <si>
    <t>Line 1147:  KOMONDOR SIMULATION 'sim_input_nodes_n50_s42_cb4.csv2.csv' (seed 1992)</t>
  </si>
  <si>
    <t>Line 1151:  KOMONDOR SIMULATION 'sim_input_nodes_n50_s43_cb4.csv2.csv' (seed 1992)</t>
  </si>
  <si>
    <t>Line 1155:  KOMONDOR SIMULATION 'sim_input_nodes_n50_s44_cb4.csv2.csv' (seed 1992)</t>
  </si>
  <si>
    <t>Line 1159:  KOMONDOR SIMULATION 'sim_input_nodes_n50_s45_cb4.csv2.csv' (seed 1992)</t>
  </si>
  <si>
    <t>Line 1163:  KOMONDOR SIMULATION 'sim_input_nodes_n50_s46_cb4.csv2.csv' (seed 1992)</t>
  </si>
  <si>
    <t>Line 1167:  KOMONDOR SIMULATION 'sim_input_nodes_n50_s47_cb4.csv2.csv' (seed 1992)</t>
  </si>
  <si>
    <t>Line 1171:  KOMONDOR SIMULATION 'sim_input_nodes_n50_s48_cb4.csv2.csv' (seed 1992)</t>
  </si>
  <si>
    <t>Line 1175:  KOMONDOR SIMULATION 'sim_input_nodes_n50_s49_cb4.csv2.csv' (seed 1992)</t>
  </si>
  <si>
    <t>Line 1179:  KOMONDOR SIMULATION 'sim_input_nodes_n50_s4_cb4.csv2.csv' (seed 1992)</t>
  </si>
  <si>
    <t>Line 1183:  KOMONDOR SIMULATION 'sim_input_nodes_n50_s5_cb4.csv2.csv' (seed 1992)</t>
  </si>
  <si>
    <t>Line 1187:  KOMONDOR SIMULATION 'sim_input_nodes_n50_s6_cb4.csv2.csv' (seed 1992)</t>
  </si>
  <si>
    <t>Line 1191:  KOMONDOR SIMULATION 'sim_input_nodes_n50_s7_cb4.csv2.csv' (seed 1992)</t>
  </si>
  <si>
    <t>Line 1195:  KOMONDOR SIMULATION 'sim_input_nodes_n50_s8_cb4.csv2.csv' (seed 1992)</t>
  </si>
  <si>
    <t>Line 1199:  KOMONDOR SIMULATION 'sim_input_nodes_n50_s9_cb4.csv2.csv' (seed 1992)</t>
  </si>
  <si>
    <t>Line 1203:  KOMONDOR SIMULATION 'sim_input_nodes_n5_s0_cb4.csv2.csv' (seed 1992)</t>
  </si>
  <si>
    <t>Line 1207:  KOMONDOR SIMULATION 'sim_input_nodes_n5_s10_cb4.csv2.csv' (seed 1992)</t>
  </si>
  <si>
    <t>Line 1211:  KOMONDOR SIMULATION 'sim_input_nodes_n5_s11_cb4.csv2.csv' (seed 1992)</t>
  </si>
  <si>
    <t>Line 1215:  KOMONDOR SIMULATION 'sim_input_nodes_n5_s12_cb4.csv2.csv' (seed 1992)</t>
  </si>
  <si>
    <t>Line 1219:  KOMONDOR SIMULATION 'sim_input_nodes_n5_s13_cb4.csv2.csv' (seed 1992)</t>
  </si>
  <si>
    <t>Line 1223:  KOMONDOR SIMULATION 'sim_input_nodes_n5_s14_cb4.csv2.csv' (seed 1992)</t>
  </si>
  <si>
    <t>Line 1227:  KOMONDOR SIMULATION 'sim_input_nodes_n5_s15_cb4.csv2.csv' (seed 1992)</t>
  </si>
  <si>
    <t>Line 1231:  KOMONDOR SIMULATION 'sim_input_nodes_n5_s16_cb4.csv2.csv' (seed 1992)</t>
  </si>
  <si>
    <t>Line 1235:  KOMONDOR SIMULATION 'sim_input_nodes_n5_s17_cb4.csv2.csv' (seed 1992)</t>
  </si>
  <si>
    <t>Line 1239:  KOMONDOR SIMULATION 'sim_input_nodes_n5_s18_cb4.csv2.csv' (seed 1992)</t>
  </si>
  <si>
    <t>Line 1243:  KOMONDOR SIMULATION 'sim_input_nodes_n5_s19_cb4.csv2.csv' (seed 1992)</t>
  </si>
  <si>
    <t>Line 1247:  KOMONDOR SIMULATION 'sim_input_nodes_n5_s1_cb4.csv2.csv' (seed 1992)</t>
  </si>
  <si>
    <t>Line 1251:  KOMONDOR SIMULATION 'sim_input_nodes_n5_s20_cb4.csv2.csv' (seed 1992)</t>
  </si>
  <si>
    <t>Line 1255:  KOMONDOR SIMULATION 'sim_input_nodes_n5_s21_cb4.csv2.csv' (seed 1992)</t>
  </si>
  <si>
    <t>Line 1259:  KOMONDOR SIMULATION 'sim_input_nodes_n5_s22_cb4.csv2.csv' (seed 1992)</t>
  </si>
  <si>
    <t>Line 1263:  KOMONDOR SIMULATION 'sim_input_nodes_n5_s23_cb4.csv2.csv' (seed 1992)</t>
  </si>
  <si>
    <t>Line 1267:  KOMONDOR SIMULATION 'sim_input_nodes_n5_s24_cb4.csv2.csv' (seed 1992)</t>
  </si>
  <si>
    <t>Line 1271:  KOMONDOR SIMULATION 'sim_input_nodes_n5_s25_cb4.csv2.csv' (seed 1992)</t>
  </si>
  <si>
    <t>Line 1275:  KOMONDOR SIMULATION 'sim_input_nodes_n5_s26_cb4.csv2.csv' (seed 1992)</t>
  </si>
  <si>
    <t>Line 1279:  KOMONDOR SIMULATION 'sim_input_nodes_n5_s27_cb4.csv2.csv' (seed 1992)</t>
  </si>
  <si>
    <t>Line 1283:  KOMONDOR SIMULATION 'sim_input_nodes_n5_s28_cb4.csv2.csv' (seed 1992)</t>
  </si>
  <si>
    <t>Line 1287:  KOMONDOR SIMULATION 'sim_input_nodes_n5_s29_cb4.csv2.csv' (seed 1992)</t>
  </si>
  <si>
    <t>Line 1291:  KOMONDOR SIMULATION 'sim_input_nodes_n5_s2_cb4.csv2.csv' (seed 1992)</t>
  </si>
  <si>
    <t>Line 1295:  KOMONDOR SIMULATION 'sim_input_nodes_n5_s30_cb4.csv2.csv' (seed 1992)</t>
  </si>
  <si>
    <t>Line 1299:  KOMONDOR SIMULATION 'sim_input_nodes_n5_s31_cb4.csv2.csv' (seed 1992)</t>
  </si>
  <si>
    <t>Line 1303:  KOMONDOR SIMULATION 'sim_input_nodes_n5_s32_cb4.csv2.csv' (seed 1992)</t>
  </si>
  <si>
    <t>Line 1307:  KOMONDOR SIMULATION 'sim_input_nodes_n5_s33_cb4.csv2.csv' (seed 1992)</t>
  </si>
  <si>
    <t>Line 1311:  KOMONDOR SIMULATION 'sim_input_nodes_n5_s34_cb4.csv2.csv' (seed 1992)</t>
  </si>
  <si>
    <t>Line 1315:  KOMONDOR SIMULATION 'sim_input_nodes_n5_s35_cb4.csv2.csv' (seed 1992)</t>
  </si>
  <si>
    <t>Line 1319:  KOMONDOR SIMULATION 'sim_input_nodes_n5_s36_cb4.csv2.csv' (seed 1992)</t>
  </si>
  <si>
    <t>Line 1323:  KOMONDOR SIMULATION 'sim_input_nodes_n5_s37_cb4.csv2.csv' (seed 1992)</t>
  </si>
  <si>
    <t>Line 1327:  KOMONDOR SIMULATION 'sim_input_nodes_n5_s38_cb4.csv2.csv' (seed 1992)</t>
  </si>
  <si>
    <t>Line 1331:  KOMONDOR SIMULATION 'sim_input_nodes_n5_s39_cb4.csv2.csv' (seed 1992)</t>
  </si>
  <si>
    <t>Line 1335:  KOMONDOR SIMULATION 'sim_input_nodes_n5_s3_cb4.csv2.csv' (seed 1992)</t>
  </si>
  <si>
    <t>Line 1339:  KOMONDOR SIMULATION 'sim_input_nodes_n5_s40_cb4.csv2.csv' (seed 1992)</t>
  </si>
  <si>
    <t>Line 1343:  KOMONDOR SIMULATION 'sim_input_nodes_n5_s41_cb4.csv2.csv' (seed 1992)</t>
  </si>
  <si>
    <t>Line 1347:  KOMONDOR SIMULATION 'sim_input_nodes_n5_s42_cb4.csv2.csv' (seed 1992)</t>
  </si>
  <si>
    <t>Line 1351:  KOMONDOR SIMULATION 'sim_input_nodes_n5_s43_cb4.csv2.csv' (seed 1992)</t>
  </si>
  <si>
    <t>Line 1355:  KOMONDOR SIMULATION 'sim_input_nodes_n5_s44_cb4.csv2.csv' (seed 1992)</t>
  </si>
  <si>
    <t>Line 1359:  KOMONDOR SIMULATION 'sim_input_nodes_n5_s45_cb4.csv2.csv' (seed 1992)</t>
  </si>
  <si>
    <t>Line 1363:  KOMONDOR SIMULATION 'sim_input_nodes_n5_s46_cb4.csv2.csv' (seed 1992)</t>
  </si>
  <si>
    <t>Line 1367:  KOMONDOR SIMULATION 'sim_input_nodes_n5_s47_cb4.csv2.csv' (seed 1992)</t>
  </si>
  <si>
    <t>Line 1371:  KOMONDOR SIMULATION 'sim_input_nodes_n5_s48_cb4.csv2.csv' (seed 1992)</t>
  </si>
  <si>
    <t>Line 1375:  KOMONDOR SIMULATION 'sim_input_nodes_n5_s49_cb4.csv2.csv' (seed 1992)</t>
  </si>
  <si>
    <t>Line 1379:  KOMONDOR SIMULATION 'sim_input_nodes_n5_s4_cb4.csv2.csv' (seed 1992)</t>
  </si>
  <si>
    <t>Line 1383:  KOMONDOR SIMULATION 'sim_input_nodes_n5_s5_cb4.csv2.csv' (seed 1992)</t>
  </si>
  <si>
    <t>Line 1387:  KOMONDOR SIMULATION 'sim_input_nodes_n5_s6_cb4.csv2.csv' (seed 1992)</t>
  </si>
  <si>
    <t>Line 1391:  KOMONDOR SIMULATION 'sim_input_nodes_n5_s7_cb4.csv2.csv' (seed 1992)</t>
  </si>
  <si>
    <t>Line 1395:  KOMONDOR SIMULATION 'sim_input_nodes_n5_s8_cb4.csv2.csv' (seed 1992)</t>
  </si>
  <si>
    <t>Line 1399:  KOMONDOR SIMULATION 'sim_input_nodes_n5_s9_cb4.csv2.csv' (seed 1992)</t>
  </si>
  <si>
    <t>Line 1004:  KOMONDOR SIMULATION 'sim_input_nodes_n50_s0_cb6.csv2.csv' (seed 1992)</t>
  </si>
  <si>
    <t>Line 1008:  KOMONDOR SIMULATION 'sim_input_nodes_n50_s10_cb6.csv2.csv' (seed 1992)</t>
  </si>
  <si>
    <t>Line 1012:  KOMONDOR SIMULATION 'sim_input_nodes_n50_s11_cb6.csv2.csv' (seed 1992)</t>
  </si>
  <si>
    <t>Line 1016:  KOMONDOR SIMULATION 'sim_input_nodes_n50_s12_cb6.csv2.csv' (seed 1992)</t>
  </si>
  <si>
    <t>Line 1020:  KOMONDOR SIMULATION 'sim_input_nodes_n50_s13_cb6.csv2.csv' (seed 1992)</t>
  </si>
  <si>
    <t>Line 1024:  KOMONDOR SIMULATION 'sim_input_nodes_n50_s14_cb6.csv2.csv' (seed 1992)</t>
  </si>
  <si>
    <t>Line 1028:  KOMONDOR SIMULATION 'sim_input_nodes_n50_s15_cb6.csv2.csv' (seed 1992)</t>
  </si>
  <si>
    <t>Line 1032:  KOMONDOR SIMULATION 'sim_input_nodes_n50_s16_cb6.csv2.csv' (seed 1992)</t>
  </si>
  <si>
    <t>Line 1036:  KOMONDOR SIMULATION 'sim_input_nodes_n50_s17_cb6.csv2.csv' (seed 1992)</t>
  </si>
  <si>
    <t>Line 1040:  KOMONDOR SIMULATION 'sim_input_nodes_n50_s18_cb6.csv2.csv' (seed 1992)</t>
  </si>
  <si>
    <t>Line 1044:  KOMONDOR SIMULATION 'sim_input_nodes_n50_s19_cb6.csv2.csv' (seed 1992)</t>
  </si>
  <si>
    <t>Line 1048:  KOMONDOR SIMULATION 'sim_input_nodes_n50_s1_cb6.csv2.csv' (seed 1992)</t>
  </si>
  <si>
    <t>Line 1052:  KOMONDOR SIMULATION 'sim_input_nodes_n50_s20_cb6.csv2.csv' (seed 1992)</t>
  </si>
  <si>
    <t>Line 1056:  KOMONDOR SIMULATION 'sim_input_nodes_n50_s21_cb6.csv2.csv' (seed 1992)</t>
  </si>
  <si>
    <t>Line 1060:  KOMONDOR SIMULATION 'sim_input_nodes_n50_s22_cb6.csv2.csv' (seed 1992)</t>
  </si>
  <si>
    <t>Line 1064:  KOMONDOR SIMULATION 'sim_input_nodes_n50_s23_cb6.csv2.csv' (seed 1992)</t>
  </si>
  <si>
    <t>Line 1068:  KOMONDOR SIMULATION 'sim_input_nodes_n50_s24_cb6.csv2.csv' (seed 1992)</t>
  </si>
  <si>
    <t>Line 1072:  KOMONDOR SIMULATION 'sim_input_nodes_n50_s25_cb6.csv2.csv' (seed 1992)</t>
  </si>
  <si>
    <t>Line 1076:  KOMONDOR SIMULATION 'sim_input_nodes_n50_s26_cb6.csv2.csv' (seed 1992)</t>
  </si>
  <si>
    <t>Line 1080:  KOMONDOR SIMULATION 'sim_input_nodes_n50_s27_cb6.csv2.csv' (seed 1992)</t>
  </si>
  <si>
    <t>Line 1084:  KOMONDOR SIMULATION 'sim_input_nodes_n50_s28_cb6.csv2.csv' (seed 1992)</t>
  </si>
  <si>
    <t>Line 1088:  KOMONDOR SIMULATION 'sim_input_nodes_n50_s29_cb6.csv2.csv' (seed 1992)</t>
  </si>
  <si>
    <t>Line 1092:  KOMONDOR SIMULATION 'sim_input_nodes_n50_s2_cb6.csv2.csv' (seed 1992)</t>
  </si>
  <si>
    <t>Line 1096:  KOMONDOR SIMULATION 'sim_input_nodes_n50_s30_cb6.csv2.csv' (seed 1992)</t>
  </si>
  <si>
    <t>Line 1100:  KOMONDOR SIMULATION 'sim_input_nodes_n50_s31_cb6.csv2.csv' (seed 1992)</t>
  </si>
  <si>
    <t>Line 1104:  KOMONDOR SIMULATION 'sim_input_nodes_n50_s32_cb6.csv2.csv' (seed 1992)</t>
  </si>
  <si>
    <t>Line 1108:  KOMONDOR SIMULATION 'sim_input_nodes_n50_s33_cb6.csv2.csv' (seed 1992)</t>
  </si>
  <si>
    <t>Line 1112:  KOMONDOR SIMULATION 'sim_input_nodes_n50_s34_cb6.csv2.csv' (seed 1992)</t>
  </si>
  <si>
    <t>Line 1116:  KOMONDOR SIMULATION 'sim_input_nodes_n50_s35_cb6.csv2.csv' (seed 1992)</t>
  </si>
  <si>
    <t>Line 1120:  KOMONDOR SIMULATION 'sim_input_nodes_n50_s36_cb6.csv2.csv' (seed 1992)</t>
  </si>
  <si>
    <t>Line 1124:  KOMONDOR SIMULATION 'sim_input_nodes_n50_s37_cb6.csv2.csv' (seed 1992)</t>
  </si>
  <si>
    <t>Line 1128:  KOMONDOR SIMULATION 'sim_input_nodes_n50_s38_cb6.csv2.csv' (seed 1992)</t>
  </si>
  <si>
    <t>Line 1132:  KOMONDOR SIMULATION 'sim_input_nodes_n50_s39_cb6.csv2.csv' (seed 1992)</t>
  </si>
  <si>
    <t>Line 1136:  KOMONDOR SIMULATION 'sim_input_nodes_n50_s3_cb6.csv2.csv' (seed 1992)</t>
  </si>
  <si>
    <t>Line 1140:  KOMONDOR SIMULATION 'sim_input_nodes_n50_s40_cb6.csv2.csv' (seed 1992)</t>
  </si>
  <si>
    <t>Line 1144:  KOMONDOR SIMULATION 'sim_input_nodes_n50_s41_cb6.csv2.csv' (seed 1992)</t>
  </si>
  <si>
    <t>Line 1148:  KOMONDOR SIMULATION 'sim_input_nodes_n50_s42_cb6.csv2.csv' (seed 1992)</t>
  </si>
  <si>
    <t>Line 1152:  KOMONDOR SIMULATION 'sim_input_nodes_n50_s43_cb6.csv2.csv' (seed 1992)</t>
  </si>
  <si>
    <t>Line 1156:  KOMONDOR SIMULATION 'sim_input_nodes_n50_s44_cb6.csv2.csv' (seed 1992)</t>
  </si>
  <si>
    <t>Line 1160:  KOMONDOR SIMULATION 'sim_input_nodes_n50_s45_cb6.csv2.csv' (seed 1992)</t>
  </si>
  <si>
    <t>Line 1164:  KOMONDOR SIMULATION 'sim_input_nodes_n50_s46_cb6.csv2.csv' (seed 1992)</t>
  </si>
  <si>
    <t>Line 1168:  KOMONDOR SIMULATION 'sim_input_nodes_n50_s47_cb6.csv2.csv' (seed 1992)</t>
  </si>
  <si>
    <t>Line 1172:  KOMONDOR SIMULATION 'sim_input_nodes_n50_s48_cb6.csv2.csv' (seed 1992)</t>
  </si>
  <si>
    <t>Line 1176:  KOMONDOR SIMULATION 'sim_input_nodes_n50_s49_cb6.csv2.csv' (seed 1992)</t>
  </si>
  <si>
    <t>Line 1180:  KOMONDOR SIMULATION 'sim_input_nodes_n50_s4_cb6.csv2.csv' (seed 1992)</t>
  </si>
  <si>
    <t>Line 1184:  KOMONDOR SIMULATION 'sim_input_nodes_n50_s5_cb6.csv2.csv' (seed 1992)</t>
  </si>
  <si>
    <t>Line 1188:  KOMONDOR SIMULATION 'sim_input_nodes_n50_s6_cb6.csv2.csv' (seed 1992)</t>
  </si>
  <si>
    <t>Line 1192:  KOMONDOR SIMULATION 'sim_input_nodes_n50_s7_cb6.csv2.csv' (seed 1992)</t>
  </si>
  <si>
    <t>Line 1196:  KOMONDOR SIMULATION 'sim_input_nodes_n50_s8_cb6.csv2.csv' (seed 1992)</t>
  </si>
  <si>
    <t>Line 1200:  KOMONDOR SIMULATION 'sim_input_nodes_n50_s9_cb6.csv2.csv' (seed 1992)</t>
  </si>
  <si>
    <t>Line 1204:  KOMONDOR SIMULATION 'sim_input_nodes_n5_s0_cb6.csv2.csv' (seed 1992)</t>
  </si>
  <si>
    <t>Line 1208:  KOMONDOR SIMULATION 'sim_input_nodes_n5_s10_cb6.csv2.csv' (seed 1992)</t>
  </si>
  <si>
    <t>Line 1212:  KOMONDOR SIMULATION 'sim_input_nodes_n5_s11_cb6.csv2.csv' (seed 1992)</t>
  </si>
  <si>
    <t>Line 1216:  KOMONDOR SIMULATION 'sim_input_nodes_n5_s12_cb6.csv2.csv' (seed 1992)</t>
  </si>
  <si>
    <t>Line 1220:  KOMONDOR SIMULATION 'sim_input_nodes_n5_s13_cb6.csv2.csv' (seed 1992)</t>
  </si>
  <si>
    <t>Line 1224:  KOMONDOR SIMULATION 'sim_input_nodes_n5_s14_cb6.csv2.csv' (seed 1992)</t>
  </si>
  <si>
    <t>Line 1228:  KOMONDOR SIMULATION 'sim_input_nodes_n5_s15_cb6.csv2.csv' (seed 1992)</t>
  </si>
  <si>
    <t>Line 1232:  KOMONDOR SIMULATION 'sim_input_nodes_n5_s16_cb6.csv2.csv' (seed 1992)</t>
  </si>
  <si>
    <t>Line 1236:  KOMONDOR SIMULATION 'sim_input_nodes_n5_s17_cb6.csv2.csv' (seed 1992)</t>
  </si>
  <si>
    <t>Line 1240:  KOMONDOR SIMULATION 'sim_input_nodes_n5_s18_cb6.csv2.csv' (seed 1992)</t>
  </si>
  <si>
    <t>Line 1244:  KOMONDOR SIMULATION 'sim_input_nodes_n5_s19_cb6.csv2.csv' (seed 1992)</t>
  </si>
  <si>
    <t>Line 1248:  KOMONDOR SIMULATION 'sim_input_nodes_n5_s1_cb6.csv2.csv' (seed 1992)</t>
  </si>
  <si>
    <t>Line 1252:  KOMONDOR SIMULATION 'sim_input_nodes_n5_s20_cb6.csv2.csv' (seed 1992)</t>
  </si>
  <si>
    <t>Line 1256:  KOMONDOR SIMULATION 'sim_input_nodes_n5_s21_cb6.csv2.csv' (seed 1992)</t>
  </si>
  <si>
    <t>Line 1260:  KOMONDOR SIMULATION 'sim_input_nodes_n5_s22_cb6.csv2.csv' (seed 1992)</t>
  </si>
  <si>
    <t>Line 1264:  KOMONDOR SIMULATION 'sim_input_nodes_n5_s23_cb6.csv2.csv' (seed 1992)</t>
  </si>
  <si>
    <t>Line 1268:  KOMONDOR SIMULATION 'sim_input_nodes_n5_s24_cb6.csv2.csv' (seed 1992)</t>
  </si>
  <si>
    <t>Line 1272:  KOMONDOR SIMULATION 'sim_input_nodes_n5_s25_cb6.csv2.csv' (seed 1992)</t>
  </si>
  <si>
    <t>Line 1276:  KOMONDOR SIMULATION 'sim_input_nodes_n5_s26_cb6.csv2.csv' (seed 1992)</t>
  </si>
  <si>
    <t>Line 1280:  KOMONDOR SIMULATION 'sim_input_nodes_n5_s27_cb6.csv2.csv' (seed 1992)</t>
  </si>
  <si>
    <t>Line 1284:  KOMONDOR SIMULATION 'sim_input_nodes_n5_s28_cb6.csv2.csv' (seed 1992)</t>
  </si>
  <si>
    <t>Line 1288:  KOMONDOR SIMULATION 'sim_input_nodes_n5_s29_cb6.csv2.csv' (seed 1992)</t>
  </si>
  <si>
    <t>Line 1292:  KOMONDOR SIMULATION 'sim_input_nodes_n5_s2_cb6.csv2.csv' (seed 1992)</t>
  </si>
  <si>
    <t>Line 1296:  KOMONDOR SIMULATION 'sim_input_nodes_n5_s30_cb6.csv2.csv' (seed 1992)</t>
  </si>
  <si>
    <t>Line 1300:  KOMONDOR SIMULATION 'sim_input_nodes_n5_s31_cb6.csv2.csv' (seed 1992)</t>
  </si>
  <si>
    <t>Line 1304:  KOMONDOR SIMULATION 'sim_input_nodes_n5_s32_cb6.csv2.csv' (seed 1992)</t>
  </si>
  <si>
    <t>Line 1308:  KOMONDOR SIMULATION 'sim_input_nodes_n5_s33_cb6.csv2.csv' (seed 1992)</t>
  </si>
  <si>
    <t>Line 1312:  KOMONDOR SIMULATION 'sim_input_nodes_n5_s34_cb6.csv2.csv' (seed 1992)</t>
  </si>
  <si>
    <t>Line 1316:  KOMONDOR SIMULATION 'sim_input_nodes_n5_s35_cb6.csv2.csv' (seed 1992)</t>
  </si>
  <si>
    <t>Line 1320:  KOMONDOR SIMULATION 'sim_input_nodes_n5_s36_cb6.csv2.csv' (seed 1992)</t>
  </si>
  <si>
    <t>Line 1324:  KOMONDOR SIMULATION 'sim_input_nodes_n5_s37_cb6.csv2.csv' (seed 1992)</t>
  </si>
  <si>
    <t>Line 1328:  KOMONDOR SIMULATION 'sim_input_nodes_n5_s38_cb6.csv2.csv' (seed 1992)</t>
  </si>
  <si>
    <t>Line 1332:  KOMONDOR SIMULATION 'sim_input_nodes_n5_s39_cb6.csv2.csv' (seed 1992)</t>
  </si>
  <si>
    <t>Line 1336:  KOMONDOR SIMULATION 'sim_input_nodes_n5_s3_cb6.csv2.csv' (seed 1992)</t>
  </si>
  <si>
    <t>Line 1340:  KOMONDOR SIMULATION 'sim_input_nodes_n5_s40_cb6.csv2.csv' (seed 1992)</t>
  </si>
  <si>
    <t>Line 1344:  KOMONDOR SIMULATION 'sim_input_nodes_n5_s41_cb6.csv2.csv' (seed 1992)</t>
  </si>
  <si>
    <t>Line 1348:  KOMONDOR SIMULATION 'sim_input_nodes_n5_s42_cb6.csv2.csv' (seed 1992)</t>
  </si>
  <si>
    <t>Line 1352:  KOMONDOR SIMULATION 'sim_input_nodes_n5_s43_cb6.csv2.csv' (seed 1992)</t>
  </si>
  <si>
    <t>Line 1356:  KOMONDOR SIMULATION 'sim_input_nodes_n5_s44_cb6.csv2.csv' (seed 1992)</t>
  </si>
  <si>
    <t>Line 1360:  KOMONDOR SIMULATION 'sim_input_nodes_n5_s45_cb6.csv2.csv' (seed 1992)</t>
  </si>
  <si>
    <t>Line 1364:  KOMONDOR SIMULATION 'sim_input_nodes_n5_s46_cb6.csv2.csv' (seed 1992)</t>
  </si>
  <si>
    <t>Line 1368:  KOMONDOR SIMULATION 'sim_input_nodes_n5_s47_cb6.csv2.csv' (seed 1992)</t>
  </si>
  <si>
    <t>Line 1372:  KOMONDOR SIMULATION 'sim_input_nodes_n5_s48_cb6.csv2.csv' (seed 1992)</t>
  </si>
  <si>
    <t>Line 1376:  KOMONDOR SIMULATION 'sim_input_nodes_n5_s49_cb6.csv2.csv' (seed 1992)</t>
  </si>
  <si>
    <t>Line 1380:  KOMONDOR SIMULATION 'sim_input_nodes_n5_s4_cb6.csv2.csv' (seed 1992)</t>
  </si>
  <si>
    <t>Line 1384:  KOMONDOR SIMULATION 'sim_input_nodes_n5_s5_cb6.csv2.csv' (seed 1992)</t>
  </si>
  <si>
    <t>Line 1388:  KOMONDOR SIMULATION 'sim_input_nodes_n5_s6_cb6.csv2.csv' (seed 1992)</t>
  </si>
  <si>
    <t>Line 1392:  KOMONDOR SIMULATION 'sim_input_nodes_n5_s7_cb6.csv2.csv' (seed 1992)</t>
  </si>
  <si>
    <t>Line 1396:  KOMONDOR SIMULATION 'sim_input_nodes_n5_s8_cb6.csv2.csv' (seed 1992)</t>
  </si>
  <si>
    <t>Line 1400:  KOMONDOR SIMULATION 'sim_input_nodes_n5_s9_cb6.csv2.csv' (seed 1992)</t>
  </si>
  <si>
    <t>ONLY PRIMARY (PATH LOSS 3 - 11ax - July)</t>
  </si>
  <si>
    <t>SCB (PATH LOSS 3 - 11ax - July)</t>
  </si>
  <si>
    <t>AM (PATH LOSS 3 - 11ax - July)</t>
  </si>
  <si>
    <t>PU (PATH LOSS 3 - 11ax - Jul)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</si>
</sst>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4292E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20" fillId="0" borderId="0" xfId="0" applyFont="1"/>
    <xf numFmtId="0" fontId="0" fillId="0" borderId="17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2" borderId="0" xfId="6" applyAlignment="1">
      <alignment horizontal="center" vertical="center"/>
    </xf>
    <xf numFmtId="0" fontId="6" fillId="2" borderId="0" xfId="6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6" fillId="0" borderId="15" xfId="0" applyFont="1" applyBorder="1" applyAlignment="1">
      <alignment horizontal="center" vertical="center" textRotation="90" wrapText="1"/>
    </xf>
    <xf numFmtId="0" fontId="16" fillId="0" borderId="16" xfId="0" applyFont="1" applyBorder="1" applyAlignment="1">
      <alignment horizontal="center" vertical="center" textRotation="90" wrapText="1"/>
    </xf>
    <xf numFmtId="0" fontId="16" fillId="0" borderId="17" xfId="0" applyFont="1" applyBorder="1" applyAlignment="1">
      <alignment horizontal="center" vertical="center" textRotation="90" wrapText="1"/>
    </xf>
    <xf numFmtId="0" fontId="16" fillId="0" borderId="2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8" fillId="4" borderId="0" xfId="8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Path Loss 1 (as in v1)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Summary!$B$3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Summary!$C$3:$I$3</c:f>
              <c:numCache>
                <c:formatCode>General</c:formatCode>
                <c:ptCount val="7"/>
                <c:pt idx="0">
                  <c:v>102.12599999999995</c:v>
                </c:pt>
                <c:pt idx="1">
                  <c:v>92.327200000000005</c:v>
                </c:pt>
                <c:pt idx="2">
                  <c:v>84.256400000000014</c:v>
                </c:pt>
                <c:pt idx="3">
                  <c:v>68.74339999999998</c:v>
                </c:pt>
                <c:pt idx="4">
                  <c:v>60.82419999999999</c:v>
                </c:pt>
                <c:pt idx="5">
                  <c:v>53.164799999999985</c:v>
                </c:pt>
                <c:pt idx="6">
                  <c:v>46.630200000000002</c:v>
                </c:pt>
              </c:numCache>
            </c:numRef>
          </c:val>
        </c:ser>
        <c:ser>
          <c:idx val="1"/>
          <c:order val="1"/>
          <c:tx>
            <c:strRef>
              <c:f>Summary!$B$4</c:f>
              <c:strCache>
                <c:ptCount val="1"/>
                <c:pt idx="0">
                  <c:v>SCB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Summary!$C$4:$I$4</c:f>
              <c:numCache>
                <c:formatCode>General</c:formatCode>
                <c:ptCount val="7"/>
                <c:pt idx="0">
                  <c:v>269.55419999999998</c:v>
                </c:pt>
                <c:pt idx="1">
                  <c:v>167.58520000000004</c:v>
                </c:pt>
                <c:pt idx="2">
                  <c:v>121.57640000000005</c:v>
                </c:pt>
                <c:pt idx="3">
                  <c:v>74.835399999999993</c:v>
                </c:pt>
                <c:pt idx="4">
                  <c:v>53.050200000000011</c:v>
                </c:pt>
                <c:pt idx="5">
                  <c:v>44.018799999999999</c:v>
                </c:pt>
                <c:pt idx="6">
                  <c:v>39.852399999999996</c:v>
                </c:pt>
              </c:numCache>
            </c:numRef>
          </c:val>
        </c:ser>
        <c:ser>
          <c:idx val="2"/>
          <c:order val="2"/>
          <c:tx>
            <c:strRef>
              <c:f>Summary!$B$5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Summary!$C$5:$I$5</c:f>
              <c:numCache>
                <c:formatCode>General</c:formatCode>
                <c:ptCount val="7"/>
                <c:pt idx="0">
                  <c:v>281.95580000000001</c:v>
                </c:pt>
                <c:pt idx="1">
                  <c:v>195.06180000000003</c:v>
                </c:pt>
                <c:pt idx="2">
                  <c:v>149.03399999999999</c:v>
                </c:pt>
                <c:pt idx="3">
                  <c:v>99.147399999999976</c:v>
                </c:pt>
                <c:pt idx="4">
                  <c:v>77.478000000000009</c:v>
                </c:pt>
                <c:pt idx="5">
                  <c:v>64.625400000000013</c:v>
                </c:pt>
                <c:pt idx="6">
                  <c:v>55.212999999999994</c:v>
                </c:pt>
              </c:numCache>
            </c:numRef>
          </c:val>
        </c:ser>
        <c:ser>
          <c:idx val="3"/>
          <c:order val="3"/>
          <c:tx>
            <c:strRef>
              <c:f>Summary!$B$6</c:f>
              <c:strCache>
                <c:ptCount val="1"/>
                <c:pt idx="0">
                  <c:v>PU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Summary!$C$6:$I$6</c:f>
              <c:numCache>
                <c:formatCode>General</c:formatCode>
                <c:ptCount val="7"/>
                <c:pt idx="0">
                  <c:v>147.00520000000003</c:v>
                </c:pt>
                <c:pt idx="1">
                  <c:v>119.46800000000003</c:v>
                </c:pt>
                <c:pt idx="2">
                  <c:v>101.3368</c:v>
                </c:pt>
                <c:pt idx="3">
                  <c:v>77.115200000000016</c:v>
                </c:pt>
                <c:pt idx="4">
                  <c:v>65.571600000000004</c:v>
                </c:pt>
                <c:pt idx="5">
                  <c:v>56.602000000000004</c:v>
                </c:pt>
                <c:pt idx="6">
                  <c:v>49.160200000000003</c:v>
                </c:pt>
              </c:numCache>
            </c:numRef>
          </c:val>
        </c:ser>
        <c:marker val="1"/>
        <c:axId val="98708864"/>
        <c:axId val="98723712"/>
      </c:lineChart>
      <c:catAx>
        <c:axId val="9870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WLANs</a:t>
                </a:r>
              </a:p>
            </c:rich>
          </c:tx>
        </c:title>
        <c:numFmt formatCode="General" sourceLinked="1"/>
        <c:majorTickMark val="none"/>
        <c:tickLblPos val="nextTo"/>
        <c:crossAx val="98723712"/>
        <c:crosses val="autoZero"/>
        <c:auto val="1"/>
        <c:lblAlgn val="ctr"/>
        <c:lblOffset val="100"/>
      </c:catAx>
      <c:valAx>
        <c:axId val="98723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</a:t>
                </a:r>
                <a:r>
                  <a:rPr lang="es-ES" baseline="0"/>
                  <a:t> throughput [Mbps]</a:t>
                </a:r>
                <a:endParaRPr lang="es-ES"/>
              </a:p>
            </c:rich>
          </c:tx>
        </c:title>
        <c:numFmt formatCode="General" sourceLinked="1"/>
        <c:tickLblPos val="nextTo"/>
        <c:crossAx val="98708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lineChart>
        <c:grouping val="standard"/>
        <c:ser>
          <c:idx val="2"/>
          <c:order val="0"/>
          <c:tx>
            <c:strRef>
              <c:f>'Global summary'!$B$7</c:f>
              <c:strCache>
                <c:ptCount val="1"/>
                <c:pt idx="0">
                  <c:v>OP PL1</c:v>
                </c:pt>
              </c:strCache>
            </c:strRef>
          </c:tx>
          <c:spPr>
            <a:ln>
              <a:solidFill>
                <a:schemeClr val="tx2"/>
              </a:solidFill>
              <a:prstDash val="sysDot"/>
            </a:ln>
          </c:spPr>
          <c:marker>
            <c:symbol val="none"/>
          </c:marker>
          <c:val>
            <c:numRef>
              <c:f>('Only primary (cb0)'!$C$56,'Only primary (cb0)'!$C$112,'Only primary (cb0)'!$C$168,'Only primary (cb0)'!$C$224,'Only primary (cb0)'!$C$280,'Only primary (cb0)'!$C$336)</c:f>
              <c:numCache>
                <c:formatCode>General</c:formatCode>
                <c:ptCount val="6"/>
                <c:pt idx="0">
                  <c:v>102.12599999999995</c:v>
                </c:pt>
                <c:pt idx="1">
                  <c:v>92.327200000000005</c:v>
                </c:pt>
                <c:pt idx="2">
                  <c:v>84.256400000000014</c:v>
                </c:pt>
                <c:pt idx="3">
                  <c:v>68.74339999999998</c:v>
                </c:pt>
                <c:pt idx="4">
                  <c:v>60.82419999999999</c:v>
                </c:pt>
                <c:pt idx="5">
                  <c:v>53.164799999999985</c:v>
                </c:pt>
              </c:numCache>
            </c:numRef>
          </c:val>
        </c:ser>
        <c:ser>
          <c:idx val="3"/>
          <c:order val="1"/>
          <c:tx>
            <c:strRef>
              <c:f>'Global summary'!$B$8</c:f>
              <c:strCache>
                <c:ptCount val="1"/>
                <c:pt idx="0">
                  <c:v>AM PL1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val>
            <c:numRef>
              <c:f>Summary!$C$5:$H$5</c:f>
              <c:numCache>
                <c:formatCode>General</c:formatCode>
                <c:ptCount val="6"/>
                <c:pt idx="0">
                  <c:v>281.95580000000001</c:v>
                </c:pt>
                <c:pt idx="1">
                  <c:v>195.06180000000003</c:v>
                </c:pt>
                <c:pt idx="2">
                  <c:v>149.03399999999999</c:v>
                </c:pt>
                <c:pt idx="3">
                  <c:v>99.147399999999976</c:v>
                </c:pt>
                <c:pt idx="4">
                  <c:v>77.478000000000009</c:v>
                </c:pt>
                <c:pt idx="5">
                  <c:v>64.625400000000013</c:v>
                </c:pt>
              </c:numCache>
            </c:numRef>
          </c:val>
        </c:ser>
        <c:ser>
          <c:idx val="5"/>
          <c:order val="2"/>
          <c:tx>
            <c:strRef>
              <c:f>'Global summary'!$B$9</c:f>
              <c:strCache>
                <c:ptCount val="1"/>
                <c:pt idx="0">
                  <c:v>PU PL1</c:v>
                </c:pt>
              </c:strCache>
            </c:strRef>
          </c:tx>
          <c:spPr>
            <a:ln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Summary!$C$6:$H$6</c:f>
              <c:numCache>
                <c:formatCode>General</c:formatCode>
                <c:ptCount val="6"/>
                <c:pt idx="0">
                  <c:v>147.00520000000003</c:v>
                </c:pt>
                <c:pt idx="1">
                  <c:v>119.46800000000003</c:v>
                </c:pt>
                <c:pt idx="2">
                  <c:v>101.3368</c:v>
                </c:pt>
                <c:pt idx="3">
                  <c:v>77.115200000000016</c:v>
                </c:pt>
                <c:pt idx="4">
                  <c:v>65.571600000000004</c:v>
                </c:pt>
                <c:pt idx="5">
                  <c:v>56.602000000000004</c:v>
                </c:pt>
              </c:numCache>
            </c:numRef>
          </c:val>
        </c:ser>
        <c:ser>
          <c:idx val="0"/>
          <c:order val="3"/>
          <c:tx>
            <c:strRef>
              <c:f>'Global summary'!$B$1</c:f>
              <c:strCache>
                <c:ptCount val="1"/>
                <c:pt idx="0">
                  <c:v>OP PL2</c:v>
                </c:pt>
              </c:strCache>
            </c:strRef>
          </c:tx>
          <c:marker>
            <c:symbol val="none"/>
          </c:marker>
          <c:cat>
            <c:numRef>
              <c:f>'Global summary'!$C$1:$H$1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(OP_PL2!$C$56,OP_PL2!$C$112,OP_PL2!$C$168,OP_PL2!$C$224,OP_PL2!$C$280,OP_PL2!$C$336)</c:f>
              <c:numCache>
                <c:formatCode>General</c:formatCode>
                <c:ptCount val="6"/>
                <c:pt idx="0">
                  <c:v>85.447799999999958</c:v>
                </c:pt>
                <c:pt idx="1">
                  <c:v>58.262800000000006</c:v>
                </c:pt>
                <c:pt idx="2">
                  <c:v>38.379200000000012</c:v>
                </c:pt>
                <c:pt idx="3">
                  <c:v>22.452999999999992</c:v>
                </c:pt>
                <c:pt idx="4">
                  <c:v>17.352599999999999</c:v>
                </c:pt>
                <c:pt idx="5">
                  <c:v>12.599399999999997</c:v>
                </c:pt>
              </c:numCache>
            </c:numRef>
          </c:val>
        </c:ser>
        <c:ser>
          <c:idx val="1"/>
          <c:order val="4"/>
          <c:tx>
            <c:strRef>
              <c:f>'Global summary'!$B$2</c:f>
              <c:strCache>
                <c:ptCount val="1"/>
                <c:pt idx="0">
                  <c:v>AM PL2</c:v>
                </c:pt>
              </c:strCache>
            </c:strRef>
          </c:tx>
          <c:marker>
            <c:symbol val="none"/>
          </c:marker>
          <c:cat>
            <c:numRef>
              <c:f>'Global summary'!$C$1:$H$1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cat>
          <c:val>
            <c:numRef>
              <c:f>(AM_PL2!$C$56,AM_PL2!$C$112,AM_PL2!$C$168,AM_PL2!$C$224,AM_PL2!$C$280,AM_PL2!$C$336)</c:f>
              <c:numCache>
                <c:formatCode>General</c:formatCode>
                <c:ptCount val="6"/>
                <c:pt idx="0">
                  <c:v>178.88760000000002</c:v>
                </c:pt>
                <c:pt idx="1">
                  <c:v>87.409600000000026</c:v>
                </c:pt>
                <c:pt idx="2">
                  <c:v>47.881800000000005</c:v>
                </c:pt>
                <c:pt idx="3">
                  <c:v>25.387799999999999</c:v>
                </c:pt>
                <c:pt idx="4">
                  <c:v>16.166799999999999</c:v>
                </c:pt>
                <c:pt idx="5">
                  <c:v>13.161600000000004</c:v>
                </c:pt>
              </c:numCache>
            </c:numRef>
          </c:val>
        </c:ser>
        <c:ser>
          <c:idx val="4"/>
          <c:order val="5"/>
          <c:tx>
            <c:strRef>
              <c:f>'Global summary'!$B$3</c:f>
              <c:strCache>
                <c:ptCount val="1"/>
                <c:pt idx="0">
                  <c:v>PU PL2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(PU_PL2!$C$56,PU_PL2!$C$112,PU_PL2!$C$168,PU_PL2!$C$224,PU_PL2!$C$280,PU_PL2!$C$336)</c:f>
              <c:numCache>
                <c:formatCode>General</c:formatCode>
                <c:ptCount val="6"/>
                <c:pt idx="0">
                  <c:v>110.35679999999996</c:v>
                </c:pt>
                <c:pt idx="1">
                  <c:v>68.151200000000003</c:v>
                </c:pt>
                <c:pt idx="2">
                  <c:v>41.657200000000003</c:v>
                </c:pt>
                <c:pt idx="3">
                  <c:v>23.5686</c:v>
                </c:pt>
                <c:pt idx="4">
                  <c:v>16.759399999999999</c:v>
                </c:pt>
                <c:pt idx="5">
                  <c:v>12.889400000000006</c:v>
                </c:pt>
              </c:numCache>
            </c:numRef>
          </c:val>
        </c:ser>
        <c:ser>
          <c:idx val="6"/>
          <c:order val="6"/>
          <c:tx>
            <c:strRef>
              <c:f>'Global summary'!$B$4</c:f>
              <c:strCache>
                <c:ptCount val="1"/>
                <c:pt idx="0">
                  <c:v>OP PL3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(OP_PL3!$C$56,OP_PL3!$C$112,OP_PL3!$C$168,OP_PL3!$C$224,OP_PL3!$C$280,OP_PL3!$C$336)</c:f>
              <c:numCache>
                <c:formatCode>General</c:formatCode>
                <c:ptCount val="6"/>
                <c:pt idx="0">
                  <c:v>91.44559999999997</c:v>
                </c:pt>
                <c:pt idx="1">
                  <c:v>89.733199999999997</c:v>
                </c:pt>
                <c:pt idx="2">
                  <c:v>86.1858</c:v>
                </c:pt>
                <c:pt idx="3">
                  <c:v>76.557200000000009</c:v>
                </c:pt>
                <c:pt idx="4">
                  <c:v>72.229999999999976</c:v>
                </c:pt>
                <c:pt idx="5">
                  <c:v>66.554199999999994</c:v>
                </c:pt>
              </c:numCache>
            </c:numRef>
          </c:val>
        </c:ser>
        <c:ser>
          <c:idx val="7"/>
          <c:order val="7"/>
          <c:tx>
            <c:strRef>
              <c:f>'Global summary'!$B$5</c:f>
              <c:strCache>
                <c:ptCount val="1"/>
                <c:pt idx="0">
                  <c:v>AM PL3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(AM_PL3!$C$56,AM_PL3!$C$112,AM_PL3!$C$168,AM_PL3!$C$224,AM_PL3!$C$280,AM_PL3!$C$336)</c:f>
              <c:numCache>
                <c:formatCode>General</c:formatCode>
                <c:ptCount val="6"/>
                <c:pt idx="0">
                  <c:v>225.32300000000004</c:v>
                </c:pt>
                <c:pt idx="1">
                  <c:v>192.98680000000002</c:v>
                </c:pt>
                <c:pt idx="2">
                  <c:v>157.34220000000002</c:v>
                </c:pt>
                <c:pt idx="3">
                  <c:v>115.12619999999998</c:v>
                </c:pt>
                <c:pt idx="4">
                  <c:v>97.121999999999986</c:v>
                </c:pt>
                <c:pt idx="5">
                  <c:v>83.033600000000021</c:v>
                </c:pt>
              </c:numCache>
            </c:numRef>
          </c:val>
        </c:ser>
        <c:ser>
          <c:idx val="8"/>
          <c:order val="8"/>
          <c:tx>
            <c:strRef>
              <c:f>'Global summary'!$B$6</c:f>
              <c:strCache>
                <c:ptCount val="1"/>
                <c:pt idx="0">
                  <c:v>PU PL3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(PU_PL3!$C$56,PU_PL3!$C$112,PU_PL3!$C$168,PU_PL3!$C$224,PU_PL3!$C$280,PU_PL3!$C$336)</c:f>
              <c:numCache>
                <c:formatCode>General</c:formatCode>
                <c:ptCount val="6"/>
                <c:pt idx="0">
                  <c:v>128.01740000000004</c:v>
                </c:pt>
                <c:pt idx="1">
                  <c:v>119.62479999999996</c:v>
                </c:pt>
                <c:pt idx="2">
                  <c:v>108.20360000000002</c:v>
                </c:pt>
                <c:pt idx="3">
                  <c:v>89.508600000000001</c:v>
                </c:pt>
                <c:pt idx="4">
                  <c:v>81.091800000000006</c:v>
                </c:pt>
                <c:pt idx="5">
                  <c:v>72.367800000000003</c:v>
                </c:pt>
              </c:numCache>
            </c:numRef>
          </c:val>
        </c:ser>
        <c:marker val="1"/>
        <c:axId val="87606400"/>
        <c:axId val="87608320"/>
      </c:lineChart>
      <c:catAx>
        <c:axId val="87606400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</a:t>
                </a:r>
                <a:r>
                  <a:rPr lang="es-ES" baseline="0"/>
                  <a:t> WLANs</a:t>
                </a:r>
                <a:endParaRPr lang="es-ES"/>
              </a:p>
            </c:rich>
          </c:tx>
        </c:title>
        <c:numFmt formatCode="General" sourceLinked="1"/>
        <c:majorTickMark val="none"/>
        <c:tickLblPos val="nextTo"/>
        <c:crossAx val="87608320"/>
        <c:crosses val="autoZero"/>
        <c:auto val="1"/>
        <c:lblAlgn val="ctr"/>
        <c:lblOffset val="100"/>
      </c:catAx>
      <c:valAx>
        <c:axId val="87608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</a:t>
                </a:r>
                <a:r>
                  <a:rPr lang="es-ES" baseline="0"/>
                  <a:t> [Mbps]</a:t>
                </a:r>
                <a:endParaRPr lang="es-ES"/>
              </a:p>
            </c:rich>
          </c:tx>
        </c:title>
        <c:numFmt formatCode="General" sourceLinked="1"/>
        <c:tickLblPos val="nextTo"/>
        <c:crossAx val="87606400"/>
        <c:crossesAt val="1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Path Loss 3 +</a:t>
            </a:r>
            <a:r>
              <a:rPr lang="es-ES" baseline="0"/>
              <a:t> new 11ax params (for v2)</a:t>
            </a:r>
            <a:endParaRPr lang="es-ES"/>
          </a:p>
        </c:rich>
      </c:tx>
      <c:layout>
        <c:manualLayout>
          <c:xMode val="edge"/>
          <c:yMode val="edge"/>
          <c:x val="0.1063661816452609"/>
          <c:y val="2.3148148148148147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'Summary PL3_11ax'!$B$3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PL3_11ax'!$C$3:$I$3</c:f>
              <c:numCache>
                <c:formatCode>General</c:formatCode>
                <c:ptCount val="7"/>
                <c:pt idx="0">
                  <c:v>89.880399999999966</c:v>
                </c:pt>
                <c:pt idx="1">
                  <c:v>87.985800000000012</c:v>
                </c:pt>
                <c:pt idx="2">
                  <c:v>84.565999999999988</c:v>
                </c:pt>
                <c:pt idx="3">
                  <c:v>75.08420000000001</c:v>
                </c:pt>
                <c:pt idx="4">
                  <c:v>70.89400000000002</c:v>
                </c:pt>
                <c:pt idx="5">
                  <c:v>65.339999999999975</c:v>
                </c:pt>
                <c:pt idx="6">
                  <c:v>59.275599999999997</c:v>
                </c:pt>
              </c:numCache>
            </c:numRef>
          </c:val>
        </c:ser>
        <c:ser>
          <c:idx val="1"/>
          <c:order val="1"/>
          <c:tx>
            <c:strRef>
              <c:f>'Summary PL3_11ax'!$B$4</c:f>
              <c:strCache>
                <c:ptCount val="1"/>
                <c:pt idx="0">
                  <c:v>SCB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PL3_11ax'!$C$4:$I$4</c:f>
              <c:numCache>
                <c:formatCode>General</c:formatCode>
                <c:ptCount val="7"/>
                <c:pt idx="0">
                  <c:v>210.42440000000002</c:v>
                </c:pt>
                <c:pt idx="1">
                  <c:v>170.43560000000002</c:v>
                </c:pt>
                <c:pt idx="2">
                  <c:v>129.79639999999995</c:v>
                </c:pt>
                <c:pt idx="3">
                  <c:v>88.512800000000013</c:v>
                </c:pt>
                <c:pt idx="4">
                  <c:v>66.341800000000006</c:v>
                </c:pt>
                <c:pt idx="5">
                  <c:v>55.543599999999998</c:v>
                </c:pt>
                <c:pt idx="6">
                  <c:v>48.725999999999992</c:v>
                </c:pt>
              </c:numCache>
            </c:numRef>
          </c:val>
        </c:ser>
        <c:ser>
          <c:idx val="2"/>
          <c:order val="2"/>
          <c:tx>
            <c:strRef>
              <c:f>'Summary PL3_11ax'!$B$5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PL3_11ax'!$C$5:$I$5</c:f>
              <c:numCache>
                <c:formatCode>General</c:formatCode>
                <c:ptCount val="7"/>
                <c:pt idx="0">
                  <c:v>214.57660000000004</c:v>
                </c:pt>
                <c:pt idx="1">
                  <c:v>184.53039999999999</c:v>
                </c:pt>
                <c:pt idx="2">
                  <c:v>151.06959999999995</c:v>
                </c:pt>
                <c:pt idx="3">
                  <c:v>111.40199999999997</c:v>
                </c:pt>
                <c:pt idx="4">
                  <c:v>94.368000000000052</c:v>
                </c:pt>
                <c:pt idx="5">
                  <c:v>80.800600000000017</c:v>
                </c:pt>
                <c:pt idx="6">
                  <c:v>70.342400000000012</c:v>
                </c:pt>
              </c:numCache>
            </c:numRef>
          </c:val>
        </c:ser>
        <c:ser>
          <c:idx val="3"/>
          <c:order val="3"/>
          <c:tx>
            <c:strRef>
              <c:f>'Summary PL3_11ax'!$B$6</c:f>
              <c:strCache>
                <c:ptCount val="1"/>
                <c:pt idx="0">
                  <c:v>PU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PL3_11ax'!$C$6:$I$6</c:f>
              <c:numCache>
                <c:formatCode>General</c:formatCode>
                <c:ptCount val="7"/>
                <c:pt idx="0">
                  <c:v>124.94679999999997</c:v>
                </c:pt>
                <c:pt idx="1">
                  <c:v>116.66879999999996</c:v>
                </c:pt>
                <c:pt idx="2">
                  <c:v>105.65259999999995</c:v>
                </c:pt>
                <c:pt idx="3">
                  <c:v>87.546399999999991</c:v>
                </c:pt>
                <c:pt idx="4">
                  <c:v>79.366400000000027</c:v>
                </c:pt>
                <c:pt idx="5">
                  <c:v>70.910600000000002</c:v>
                </c:pt>
                <c:pt idx="6">
                  <c:v>63.369800000000005</c:v>
                </c:pt>
              </c:numCache>
            </c:numRef>
          </c:val>
        </c:ser>
        <c:marker val="1"/>
        <c:axId val="79308288"/>
        <c:axId val="79310208"/>
      </c:lineChart>
      <c:catAx>
        <c:axId val="793082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WLANs</a:t>
                </a:r>
              </a:p>
            </c:rich>
          </c:tx>
        </c:title>
        <c:numFmt formatCode="General" sourceLinked="1"/>
        <c:majorTickMark val="none"/>
        <c:tickLblPos val="nextTo"/>
        <c:crossAx val="79310208"/>
        <c:crosses val="autoZero"/>
        <c:auto val="1"/>
        <c:lblAlgn val="ctr"/>
        <c:lblOffset val="100"/>
      </c:catAx>
      <c:valAx>
        <c:axId val="79310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 [Mbps]</a:t>
                </a:r>
              </a:p>
            </c:rich>
          </c:tx>
        </c:title>
        <c:numFmt formatCode="General" sourceLinked="1"/>
        <c:tickLblPos val="nextTo"/>
        <c:crossAx val="79308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Path Loss 1 (as in v1)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Summary!$B$3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Summary!$C$3:$I$3</c:f>
              <c:numCache>
                <c:formatCode>General</c:formatCode>
                <c:ptCount val="7"/>
                <c:pt idx="0">
                  <c:v>102.12599999999995</c:v>
                </c:pt>
                <c:pt idx="1">
                  <c:v>92.327200000000005</c:v>
                </c:pt>
                <c:pt idx="2">
                  <c:v>84.256400000000014</c:v>
                </c:pt>
                <c:pt idx="3">
                  <c:v>68.74339999999998</c:v>
                </c:pt>
                <c:pt idx="4">
                  <c:v>60.82419999999999</c:v>
                </c:pt>
                <c:pt idx="5">
                  <c:v>53.164799999999985</c:v>
                </c:pt>
                <c:pt idx="6">
                  <c:v>46.630200000000002</c:v>
                </c:pt>
              </c:numCache>
            </c:numRef>
          </c:val>
        </c:ser>
        <c:ser>
          <c:idx val="1"/>
          <c:order val="1"/>
          <c:tx>
            <c:strRef>
              <c:f>Summary!$B$4</c:f>
              <c:strCache>
                <c:ptCount val="1"/>
                <c:pt idx="0">
                  <c:v>SCB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Summary!$C$4:$I$4</c:f>
              <c:numCache>
                <c:formatCode>General</c:formatCode>
                <c:ptCount val="7"/>
                <c:pt idx="0">
                  <c:v>269.55419999999998</c:v>
                </c:pt>
                <c:pt idx="1">
                  <c:v>167.58520000000004</c:v>
                </c:pt>
                <c:pt idx="2">
                  <c:v>121.57640000000005</c:v>
                </c:pt>
                <c:pt idx="3">
                  <c:v>74.835399999999993</c:v>
                </c:pt>
                <c:pt idx="4">
                  <c:v>53.050200000000011</c:v>
                </c:pt>
                <c:pt idx="5">
                  <c:v>44.018799999999999</c:v>
                </c:pt>
                <c:pt idx="6">
                  <c:v>39.852399999999996</c:v>
                </c:pt>
              </c:numCache>
            </c:numRef>
          </c:val>
        </c:ser>
        <c:ser>
          <c:idx val="2"/>
          <c:order val="2"/>
          <c:tx>
            <c:strRef>
              <c:f>Summary!$B$5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Summary!$C$5:$I$5</c:f>
              <c:numCache>
                <c:formatCode>General</c:formatCode>
                <c:ptCount val="7"/>
                <c:pt idx="0">
                  <c:v>281.95580000000001</c:v>
                </c:pt>
                <c:pt idx="1">
                  <c:v>195.06180000000003</c:v>
                </c:pt>
                <c:pt idx="2">
                  <c:v>149.03399999999999</c:v>
                </c:pt>
                <c:pt idx="3">
                  <c:v>99.147399999999976</c:v>
                </c:pt>
                <c:pt idx="4">
                  <c:v>77.478000000000009</c:v>
                </c:pt>
                <c:pt idx="5">
                  <c:v>64.625400000000013</c:v>
                </c:pt>
                <c:pt idx="6">
                  <c:v>55.212999999999994</c:v>
                </c:pt>
              </c:numCache>
            </c:numRef>
          </c:val>
        </c:ser>
        <c:ser>
          <c:idx val="3"/>
          <c:order val="3"/>
          <c:tx>
            <c:strRef>
              <c:f>Summary!$B$6</c:f>
              <c:strCache>
                <c:ptCount val="1"/>
                <c:pt idx="0">
                  <c:v>PU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Summary!$C$6:$I$6</c:f>
              <c:numCache>
                <c:formatCode>General</c:formatCode>
                <c:ptCount val="7"/>
                <c:pt idx="0">
                  <c:v>147.00520000000003</c:v>
                </c:pt>
                <c:pt idx="1">
                  <c:v>119.46800000000003</c:v>
                </c:pt>
                <c:pt idx="2">
                  <c:v>101.3368</c:v>
                </c:pt>
                <c:pt idx="3">
                  <c:v>77.115200000000016</c:v>
                </c:pt>
                <c:pt idx="4">
                  <c:v>65.571600000000004</c:v>
                </c:pt>
                <c:pt idx="5">
                  <c:v>56.602000000000004</c:v>
                </c:pt>
                <c:pt idx="6">
                  <c:v>49.160200000000003</c:v>
                </c:pt>
              </c:numCache>
            </c:numRef>
          </c:val>
        </c:ser>
        <c:marker val="1"/>
        <c:axId val="79239040"/>
        <c:axId val="79245312"/>
      </c:lineChart>
      <c:catAx>
        <c:axId val="792390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WLANs</a:t>
                </a:r>
              </a:p>
            </c:rich>
          </c:tx>
        </c:title>
        <c:numFmt formatCode="General" sourceLinked="1"/>
        <c:majorTickMark val="none"/>
        <c:tickLblPos val="nextTo"/>
        <c:crossAx val="79245312"/>
        <c:crosses val="autoZero"/>
        <c:auto val="1"/>
        <c:lblAlgn val="ctr"/>
        <c:lblOffset val="100"/>
      </c:catAx>
      <c:valAx>
        <c:axId val="79245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</a:t>
                </a:r>
                <a:r>
                  <a:rPr lang="es-ES" baseline="0"/>
                  <a:t> throughput [Mbps]</a:t>
                </a:r>
                <a:endParaRPr lang="es-ES"/>
              </a:p>
            </c:rich>
          </c:tx>
        </c:title>
        <c:numFmt formatCode="General" sourceLinked="1"/>
        <c:tickLblPos val="nextTo"/>
        <c:crossAx val="79239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Path Loss 3 +</a:t>
            </a:r>
            <a:r>
              <a:rPr lang="es-ES" baseline="0"/>
              <a:t> new 11ax params (for v2)</a:t>
            </a:r>
            <a:endParaRPr lang="es-ES"/>
          </a:p>
        </c:rich>
      </c:tx>
      <c:layout>
        <c:manualLayout>
          <c:xMode val="edge"/>
          <c:yMode val="edge"/>
          <c:x val="0.10636618164526093"/>
          <c:y val="2.3148148148148147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'Summary PL3_11ax'!$B$3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PL3_11ax'!$C$3:$I$3</c:f>
              <c:numCache>
                <c:formatCode>General</c:formatCode>
                <c:ptCount val="7"/>
                <c:pt idx="0">
                  <c:v>89.880399999999966</c:v>
                </c:pt>
                <c:pt idx="1">
                  <c:v>87.985800000000012</c:v>
                </c:pt>
                <c:pt idx="2">
                  <c:v>84.565999999999988</c:v>
                </c:pt>
                <c:pt idx="3">
                  <c:v>75.08420000000001</c:v>
                </c:pt>
                <c:pt idx="4">
                  <c:v>70.89400000000002</c:v>
                </c:pt>
                <c:pt idx="5">
                  <c:v>65.339999999999975</c:v>
                </c:pt>
                <c:pt idx="6">
                  <c:v>59.275599999999997</c:v>
                </c:pt>
              </c:numCache>
            </c:numRef>
          </c:val>
        </c:ser>
        <c:ser>
          <c:idx val="1"/>
          <c:order val="1"/>
          <c:tx>
            <c:strRef>
              <c:f>'Summary PL3_11ax'!$B$4</c:f>
              <c:strCache>
                <c:ptCount val="1"/>
                <c:pt idx="0">
                  <c:v>SCB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PL3_11ax'!$C$4:$I$4</c:f>
              <c:numCache>
                <c:formatCode>General</c:formatCode>
                <c:ptCount val="7"/>
                <c:pt idx="0">
                  <c:v>210.42440000000002</c:v>
                </c:pt>
                <c:pt idx="1">
                  <c:v>170.43560000000002</c:v>
                </c:pt>
                <c:pt idx="2">
                  <c:v>129.79639999999995</c:v>
                </c:pt>
                <c:pt idx="3">
                  <c:v>88.512800000000013</c:v>
                </c:pt>
                <c:pt idx="4">
                  <c:v>66.341800000000006</c:v>
                </c:pt>
                <c:pt idx="5">
                  <c:v>55.543599999999998</c:v>
                </c:pt>
                <c:pt idx="6">
                  <c:v>48.725999999999992</c:v>
                </c:pt>
              </c:numCache>
            </c:numRef>
          </c:val>
        </c:ser>
        <c:ser>
          <c:idx val="2"/>
          <c:order val="2"/>
          <c:tx>
            <c:strRef>
              <c:f>'Summary PL3_11ax'!$B$5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PL3_11ax'!$C$5:$I$5</c:f>
              <c:numCache>
                <c:formatCode>General</c:formatCode>
                <c:ptCount val="7"/>
                <c:pt idx="0">
                  <c:v>214.57660000000004</c:v>
                </c:pt>
                <c:pt idx="1">
                  <c:v>184.53039999999999</c:v>
                </c:pt>
                <c:pt idx="2">
                  <c:v>151.06959999999995</c:v>
                </c:pt>
                <c:pt idx="3">
                  <c:v>111.40199999999997</c:v>
                </c:pt>
                <c:pt idx="4">
                  <c:v>94.368000000000052</c:v>
                </c:pt>
                <c:pt idx="5">
                  <c:v>80.800600000000017</c:v>
                </c:pt>
                <c:pt idx="6">
                  <c:v>70.342400000000012</c:v>
                </c:pt>
              </c:numCache>
            </c:numRef>
          </c:val>
        </c:ser>
        <c:ser>
          <c:idx val="3"/>
          <c:order val="3"/>
          <c:tx>
            <c:strRef>
              <c:f>'Summary PL3_11ax'!$B$6</c:f>
              <c:strCache>
                <c:ptCount val="1"/>
                <c:pt idx="0">
                  <c:v>PU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PL3_11ax'!$C$6:$I$6</c:f>
              <c:numCache>
                <c:formatCode>General</c:formatCode>
                <c:ptCount val="7"/>
                <c:pt idx="0">
                  <c:v>124.94679999999997</c:v>
                </c:pt>
                <c:pt idx="1">
                  <c:v>116.66879999999996</c:v>
                </c:pt>
                <c:pt idx="2">
                  <c:v>105.65259999999995</c:v>
                </c:pt>
                <c:pt idx="3">
                  <c:v>87.546399999999991</c:v>
                </c:pt>
                <c:pt idx="4">
                  <c:v>79.366400000000027</c:v>
                </c:pt>
                <c:pt idx="5">
                  <c:v>70.910600000000002</c:v>
                </c:pt>
                <c:pt idx="6">
                  <c:v>63.369800000000005</c:v>
                </c:pt>
              </c:numCache>
            </c:numRef>
          </c:val>
        </c:ser>
        <c:marker val="1"/>
        <c:axId val="79476992"/>
        <c:axId val="79376768"/>
      </c:lineChart>
      <c:catAx>
        <c:axId val="794769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WLANs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376768"/>
        <c:crosses val="autoZero"/>
        <c:auto val="1"/>
        <c:lblAlgn val="ctr"/>
        <c:lblOffset val="100"/>
      </c:catAx>
      <c:valAx>
        <c:axId val="79376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 [Mbps]</a:t>
                </a:r>
              </a:p>
            </c:rich>
          </c:tx>
          <c:layout/>
        </c:title>
        <c:numFmt formatCode="General" sourceLinked="1"/>
        <c:tickLblPos val="nextTo"/>
        <c:crossAx val="7947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Path Loss 1 (as in v1)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Summary!$B$3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Summary!$C$3:$I$3</c:f>
              <c:numCache>
                <c:formatCode>General</c:formatCode>
                <c:ptCount val="7"/>
                <c:pt idx="0">
                  <c:v>102.12599999999995</c:v>
                </c:pt>
                <c:pt idx="1">
                  <c:v>92.327200000000005</c:v>
                </c:pt>
                <c:pt idx="2">
                  <c:v>84.256400000000014</c:v>
                </c:pt>
                <c:pt idx="3">
                  <c:v>68.74339999999998</c:v>
                </c:pt>
                <c:pt idx="4">
                  <c:v>60.82419999999999</c:v>
                </c:pt>
                <c:pt idx="5">
                  <c:v>53.164799999999985</c:v>
                </c:pt>
                <c:pt idx="6">
                  <c:v>46.630200000000002</c:v>
                </c:pt>
              </c:numCache>
            </c:numRef>
          </c:val>
        </c:ser>
        <c:ser>
          <c:idx val="1"/>
          <c:order val="1"/>
          <c:tx>
            <c:strRef>
              <c:f>Summary!$B$4</c:f>
              <c:strCache>
                <c:ptCount val="1"/>
                <c:pt idx="0">
                  <c:v>SCB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Summary!$C$4:$I$4</c:f>
              <c:numCache>
                <c:formatCode>General</c:formatCode>
                <c:ptCount val="7"/>
                <c:pt idx="0">
                  <c:v>269.55419999999998</c:v>
                </c:pt>
                <c:pt idx="1">
                  <c:v>167.58520000000004</c:v>
                </c:pt>
                <c:pt idx="2">
                  <c:v>121.57640000000005</c:v>
                </c:pt>
                <c:pt idx="3">
                  <c:v>74.835399999999993</c:v>
                </c:pt>
                <c:pt idx="4">
                  <c:v>53.050200000000011</c:v>
                </c:pt>
                <c:pt idx="5">
                  <c:v>44.018799999999999</c:v>
                </c:pt>
                <c:pt idx="6">
                  <c:v>39.852399999999996</c:v>
                </c:pt>
              </c:numCache>
            </c:numRef>
          </c:val>
        </c:ser>
        <c:ser>
          <c:idx val="2"/>
          <c:order val="2"/>
          <c:tx>
            <c:strRef>
              <c:f>Summary!$B$5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Summary!$C$5:$I$5</c:f>
              <c:numCache>
                <c:formatCode>General</c:formatCode>
                <c:ptCount val="7"/>
                <c:pt idx="0">
                  <c:v>281.95580000000001</c:v>
                </c:pt>
                <c:pt idx="1">
                  <c:v>195.06180000000003</c:v>
                </c:pt>
                <c:pt idx="2">
                  <c:v>149.03399999999999</c:v>
                </c:pt>
                <c:pt idx="3">
                  <c:v>99.147399999999976</c:v>
                </c:pt>
                <c:pt idx="4">
                  <c:v>77.478000000000009</c:v>
                </c:pt>
                <c:pt idx="5">
                  <c:v>64.625400000000013</c:v>
                </c:pt>
                <c:pt idx="6">
                  <c:v>55.212999999999994</c:v>
                </c:pt>
              </c:numCache>
            </c:numRef>
          </c:val>
        </c:ser>
        <c:ser>
          <c:idx val="3"/>
          <c:order val="3"/>
          <c:tx>
            <c:strRef>
              <c:f>Summary!$B$6</c:f>
              <c:strCache>
                <c:ptCount val="1"/>
                <c:pt idx="0">
                  <c:v>PU</c:v>
                </c:pt>
              </c:strCache>
            </c:strRef>
          </c:tx>
          <c:marker>
            <c:symbol val="none"/>
          </c:marker>
          <c:cat>
            <c:numRef>
              <c:f>Summary!$C$2:$I$2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Summary!$C$6:$I$6</c:f>
              <c:numCache>
                <c:formatCode>General</c:formatCode>
                <c:ptCount val="7"/>
                <c:pt idx="0">
                  <c:v>147.00520000000003</c:v>
                </c:pt>
                <c:pt idx="1">
                  <c:v>119.46800000000003</c:v>
                </c:pt>
                <c:pt idx="2">
                  <c:v>101.3368</c:v>
                </c:pt>
                <c:pt idx="3">
                  <c:v>77.115200000000016</c:v>
                </c:pt>
                <c:pt idx="4">
                  <c:v>65.571600000000004</c:v>
                </c:pt>
                <c:pt idx="5">
                  <c:v>56.602000000000004</c:v>
                </c:pt>
                <c:pt idx="6">
                  <c:v>49.160200000000003</c:v>
                </c:pt>
              </c:numCache>
            </c:numRef>
          </c:val>
        </c:ser>
        <c:marker val="1"/>
        <c:axId val="79399168"/>
        <c:axId val="79409536"/>
      </c:lineChart>
      <c:catAx>
        <c:axId val="7939916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WLANs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409536"/>
        <c:crosses val="autoZero"/>
        <c:auto val="1"/>
        <c:lblAlgn val="ctr"/>
        <c:lblOffset val="100"/>
      </c:catAx>
      <c:valAx>
        <c:axId val="79409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</a:t>
                </a:r>
                <a:r>
                  <a:rPr lang="es-ES" baseline="0"/>
                  <a:t> throughput [Mbps]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7939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Path Loss 3 </a:t>
            </a:r>
            <a:r>
              <a:rPr lang="es-ES" baseline="0"/>
              <a:t>(July validation)</a:t>
            </a:r>
            <a:endParaRPr lang="es-ES"/>
          </a:p>
        </c:rich>
      </c:tx>
      <c:layout>
        <c:manualLayout>
          <c:xMode val="edge"/>
          <c:yMode val="edge"/>
          <c:x val="0.10636618164526097"/>
          <c:y val="2.3148148148148147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'Summary PL3_Jul'!$B$3</c:f>
              <c:strCache>
                <c:ptCount val="1"/>
                <c:pt idx="0">
                  <c:v>OP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PL3_Jul'!$C$3:$I$3</c:f>
              <c:numCache>
                <c:formatCode>General</c:formatCode>
                <c:ptCount val="7"/>
                <c:pt idx="0">
                  <c:v>88.709199999999996</c:v>
                </c:pt>
                <c:pt idx="1">
                  <c:v>87.054599999999994</c:v>
                </c:pt>
                <c:pt idx="2">
                  <c:v>83.663199999999975</c:v>
                </c:pt>
                <c:pt idx="3">
                  <c:v>74.410399999999981</c:v>
                </c:pt>
                <c:pt idx="4">
                  <c:v>70.254400000000004</c:v>
                </c:pt>
                <c:pt idx="5">
                  <c:v>64.756399999999999</c:v>
                </c:pt>
                <c:pt idx="6">
                  <c:v>58.795600000000007</c:v>
                </c:pt>
              </c:numCache>
            </c:numRef>
          </c:val>
        </c:ser>
        <c:ser>
          <c:idx val="1"/>
          <c:order val="1"/>
          <c:tx>
            <c:strRef>
              <c:f>'Summary PL3_Jul'!$B$4</c:f>
              <c:strCache>
                <c:ptCount val="1"/>
                <c:pt idx="0">
                  <c:v>SCB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PL3_Jul'!$C$4:$I$4</c:f>
              <c:numCache>
                <c:formatCode>General</c:formatCode>
                <c:ptCount val="7"/>
                <c:pt idx="0">
                  <c:v>204.02479999999997</c:v>
                </c:pt>
                <c:pt idx="1">
                  <c:v>165.55699999999993</c:v>
                </c:pt>
                <c:pt idx="2">
                  <c:v>126.69339999999998</c:v>
                </c:pt>
                <c:pt idx="3">
                  <c:v>86.262000000000029</c:v>
                </c:pt>
                <c:pt idx="4">
                  <c:v>65.344400000000007</c:v>
                </c:pt>
                <c:pt idx="5">
                  <c:v>54.540800000000019</c:v>
                </c:pt>
                <c:pt idx="6">
                  <c:v>48.113800000000012</c:v>
                </c:pt>
              </c:numCache>
            </c:numRef>
          </c:val>
        </c:ser>
        <c:ser>
          <c:idx val="2"/>
          <c:order val="2"/>
          <c:tx>
            <c:strRef>
              <c:f>'Summary PL3_Jul'!$B$5</c:f>
              <c:strCache>
                <c:ptCount val="1"/>
                <c:pt idx="0">
                  <c:v>AM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PL3_Jul'!$C$5:$I$5</c:f>
              <c:numCache>
                <c:formatCode>General</c:formatCode>
                <c:ptCount val="7"/>
                <c:pt idx="0">
                  <c:v>207.94579999999993</c:v>
                </c:pt>
                <c:pt idx="1">
                  <c:v>179.27939999999998</c:v>
                </c:pt>
                <c:pt idx="2">
                  <c:v>147.49840000000003</c:v>
                </c:pt>
                <c:pt idx="3">
                  <c:v>109.4196</c:v>
                </c:pt>
                <c:pt idx="4">
                  <c:v>92.830399999999997</c:v>
                </c:pt>
                <c:pt idx="5">
                  <c:v>79.653599999999997</c:v>
                </c:pt>
                <c:pt idx="6">
                  <c:v>69.493400000000008</c:v>
                </c:pt>
              </c:numCache>
            </c:numRef>
          </c:val>
        </c:ser>
        <c:ser>
          <c:idx val="3"/>
          <c:order val="3"/>
          <c:tx>
            <c:strRef>
              <c:f>'Summary PL3_Jul'!$B$6</c:f>
              <c:strCache>
                <c:ptCount val="1"/>
                <c:pt idx="0">
                  <c:v>PU</c:v>
                </c:pt>
              </c:strCache>
            </c:strRef>
          </c:tx>
          <c:marker>
            <c:symbol val="none"/>
          </c:marker>
          <c:cat>
            <c:numRef>
              <c:f>'Summary PL3_11ax'!$C$2:$I$2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'Summary PL3_Jul'!$C$6:$I$6</c:f>
              <c:numCache>
                <c:formatCode>General</c:formatCode>
                <c:ptCount val="7"/>
                <c:pt idx="0">
                  <c:v>122.91839999999998</c:v>
                </c:pt>
                <c:pt idx="1">
                  <c:v>114.81640000000002</c:v>
                </c:pt>
                <c:pt idx="2">
                  <c:v>104.09040000000005</c:v>
                </c:pt>
                <c:pt idx="3">
                  <c:v>86.459199999999981</c:v>
                </c:pt>
                <c:pt idx="4">
                  <c:v>78.45480000000002</c:v>
                </c:pt>
                <c:pt idx="5">
                  <c:v>70.156600000000012</c:v>
                </c:pt>
                <c:pt idx="6">
                  <c:v>62.751599999999996</c:v>
                </c:pt>
              </c:numCache>
            </c:numRef>
          </c:val>
        </c:ser>
        <c:marker val="1"/>
        <c:axId val="79645312"/>
        <c:axId val="79655680"/>
      </c:lineChart>
      <c:catAx>
        <c:axId val="796453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Num WLANs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9655680"/>
        <c:crosses val="autoZero"/>
        <c:auto val="1"/>
        <c:lblAlgn val="ctr"/>
        <c:lblOffset val="100"/>
      </c:catAx>
      <c:valAx>
        <c:axId val="796556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 [Mbps]</a:t>
                </a:r>
              </a:p>
            </c:rich>
          </c:tx>
          <c:layout/>
        </c:title>
        <c:numFmt formatCode="General" sourceLinked="1"/>
        <c:tickLblPos val="nextTo"/>
        <c:crossAx val="79645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53340</xdr:rowOff>
    </xdr:from>
    <xdr:to>
      <xdr:col>17</xdr:col>
      <xdr:colOff>152400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989170</xdr:colOff>
      <xdr:row>7</xdr:row>
      <xdr:rowOff>192</xdr:rowOff>
    </xdr:from>
    <xdr:to>
      <xdr:col>4</xdr:col>
      <xdr:colOff>101600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93131</xdr:colOff>
      <xdr:row>8</xdr:row>
      <xdr:rowOff>118532</xdr:rowOff>
    </xdr:from>
    <xdr:to>
      <xdr:col>25</xdr:col>
      <xdr:colOff>67732</xdr:colOff>
      <xdr:row>23</xdr:row>
      <xdr:rowOff>33865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8</xdr:row>
      <xdr:rowOff>101600</xdr:rowOff>
    </xdr:from>
    <xdr:to>
      <xdr:col>17</xdr:col>
      <xdr:colOff>0</xdr:colOff>
      <xdr:row>23</xdr:row>
      <xdr:rowOff>16933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93131</xdr:colOff>
      <xdr:row>8</xdr:row>
      <xdr:rowOff>118532</xdr:rowOff>
    </xdr:from>
    <xdr:to>
      <xdr:col>25</xdr:col>
      <xdr:colOff>67732</xdr:colOff>
      <xdr:row>23</xdr:row>
      <xdr:rowOff>33865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8</xdr:row>
      <xdr:rowOff>101600</xdr:rowOff>
    </xdr:from>
    <xdr:to>
      <xdr:col>17</xdr:col>
      <xdr:colOff>0</xdr:colOff>
      <xdr:row>23</xdr:row>
      <xdr:rowOff>16933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101599</xdr:colOff>
      <xdr:row>23</xdr:row>
      <xdr:rowOff>135467</xdr:rowOff>
    </xdr:from>
    <xdr:to>
      <xdr:col>25</xdr:col>
      <xdr:colOff>76200</xdr:colOff>
      <xdr:row>38</xdr:row>
      <xdr:rowOff>67734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analysis_den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Only primary (cb0)"/>
      <sheetName val="SCB (cb2)"/>
      <sheetName val="Always max (cb4)"/>
      <sheetName val="Prob. Uniform (cb6)"/>
      <sheetName val="For Matlab"/>
      <sheetName val="Proportional Fairness AM vs PU"/>
    </sheetNames>
    <sheetDataSet>
      <sheetData sheetId="0" refreshError="1"/>
      <sheetData sheetId="1" refreshError="1"/>
      <sheetData sheetId="2" refreshError="1"/>
      <sheetData sheetId="3">
        <row r="174">
          <cell r="D174">
            <v>156.77000000000001</v>
          </cell>
        </row>
        <row r="175">
          <cell r="D175">
            <v>154.69999999999999</v>
          </cell>
        </row>
        <row r="176">
          <cell r="D176">
            <v>156.32</v>
          </cell>
        </row>
        <row r="177">
          <cell r="D177">
            <v>156.61000000000001</v>
          </cell>
        </row>
        <row r="178">
          <cell r="D178">
            <v>154.72</v>
          </cell>
        </row>
        <row r="179">
          <cell r="D179">
            <v>159.74</v>
          </cell>
        </row>
        <row r="180">
          <cell r="D180">
            <v>157.56</v>
          </cell>
        </row>
        <row r="181">
          <cell r="D181">
            <v>155.43</v>
          </cell>
        </row>
        <row r="183">
          <cell r="D183">
            <v>158.94</v>
          </cell>
        </row>
        <row r="184">
          <cell r="D184">
            <v>157.66</v>
          </cell>
        </row>
        <row r="185">
          <cell r="D185">
            <v>158.1</v>
          </cell>
        </row>
        <row r="186">
          <cell r="D186">
            <v>154.07</v>
          </cell>
        </row>
        <row r="187">
          <cell r="D187">
            <v>155.19</v>
          </cell>
        </row>
        <row r="188">
          <cell r="D188">
            <v>155.43</v>
          </cell>
        </row>
        <row r="189">
          <cell r="D189">
            <v>156.01</v>
          </cell>
        </row>
        <row r="190">
          <cell r="D190">
            <v>155.69999999999999</v>
          </cell>
        </row>
        <row r="191">
          <cell r="D191">
            <v>155.84</v>
          </cell>
        </row>
        <row r="192">
          <cell r="D192">
            <v>152</v>
          </cell>
        </row>
        <row r="193">
          <cell r="D193">
            <v>157.37</v>
          </cell>
        </row>
        <row r="194">
          <cell r="D194">
            <v>156.9</v>
          </cell>
        </row>
        <row r="195">
          <cell r="D195">
            <v>158.25</v>
          </cell>
        </row>
        <row r="196">
          <cell r="D196">
            <v>155.9</v>
          </cell>
        </row>
        <row r="197">
          <cell r="D197">
            <v>158.83000000000001</v>
          </cell>
        </row>
        <row r="198">
          <cell r="D198">
            <v>154.1</v>
          </cell>
        </row>
        <row r="199">
          <cell r="D199">
            <v>158.84</v>
          </cell>
        </row>
        <row r="201">
          <cell r="D201">
            <v>155.96</v>
          </cell>
        </row>
        <row r="202">
          <cell r="D202">
            <v>156.94999999999999</v>
          </cell>
        </row>
        <row r="203">
          <cell r="D203">
            <v>155.59</v>
          </cell>
        </row>
        <row r="204">
          <cell r="D204">
            <v>156.47999999999999</v>
          </cell>
        </row>
        <row r="205">
          <cell r="D205">
            <v>156.26</v>
          </cell>
        </row>
        <row r="206">
          <cell r="D206">
            <v>156.63999999999999</v>
          </cell>
        </row>
        <row r="207">
          <cell r="D207">
            <v>158.06</v>
          </cell>
        </row>
        <row r="208">
          <cell r="D208">
            <v>155.02000000000001</v>
          </cell>
        </row>
        <row r="210">
          <cell r="D210">
            <v>158.38</v>
          </cell>
        </row>
        <row r="211">
          <cell r="D211">
            <v>156.19</v>
          </cell>
        </row>
        <row r="212">
          <cell r="D212">
            <v>158.91</v>
          </cell>
        </row>
        <row r="213">
          <cell r="D213">
            <v>154.85</v>
          </cell>
        </row>
        <row r="214">
          <cell r="D214">
            <v>156.49</v>
          </cell>
        </row>
        <row r="215">
          <cell r="D215">
            <v>157.30000000000001</v>
          </cell>
        </row>
        <row r="216">
          <cell r="D216">
            <v>155.58000000000001</v>
          </cell>
        </row>
        <row r="217">
          <cell r="D217">
            <v>156.1</v>
          </cell>
        </row>
        <row r="218">
          <cell r="D218">
            <v>155.19</v>
          </cell>
        </row>
        <row r="219">
          <cell r="D219">
            <v>156.63</v>
          </cell>
        </row>
        <row r="220">
          <cell r="D220">
            <v>157.57</v>
          </cell>
        </row>
        <row r="221">
          <cell r="D221">
            <v>151.88999999999999</v>
          </cell>
        </row>
        <row r="222">
          <cell r="D222">
            <v>156.68</v>
          </cell>
        </row>
        <row r="223">
          <cell r="D223">
            <v>154.18</v>
          </cell>
        </row>
        <row r="230">
          <cell r="D230">
            <v>232.07</v>
          </cell>
        </row>
        <row r="232">
          <cell r="D232">
            <v>231.7</v>
          </cell>
        </row>
        <row r="233">
          <cell r="D233">
            <v>231.56</v>
          </cell>
        </row>
        <row r="234">
          <cell r="D234">
            <v>227.36</v>
          </cell>
        </row>
        <row r="235">
          <cell r="D235">
            <v>229.8</v>
          </cell>
        </row>
        <row r="236">
          <cell r="D236">
            <v>231.87</v>
          </cell>
        </row>
        <row r="237">
          <cell r="D237">
            <v>233.19</v>
          </cell>
        </row>
        <row r="238">
          <cell r="D238">
            <v>232.92</v>
          </cell>
        </row>
        <row r="239">
          <cell r="D239">
            <v>228.39</v>
          </cell>
        </row>
        <row r="240">
          <cell r="D240">
            <v>229.24</v>
          </cell>
        </row>
        <row r="241">
          <cell r="D241">
            <v>228.86</v>
          </cell>
        </row>
        <row r="242">
          <cell r="D242">
            <v>229.91</v>
          </cell>
        </row>
        <row r="243">
          <cell r="D243">
            <v>230.81</v>
          </cell>
        </row>
        <row r="245">
          <cell r="D245">
            <v>229.34</v>
          </cell>
        </row>
        <row r="247">
          <cell r="D247">
            <v>230.56</v>
          </cell>
        </row>
        <row r="248">
          <cell r="D248">
            <v>231.34</v>
          </cell>
        </row>
        <row r="250">
          <cell r="D250">
            <v>227.25</v>
          </cell>
        </row>
        <row r="251">
          <cell r="D251">
            <v>232.07</v>
          </cell>
        </row>
        <row r="252">
          <cell r="D252">
            <v>230.93</v>
          </cell>
        </row>
        <row r="253">
          <cell r="D253">
            <v>225.25</v>
          </cell>
        </row>
        <row r="254">
          <cell r="D254">
            <v>231.15</v>
          </cell>
        </row>
        <row r="255">
          <cell r="D255">
            <v>232.26</v>
          </cell>
        </row>
        <row r="256">
          <cell r="D256">
            <v>228.9</v>
          </cell>
        </row>
        <row r="257">
          <cell r="D257">
            <v>225.69</v>
          </cell>
        </row>
        <row r="258">
          <cell r="D258">
            <v>230.46</v>
          </cell>
        </row>
        <row r="259">
          <cell r="D259">
            <v>230.06</v>
          </cell>
        </row>
        <row r="260">
          <cell r="D260">
            <v>231.76</v>
          </cell>
        </row>
        <row r="261">
          <cell r="D261">
            <v>229.96</v>
          </cell>
        </row>
        <row r="262">
          <cell r="D262">
            <v>231.6</v>
          </cell>
        </row>
        <row r="263">
          <cell r="D263">
            <v>230.65</v>
          </cell>
        </row>
        <row r="264">
          <cell r="D264">
            <v>230.42</v>
          </cell>
        </row>
        <row r="265">
          <cell r="D265">
            <v>226.68</v>
          </cell>
        </row>
        <row r="266">
          <cell r="D266">
            <v>233.14</v>
          </cell>
        </row>
        <row r="268">
          <cell r="D268">
            <v>231.96</v>
          </cell>
        </row>
        <row r="269">
          <cell r="D269">
            <v>228.87</v>
          </cell>
        </row>
        <row r="270">
          <cell r="D270">
            <v>230.7</v>
          </cell>
        </row>
        <row r="271">
          <cell r="D271">
            <v>231.41</v>
          </cell>
        </row>
        <row r="272">
          <cell r="D272">
            <v>226.58</v>
          </cell>
        </row>
        <row r="273">
          <cell r="D273">
            <v>228.93</v>
          </cell>
        </row>
        <row r="274">
          <cell r="D274">
            <v>233.61</v>
          </cell>
        </row>
        <row r="275">
          <cell r="D275">
            <v>233.47</v>
          </cell>
        </row>
        <row r="276">
          <cell r="D276">
            <v>233.88</v>
          </cell>
        </row>
        <row r="277">
          <cell r="D277">
            <v>233.09</v>
          </cell>
        </row>
        <row r="278">
          <cell r="D278">
            <v>231.22</v>
          </cell>
        </row>
        <row r="279">
          <cell r="D279">
            <v>230.87</v>
          </cell>
        </row>
        <row r="286">
          <cell r="D286">
            <v>299.77</v>
          </cell>
        </row>
        <row r="287">
          <cell r="D287">
            <v>307.11</v>
          </cell>
        </row>
        <row r="288">
          <cell r="D288">
            <v>301.2</v>
          </cell>
        </row>
        <row r="289">
          <cell r="D289">
            <v>306</v>
          </cell>
        </row>
        <row r="290">
          <cell r="D290">
            <v>296.42</v>
          </cell>
        </row>
        <row r="291">
          <cell r="D291">
            <v>295.18</v>
          </cell>
        </row>
        <row r="292">
          <cell r="D292">
            <v>302.95</v>
          </cell>
        </row>
        <row r="294">
          <cell r="D294">
            <v>306.97000000000003</v>
          </cell>
        </row>
        <row r="295">
          <cell r="D295">
            <v>305.95999999999998</v>
          </cell>
        </row>
        <row r="296">
          <cell r="D296">
            <v>306.39</v>
          </cell>
        </row>
        <row r="298">
          <cell r="D298">
            <v>306.52</v>
          </cell>
        </row>
        <row r="299">
          <cell r="D299">
            <v>306.18</v>
          </cell>
        </row>
        <row r="300">
          <cell r="D300">
            <v>303.17</v>
          </cell>
        </row>
        <row r="301">
          <cell r="D301">
            <v>305.95</v>
          </cell>
        </row>
        <row r="302">
          <cell r="D302">
            <v>300.3</v>
          </cell>
        </row>
        <row r="303">
          <cell r="D303">
            <v>304.33</v>
          </cell>
        </row>
        <row r="304">
          <cell r="D304">
            <v>303.43</v>
          </cell>
        </row>
        <row r="305">
          <cell r="D305">
            <v>303.7</v>
          </cell>
        </row>
        <row r="306">
          <cell r="D306">
            <v>300.45999999999998</v>
          </cell>
        </row>
        <row r="307">
          <cell r="D307">
            <v>299.2</v>
          </cell>
        </row>
        <row r="308">
          <cell r="D308">
            <v>300.31</v>
          </cell>
        </row>
        <row r="309">
          <cell r="D309">
            <v>298.37</v>
          </cell>
        </row>
        <row r="310">
          <cell r="D310">
            <v>300.95</v>
          </cell>
        </row>
        <row r="312">
          <cell r="D312">
            <v>307.02</v>
          </cell>
        </row>
        <row r="313">
          <cell r="D313">
            <v>300.74</v>
          </cell>
        </row>
        <row r="314">
          <cell r="D314">
            <v>306.86</v>
          </cell>
        </row>
        <row r="316">
          <cell r="D316">
            <v>304.68</v>
          </cell>
        </row>
        <row r="317">
          <cell r="D317">
            <v>302.82</v>
          </cell>
        </row>
        <row r="318">
          <cell r="D318">
            <v>305.38</v>
          </cell>
        </row>
        <row r="319">
          <cell r="D319">
            <v>301.99</v>
          </cell>
        </row>
        <row r="320">
          <cell r="D320">
            <v>298.88</v>
          </cell>
        </row>
        <row r="321">
          <cell r="D321">
            <v>305.74</v>
          </cell>
        </row>
        <row r="322">
          <cell r="D322">
            <v>305.62</v>
          </cell>
        </row>
        <row r="323">
          <cell r="D323">
            <v>303.56</v>
          </cell>
        </row>
        <row r="324">
          <cell r="D324">
            <v>301.7</v>
          </cell>
        </row>
        <row r="325">
          <cell r="D325">
            <v>300.56</v>
          </cell>
        </row>
        <row r="326">
          <cell r="D326">
            <v>302.14999999999998</v>
          </cell>
        </row>
        <row r="327">
          <cell r="D327">
            <v>302.32</v>
          </cell>
        </row>
        <row r="328">
          <cell r="D328">
            <v>304.13</v>
          </cell>
        </row>
        <row r="329">
          <cell r="D329">
            <v>303.14</v>
          </cell>
        </row>
        <row r="330">
          <cell r="D330">
            <v>305.33</v>
          </cell>
        </row>
        <row r="333">
          <cell r="D333">
            <v>307.83999999999997</v>
          </cell>
        </row>
        <row r="334">
          <cell r="D334">
            <v>304.52999999999997</v>
          </cell>
        </row>
        <row r="335">
          <cell r="D335">
            <v>303.66000000000003</v>
          </cell>
        </row>
        <row r="343">
          <cell r="D343">
            <v>375.81</v>
          </cell>
        </row>
        <row r="344">
          <cell r="D344">
            <v>375.37</v>
          </cell>
        </row>
        <row r="345">
          <cell r="D345">
            <v>370.9</v>
          </cell>
        </row>
        <row r="346">
          <cell r="D346">
            <v>379.48</v>
          </cell>
        </row>
        <row r="347">
          <cell r="D347">
            <v>376.34</v>
          </cell>
        </row>
        <row r="348">
          <cell r="D348">
            <v>377.04</v>
          </cell>
        </row>
        <row r="349">
          <cell r="D349">
            <v>376.78</v>
          </cell>
        </row>
        <row r="350">
          <cell r="D350">
            <v>373.65</v>
          </cell>
        </row>
        <row r="352">
          <cell r="D352">
            <v>370.17</v>
          </cell>
        </row>
        <row r="353">
          <cell r="D353">
            <v>377.68</v>
          </cell>
        </row>
        <row r="354">
          <cell r="D354">
            <v>370.65</v>
          </cell>
        </row>
        <row r="356">
          <cell r="D356">
            <v>376.21</v>
          </cell>
        </row>
        <row r="357">
          <cell r="D357">
            <v>377.93</v>
          </cell>
        </row>
        <row r="358">
          <cell r="D358">
            <v>374.01</v>
          </cell>
        </row>
        <row r="359">
          <cell r="D359">
            <v>375.01</v>
          </cell>
        </row>
        <row r="360">
          <cell r="D360">
            <v>369.31</v>
          </cell>
        </row>
        <row r="361">
          <cell r="D361">
            <v>375.42</v>
          </cell>
        </row>
        <row r="362">
          <cell r="D362">
            <v>377.38</v>
          </cell>
        </row>
        <row r="363">
          <cell r="D363">
            <v>375.29</v>
          </cell>
        </row>
        <row r="364">
          <cell r="D364">
            <v>373.02</v>
          </cell>
        </row>
        <row r="365">
          <cell r="D365">
            <v>374.76</v>
          </cell>
        </row>
        <row r="366">
          <cell r="D366">
            <v>381.06</v>
          </cell>
        </row>
        <row r="367">
          <cell r="D367">
            <v>379.72</v>
          </cell>
        </row>
        <row r="369">
          <cell r="D369">
            <v>372.53</v>
          </cell>
        </row>
        <row r="370">
          <cell r="D370">
            <v>379.29</v>
          </cell>
        </row>
        <row r="371">
          <cell r="D371">
            <v>377.2</v>
          </cell>
        </row>
        <row r="372">
          <cell r="D372">
            <v>375.51</v>
          </cell>
        </row>
        <row r="373">
          <cell r="D373">
            <v>368.53</v>
          </cell>
        </row>
        <row r="374">
          <cell r="D374">
            <v>380.18</v>
          </cell>
        </row>
        <row r="375">
          <cell r="D375">
            <v>374.96</v>
          </cell>
        </row>
        <row r="376">
          <cell r="D376">
            <v>373.5</v>
          </cell>
        </row>
        <row r="377">
          <cell r="D377">
            <v>377</v>
          </cell>
        </row>
        <row r="378">
          <cell r="D378">
            <v>381.03</v>
          </cell>
        </row>
        <row r="379">
          <cell r="D379">
            <v>377.99</v>
          </cell>
        </row>
        <row r="380">
          <cell r="D380">
            <v>376.19</v>
          </cell>
        </row>
        <row r="381">
          <cell r="D381">
            <v>376.16</v>
          </cell>
        </row>
        <row r="383">
          <cell r="D383">
            <v>376.49</v>
          </cell>
        </row>
        <row r="385">
          <cell r="D385">
            <v>379.89</v>
          </cell>
        </row>
        <row r="386">
          <cell r="D386">
            <v>379.37</v>
          </cell>
        </row>
        <row r="387">
          <cell r="D387">
            <v>372.06</v>
          </cell>
        </row>
        <row r="388">
          <cell r="D388">
            <v>374.58</v>
          </cell>
        </row>
        <row r="389">
          <cell r="D389">
            <v>374.23</v>
          </cell>
        </row>
        <row r="390">
          <cell r="D390">
            <v>372.59</v>
          </cell>
        </row>
        <row r="391">
          <cell r="D391">
            <v>373.53</v>
          </cell>
        </row>
      </sheetData>
      <sheetData sheetId="4">
        <row r="174">
          <cell r="D174">
            <v>156.41</v>
          </cell>
        </row>
        <row r="175">
          <cell r="D175">
            <v>154.47</v>
          </cell>
        </row>
        <row r="176">
          <cell r="D176">
            <v>154.44</v>
          </cell>
        </row>
        <row r="177">
          <cell r="D177">
            <v>157.19</v>
          </cell>
        </row>
        <row r="178">
          <cell r="D178">
            <v>155.41</v>
          </cell>
        </row>
        <row r="179">
          <cell r="D179">
            <v>158.68</v>
          </cell>
        </row>
        <row r="180">
          <cell r="D180">
            <v>156.12</v>
          </cell>
        </row>
        <row r="181">
          <cell r="D181">
            <v>154.25</v>
          </cell>
        </row>
        <row r="183">
          <cell r="D183">
            <v>158.16</v>
          </cell>
        </row>
        <row r="184">
          <cell r="D184">
            <v>156.69999999999999</v>
          </cell>
        </row>
        <row r="185">
          <cell r="D185">
            <v>155.97999999999999</v>
          </cell>
        </row>
        <row r="186">
          <cell r="D186">
            <v>153.51</v>
          </cell>
        </row>
        <row r="187">
          <cell r="D187">
            <v>153.94</v>
          </cell>
        </row>
        <row r="188">
          <cell r="D188">
            <v>153.07</v>
          </cell>
        </row>
        <row r="189">
          <cell r="D189">
            <v>155.41999999999999</v>
          </cell>
        </row>
        <row r="190">
          <cell r="D190">
            <v>151.69</v>
          </cell>
        </row>
        <row r="191">
          <cell r="D191">
            <v>154.88</v>
          </cell>
        </row>
        <row r="192">
          <cell r="D192">
            <v>148.66999999999999</v>
          </cell>
        </row>
        <row r="193">
          <cell r="D193">
            <v>156.91</v>
          </cell>
        </row>
        <row r="194">
          <cell r="D194">
            <v>156.27000000000001</v>
          </cell>
        </row>
        <row r="195">
          <cell r="D195">
            <v>155.31</v>
          </cell>
        </row>
        <row r="196">
          <cell r="D196">
            <v>155.02000000000001</v>
          </cell>
        </row>
        <row r="197">
          <cell r="D197">
            <v>157.41</v>
          </cell>
        </row>
        <row r="198">
          <cell r="D198">
            <v>151.94</v>
          </cell>
        </row>
        <row r="199">
          <cell r="D199">
            <v>157.31</v>
          </cell>
        </row>
        <row r="201">
          <cell r="D201">
            <v>154.06</v>
          </cell>
        </row>
        <row r="202">
          <cell r="D202">
            <v>154.75</v>
          </cell>
        </row>
        <row r="203">
          <cell r="D203">
            <v>155.35</v>
          </cell>
        </row>
        <row r="204">
          <cell r="D204">
            <v>155.79</v>
          </cell>
        </row>
        <row r="205">
          <cell r="D205">
            <v>155.75</v>
          </cell>
        </row>
        <row r="206">
          <cell r="D206">
            <v>156.91</v>
          </cell>
        </row>
        <row r="207">
          <cell r="D207">
            <v>156.74</v>
          </cell>
        </row>
        <row r="208">
          <cell r="D208">
            <v>154.88</v>
          </cell>
        </row>
        <row r="210">
          <cell r="D210">
            <v>157.6</v>
          </cell>
        </row>
        <row r="211">
          <cell r="D211">
            <v>155.22999999999999</v>
          </cell>
        </row>
        <row r="212">
          <cell r="D212">
            <v>158.19</v>
          </cell>
        </row>
        <row r="213">
          <cell r="D213">
            <v>154.79</v>
          </cell>
        </row>
        <row r="214">
          <cell r="D214">
            <v>155.44999999999999</v>
          </cell>
        </row>
        <row r="215">
          <cell r="D215">
            <v>155.77000000000001</v>
          </cell>
        </row>
        <row r="216">
          <cell r="D216">
            <v>153.9</v>
          </cell>
        </row>
        <row r="217">
          <cell r="D217">
            <v>155.93</v>
          </cell>
        </row>
        <row r="218">
          <cell r="D218">
            <v>155.18</v>
          </cell>
        </row>
        <row r="219">
          <cell r="D219">
            <v>155.72999999999999</v>
          </cell>
        </row>
        <row r="220">
          <cell r="D220">
            <v>154.4</v>
          </cell>
        </row>
        <row r="221">
          <cell r="D221">
            <v>151.86000000000001</v>
          </cell>
        </row>
        <row r="222">
          <cell r="D222">
            <v>154.96</v>
          </cell>
        </row>
        <row r="223">
          <cell r="D223">
            <v>153.76</v>
          </cell>
        </row>
        <row r="230">
          <cell r="D230">
            <v>232.5</v>
          </cell>
        </row>
        <row r="232">
          <cell r="D232">
            <v>230.07</v>
          </cell>
        </row>
        <row r="233">
          <cell r="D233">
            <v>229.57</v>
          </cell>
        </row>
        <row r="234">
          <cell r="D234">
            <v>227.08</v>
          </cell>
        </row>
        <row r="235">
          <cell r="D235">
            <v>229.05</v>
          </cell>
        </row>
        <row r="236">
          <cell r="D236">
            <v>228.36</v>
          </cell>
        </row>
        <row r="237">
          <cell r="D237">
            <v>231.87</v>
          </cell>
        </row>
        <row r="238">
          <cell r="D238">
            <v>232.22</v>
          </cell>
        </row>
        <row r="239">
          <cell r="D239">
            <v>227.8</v>
          </cell>
        </row>
        <row r="240">
          <cell r="D240">
            <v>229.48</v>
          </cell>
        </row>
        <row r="241">
          <cell r="D241">
            <v>229.24</v>
          </cell>
        </row>
        <row r="242">
          <cell r="D242">
            <v>227.55</v>
          </cell>
        </row>
        <row r="243">
          <cell r="D243">
            <v>230.68</v>
          </cell>
        </row>
        <row r="245">
          <cell r="D245">
            <v>230.07</v>
          </cell>
        </row>
        <row r="247">
          <cell r="D247">
            <v>229.75</v>
          </cell>
        </row>
        <row r="248">
          <cell r="D248">
            <v>229.29</v>
          </cell>
        </row>
        <row r="250">
          <cell r="D250">
            <v>227.96</v>
          </cell>
        </row>
        <row r="251">
          <cell r="D251">
            <v>230.46</v>
          </cell>
        </row>
        <row r="252">
          <cell r="D252">
            <v>229.32</v>
          </cell>
        </row>
        <row r="253">
          <cell r="D253">
            <v>223.68</v>
          </cell>
        </row>
        <row r="254">
          <cell r="D254">
            <v>229.52</v>
          </cell>
        </row>
        <row r="255">
          <cell r="D255">
            <v>229.7</v>
          </cell>
        </row>
        <row r="256">
          <cell r="D256">
            <v>228.21</v>
          </cell>
        </row>
        <row r="258">
          <cell r="D258">
            <v>231.18</v>
          </cell>
        </row>
        <row r="259">
          <cell r="D259">
            <v>228.48</v>
          </cell>
        </row>
        <row r="260">
          <cell r="D260">
            <v>229.4</v>
          </cell>
        </row>
        <row r="261">
          <cell r="D261">
            <v>228.49</v>
          </cell>
        </row>
        <row r="262">
          <cell r="D262">
            <v>229.57</v>
          </cell>
        </row>
        <row r="263">
          <cell r="D263">
            <v>229.2</v>
          </cell>
        </row>
        <row r="264">
          <cell r="D264">
            <v>230.26</v>
          </cell>
        </row>
        <row r="265">
          <cell r="D265">
            <v>228.51</v>
          </cell>
        </row>
        <row r="266">
          <cell r="D266">
            <v>232.56</v>
          </cell>
        </row>
        <row r="268">
          <cell r="D268">
            <v>230.08</v>
          </cell>
        </row>
        <row r="269">
          <cell r="D269">
            <v>228.71</v>
          </cell>
        </row>
        <row r="270">
          <cell r="D270">
            <v>227.74</v>
          </cell>
        </row>
        <row r="271">
          <cell r="D271">
            <v>229.22</v>
          </cell>
        </row>
        <row r="272">
          <cell r="D272">
            <v>225.6</v>
          </cell>
        </row>
        <row r="273">
          <cell r="D273">
            <v>228.3</v>
          </cell>
        </row>
        <row r="274">
          <cell r="D274">
            <v>232.4</v>
          </cell>
        </row>
        <row r="275">
          <cell r="D275">
            <v>232.66</v>
          </cell>
        </row>
        <row r="276">
          <cell r="D276">
            <v>234.47</v>
          </cell>
        </row>
        <row r="277">
          <cell r="D277">
            <v>233.38</v>
          </cell>
        </row>
        <row r="278">
          <cell r="D278">
            <v>230.56</v>
          </cell>
        </row>
        <row r="279">
          <cell r="D279">
            <v>228.62</v>
          </cell>
        </row>
        <row r="286">
          <cell r="D286">
            <v>299.25</v>
          </cell>
        </row>
        <row r="287">
          <cell r="D287">
            <v>306.22000000000003</v>
          </cell>
        </row>
        <row r="288">
          <cell r="D288">
            <v>301.68</v>
          </cell>
        </row>
        <row r="289">
          <cell r="D289">
            <v>305.92</v>
          </cell>
        </row>
        <row r="290">
          <cell r="D290">
            <v>295.26</v>
          </cell>
        </row>
        <row r="291">
          <cell r="D291">
            <v>298.06</v>
          </cell>
        </row>
        <row r="292">
          <cell r="D292">
            <v>303.27</v>
          </cell>
        </row>
        <row r="294">
          <cell r="D294">
            <v>304.89</v>
          </cell>
        </row>
        <row r="295">
          <cell r="D295">
            <v>303.95999999999998</v>
          </cell>
        </row>
        <row r="296">
          <cell r="D296">
            <v>305.73</v>
          </cell>
        </row>
        <row r="298">
          <cell r="D298">
            <v>305.72000000000003</v>
          </cell>
        </row>
        <row r="299">
          <cell r="D299">
            <v>304.29000000000002</v>
          </cell>
        </row>
        <row r="300">
          <cell r="D300">
            <v>298.99</v>
          </cell>
        </row>
        <row r="301">
          <cell r="D301">
            <v>303.24</v>
          </cell>
        </row>
        <row r="302">
          <cell r="D302">
            <v>298.23</v>
          </cell>
        </row>
        <row r="303">
          <cell r="D303">
            <v>302.43</v>
          </cell>
        </row>
        <row r="304">
          <cell r="D304">
            <v>304.05</v>
          </cell>
        </row>
        <row r="305">
          <cell r="D305">
            <v>301.42</v>
          </cell>
        </row>
        <row r="306">
          <cell r="D306">
            <v>299.95</v>
          </cell>
        </row>
        <row r="307">
          <cell r="D307">
            <v>302.61</v>
          </cell>
        </row>
        <row r="308">
          <cell r="D308">
            <v>302.19</v>
          </cell>
        </row>
        <row r="309">
          <cell r="D309">
            <v>298.88</v>
          </cell>
        </row>
        <row r="310">
          <cell r="D310">
            <v>303.93</v>
          </cell>
        </row>
        <row r="312">
          <cell r="D312">
            <v>306.12</v>
          </cell>
        </row>
        <row r="313">
          <cell r="D313">
            <v>303.07</v>
          </cell>
        </row>
        <row r="314">
          <cell r="D314">
            <v>304.14999999999998</v>
          </cell>
        </row>
        <row r="316">
          <cell r="D316">
            <v>302.44</v>
          </cell>
        </row>
        <row r="317">
          <cell r="D317">
            <v>300.08</v>
          </cell>
        </row>
        <row r="318">
          <cell r="D318">
            <v>303.98</v>
          </cell>
        </row>
        <row r="319">
          <cell r="D319">
            <v>300.89999999999998</v>
          </cell>
        </row>
        <row r="320">
          <cell r="D320">
            <v>300.08</v>
          </cell>
        </row>
        <row r="321">
          <cell r="D321">
            <v>303.29000000000002</v>
          </cell>
        </row>
        <row r="322">
          <cell r="D322">
            <v>305.27999999999997</v>
          </cell>
        </row>
        <row r="323">
          <cell r="D323">
            <v>302.47000000000003</v>
          </cell>
        </row>
        <row r="324">
          <cell r="D324">
            <v>300.95</v>
          </cell>
        </row>
        <row r="325">
          <cell r="D325">
            <v>302.23</v>
          </cell>
        </row>
        <row r="326">
          <cell r="D326">
            <v>301.94</v>
          </cell>
        </row>
        <row r="327">
          <cell r="D327">
            <v>300.56</v>
          </cell>
        </row>
        <row r="328">
          <cell r="D328">
            <v>299.36</v>
          </cell>
        </row>
        <row r="329">
          <cell r="D329">
            <v>300.49</v>
          </cell>
        </row>
        <row r="330">
          <cell r="D330">
            <v>304.24</v>
          </cell>
        </row>
        <row r="333">
          <cell r="D333">
            <v>307.14</v>
          </cell>
        </row>
        <row r="334">
          <cell r="D334">
            <v>300.27</v>
          </cell>
        </row>
        <row r="335">
          <cell r="D335">
            <v>301.11</v>
          </cell>
        </row>
        <row r="343">
          <cell r="D343">
            <v>374.41</v>
          </cell>
        </row>
        <row r="344">
          <cell r="D344">
            <v>373.43</v>
          </cell>
        </row>
        <row r="345">
          <cell r="D345">
            <v>375.51</v>
          </cell>
        </row>
        <row r="346">
          <cell r="D346">
            <v>377.47</v>
          </cell>
        </row>
        <row r="347">
          <cell r="D347">
            <v>374.51</v>
          </cell>
        </row>
        <row r="348">
          <cell r="D348">
            <v>377.04</v>
          </cell>
        </row>
        <row r="349">
          <cell r="D349">
            <v>375.37</v>
          </cell>
        </row>
        <row r="351">
          <cell r="D351">
            <v>368.76</v>
          </cell>
        </row>
        <row r="353">
          <cell r="D353">
            <v>376.6</v>
          </cell>
        </row>
        <row r="354">
          <cell r="D354">
            <v>375.9</v>
          </cell>
        </row>
        <row r="356">
          <cell r="D356">
            <v>375.34</v>
          </cell>
        </row>
        <row r="357">
          <cell r="D357">
            <v>377.74</v>
          </cell>
        </row>
        <row r="358">
          <cell r="D358">
            <v>372</v>
          </cell>
        </row>
        <row r="359">
          <cell r="D359">
            <v>374.02</v>
          </cell>
        </row>
        <row r="360">
          <cell r="D360">
            <v>369.74</v>
          </cell>
        </row>
        <row r="361">
          <cell r="D361">
            <v>372.23</v>
          </cell>
        </row>
        <row r="362">
          <cell r="D362">
            <v>374.78</v>
          </cell>
        </row>
        <row r="363">
          <cell r="D363">
            <v>373.67</v>
          </cell>
        </row>
        <row r="364">
          <cell r="D364">
            <v>368.62</v>
          </cell>
        </row>
        <row r="365">
          <cell r="D365">
            <v>374.4</v>
          </cell>
        </row>
        <row r="366">
          <cell r="D366">
            <v>381.12</v>
          </cell>
        </row>
        <row r="367">
          <cell r="D367">
            <v>380.34</v>
          </cell>
        </row>
        <row r="369">
          <cell r="D369">
            <v>372.68</v>
          </cell>
        </row>
        <row r="370">
          <cell r="D370">
            <v>376.58</v>
          </cell>
        </row>
        <row r="371">
          <cell r="D371">
            <v>376.4</v>
          </cell>
        </row>
        <row r="372">
          <cell r="D372">
            <v>373.32</v>
          </cell>
        </row>
        <row r="373">
          <cell r="D373">
            <v>372.81</v>
          </cell>
        </row>
        <row r="374">
          <cell r="D374">
            <v>378.55</v>
          </cell>
        </row>
        <row r="375">
          <cell r="D375">
            <v>372.77</v>
          </cell>
        </row>
        <row r="376">
          <cell r="D376">
            <v>370.43</v>
          </cell>
        </row>
        <row r="377">
          <cell r="D377">
            <v>374.47</v>
          </cell>
        </row>
        <row r="378">
          <cell r="D378">
            <v>379.58</v>
          </cell>
        </row>
        <row r="379">
          <cell r="D379">
            <v>375.6</v>
          </cell>
        </row>
        <row r="380">
          <cell r="D380">
            <v>371.73</v>
          </cell>
        </row>
        <row r="381">
          <cell r="D381">
            <v>375.15</v>
          </cell>
        </row>
        <row r="383">
          <cell r="D383">
            <v>375.31</v>
          </cell>
        </row>
        <row r="385">
          <cell r="D385">
            <v>373.85</v>
          </cell>
        </row>
        <row r="386">
          <cell r="D386">
            <v>377.46</v>
          </cell>
        </row>
        <row r="387">
          <cell r="D387">
            <v>373.76</v>
          </cell>
        </row>
        <row r="388">
          <cell r="D388">
            <v>373.34</v>
          </cell>
        </row>
        <row r="389">
          <cell r="D389">
            <v>372.1</v>
          </cell>
        </row>
        <row r="390">
          <cell r="D390">
            <v>369.81</v>
          </cell>
        </row>
        <row r="391">
          <cell r="D391">
            <v>371.41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0" sqref="B10"/>
    </sheetView>
  </sheetViews>
  <sheetFormatPr defaultRowHeight="14.4"/>
  <cols>
    <col min="1" max="1" width="13.77734375" style="1" bestFit="1" customWidth="1"/>
    <col min="2" max="2" width="88.5546875" style="1" bestFit="1" customWidth="1"/>
    <col min="3" max="3" width="25.21875" style="1" customWidth="1"/>
    <col min="4" max="16384" width="8.88671875" style="1"/>
  </cols>
  <sheetData>
    <row r="1" spans="1:2" ht="15.6">
      <c r="A1" s="2" t="s">
        <v>11</v>
      </c>
      <c r="B1" s="12" t="s">
        <v>328</v>
      </c>
    </row>
    <row r="2" spans="1:2">
      <c r="A2" s="2" t="s">
        <v>12</v>
      </c>
      <c r="B2" s="1">
        <v>1992</v>
      </c>
    </row>
    <row r="3" spans="1:2">
      <c r="A3" s="2" t="s">
        <v>13</v>
      </c>
      <c r="B3" s="1" t="s">
        <v>329</v>
      </c>
    </row>
    <row r="4" spans="1:2">
      <c r="A4" s="2" t="s">
        <v>930</v>
      </c>
      <c r="B4" s="1" t="s">
        <v>931</v>
      </c>
    </row>
    <row r="7" spans="1:2">
      <c r="A7" s="2" t="s">
        <v>321</v>
      </c>
      <c r="B7" s="1" t="s">
        <v>1232</v>
      </c>
    </row>
    <row r="9" spans="1:2">
      <c r="B9" s="1" t="s">
        <v>1434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45"/>
  <sheetViews>
    <sheetView zoomScale="60" zoomScaleNormal="60" workbookViewId="0">
      <selection activeCell="N322" sqref="N322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2356</v>
      </c>
      <c r="C1" s="25"/>
      <c r="D1" s="25"/>
    </row>
    <row r="2" spans="1:8">
      <c r="B2" s="25"/>
      <c r="C2" s="25"/>
      <c r="D2" s="25"/>
    </row>
    <row r="4" spans="1:8">
      <c r="H4" s="18" t="s">
        <v>1435</v>
      </c>
    </row>
    <row r="5" spans="1:8" ht="18">
      <c r="A5" s="18" t="s">
        <v>7</v>
      </c>
      <c r="B5" s="3" t="s">
        <v>0</v>
      </c>
      <c r="C5" s="18" t="s">
        <v>4</v>
      </c>
      <c r="D5" s="18" t="s">
        <v>322</v>
      </c>
      <c r="E5" s="18" t="s">
        <v>321</v>
      </c>
      <c r="F5" s="18" t="s">
        <v>324</v>
      </c>
      <c r="G5" s="18" t="s">
        <v>323</v>
      </c>
      <c r="H5" s="18" t="s">
        <v>1436</v>
      </c>
    </row>
    <row r="6" spans="1:8">
      <c r="A6" s="1">
        <v>1</v>
      </c>
      <c r="B6" t="s">
        <v>1455</v>
      </c>
      <c r="C6">
        <v>102.28</v>
      </c>
      <c r="D6">
        <v>16.02</v>
      </c>
      <c r="E6">
        <v>0.99995199999999995</v>
      </c>
      <c r="F6">
        <v>101.57</v>
      </c>
      <c r="G6">
        <v>2</v>
      </c>
      <c r="H6">
        <v>19.309999999999999</v>
      </c>
    </row>
    <row r="7" spans="1:8">
      <c r="A7" s="1">
        <v>2</v>
      </c>
      <c r="B7" t="s">
        <v>1458</v>
      </c>
      <c r="C7">
        <v>134.97999999999999</v>
      </c>
      <c r="D7">
        <v>16.23</v>
      </c>
      <c r="E7">
        <v>0.94413800000000003</v>
      </c>
      <c r="F7">
        <v>102.14</v>
      </c>
      <c r="G7">
        <v>0</v>
      </c>
      <c r="H7">
        <v>25.65</v>
      </c>
    </row>
    <row r="8" spans="1:8">
      <c r="A8" s="1">
        <v>3</v>
      </c>
      <c r="B8" t="s">
        <v>1461</v>
      </c>
      <c r="C8">
        <v>152.16</v>
      </c>
      <c r="D8">
        <v>16.36</v>
      </c>
      <c r="E8">
        <v>0.98398600000000003</v>
      </c>
      <c r="F8">
        <v>132.75</v>
      </c>
      <c r="G8">
        <v>0</v>
      </c>
      <c r="H8">
        <v>29</v>
      </c>
    </row>
    <row r="9" spans="1:8">
      <c r="A9" s="1">
        <v>4</v>
      </c>
      <c r="B9" t="s">
        <v>1464</v>
      </c>
      <c r="C9">
        <v>158.61000000000001</v>
      </c>
      <c r="D9">
        <v>16.399999999999999</v>
      </c>
      <c r="E9">
        <v>0.99910699999999997</v>
      </c>
      <c r="F9">
        <v>153.87</v>
      </c>
      <c r="G9">
        <v>2</v>
      </c>
      <c r="H9">
        <v>30.42</v>
      </c>
    </row>
    <row r="10" spans="1:8">
      <c r="A10" s="1">
        <v>5</v>
      </c>
      <c r="B10" t="s">
        <v>1467</v>
      </c>
      <c r="C10">
        <v>59.79</v>
      </c>
      <c r="D10">
        <v>15.55</v>
      </c>
      <c r="E10">
        <v>0.99960400000000005</v>
      </c>
      <c r="F10">
        <v>58.6</v>
      </c>
      <c r="G10">
        <v>2</v>
      </c>
      <c r="H10">
        <v>11.37</v>
      </c>
    </row>
    <row r="11" spans="1:8">
      <c r="A11" s="1">
        <v>6</v>
      </c>
      <c r="B11" t="s">
        <v>1470</v>
      </c>
      <c r="C11">
        <v>117.12</v>
      </c>
      <c r="D11">
        <v>16.13</v>
      </c>
      <c r="E11">
        <v>0.98479399999999995</v>
      </c>
      <c r="F11">
        <v>102.57</v>
      </c>
      <c r="G11">
        <v>0</v>
      </c>
      <c r="H11">
        <v>22.48</v>
      </c>
    </row>
    <row r="12" spans="1:8">
      <c r="A12" s="1">
        <v>7</v>
      </c>
      <c r="B12" t="s">
        <v>1473</v>
      </c>
      <c r="C12">
        <v>117.64</v>
      </c>
      <c r="D12">
        <v>16.13</v>
      </c>
      <c r="E12">
        <v>0.97762099999999996</v>
      </c>
      <c r="F12">
        <v>99.84</v>
      </c>
      <c r="G12">
        <v>0</v>
      </c>
      <c r="H12">
        <v>22.51</v>
      </c>
    </row>
    <row r="13" spans="1:8">
      <c r="A13" s="1">
        <v>8</v>
      </c>
      <c r="B13" t="s">
        <v>1476</v>
      </c>
      <c r="C13">
        <v>76.19</v>
      </c>
      <c r="D13">
        <v>15.76</v>
      </c>
      <c r="E13">
        <v>0.99992700000000001</v>
      </c>
      <c r="F13">
        <v>75.53</v>
      </c>
      <c r="G13">
        <v>0</v>
      </c>
      <c r="H13">
        <v>14.62</v>
      </c>
    </row>
    <row r="14" spans="1:8">
      <c r="A14" s="1">
        <v>9</v>
      </c>
      <c r="B14" t="s">
        <v>1479</v>
      </c>
      <c r="C14">
        <v>57.77</v>
      </c>
      <c r="D14">
        <v>15.52</v>
      </c>
      <c r="E14">
        <v>0.99859200000000004</v>
      </c>
      <c r="F14">
        <v>55.6</v>
      </c>
      <c r="G14">
        <v>0</v>
      </c>
      <c r="H14">
        <v>11.09</v>
      </c>
    </row>
    <row r="15" spans="1:8">
      <c r="A15" s="1">
        <v>10</v>
      </c>
      <c r="B15" t="s">
        <v>1482</v>
      </c>
      <c r="C15">
        <v>70.39</v>
      </c>
      <c r="D15">
        <v>15.69</v>
      </c>
      <c r="E15">
        <v>0.99832900000000002</v>
      </c>
      <c r="F15">
        <v>67.510000000000005</v>
      </c>
      <c r="G15">
        <v>0</v>
      </c>
      <c r="H15">
        <v>13.54</v>
      </c>
    </row>
    <row r="16" spans="1:8">
      <c r="A16" s="1">
        <v>11</v>
      </c>
      <c r="B16" t="s">
        <v>1485</v>
      </c>
      <c r="C16">
        <v>102.05</v>
      </c>
      <c r="D16">
        <v>16.02</v>
      </c>
      <c r="E16">
        <v>1</v>
      </c>
      <c r="F16">
        <v>101.99</v>
      </c>
      <c r="G16">
        <v>2</v>
      </c>
      <c r="H16">
        <v>19.309999999999999</v>
      </c>
    </row>
    <row r="17" spans="1:8">
      <c r="A17" s="1">
        <v>12</v>
      </c>
      <c r="B17" t="s">
        <v>1488</v>
      </c>
      <c r="C17">
        <v>117.35</v>
      </c>
      <c r="D17">
        <v>16.13</v>
      </c>
      <c r="E17">
        <v>0.98273999999999995</v>
      </c>
      <c r="F17">
        <v>101.8</v>
      </c>
      <c r="G17">
        <v>0</v>
      </c>
      <c r="H17">
        <v>22.34</v>
      </c>
    </row>
    <row r="18" spans="1:8">
      <c r="A18" s="1">
        <v>13</v>
      </c>
      <c r="B18" t="s">
        <v>1491</v>
      </c>
      <c r="C18">
        <v>136.59</v>
      </c>
      <c r="D18">
        <v>16.239999999999998</v>
      </c>
      <c r="E18">
        <v>0.940334</v>
      </c>
      <c r="F18">
        <v>102.18</v>
      </c>
      <c r="G18">
        <v>2</v>
      </c>
      <c r="H18">
        <v>25.86</v>
      </c>
    </row>
    <row r="19" spans="1:8">
      <c r="A19" s="1">
        <v>14</v>
      </c>
      <c r="B19" t="s">
        <v>1494</v>
      </c>
      <c r="C19">
        <v>118.04</v>
      </c>
      <c r="D19">
        <v>16.14</v>
      </c>
      <c r="E19">
        <v>0.98326800000000003</v>
      </c>
      <c r="F19">
        <v>102.64</v>
      </c>
      <c r="G19">
        <v>0</v>
      </c>
      <c r="H19">
        <v>22.53</v>
      </c>
    </row>
    <row r="20" spans="1:8">
      <c r="A20" s="1">
        <v>15</v>
      </c>
      <c r="B20" t="s">
        <v>1497</v>
      </c>
      <c r="C20">
        <v>69.680000000000007</v>
      </c>
      <c r="D20">
        <v>15.69</v>
      </c>
      <c r="E20">
        <v>0.999996</v>
      </c>
      <c r="F20">
        <v>69.540000000000006</v>
      </c>
      <c r="G20">
        <v>0</v>
      </c>
      <c r="H20">
        <v>13.49</v>
      </c>
    </row>
    <row r="21" spans="1:8">
      <c r="A21" s="1">
        <v>16</v>
      </c>
      <c r="B21" t="s">
        <v>1500</v>
      </c>
      <c r="C21">
        <v>152.43</v>
      </c>
      <c r="D21">
        <v>16.36</v>
      </c>
      <c r="E21">
        <v>0.98508099999999998</v>
      </c>
      <c r="F21">
        <v>133.66999999999999</v>
      </c>
      <c r="G21">
        <v>2</v>
      </c>
      <c r="H21">
        <v>28.95</v>
      </c>
    </row>
    <row r="22" spans="1:8">
      <c r="A22" s="1">
        <v>17</v>
      </c>
      <c r="B22" t="s">
        <v>1503</v>
      </c>
      <c r="C22">
        <v>59.79</v>
      </c>
      <c r="D22">
        <v>15.55</v>
      </c>
      <c r="E22">
        <v>0.99960400000000005</v>
      </c>
      <c r="F22">
        <v>58.6</v>
      </c>
      <c r="G22">
        <v>2</v>
      </c>
      <c r="H22">
        <v>11.37</v>
      </c>
    </row>
    <row r="23" spans="1:8">
      <c r="A23" s="1">
        <v>18</v>
      </c>
      <c r="B23" t="s">
        <v>1506</v>
      </c>
      <c r="C23">
        <v>116.76</v>
      </c>
      <c r="D23">
        <v>16.13</v>
      </c>
      <c r="E23">
        <v>0.98166799999999999</v>
      </c>
      <c r="F23">
        <v>100.8</v>
      </c>
      <c r="G23">
        <v>2</v>
      </c>
      <c r="H23">
        <v>22.35</v>
      </c>
    </row>
    <row r="24" spans="1:8">
      <c r="A24" s="1">
        <v>19</v>
      </c>
      <c r="B24" t="s">
        <v>1509</v>
      </c>
      <c r="C24">
        <v>136.05000000000001</v>
      </c>
      <c r="D24">
        <v>16.239999999999998</v>
      </c>
      <c r="E24">
        <v>0.94064400000000004</v>
      </c>
      <c r="F24">
        <v>101.88</v>
      </c>
      <c r="G24">
        <v>0</v>
      </c>
      <c r="H24">
        <v>25.91</v>
      </c>
    </row>
    <row r="25" spans="1:8">
      <c r="A25" s="1">
        <v>20</v>
      </c>
      <c r="B25" t="s">
        <v>1512</v>
      </c>
      <c r="C25">
        <v>65.97</v>
      </c>
      <c r="D25">
        <v>15.64</v>
      </c>
      <c r="E25">
        <v>0.99960800000000005</v>
      </c>
      <c r="F25">
        <v>64.67</v>
      </c>
      <c r="G25">
        <v>0</v>
      </c>
      <c r="H25">
        <v>12.48</v>
      </c>
    </row>
    <row r="26" spans="1:8">
      <c r="A26" s="1">
        <v>21</v>
      </c>
      <c r="B26" t="s">
        <v>1515</v>
      </c>
      <c r="C26">
        <v>160.72</v>
      </c>
      <c r="D26">
        <v>16.41</v>
      </c>
      <c r="E26">
        <v>0.99937699999999996</v>
      </c>
      <c r="F26">
        <v>156.71</v>
      </c>
      <c r="G26">
        <v>0</v>
      </c>
      <c r="H26">
        <v>30.55</v>
      </c>
    </row>
    <row r="27" spans="1:8">
      <c r="A27" s="1">
        <v>22</v>
      </c>
      <c r="B27" t="s">
        <v>1518</v>
      </c>
      <c r="C27">
        <v>102.28</v>
      </c>
      <c r="D27">
        <v>16.02</v>
      </c>
      <c r="E27">
        <v>0.99995199999999995</v>
      </c>
      <c r="F27">
        <v>101.57</v>
      </c>
      <c r="G27">
        <v>2</v>
      </c>
      <c r="H27">
        <v>19.309999999999999</v>
      </c>
    </row>
    <row r="28" spans="1:8">
      <c r="A28" s="1">
        <v>23</v>
      </c>
      <c r="B28" t="s">
        <v>1521</v>
      </c>
      <c r="C28">
        <v>81.73</v>
      </c>
      <c r="D28">
        <v>15.82</v>
      </c>
      <c r="E28">
        <v>0.99864200000000003</v>
      </c>
      <c r="F28">
        <v>78.72</v>
      </c>
      <c r="G28">
        <v>0</v>
      </c>
      <c r="H28">
        <v>15.77</v>
      </c>
    </row>
    <row r="29" spans="1:8">
      <c r="A29" s="1">
        <v>24</v>
      </c>
      <c r="B29" t="s">
        <v>1524</v>
      </c>
      <c r="C29">
        <v>117.64</v>
      </c>
      <c r="D29">
        <v>16.13</v>
      </c>
      <c r="E29">
        <v>0.97762099999999996</v>
      </c>
      <c r="F29">
        <v>99.84</v>
      </c>
      <c r="G29">
        <v>0</v>
      </c>
      <c r="H29">
        <v>22.51</v>
      </c>
    </row>
    <row r="30" spans="1:8">
      <c r="A30" s="1">
        <v>25</v>
      </c>
      <c r="B30" t="s">
        <v>1527</v>
      </c>
      <c r="C30">
        <v>152.16</v>
      </c>
      <c r="D30">
        <v>16.36</v>
      </c>
      <c r="E30">
        <v>0.98398600000000003</v>
      </c>
      <c r="F30">
        <v>132.75</v>
      </c>
      <c r="G30">
        <v>0</v>
      </c>
      <c r="H30">
        <v>29</v>
      </c>
    </row>
    <row r="31" spans="1:8">
      <c r="A31" s="1">
        <v>26</v>
      </c>
      <c r="B31" t="s">
        <v>1530</v>
      </c>
      <c r="C31">
        <v>118.14</v>
      </c>
      <c r="D31">
        <v>16.14</v>
      </c>
      <c r="E31">
        <v>0.98088299999999995</v>
      </c>
      <c r="F31">
        <v>101.64</v>
      </c>
      <c r="G31">
        <v>2</v>
      </c>
      <c r="H31">
        <v>22.46</v>
      </c>
    </row>
    <row r="32" spans="1:8">
      <c r="A32" s="1">
        <v>27</v>
      </c>
      <c r="B32" t="s">
        <v>1533</v>
      </c>
      <c r="C32">
        <v>118.21</v>
      </c>
      <c r="D32">
        <v>16.14</v>
      </c>
      <c r="E32">
        <v>0.98487499999999994</v>
      </c>
      <c r="F32">
        <v>103.56</v>
      </c>
      <c r="G32">
        <v>2</v>
      </c>
      <c r="H32">
        <v>22.48</v>
      </c>
    </row>
    <row r="33" spans="1:8">
      <c r="A33" s="1">
        <v>28</v>
      </c>
      <c r="B33" t="s">
        <v>1536</v>
      </c>
      <c r="C33">
        <v>136.03</v>
      </c>
      <c r="D33">
        <v>16.239999999999998</v>
      </c>
      <c r="E33">
        <v>0.94069100000000005</v>
      </c>
      <c r="F33">
        <v>101.88</v>
      </c>
      <c r="G33">
        <v>0</v>
      </c>
      <c r="H33">
        <v>25.91</v>
      </c>
    </row>
    <row r="34" spans="1:8">
      <c r="A34" s="1">
        <v>29</v>
      </c>
      <c r="B34" t="s">
        <v>1539</v>
      </c>
      <c r="C34">
        <v>135.03</v>
      </c>
      <c r="D34">
        <v>16.260000000000002</v>
      </c>
      <c r="E34">
        <v>1</v>
      </c>
      <c r="F34">
        <v>134.97999999999999</v>
      </c>
      <c r="G34">
        <v>0</v>
      </c>
      <c r="H34">
        <v>25.76</v>
      </c>
    </row>
    <row r="35" spans="1:8">
      <c r="A35" s="1">
        <v>30</v>
      </c>
      <c r="B35" t="s">
        <v>1542</v>
      </c>
      <c r="C35">
        <v>135.86000000000001</v>
      </c>
      <c r="D35">
        <v>16.239999999999998</v>
      </c>
      <c r="E35">
        <v>0.93972999999999995</v>
      </c>
      <c r="F35">
        <v>101.45</v>
      </c>
      <c r="G35">
        <v>2</v>
      </c>
      <c r="H35">
        <v>25.99</v>
      </c>
    </row>
    <row r="36" spans="1:8">
      <c r="A36" s="1">
        <v>31</v>
      </c>
      <c r="B36" t="s">
        <v>1545</v>
      </c>
      <c r="C36">
        <v>165.64</v>
      </c>
      <c r="D36">
        <v>16.440000000000001</v>
      </c>
      <c r="E36">
        <v>0.99987899999999996</v>
      </c>
      <c r="F36">
        <v>163.81</v>
      </c>
      <c r="G36">
        <v>0</v>
      </c>
      <c r="H36">
        <v>31.57</v>
      </c>
    </row>
    <row r="37" spans="1:8">
      <c r="A37" s="1">
        <v>32</v>
      </c>
      <c r="B37" t="s">
        <v>1548</v>
      </c>
      <c r="C37">
        <v>116.76</v>
      </c>
      <c r="D37">
        <v>16.13</v>
      </c>
      <c r="E37">
        <v>0.98166799999999999</v>
      </c>
      <c r="F37">
        <v>100.8</v>
      </c>
      <c r="G37">
        <v>2</v>
      </c>
      <c r="H37">
        <v>22.35</v>
      </c>
    </row>
    <row r="38" spans="1:8">
      <c r="A38" s="1">
        <v>33</v>
      </c>
      <c r="B38" t="s">
        <v>1551</v>
      </c>
      <c r="C38">
        <v>92.97</v>
      </c>
      <c r="D38">
        <v>15.93</v>
      </c>
      <c r="E38">
        <v>0.98527200000000004</v>
      </c>
      <c r="F38">
        <v>81.599999999999994</v>
      </c>
      <c r="G38">
        <v>0</v>
      </c>
      <c r="H38">
        <v>17.920000000000002</v>
      </c>
    </row>
    <row r="39" spans="1:8">
      <c r="A39" s="1">
        <v>34</v>
      </c>
      <c r="B39" t="s">
        <v>1554</v>
      </c>
      <c r="C39">
        <v>102.28</v>
      </c>
      <c r="D39">
        <v>16.02</v>
      </c>
      <c r="E39">
        <v>0.99995199999999995</v>
      </c>
      <c r="F39">
        <v>101.57</v>
      </c>
      <c r="G39">
        <v>2</v>
      </c>
      <c r="H39">
        <v>19.309999999999999</v>
      </c>
    </row>
    <row r="40" spans="1:8">
      <c r="A40" s="1">
        <v>35</v>
      </c>
      <c r="B40" t="s">
        <v>1557</v>
      </c>
      <c r="C40">
        <v>117.73</v>
      </c>
      <c r="D40">
        <v>16.14</v>
      </c>
      <c r="E40">
        <v>0.98487100000000005</v>
      </c>
      <c r="F40">
        <v>103.14</v>
      </c>
      <c r="G40">
        <v>2</v>
      </c>
      <c r="H40">
        <v>22.37</v>
      </c>
    </row>
    <row r="41" spans="1:8">
      <c r="A41" s="1">
        <v>36</v>
      </c>
      <c r="B41" t="s">
        <v>1560</v>
      </c>
      <c r="C41">
        <v>103.58</v>
      </c>
      <c r="D41">
        <v>16.03</v>
      </c>
      <c r="E41">
        <v>0.99923799999999996</v>
      </c>
      <c r="F41">
        <v>100.72</v>
      </c>
      <c r="G41">
        <v>2</v>
      </c>
      <c r="H41">
        <v>20.14</v>
      </c>
    </row>
    <row r="42" spans="1:8">
      <c r="A42" s="1">
        <v>37</v>
      </c>
      <c r="B42" t="s">
        <v>1563</v>
      </c>
      <c r="C42">
        <v>79.599999999999994</v>
      </c>
      <c r="D42">
        <v>15.8</v>
      </c>
      <c r="E42">
        <v>0.99631899999999995</v>
      </c>
      <c r="F42">
        <v>74.760000000000005</v>
      </c>
      <c r="G42">
        <v>0</v>
      </c>
      <c r="H42">
        <v>15.03</v>
      </c>
    </row>
    <row r="43" spans="1:8">
      <c r="A43" s="1">
        <v>38</v>
      </c>
      <c r="B43" t="s">
        <v>1566</v>
      </c>
      <c r="C43">
        <v>75.19</v>
      </c>
      <c r="D43">
        <v>15.75</v>
      </c>
      <c r="E43">
        <v>0.99865000000000004</v>
      </c>
      <c r="F43">
        <v>72.42</v>
      </c>
      <c r="G43">
        <v>0</v>
      </c>
      <c r="H43">
        <v>14.37</v>
      </c>
    </row>
    <row r="44" spans="1:8">
      <c r="A44" s="1">
        <v>39</v>
      </c>
      <c r="B44" t="s">
        <v>1569</v>
      </c>
      <c r="C44">
        <v>125.68</v>
      </c>
      <c r="D44">
        <v>16.2</v>
      </c>
      <c r="E44">
        <v>0.99992700000000001</v>
      </c>
      <c r="F44">
        <v>124.61</v>
      </c>
      <c r="G44">
        <v>2</v>
      </c>
      <c r="H44">
        <v>24.08</v>
      </c>
    </row>
    <row r="45" spans="1:8">
      <c r="A45" s="1">
        <v>40</v>
      </c>
      <c r="B45" t="s">
        <v>1572</v>
      </c>
      <c r="C45">
        <v>95.65</v>
      </c>
      <c r="D45">
        <v>15.95</v>
      </c>
      <c r="E45">
        <v>0.98096399999999995</v>
      </c>
      <c r="F45">
        <v>82.33</v>
      </c>
      <c r="G45">
        <v>0</v>
      </c>
      <c r="H45">
        <v>18.47</v>
      </c>
    </row>
    <row r="46" spans="1:8">
      <c r="A46" s="1">
        <v>41</v>
      </c>
      <c r="B46" t="s">
        <v>1575</v>
      </c>
      <c r="C46">
        <v>117.85</v>
      </c>
      <c r="D46">
        <v>16.13</v>
      </c>
      <c r="E46">
        <v>0.980217</v>
      </c>
      <c r="F46">
        <v>101.11</v>
      </c>
      <c r="G46">
        <v>0</v>
      </c>
      <c r="H46">
        <v>22.41</v>
      </c>
    </row>
    <row r="47" spans="1:8">
      <c r="A47" s="1">
        <v>42</v>
      </c>
      <c r="B47" t="s">
        <v>1578</v>
      </c>
      <c r="C47">
        <v>65.319999999999993</v>
      </c>
      <c r="D47">
        <v>15.63</v>
      </c>
      <c r="E47">
        <v>0.99999700000000002</v>
      </c>
      <c r="F47">
        <v>65.2</v>
      </c>
      <c r="G47">
        <v>0</v>
      </c>
      <c r="H47">
        <v>12.41</v>
      </c>
    </row>
    <row r="48" spans="1:8">
      <c r="A48" s="1">
        <v>43</v>
      </c>
      <c r="B48" t="s">
        <v>1581</v>
      </c>
      <c r="C48">
        <v>136.22</v>
      </c>
      <c r="D48">
        <v>16.239999999999998</v>
      </c>
      <c r="E48">
        <v>0.93883300000000003</v>
      </c>
      <c r="F48">
        <v>101.45</v>
      </c>
      <c r="G48">
        <v>2</v>
      </c>
      <c r="H48">
        <v>25.91</v>
      </c>
    </row>
    <row r="49" spans="1:8">
      <c r="A49" s="1">
        <v>44</v>
      </c>
      <c r="B49" t="s">
        <v>1584</v>
      </c>
      <c r="C49">
        <v>136.03</v>
      </c>
      <c r="D49">
        <v>16.239999999999998</v>
      </c>
      <c r="E49">
        <v>0.94069100000000005</v>
      </c>
      <c r="F49">
        <v>101.88</v>
      </c>
      <c r="G49">
        <v>0</v>
      </c>
      <c r="H49">
        <v>25.91</v>
      </c>
    </row>
    <row r="50" spans="1:8">
      <c r="A50" s="1">
        <v>45</v>
      </c>
      <c r="B50" t="s">
        <v>1587</v>
      </c>
      <c r="C50">
        <v>117.73</v>
      </c>
      <c r="D50">
        <v>16.13</v>
      </c>
      <c r="E50">
        <v>0.98431800000000003</v>
      </c>
      <c r="F50">
        <v>102.87</v>
      </c>
      <c r="G50">
        <v>0</v>
      </c>
      <c r="H50">
        <v>22.47</v>
      </c>
    </row>
    <row r="51" spans="1:8">
      <c r="A51" s="1">
        <v>46</v>
      </c>
      <c r="B51" t="s">
        <v>1590</v>
      </c>
      <c r="C51">
        <v>135.49</v>
      </c>
      <c r="D51">
        <v>16.239999999999998</v>
      </c>
      <c r="E51">
        <v>0.94496899999999995</v>
      </c>
      <c r="F51">
        <v>102.8</v>
      </c>
      <c r="G51">
        <v>2</v>
      </c>
      <c r="H51">
        <v>25.87</v>
      </c>
    </row>
    <row r="52" spans="1:8">
      <c r="A52" s="1">
        <v>47</v>
      </c>
      <c r="B52" t="s">
        <v>1593</v>
      </c>
      <c r="C52">
        <v>65.319999999999993</v>
      </c>
      <c r="D52">
        <v>15.63</v>
      </c>
      <c r="E52">
        <v>0.99999700000000002</v>
      </c>
      <c r="F52">
        <v>65.2</v>
      </c>
      <c r="G52">
        <v>0</v>
      </c>
      <c r="H52">
        <v>12.41</v>
      </c>
    </row>
    <row r="53" spans="1:8">
      <c r="A53" s="1">
        <v>48</v>
      </c>
      <c r="B53" t="s">
        <v>1596</v>
      </c>
      <c r="C53">
        <v>66.739999999999995</v>
      </c>
      <c r="D53">
        <v>15.65</v>
      </c>
      <c r="E53">
        <v>0.99766999999999995</v>
      </c>
      <c r="F53">
        <v>63.51</v>
      </c>
      <c r="G53">
        <v>0</v>
      </c>
      <c r="H53">
        <v>12.8</v>
      </c>
    </row>
    <row r="54" spans="1:8">
      <c r="A54" s="1">
        <v>49</v>
      </c>
      <c r="B54" t="s">
        <v>1599</v>
      </c>
      <c r="C54">
        <v>136.69999999999999</v>
      </c>
      <c r="D54">
        <v>16.25</v>
      </c>
      <c r="E54">
        <v>0.944496</v>
      </c>
      <c r="F54">
        <v>103.56</v>
      </c>
      <c r="G54">
        <v>0</v>
      </c>
      <c r="H54">
        <v>25.98</v>
      </c>
    </row>
    <row r="55" spans="1:8">
      <c r="A55" s="1">
        <v>50</v>
      </c>
      <c r="B55" t="s">
        <v>1602</v>
      </c>
      <c r="C55">
        <v>85.92</v>
      </c>
      <c r="D55">
        <v>15.87</v>
      </c>
      <c r="E55">
        <v>0.99968800000000002</v>
      </c>
      <c r="F55">
        <v>84.4</v>
      </c>
      <c r="G55">
        <v>2</v>
      </c>
      <c r="H55">
        <v>16.43</v>
      </c>
    </row>
    <row r="56" spans="1:8">
      <c r="B56" s="1" t="s">
        <v>19</v>
      </c>
      <c r="C56" s="1">
        <f>AVERAGE(C6:C55)</f>
        <v>110.35679999999996</v>
      </c>
      <c r="D56" s="1" t="e">
        <f>AVERAGE(#REF!)</f>
        <v>#REF!</v>
      </c>
      <c r="E56" s="1" t="e">
        <f>AVERAGE(#REF!)</f>
        <v>#REF!</v>
      </c>
      <c r="F56" s="1" t="e">
        <f>AVERAGE(#REF!)</f>
        <v>#REF!</v>
      </c>
      <c r="H56" s="1" t="e">
        <f>AVERAGE(#REF!)</f>
        <v>#REF!</v>
      </c>
    </row>
    <row r="57" spans="1:8">
      <c r="B57" s="1" t="s">
        <v>20</v>
      </c>
      <c r="C57" s="1">
        <f>MIN(C5:C55)</f>
        <v>57.77</v>
      </c>
      <c r="D57" s="1">
        <f>MIN(D5:D55)</f>
        <v>15.52</v>
      </c>
      <c r="E57" s="1">
        <f>MIN(E5:E55)</f>
        <v>0.93883300000000003</v>
      </c>
      <c r="F57" s="1">
        <f>MIN(F5:F55)</f>
        <v>55.6</v>
      </c>
      <c r="H57" s="1">
        <f>MIN(H5:H55)</f>
        <v>11.09</v>
      </c>
    </row>
    <row r="58" spans="1:8">
      <c r="B58" s="1" t="s">
        <v>3</v>
      </c>
      <c r="C58" s="1" t="e">
        <f>STDEV(#REF!)</f>
        <v>#REF!</v>
      </c>
      <c r="D58" s="1" t="e">
        <f>STDEV(#REF!)</f>
        <v>#REF!</v>
      </c>
      <c r="E58" s="1" t="e">
        <f>STDEV(#REF!)</f>
        <v>#REF!</v>
      </c>
      <c r="F58" s="1" t="e">
        <f>STDEV(#REF!)</f>
        <v>#REF!</v>
      </c>
      <c r="H58" s="1" t="e">
        <f>STDEV(#REF!)</f>
        <v>#REF!</v>
      </c>
    </row>
    <row r="60" spans="1:8">
      <c r="H60" s="18" t="s">
        <v>1435</v>
      </c>
    </row>
    <row r="61" spans="1:8" ht="18">
      <c r="A61" s="18" t="s">
        <v>7</v>
      </c>
      <c r="B61" s="3" t="s">
        <v>8</v>
      </c>
      <c r="C61" s="18" t="s">
        <v>4</v>
      </c>
      <c r="D61" s="18" t="s">
        <v>322</v>
      </c>
      <c r="E61" s="18" t="s">
        <v>321</v>
      </c>
      <c r="F61" s="18" t="s">
        <v>324</v>
      </c>
      <c r="G61" s="18" t="s">
        <v>323</v>
      </c>
      <c r="H61" s="18" t="s">
        <v>1436</v>
      </c>
    </row>
    <row r="62" spans="1:8">
      <c r="A62" s="1">
        <v>1</v>
      </c>
      <c r="B62" t="s">
        <v>2306</v>
      </c>
      <c r="C62">
        <v>74.06</v>
      </c>
      <c r="D62">
        <v>39.25</v>
      </c>
      <c r="E62">
        <v>0.89354699999999998</v>
      </c>
      <c r="F62">
        <v>57.75</v>
      </c>
      <c r="G62">
        <v>0</v>
      </c>
      <c r="H62">
        <v>14.15</v>
      </c>
    </row>
    <row r="63" spans="1:8">
      <c r="A63" s="1">
        <v>2</v>
      </c>
      <c r="B63" t="s">
        <v>2307</v>
      </c>
      <c r="C63">
        <v>72.25</v>
      </c>
      <c r="D63">
        <v>39.14</v>
      </c>
      <c r="E63">
        <v>0.84045400000000003</v>
      </c>
      <c r="F63">
        <v>52.53</v>
      </c>
      <c r="G63">
        <v>8</v>
      </c>
      <c r="H63">
        <v>13.75</v>
      </c>
    </row>
    <row r="64" spans="1:8">
      <c r="A64" s="1">
        <v>3</v>
      </c>
      <c r="B64" t="s">
        <v>2308</v>
      </c>
      <c r="C64">
        <v>76.45</v>
      </c>
      <c r="D64">
        <v>39.36</v>
      </c>
      <c r="E64">
        <v>0.94460900000000003</v>
      </c>
      <c r="F64">
        <v>61.75</v>
      </c>
      <c r="G64">
        <v>0</v>
      </c>
      <c r="H64">
        <v>14.61</v>
      </c>
    </row>
    <row r="65" spans="1:8">
      <c r="A65" s="1">
        <v>4</v>
      </c>
      <c r="B65" t="s">
        <v>2309</v>
      </c>
      <c r="C65">
        <v>73.56</v>
      </c>
      <c r="D65">
        <v>37.840000000000003</v>
      </c>
      <c r="E65">
        <v>0.74003300000000005</v>
      </c>
      <c r="F65">
        <v>1.1499999999999999</v>
      </c>
      <c r="G65">
        <v>4</v>
      </c>
      <c r="H65">
        <v>14.02</v>
      </c>
    </row>
    <row r="66" spans="1:8">
      <c r="A66" s="1">
        <v>5</v>
      </c>
      <c r="B66" t="s">
        <v>2310</v>
      </c>
      <c r="C66">
        <v>72.66</v>
      </c>
      <c r="D66">
        <v>39.159999999999997</v>
      </c>
      <c r="E66">
        <v>0.84700299999999995</v>
      </c>
      <c r="F66">
        <v>55.41</v>
      </c>
      <c r="G66">
        <v>0</v>
      </c>
      <c r="H66">
        <v>13.86</v>
      </c>
    </row>
    <row r="67" spans="1:8">
      <c r="A67" s="1">
        <v>6</v>
      </c>
      <c r="B67" t="s">
        <v>2311</v>
      </c>
      <c r="C67">
        <v>72.959999999999994</v>
      </c>
      <c r="D67">
        <v>39.19</v>
      </c>
      <c r="E67">
        <v>0.89988100000000004</v>
      </c>
      <c r="F67">
        <v>45.62</v>
      </c>
      <c r="G67">
        <v>4</v>
      </c>
      <c r="H67">
        <v>13.83</v>
      </c>
    </row>
    <row r="68" spans="1:8">
      <c r="A68" s="1">
        <v>7</v>
      </c>
      <c r="B68" t="s">
        <v>2312</v>
      </c>
      <c r="C68">
        <v>45.87</v>
      </c>
      <c r="D68">
        <v>38.229999999999997</v>
      </c>
      <c r="E68">
        <v>0.93725000000000003</v>
      </c>
      <c r="F68">
        <v>31.07</v>
      </c>
      <c r="G68">
        <v>8</v>
      </c>
      <c r="H68">
        <v>8.73</v>
      </c>
    </row>
    <row r="69" spans="1:8">
      <c r="A69" s="1">
        <v>8</v>
      </c>
      <c r="B69" t="s">
        <v>2313</v>
      </c>
      <c r="C69">
        <v>71.94</v>
      </c>
      <c r="D69">
        <v>38.99</v>
      </c>
      <c r="E69">
        <v>0.77698400000000001</v>
      </c>
      <c r="F69">
        <v>38.9</v>
      </c>
      <c r="G69">
        <v>0</v>
      </c>
      <c r="H69">
        <v>13.76</v>
      </c>
    </row>
    <row r="70" spans="1:8">
      <c r="A70" s="1">
        <v>9</v>
      </c>
      <c r="B70" t="s">
        <v>2314</v>
      </c>
      <c r="C70">
        <v>82.46</v>
      </c>
      <c r="D70">
        <v>39.479999999999997</v>
      </c>
      <c r="E70">
        <v>0.92704399999999998</v>
      </c>
      <c r="F70">
        <v>52.99</v>
      </c>
      <c r="G70">
        <v>0</v>
      </c>
      <c r="H70">
        <v>15.7</v>
      </c>
    </row>
    <row r="71" spans="1:8">
      <c r="A71" s="1">
        <v>10</v>
      </c>
      <c r="B71" t="s">
        <v>2315</v>
      </c>
      <c r="C71">
        <v>51.76</v>
      </c>
      <c r="D71">
        <v>38.08</v>
      </c>
      <c r="E71">
        <v>0.61268900000000004</v>
      </c>
      <c r="F71">
        <v>27.03</v>
      </c>
      <c r="G71">
        <v>0</v>
      </c>
      <c r="H71">
        <v>9.86</v>
      </c>
    </row>
    <row r="72" spans="1:8">
      <c r="A72" s="1">
        <v>11</v>
      </c>
      <c r="B72" t="s">
        <v>2316</v>
      </c>
      <c r="C72">
        <v>74.73</v>
      </c>
      <c r="D72">
        <v>39.229999999999997</v>
      </c>
      <c r="E72">
        <v>0.87765499999999996</v>
      </c>
      <c r="F72">
        <v>44.51</v>
      </c>
      <c r="G72">
        <v>6</v>
      </c>
      <c r="H72">
        <v>14.24</v>
      </c>
    </row>
    <row r="73" spans="1:8">
      <c r="A73" s="1">
        <v>12</v>
      </c>
      <c r="B73" t="s">
        <v>2317</v>
      </c>
      <c r="C73">
        <v>68.08</v>
      </c>
      <c r="D73">
        <v>38.97</v>
      </c>
      <c r="E73">
        <v>0.85026299999999999</v>
      </c>
      <c r="F73">
        <v>37.56</v>
      </c>
      <c r="G73">
        <v>4</v>
      </c>
      <c r="H73">
        <v>12.89</v>
      </c>
    </row>
    <row r="74" spans="1:8">
      <c r="A74" s="1">
        <v>13</v>
      </c>
      <c r="B74" t="s">
        <v>2318</v>
      </c>
      <c r="C74">
        <v>70.63</v>
      </c>
      <c r="D74">
        <v>38.9</v>
      </c>
      <c r="E74">
        <v>0.75900599999999996</v>
      </c>
      <c r="F74">
        <v>33.520000000000003</v>
      </c>
      <c r="G74">
        <v>6</v>
      </c>
      <c r="H74">
        <v>13.38</v>
      </c>
    </row>
    <row r="75" spans="1:8">
      <c r="A75" s="1">
        <v>14</v>
      </c>
      <c r="B75" t="s">
        <v>2319</v>
      </c>
      <c r="C75">
        <v>74</v>
      </c>
      <c r="D75">
        <v>37.119999999999997</v>
      </c>
      <c r="E75">
        <v>0.58262400000000003</v>
      </c>
      <c r="F75">
        <v>2.76</v>
      </c>
      <c r="G75">
        <v>0</v>
      </c>
      <c r="H75">
        <v>14.07</v>
      </c>
    </row>
    <row r="76" spans="1:8">
      <c r="A76" s="1">
        <v>15</v>
      </c>
      <c r="B76" t="s">
        <v>2320</v>
      </c>
      <c r="C76">
        <v>68.55</v>
      </c>
      <c r="D76">
        <v>39</v>
      </c>
      <c r="E76">
        <v>0.86831199999999997</v>
      </c>
      <c r="F76">
        <v>36.94</v>
      </c>
      <c r="G76">
        <v>0</v>
      </c>
      <c r="H76">
        <v>13.11</v>
      </c>
    </row>
    <row r="77" spans="1:8">
      <c r="A77" s="1">
        <v>16</v>
      </c>
      <c r="B77" t="s">
        <v>2321</v>
      </c>
      <c r="C77">
        <v>75.56</v>
      </c>
      <c r="D77">
        <v>37.950000000000003</v>
      </c>
      <c r="E77">
        <v>0.65240500000000001</v>
      </c>
      <c r="F77">
        <v>1.8</v>
      </c>
      <c r="G77">
        <v>8</v>
      </c>
      <c r="H77">
        <v>14.35</v>
      </c>
    </row>
    <row r="78" spans="1:8">
      <c r="A78" s="1">
        <v>17</v>
      </c>
      <c r="B78" t="s">
        <v>2322</v>
      </c>
      <c r="C78">
        <v>75.510000000000005</v>
      </c>
      <c r="D78">
        <v>38.32</v>
      </c>
      <c r="E78">
        <v>0.76603500000000002</v>
      </c>
      <c r="F78">
        <v>3.03</v>
      </c>
      <c r="G78">
        <v>2</v>
      </c>
      <c r="H78">
        <v>14.43</v>
      </c>
    </row>
    <row r="79" spans="1:8">
      <c r="A79" s="1">
        <v>18</v>
      </c>
      <c r="B79" t="s">
        <v>2323</v>
      </c>
      <c r="C79">
        <v>60.76</v>
      </c>
      <c r="D79">
        <v>35.770000000000003</v>
      </c>
      <c r="E79">
        <v>0.60638899999999996</v>
      </c>
      <c r="F79">
        <v>0.54</v>
      </c>
      <c r="G79">
        <v>4</v>
      </c>
      <c r="H79">
        <v>11.56</v>
      </c>
    </row>
    <row r="80" spans="1:8">
      <c r="A80" s="1">
        <v>19</v>
      </c>
      <c r="B80" t="s">
        <v>2324</v>
      </c>
      <c r="C80">
        <v>91.18</v>
      </c>
      <c r="D80">
        <v>37.65</v>
      </c>
      <c r="E80">
        <v>0.79196999999999995</v>
      </c>
      <c r="F80">
        <v>0.27</v>
      </c>
      <c r="G80">
        <v>0</v>
      </c>
      <c r="H80">
        <v>17.350000000000001</v>
      </c>
    </row>
    <row r="81" spans="1:8">
      <c r="A81" s="1">
        <v>20</v>
      </c>
      <c r="B81" t="s">
        <v>2325</v>
      </c>
      <c r="C81">
        <v>76.87</v>
      </c>
      <c r="D81">
        <v>39.200000000000003</v>
      </c>
      <c r="E81">
        <v>0.81460200000000005</v>
      </c>
      <c r="F81">
        <v>38.32</v>
      </c>
      <c r="G81">
        <v>6</v>
      </c>
      <c r="H81">
        <v>14.7</v>
      </c>
    </row>
    <row r="82" spans="1:8">
      <c r="A82" s="1">
        <v>21</v>
      </c>
      <c r="B82" t="s">
        <v>2326</v>
      </c>
      <c r="C82">
        <v>60.26</v>
      </c>
      <c r="D82">
        <v>38.81</v>
      </c>
      <c r="E82">
        <v>0.92245600000000005</v>
      </c>
      <c r="F82">
        <v>41.16</v>
      </c>
      <c r="G82">
        <v>2</v>
      </c>
      <c r="H82">
        <v>11.47</v>
      </c>
    </row>
    <row r="83" spans="1:8">
      <c r="A83" s="1">
        <v>22</v>
      </c>
      <c r="B83" t="s">
        <v>2327</v>
      </c>
      <c r="C83">
        <v>81.37</v>
      </c>
      <c r="D83">
        <v>39.49</v>
      </c>
      <c r="E83">
        <v>0.94236600000000004</v>
      </c>
      <c r="F83">
        <v>59.1</v>
      </c>
      <c r="G83">
        <v>2</v>
      </c>
      <c r="H83">
        <v>15.5</v>
      </c>
    </row>
    <row r="84" spans="1:8">
      <c r="A84" s="1">
        <v>23</v>
      </c>
      <c r="B84" t="s">
        <v>2328</v>
      </c>
      <c r="C84">
        <v>53.08</v>
      </c>
      <c r="D84">
        <v>38.14</v>
      </c>
      <c r="E84">
        <v>0.62883800000000001</v>
      </c>
      <c r="F84">
        <v>24.46</v>
      </c>
      <c r="G84">
        <v>2</v>
      </c>
      <c r="H84">
        <v>10.14</v>
      </c>
    </row>
    <row r="85" spans="1:8">
      <c r="A85" s="1">
        <v>24</v>
      </c>
      <c r="B85" t="s">
        <v>2329</v>
      </c>
      <c r="C85">
        <v>67.25</v>
      </c>
      <c r="D85">
        <v>37.9</v>
      </c>
      <c r="E85">
        <v>0.77390000000000003</v>
      </c>
      <c r="F85">
        <v>1.77</v>
      </c>
      <c r="G85">
        <v>4</v>
      </c>
      <c r="H85">
        <v>12.81</v>
      </c>
    </row>
    <row r="86" spans="1:8">
      <c r="A86" s="1">
        <v>25</v>
      </c>
      <c r="B86" t="s">
        <v>2330</v>
      </c>
      <c r="C86">
        <v>44.39</v>
      </c>
      <c r="D86">
        <v>38.130000000000003</v>
      </c>
      <c r="E86">
        <v>0.90596100000000002</v>
      </c>
      <c r="F86">
        <v>28.88</v>
      </c>
      <c r="G86">
        <v>8</v>
      </c>
      <c r="H86">
        <v>8.42</v>
      </c>
    </row>
    <row r="87" spans="1:8">
      <c r="A87" s="1">
        <v>26</v>
      </c>
      <c r="B87" t="s">
        <v>2331</v>
      </c>
      <c r="C87">
        <v>72.59</v>
      </c>
      <c r="D87">
        <v>36.82</v>
      </c>
      <c r="E87">
        <v>0.60592000000000001</v>
      </c>
      <c r="F87">
        <v>1.84</v>
      </c>
      <c r="G87">
        <v>8</v>
      </c>
      <c r="H87">
        <v>13.9</v>
      </c>
    </row>
    <row r="88" spans="1:8">
      <c r="A88" s="1">
        <v>27</v>
      </c>
      <c r="B88" t="s">
        <v>2332</v>
      </c>
      <c r="C88">
        <v>54.02</v>
      </c>
      <c r="D88">
        <v>38.229999999999997</v>
      </c>
      <c r="E88">
        <v>0.66015500000000005</v>
      </c>
      <c r="F88">
        <v>27.3</v>
      </c>
      <c r="G88">
        <v>2</v>
      </c>
      <c r="H88">
        <v>10.28</v>
      </c>
    </row>
    <row r="89" spans="1:8">
      <c r="A89" s="1">
        <v>28</v>
      </c>
      <c r="B89" t="s">
        <v>2333</v>
      </c>
      <c r="C89">
        <v>64.819999999999993</v>
      </c>
      <c r="D89">
        <v>37.450000000000003</v>
      </c>
      <c r="E89">
        <v>0.75192000000000003</v>
      </c>
      <c r="F89">
        <v>0.77</v>
      </c>
      <c r="G89">
        <v>8</v>
      </c>
      <c r="H89">
        <v>12.31</v>
      </c>
    </row>
    <row r="90" spans="1:8">
      <c r="A90" s="1">
        <v>29</v>
      </c>
      <c r="B90" t="s">
        <v>2334</v>
      </c>
      <c r="C90">
        <v>67.39</v>
      </c>
      <c r="D90">
        <v>39.07</v>
      </c>
      <c r="E90">
        <v>0.92642599999999997</v>
      </c>
      <c r="F90">
        <v>47.62</v>
      </c>
      <c r="G90">
        <v>2</v>
      </c>
      <c r="H90">
        <v>12.83</v>
      </c>
    </row>
    <row r="91" spans="1:8">
      <c r="A91" s="1">
        <v>30</v>
      </c>
      <c r="B91" t="s">
        <v>2335</v>
      </c>
      <c r="C91">
        <v>33.03</v>
      </c>
      <c r="D91">
        <v>37.58</v>
      </c>
      <c r="E91">
        <v>0.98572300000000002</v>
      </c>
      <c r="F91">
        <v>27.99</v>
      </c>
      <c r="G91">
        <v>8</v>
      </c>
      <c r="H91">
        <v>6.32</v>
      </c>
    </row>
    <row r="92" spans="1:8">
      <c r="A92" s="1">
        <v>31</v>
      </c>
      <c r="B92" t="s">
        <v>2336</v>
      </c>
      <c r="C92">
        <v>62.18</v>
      </c>
      <c r="D92">
        <v>38.4</v>
      </c>
      <c r="E92">
        <v>0.57179800000000003</v>
      </c>
      <c r="F92">
        <v>27.76</v>
      </c>
      <c r="G92">
        <v>4</v>
      </c>
      <c r="H92">
        <v>11.85</v>
      </c>
    </row>
    <row r="93" spans="1:8">
      <c r="A93" s="1">
        <v>32</v>
      </c>
      <c r="B93" t="s">
        <v>2337</v>
      </c>
      <c r="C93">
        <v>81.150000000000006</v>
      </c>
      <c r="D93">
        <v>39.200000000000003</v>
      </c>
      <c r="E93">
        <v>0.73871600000000004</v>
      </c>
      <c r="F93">
        <v>42.59</v>
      </c>
      <c r="G93">
        <v>6</v>
      </c>
      <c r="H93">
        <v>15.47</v>
      </c>
    </row>
    <row r="94" spans="1:8">
      <c r="A94" s="1">
        <v>33</v>
      </c>
      <c r="B94" t="s">
        <v>2338</v>
      </c>
      <c r="C94">
        <v>72.81</v>
      </c>
      <c r="D94">
        <v>39.03</v>
      </c>
      <c r="E94">
        <v>0.80598700000000001</v>
      </c>
      <c r="F94">
        <v>27.88</v>
      </c>
      <c r="G94">
        <v>2</v>
      </c>
      <c r="H94">
        <v>13.86</v>
      </c>
    </row>
    <row r="95" spans="1:8">
      <c r="A95" s="1">
        <v>34</v>
      </c>
      <c r="B95" t="s">
        <v>2339</v>
      </c>
      <c r="C95">
        <v>71.89</v>
      </c>
      <c r="D95">
        <v>38.97</v>
      </c>
      <c r="E95">
        <v>0.77841700000000003</v>
      </c>
      <c r="F95">
        <v>32.26</v>
      </c>
      <c r="G95">
        <v>0</v>
      </c>
      <c r="H95">
        <v>13.7</v>
      </c>
    </row>
    <row r="96" spans="1:8">
      <c r="A96" s="1">
        <v>35</v>
      </c>
      <c r="B96" t="s">
        <v>2340</v>
      </c>
      <c r="C96">
        <v>71.59</v>
      </c>
      <c r="D96">
        <v>39.11</v>
      </c>
      <c r="E96">
        <v>0.83427700000000005</v>
      </c>
      <c r="F96">
        <v>50.04</v>
      </c>
      <c r="G96">
        <v>4</v>
      </c>
      <c r="H96">
        <v>13.62</v>
      </c>
    </row>
    <row r="97" spans="1:8">
      <c r="A97" s="1">
        <v>36</v>
      </c>
      <c r="B97" t="s">
        <v>2341</v>
      </c>
      <c r="C97">
        <v>78.77</v>
      </c>
      <c r="D97">
        <v>39.33</v>
      </c>
      <c r="E97">
        <v>0.87708900000000001</v>
      </c>
      <c r="F97">
        <v>43.43</v>
      </c>
      <c r="G97">
        <v>4</v>
      </c>
      <c r="H97">
        <v>15.03</v>
      </c>
    </row>
    <row r="98" spans="1:8">
      <c r="A98" s="1">
        <v>37</v>
      </c>
      <c r="B98" t="s">
        <v>2342</v>
      </c>
      <c r="C98">
        <v>73.930000000000007</v>
      </c>
      <c r="D98">
        <v>37.03</v>
      </c>
      <c r="E98">
        <v>0.58024699999999996</v>
      </c>
      <c r="F98">
        <v>2.42</v>
      </c>
      <c r="G98">
        <v>6</v>
      </c>
      <c r="H98">
        <v>14.07</v>
      </c>
    </row>
    <row r="99" spans="1:8">
      <c r="A99" s="1">
        <v>38</v>
      </c>
      <c r="B99" t="s">
        <v>2343</v>
      </c>
      <c r="C99">
        <v>67.55</v>
      </c>
      <c r="D99">
        <v>35.78</v>
      </c>
      <c r="E99">
        <v>0.59465999999999997</v>
      </c>
      <c r="F99">
        <v>0.46</v>
      </c>
      <c r="G99">
        <v>4</v>
      </c>
      <c r="H99">
        <v>12.76</v>
      </c>
    </row>
    <row r="100" spans="1:8">
      <c r="A100" s="1">
        <v>39</v>
      </c>
      <c r="B100" t="s">
        <v>2344</v>
      </c>
      <c r="C100">
        <v>74.27</v>
      </c>
      <c r="D100">
        <v>39.200000000000003</v>
      </c>
      <c r="E100">
        <v>0.85345700000000002</v>
      </c>
      <c r="F100">
        <v>51.15</v>
      </c>
      <c r="G100">
        <v>2</v>
      </c>
      <c r="H100">
        <v>14.19</v>
      </c>
    </row>
    <row r="101" spans="1:8">
      <c r="A101" s="1">
        <v>40</v>
      </c>
      <c r="B101" t="s">
        <v>2345</v>
      </c>
      <c r="C101">
        <v>50.39</v>
      </c>
      <c r="D101">
        <v>37.49</v>
      </c>
      <c r="E101">
        <v>0.69511999999999996</v>
      </c>
      <c r="F101">
        <v>3.34</v>
      </c>
      <c r="G101">
        <v>2</v>
      </c>
      <c r="H101">
        <v>9.56</v>
      </c>
    </row>
    <row r="102" spans="1:8">
      <c r="A102" s="1">
        <v>41</v>
      </c>
      <c r="B102" t="s">
        <v>2346</v>
      </c>
      <c r="C102">
        <v>53.6</v>
      </c>
      <c r="D102">
        <v>38.159999999999997</v>
      </c>
      <c r="E102">
        <v>0.63696600000000003</v>
      </c>
      <c r="F102">
        <v>20.89</v>
      </c>
      <c r="G102">
        <v>6</v>
      </c>
      <c r="H102">
        <v>10.19</v>
      </c>
    </row>
    <row r="103" spans="1:8">
      <c r="A103" s="1">
        <v>42</v>
      </c>
      <c r="B103" t="s">
        <v>2347</v>
      </c>
      <c r="C103">
        <v>61.09</v>
      </c>
      <c r="D103">
        <v>37.799999999999997</v>
      </c>
      <c r="E103">
        <v>0.73295500000000002</v>
      </c>
      <c r="F103">
        <v>2.42</v>
      </c>
      <c r="G103">
        <v>0</v>
      </c>
      <c r="H103">
        <v>11.57</v>
      </c>
    </row>
    <row r="104" spans="1:8">
      <c r="A104" s="1">
        <v>43</v>
      </c>
      <c r="B104" t="s">
        <v>2348</v>
      </c>
      <c r="C104">
        <v>67.819999999999993</v>
      </c>
      <c r="D104">
        <v>38.869999999999997</v>
      </c>
      <c r="E104">
        <v>0.78261899999999995</v>
      </c>
      <c r="F104">
        <v>32.83</v>
      </c>
      <c r="G104">
        <v>0</v>
      </c>
      <c r="H104">
        <v>12.89</v>
      </c>
    </row>
    <row r="105" spans="1:8">
      <c r="A105" s="1">
        <v>44</v>
      </c>
      <c r="B105" t="s">
        <v>2349</v>
      </c>
      <c r="C105">
        <v>61.03</v>
      </c>
      <c r="D105">
        <v>37.44</v>
      </c>
      <c r="E105">
        <v>0.72600200000000004</v>
      </c>
      <c r="F105">
        <v>1.04</v>
      </c>
      <c r="G105">
        <v>4</v>
      </c>
      <c r="H105">
        <v>11.57</v>
      </c>
    </row>
    <row r="106" spans="1:8">
      <c r="A106" s="1">
        <v>45</v>
      </c>
      <c r="B106" t="s">
        <v>2350</v>
      </c>
      <c r="C106">
        <v>81.56</v>
      </c>
      <c r="D106">
        <v>37.22</v>
      </c>
      <c r="E106">
        <v>0.80059400000000003</v>
      </c>
      <c r="F106">
        <v>0.15</v>
      </c>
      <c r="G106">
        <v>6</v>
      </c>
      <c r="H106">
        <v>15.45</v>
      </c>
    </row>
    <row r="107" spans="1:8">
      <c r="A107" s="1">
        <v>46</v>
      </c>
      <c r="B107" t="s">
        <v>2351</v>
      </c>
      <c r="C107">
        <v>57.43</v>
      </c>
      <c r="D107">
        <v>38.630000000000003</v>
      </c>
      <c r="E107">
        <v>0.850356</v>
      </c>
      <c r="F107">
        <v>37.25</v>
      </c>
      <c r="G107">
        <v>0</v>
      </c>
      <c r="H107">
        <v>10.95</v>
      </c>
    </row>
    <row r="108" spans="1:8">
      <c r="A108" s="1">
        <v>47</v>
      </c>
      <c r="B108" t="s">
        <v>2352</v>
      </c>
      <c r="C108">
        <v>73.400000000000006</v>
      </c>
      <c r="D108">
        <v>38.130000000000003</v>
      </c>
      <c r="E108">
        <v>0.746112</v>
      </c>
      <c r="F108">
        <v>2.2999999999999998</v>
      </c>
      <c r="G108">
        <v>0</v>
      </c>
      <c r="H108">
        <v>14.07</v>
      </c>
    </row>
    <row r="109" spans="1:8">
      <c r="A109" s="1">
        <v>48</v>
      </c>
      <c r="B109" t="s">
        <v>2353</v>
      </c>
      <c r="C109">
        <v>74.5</v>
      </c>
      <c r="D109">
        <v>35.299999999999997</v>
      </c>
      <c r="E109">
        <v>0.56711699999999998</v>
      </c>
      <c r="F109">
        <v>0.27</v>
      </c>
      <c r="G109">
        <v>0</v>
      </c>
      <c r="H109">
        <v>14.17</v>
      </c>
    </row>
    <row r="110" spans="1:8">
      <c r="A110" s="1">
        <v>49</v>
      </c>
      <c r="B110" t="s">
        <v>2354</v>
      </c>
      <c r="C110">
        <v>68.94</v>
      </c>
      <c r="D110">
        <v>39.130000000000003</v>
      </c>
      <c r="E110">
        <v>0.93499100000000002</v>
      </c>
      <c r="F110">
        <v>52.95</v>
      </c>
      <c r="G110">
        <v>8</v>
      </c>
      <c r="H110">
        <v>13.07</v>
      </c>
    </row>
    <row r="111" spans="1:8">
      <c r="A111" s="1">
        <v>50</v>
      </c>
      <c r="B111" t="s">
        <v>2355</v>
      </c>
      <c r="C111">
        <v>75.62</v>
      </c>
      <c r="D111">
        <v>37.92</v>
      </c>
      <c r="E111">
        <v>0.69362299999999999</v>
      </c>
      <c r="F111">
        <v>1.42</v>
      </c>
      <c r="G111">
        <v>0</v>
      </c>
      <c r="H111">
        <v>14.41</v>
      </c>
    </row>
    <row r="112" spans="1:8">
      <c r="B112" s="1" t="s">
        <v>19</v>
      </c>
      <c r="C112" s="1">
        <f>AVERAGE(C62:C111)</f>
        <v>68.151200000000003</v>
      </c>
      <c r="D112" s="1">
        <f t="shared" ref="D112:F112" si="0">AVERAGE(D62:D111)</f>
        <v>38.291800000000009</v>
      </c>
      <c r="E112" s="1">
        <f t="shared" si="0"/>
        <v>0.77787045999999971</v>
      </c>
      <c r="F112" s="1">
        <f t="shared" si="0"/>
        <v>26.343800000000005</v>
      </c>
      <c r="H112" s="1">
        <f t="shared" ref="H112" si="1">AVERAGE(H62:H111)</f>
        <v>12.975600000000004</v>
      </c>
    </row>
    <row r="113" spans="1:8">
      <c r="B113" s="1" t="s">
        <v>20</v>
      </c>
      <c r="C113" s="1">
        <f>MIN(C61:C111)</f>
        <v>33.03</v>
      </c>
      <c r="D113" s="1">
        <f t="shared" ref="D113:F113" si="2">MIN(D61:D111)</f>
        <v>35.299999999999997</v>
      </c>
      <c r="E113" s="1">
        <f t="shared" si="2"/>
        <v>0.56711699999999998</v>
      </c>
      <c r="F113" s="1">
        <f t="shared" si="2"/>
        <v>0.15</v>
      </c>
      <c r="H113" s="1">
        <f t="shared" ref="H113" si="3">MIN(H61:H111)</f>
        <v>6.32</v>
      </c>
    </row>
    <row r="114" spans="1:8">
      <c r="B114" s="1" t="s">
        <v>3</v>
      </c>
      <c r="C114" s="1">
        <f>STDEV(C62:C111)</f>
        <v>11.073427587274441</v>
      </c>
      <c r="D114" s="1">
        <f t="shared" ref="D114:E114" si="4">STDEV(D62:D111)</f>
        <v>1.0004645655584221</v>
      </c>
      <c r="E114" s="1">
        <f t="shared" si="4"/>
        <v>0.11921137236416571</v>
      </c>
      <c r="F114" s="1">
        <f>STDEV(F62:F111)</f>
        <v>20.85682660132051</v>
      </c>
      <c r="H114" s="1">
        <f>STDEV(H62:H111)</f>
        <v>2.113706638846065</v>
      </c>
    </row>
    <row r="116" spans="1:8">
      <c r="H116" s="18" t="s">
        <v>1435</v>
      </c>
    </row>
    <row r="117" spans="1:8" ht="18">
      <c r="A117" s="18" t="s">
        <v>7</v>
      </c>
      <c r="B117" s="3" t="s">
        <v>1</v>
      </c>
      <c r="C117" s="18" t="s">
        <v>4</v>
      </c>
      <c r="D117" s="18" t="s">
        <v>322</v>
      </c>
      <c r="E117" s="18" t="s">
        <v>321</v>
      </c>
      <c r="F117" s="18" t="s">
        <v>324</v>
      </c>
      <c r="G117" s="18" t="s">
        <v>323</v>
      </c>
      <c r="H117" s="18" t="s">
        <v>1436</v>
      </c>
    </row>
    <row r="118" spans="1:8">
      <c r="A118" s="1">
        <v>1</v>
      </c>
      <c r="B118" t="s">
        <v>2106</v>
      </c>
      <c r="C118">
        <v>43.64</v>
      </c>
      <c r="D118">
        <v>74.62</v>
      </c>
      <c r="E118">
        <v>0.64931099999999997</v>
      </c>
      <c r="F118">
        <v>1.42</v>
      </c>
      <c r="G118">
        <v>12</v>
      </c>
      <c r="H118">
        <v>8.31</v>
      </c>
    </row>
    <row r="119" spans="1:8">
      <c r="A119" s="1">
        <v>2</v>
      </c>
      <c r="B119" t="s">
        <v>2107</v>
      </c>
      <c r="C119">
        <v>45.01</v>
      </c>
      <c r="D119">
        <v>72.88</v>
      </c>
      <c r="E119">
        <v>0.59429900000000002</v>
      </c>
      <c r="F119">
        <v>0.88</v>
      </c>
      <c r="G119">
        <v>6</v>
      </c>
      <c r="H119">
        <v>8.56</v>
      </c>
    </row>
    <row r="120" spans="1:8">
      <c r="A120" s="1">
        <v>3</v>
      </c>
      <c r="B120" t="s">
        <v>2108</v>
      </c>
      <c r="C120">
        <v>44.51</v>
      </c>
      <c r="D120">
        <v>72.150000000000006</v>
      </c>
      <c r="E120">
        <v>0.51718900000000001</v>
      </c>
      <c r="F120">
        <v>1.77</v>
      </c>
      <c r="G120">
        <v>2</v>
      </c>
      <c r="H120">
        <v>8.4700000000000006</v>
      </c>
    </row>
    <row r="121" spans="1:8">
      <c r="A121" s="1">
        <v>4</v>
      </c>
      <c r="B121" t="s">
        <v>2109</v>
      </c>
      <c r="C121">
        <v>36.6</v>
      </c>
      <c r="D121">
        <v>75.209999999999994</v>
      </c>
      <c r="E121">
        <v>0.80068300000000003</v>
      </c>
      <c r="F121">
        <v>17.66</v>
      </c>
      <c r="G121">
        <v>18</v>
      </c>
      <c r="H121">
        <v>6.97</v>
      </c>
    </row>
    <row r="122" spans="1:8">
      <c r="A122" s="1">
        <v>5</v>
      </c>
      <c r="B122" t="s">
        <v>2110</v>
      </c>
      <c r="C122">
        <v>42.88</v>
      </c>
      <c r="D122">
        <v>73.010000000000005</v>
      </c>
      <c r="E122">
        <v>0.4798</v>
      </c>
      <c r="F122">
        <v>5.8</v>
      </c>
      <c r="G122">
        <v>18</v>
      </c>
      <c r="H122">
        <v>8.17</v>
      </c>
    </row>
    <row r="123" spans="1:8">
      <c r="A123" s="1">
        <v>6</v>
      </c>
      <c r="B123" t="s">
        <v>2111</v>
      </c>
      <c r="C123">
        <v>40.82</v>
      </c>
      <c r="D123">
        <v>73.569999999999993</v>
      </c>
      <c r="E123">
        <v>0.69744300000000004</v>
      </c>
      <c r="F123">
        <v>1</v>
      </c>
      <c r="G123">
        <v>18</v>
      </c>
      <c r="H123">
        <v>7.74</v>
      </c>
    </row>
    <row r="124" spans="1:8">
      <c r="A124" s="1">
        <v>7</v>
      </c>
      <c r="B124" t="s">
        <v>2112</v>
      </c>
      <c r="C124">
        <v>53.45</v>
      </c>
      <c r="D124">
        <v>72.959999999999994</v>
      </c>
      <c r="E124">
        <v>0.56262599999999996</v>
      </c>
      <c r="F124">
        <v>2.0699999999999998</v>
      </c>
      <c r="G124">
        <v>0</v>
      </c>
      <c r="H124">
        <v>10.19</v>
      </c>
    </row>
    <row r="125" spans="1:8">
      <c r="A125" s="1">
        <v>8</v>
      </c>
      <c r="B125" t="s">
        <v>2113</v>
      </c>
      <c r="C125">
        <v>40.74</v>
      </c>
      <c r="D125">
        <v>72.59</v>
      </c>
      <c r="E125">
        <v>0.57659000000000005</v>
      </c>
      <c r="F125">
        <v>1.38</v>
      </c>
      <c r="G125">
        <v>6</v>
      </c>
      <c r="H125">
        <v>7.71</v>
      </c>
    </row>
    <row r="126" spans="1:8">
      <c r="A126" s="1">
        <v>9</v>
      </c>
      <c r="B126" t="s">
        <v>2114</v>
      </c>
      <c r="C126">
        <v>44.24</v>
      </c>
      <c r="D126">
        <v>68.599999999999994</v>
      </c>
      <c r="E126">
        <v>0.52452699999999997</v>
      </c>
      <c r="F126">
        <v>0.15</v>
      </c>
      <c r="G126">
        <v>0</v>
      </c>
      <c r="H126">
        <v>8.4</v>
      </c>
    </row>
    <row r="127" spans="1:8">
      <c r="A127" s="1">
        <v>10</v>
      </c>
      <c r="B127" t="s">
        <v>2115</v>
      </c>
      <c r="C127">
        <v>43.23</v>
      </c>
      <c r="D127">
        <v>74.53</v>
      </c>
      <c r="E127">
        <v>0.75364399999999998</v>
      </c>
      <c r="F127">
        <v>0.5</v>
      </c>
      <c r="G127">
        <v>16</v>
      </c>
      <c r="H127">
        <v>8.2200000000000006</v>
      </c>
    </row>
    <row r="128" spans="1:8">
      <c r="A128" s="1">
        <v>11</v>
      </c>
      <c r="B128" t="s">
        <v>2116</v>
      </c>
      <c r="C128">
        <v>34.76</v>
      </c>
      <c r="D128">
        <v>75.02</v>
      </c>
      <c r="E128">
        <v>0.86043599999999998</v>
      </c>
      <c r="F128">
        <v>16.170000000000002</v>
      </c>
      <c r="G128">
        <v>4</v>
      </c>
      <c r="H128">
        <v>6.62</v>
      </c>
    </row>
    <row r="129" spans="1:8">
      <c r="A129" s="1">
        <v>12</v>
      </c>
      <c r="B129" t="s">
        <v>2117</v>
      </c>
      <c r="C129">
        <v>44.77</v>
      </c>
      <c r="D129">
        <v>75.78</v>
      </c>
      <c r="E129">
        <v>0.80312099999999997</v>
      </c>
      <c r="F129">
        <v>7.22</v>
      </c>
      <c r="G129">
        <v>12</v>
      </c>
      <c r="H129">
        <v>8.5299999999999994</v>
      </c>
    </row>
    <row r="130" spans="1:8">
      <c r="A130" s="1">
        <v>13</v>
      </c>
      <c r="B130" t="s">
        <v>2118</v>
      </c>
      <c r="C130">
        <v>42.93</v>
      </c>
      <c r="D130">
        <v>74.37</v>
      </c>
      <c r="E130">
        <v>0.76643600000000001</v>
      </c>
      <c r="F130">
        <v>0.88</v>
      </c>
      <c r="G130">
        <v>14</v>
      </c>
      <c r="H130">
        <v>8.18</v>
      </c>
    </row>
    <row r="131" spans="1:8">
      <c r="A131" s="1">
        <v>14</v>
      </c>
      <c r="B131" t="s">
        <v>2119</v>
      </c>
      <c r="C131">
        <v>30.71</v>
      </c>
      <c r="D131">
        <v>73.83</v>
      </c>
      <c r="E131">
        <v>0.74964600000000003</v>
      </c>
      <c r="F131">
        <v>4.3</v>
      </c>
      <c r="G131">
        <v>4</v>
      </c>
      <c r="H131">
        <v>5.86</v>
      </c>
    </row>
    <row r="132" spans="1:8">
      <c r="A132" s="1">
        <v>15</v>
      </c>
      <c r="B132" t="s">
        <v>2120</v>
      </c>
      <c r="C132">
        <v>43.03</v>
      </c>
      <c r="D132">
        <v>71.42</v>
      </c>
      <c r="E132">
        <v>0.57961799999999997</v>
      </c>
      <c r="F132">
        <v>0.31</v>
      </c>
      <c r="G132">
        <v>4</v>
      </c>
      <c r="H132">
        <v>8.16</v>
      </c>
    </row>
    <row r="133" spans="1:8">
      <c r="A133" s="1">
        <v>16</v>
      </c>
      <c r="B133" t="s">
        <v>2121</v>
      </c>
      <c r="C133">
        <v>43.66</v>
      </c>
      <c r="D133">
        <v>74.84</v>
      </c>
      <c r="E133">
        <v>0.622695</v>
      </c>
      <c r="F133">
        <v>2.69</v>
      </c>
      <c r="G133">
        <v>18</v>
      </c>
      <c r="H133">
        <v>8.31</v>
      </c>
    </row>
    <row r="134" spans="1:8">
      <c r="A134" s="1">
        <v>17</v>
      </c>
      <c r="B134" t="s">
        <v>2122</v>
      </c>
      <c r="C134">
        <v>38.909999999999997</v>
      </c>
      <c r="D134">
        <v>75.7</v>
      </c>
      <c r="E134">
        <v>0.92720899999999995</v>
      </c>
      <c r="F134">
        <v>22</v>
      </c>
      <c r="G134">
        <v>12</v>
      </c>
      <c r="H134">
        <v>7.42</v>
      </c>
    </row>
    <row r="135" spans="1:8">
      <c r="A135" s="1">
        <v>18</v>
      </c>
      <c r="B135" t="s">
        <v>2123</v>
      </c>
      <c r="C135">
        <v>31.23</v>
      </c>
      <c r="D135">
        <v>74.8</v>
      </c>
      <c r="E135">
        <v>0.93762599999999996</v>
      </c>
      <c r="F135">
        <v>21.89</v>
      </c>
      <c r="G135">
        <v>16</v>
      </c>
      <c r="H135">
        <v>5.96</v>
      </c>
    </row>
    <row r="136" spans="1:8">
      <c r="A136" s="1">
        <v>19</v>
      </c>
      <c r="B136" t="s">
        <v>2124</v>
      </c>
      <c r="C136">
        <v>38.28</v>
      </c>
      <c r="D136">
        <v>74.400000000000006</v>
      </c>
      <c r="E136">
        <v>0.56867900000000005</v>
      </c>
      <c r="F136">
        <v>10.33</v>
      </c>
      <c r="G136">
        <v>14</v>
      </c>
      <c r="H136">
        <v>7.31</v>
      </c>
    </row>
    <row r="137" spans="1:8">
      <c r="A137" s="1">
        <v>20</v>
      </c>
      <c r="B137" t="s">
        <v>2125</v>
      </c>
      <c r="C137">
        <v>35.89</v>
      </c>
      <c r="D137">
        <v>75.22</v>
      </c>
      <c r="E137">
        <v>0.865448</v>
      </c>
      <c r="F137">
        <v>16.93</v>
      </c>
      <c r="G137">
        <v>16</v>
      </c>
      <c r="H137">
        <v>6.84</v>
      </c>
    </row>
    <row r="138" spans="1:8">
      <c r="A138" s="1">
        <v>21</v>
      </c>
      <c r="B138" t="s">
        <v>2126</v>
      </c>
      <c r="C138">
        <v>45.02</v>
      </c>
      <c r="D138">
        <v>74.239999999999995</v>
      </c>
      <c r="E138">
        <v>0.66572500000000001</v>
      </c>
      <c r="F138">
        <v>1.5</v>
      </c>
      <c r="G138">
        <v>16</v>
      </c>
      <c r="H138">
        <v>8.57</v>
      </c>
    </row>
    <row r="139" spans="1:8">
      <c r="A139" s="1">
        <v>22</v>
      </c>
      <c r="B139" t="s">
        <v>2127</v>
      </c>
      <c r="C139">
        <v>36.86</v>
      </c>
      <c r="D139">
        <v>73.150000000000006</v>
      </c>
      <c r="E139">
        <v>0.61189300000000002</v>
      </c>
      <c r="F139">
        <v>0.5</v>
      </c>
      <c r="G139">
        <v>16</v>
      </c>
      <c r="H139">
        <v>7.05</v>
      </c>
    </row>
    <row r="140" spans="1:8">
      <c r="A140" s="1">
        <v>23</v>
      </c>
      <c r="B140" t="s">
        <v>2128</v>
      </c>
      <c r="C140">
        <v>40.299999999999997</v>
      </c>
      <c r="D140">
        <v>72.83</v>
      </c>
      <c r="E140">
        <v>0.544933</v>
      </c>
      <c r="F140">
        <v>1.04</v>
      </c>
      <c r="G140">
        <v>18</v>
      </c>
      <c r="H140">
        <v>7.67</v>
      </c>
    </row>
    <row r="141" spans="1:8">
      <c r="A141" s="1">
        <v>24</v>
      </c>
      <c r="B141" t="s">
        <v>2129</v>
      </c>
      <c r="C141">
        <v>45.8</v>
      </c>
      <c r="D141">
        <v>74.91</v>
      </c>
      <c r="E141">
        <v>0.70712799999999998</v>
      </c>
      <c r="F141">
        <v>1.19</v>
      </c>
      <c r="G141">
        <v>12</v>
      </c>
      <c r="H141">
        <v>8.7100000000000009</v>
      </c>
    </row>
    <row r="142" spans="1:8">
      <c r="A142" s="1">
        <v>25</v>
      </c>
      <c r="B142" t="s">
        <v>2130</v>
      </c>
      <c r="C142">
        <v>44.53</v>
      </c>
      <c r="D142">
        <v>72.91</v>
      </c>
      <c r="E142">
        <v>0.55324499999999999</v>
      </c>
      <c r="F142">
        <v>1.1499999999999999</v>
      </c>
      <c r="G142">
        <v>12</v>
      </c>
      <c r="H142">
        <v>8.49</v>
      </c>
    </row>
    <row r="143" spans="1:8">
      <c r="A143" s="1">
        <v>26</v>
      </c>
      <c r="B143" t="s">
        <v>2131</v>
      </c>
      <c r="C143">
        <v>43.98</v>
      </c>
      <c r="D143">
        <v>74.3</v>
      </c>
      <c r="E143">
        <v>0.69378200000000001</v>
      </c>
      <c r="F143">
        <v>2.19</v>
      </c>
      <c r="G143">
        <v>0</v>
      </c>
      <c r="H143">
        <v>8.36</v>
      </c>
    </row>
    <row r="144" spans="1:8">
      <c r="A144" s="1">
        <v>27</v>
      </c>
      <c r="B144" t="s">
        <v>2132</v>
      </c>
      <c r="C144">
        <v>34.89</v>
      </c>
      <c r="D144">
        <v>73.78</v>
      </c>
      <c r="E144">
        <v>0.67401</v>
      </c>
      <c r="F144">
        <v>0.81</v>
      </c>
      <c r="G144">
        <v>14</v>
      </c>
      <c r="H144">
        <v>6.67</v>
      </c>
    </row>
    <row r="145" spans="1:8">
      <c r="A145" s="1">
        <v>28</v>
      </c>
      <c r="B145" t="s">
        <v>2133</v>
      </c>
      <c r="C145">
        <v>45.76</v>
      </c>
      <c r="D145">
        <v>75.63</v>
      </c>
      <c r="E145">
        <v>0.72192000000000001</v>
      </c>
      <c r="F145">
        <v>7.26</v>
      </c>
      <c r="G145">
        <v>6</v>
      </c>
      <c r="H145">
        <v>8.75</v>
      </c>
    </row>
    <row r="146" spans="1:8">
      <c r="A146" s="1">
        <v>29</v>
      </c>
      <c r="B146" t="s">
        <v>2134</v>
      </c>
      <c r="C146">
        <v>44.6</v>
      </c>
      <c r="D146">
        <v>70.959999999999994</v>
      </c>
      <c r="E146">
        <v>0.51244699999999999</v>
      </c>
      <c r="F146">
        <v>0.73</v>
      </c>
      <c r="G146">
        <v>8</v>
      </c>
      <c r="H146">
        <v>8.4700000000000006</v>
      </c>
    </row>
    <row r="147" spans="1:8">
      <c r="A147" s="1">
        <v>30</v>
      </c>
      <c r="B147" t="s">
        <v>2135</v>
      </c>
      <c r="C147">
        <v>39.26</v>
      </c>
      <c r="D147">
        <v>73.790000000000006</v>
      </c>
      <c r="E147">
        <v>0.59766300000000006</v>
      </c>
      <c r="F147">
        <v>0.84</v>
      </c>
      <c r="G147">
        <v>12</v>
      </c>
      <c r="H147">
        <v>7.45</v>
      </c>
    </row>
    <row r="148" spans="1:8">
      <c r="A148" s="1">
        <v>31</v>
      </c>
      <c r="B148" t="s">
        <v>2136</v>
      </c>
      <c r="C148">
        <v>45.75</v>
      </c>
      <c r="D148">
        <v>75.3</v>
      </c>
      <c r="E148">
        <v>0.77213699999999996</v>
      </c>
      <c r="F148">
        <v>1.84</v>
      </c>
      <c r="G148">
        <v>2</v>
      </c>
      <c r="H148">
        <v>8.75</v>
      </c>
    </row>
    <row r="149" spans="1:8">
      <c r="A149" s="1">
        <v>32</v>
      </c>
      <c r="B149" t="s">
        <v>2137</v>
      </c>
      <c r="C149">
        <v>45.09</v>
      </c>
      <c r="D149">
        <v>75.69</v>
      </c>
      <c r="E149">
        <v>0.67946600000000001</v>
      </c>
      <c r="F149">
        <v>20.2</v>
      </c>
      <c r="G149">
        <v>18</v>
      </c>
      <c r="H149">
        <v>8.58</v>
      </c>
    </row>
    <row r="150" spans="1:8">
      <c r="A150" s="1">
        <v>33</v>
      </c>
      <c r="B150" t="s">
        <v>2138</v>
      </c>
      <c r="C150">
        <v>43.82</v>
      </c>
      <c r="D150">
        <v>72.650000000000006</v>
      </c>
      <c r="E150">
        <v>0.54888599999999999</v>
      </c>
      <c r="F150">
        <v>1.8</v>
      </c>
      <c r="G150">
        <v>18</v>
      </c>
      <c r="H150">
        <v>8.3699999999999992</v>
      </c>
    </row>
    <row r="151" spans="1:8">
      <c r="A151" s="1">
        <v>34</v>
      </c>
      <c r="B151" t="s">
        <v>2139</v>
      </c>
      <c r="C151">
        <v>45.8</v>
      </c>
      <c r="D151">
        <v>75.760000000000005</v>
      </c>
      <c r="E151">
        <v>0.65536700000000003</v>
      </c>
      <c r="F151">
        <v>19.43</v>
      </c>
      <c r="G151">
        <v>2</v>
      </c>
      <c r="H151">
        <v>8.67</v>
      </c>
    </row>
    <row r="152" spans="1:8">
      <c r="A152" s="1">
        <v>35</v>
      </c>
      <c r="B152" t="s">
        <v>2140</v>
      </c>
      <c r="C152">
        <v>36.18</v>
      </c>
      <c r="D152">
        <v>74.540000000000006</v>
      </c>
      <c r="E152">
        <v>0.55399600000000004</v>
      </c>
      <c r="F152">
        <v>15.59</v>
      </c>
      <c r="G152">
        <v>4</v>
      </c>
      <c r="H152">
        <v>6.87</v>
      </c>
    </row>
    <row r="153" spans="1:8">
      <c r="A153" s="1">
        <v>36</v>
      </c>
      <c r="B153" t="s">
        <v>2141</v>
      </c>
      <c r="C153">
        <v>40.97</v>
      </c>
      <c r="D153">
        <v>69.959999999999994</v>
      </c>
      <c r="E153">
        <v>0.48543500000000001</v>
      </c>
      <c r="F153">
        <v>0.54</v>
      </c>
      <c r="G153">
        <v>12</v>
      </c>
      <c r="H153">
        <v>7.79</v>
      </c>
    </row>
    <row r="154" spans="1:8">
      <c r="A154" s="1">
        <v>37</v>
      </c>
      <c r="B154" t="s">
        <v>2142</v>
      </c>
      <c r="C154">
        <v>36.65</v>
      </c>
      <c r="D154">
        <v>75.31</v>
      </c>
      <c r="E154">
        <v>0.868954</v>
      </c>
      <c r="F154">
        <v>19.010000000000002</v>
      </c>
      <c r="G154">
        <v>12</v>
      </c>
      <c r="H154">
        <v>7</v>
      </c>
    </row>
    <row r="155" spans="1:8">
      <c r="A155" s="1">
        <v>38</v>
      </c>
      <c r="B155" t="s">
        <v>2143</v>
      </c>
      <c r="C155">
        <v>47.79</v>
      </c>
      <c r="D155">
        <v>76.22</v>
      </c>
      <c r="E155">
        <v>0.77203500000000003</v>
      </c>
      <c r="F155">
        <v>17.86</v>
      </c>
      <c r="G155">
        <v>14</v>
      </c>
      <c r="H155">
        <v>9.08</v>
      </c>
    </row>
    <row r="156" spans="1:8">
      <c r="A156" s="1">
        <v>39</v>
      </c>
      <c r="B156" t="s">
        <v>2144</v>
      </c>
      <c r="C156">
        <v>43.52</v>
      </c>
      <c r="D156">
        <v>74.540000000000006</v>
      </c>
      <c r="E156">
        <v>0.662659</v>
      </c>
      <c r="F156">
        <v>0.88</v>
      </c>
      <c r="G156">
        <v>0</v>
      </c>
      <c r="H156">
        <v>8.25</v>
      </c>
    </row>
    <row r="157" spans="1:8">
      <c r="A157" s="1">
        <v>40</v>
      </c>
      <c r="B157" t="s">
        <v>2145</v>
      </c>
      <c r="C157">
        <v>45.1</v>
      </c>
      <c r="D157">
        <v>75.25</v>
      </c>
      <c r="E157">
        <v>0.67349999999999999</v>
      </c>
      <c r="F157">
        <v>7.95</v>
      </c>
      <c r="G157">
        <v>2</v>
      </c>
      <c r="H157">
        <v>8.6199999999999992</v>
      </c>
    </row>
    <row r="158" spans="1:8">
      <c r="A158" s="1">
        <v>41</v>
      </c>
      <c r="B158" t="s">
        <v>2146</v>
      </c>
      <c r="C158">
        <v>44.64</v>
      </c>
      <c r="D158">
        <v>74.95</v>
      </c>
      <c r="E158">
        <v>0.677921</v>
      </c>
      <c r="F158">
        <v>1.31</v>
      </c>
      <c r="G158">
        <v>14</v>
      </c>
      <c r="H158">
        <v>8.5</v>
      </c>
    </row>
    <row r="159" spans="1:8">
      <c r="A159" s="1">
        <v>42</v>
      </c>
      <c r="B159" t="s">
        <v>2147</v>
      </c>
      <c r="C159">
        <v>37.21</v>
      </c>
      <c r="D159">
        <v>75.430000000000007</v>
      </c>
      <c r="E159">
        <v>0.87549399999999999</v>
      </c>
      <c r="F159">
        <v>21.62</v>
      </c>
      <c r="G159">
        <v>12</v>
      </c>
      <c r="H159">
        <v>7.1</v>
      </c>
    </row>
    <row r="160" spans="1:8">
      <c r="A160" s="1">
        <v>43</v>
      </c>
      <c r="B160" t="s">
        <v>2148</v>
      </c>
      <c r="C160">
        <v>38.4</v>
      </c>
      <c r="D160">
        <v>75.39</v>
      </c>
      <c r="E160">
        <v>0.86782000000000004</v>
      </c>
      <c r="F160">
        <v>15.36</v>
      </c>
      <c r="G160">
        <v>18</v>
      </c>
      <c r="H160">
        <v>7.31</v>
      </c>
    </row>
    <row r="161" spans="1:8">
      <c r="A161" s="1">
        <v>44</v>
      </c>
      <c r="B161" t="s">
        <v>2149</v>
      </c>
      <c r="C161">
        <v>30.18</v>
      </c>
      <c r="D161">
        <v>65.78</v>
      </c>
      <c r="E161">
        <v>0.31458999999999998</v>
      </c>
      <c r="F161">
        <v>0.61</v>
      </c>
      <c r="G161">
        <v>16</v>
      </c>
      <c r="H161">
        <v>5.76</v>
      </c>
    </row>
    <row r="162" spans="1:8">
      <c r="A162" s="1">
        <v>45</v>
      </c>
      <c r="B162" t="s">
        <v>2150</v>
      </c>
      <c r="C162">
        <v>45.57</v>
      </c>
      <c r="D162">
        <v>73.489999999999995</v>
      </c>
      <c r="E162">
        <v>0.58701499999999995</v>
      </c>
      <c r="F162">
        <v>2.04</v>
      </c>
      <c r="G162">
        <v>0</v>
      </c>
      <c r="H162">
        <v>8.67</v>
      </c>
    </row>
    <row r="163" spans="1:8">
      <c r="A163" s="1">
        <v>46</v>
      </c>
      <c r="B163" t="s">
        <v>2151</v>
      </c>
      <c r="C163">
        <v>45.37</v>
      </c>
      <c r="D163">
        <v>72.33</v>
      </c>
      <c r="E163">
        <v>0.54339499999999996</v>
      </c>
      <c r="F163">
        <v>0.54</v>
      </c>
      <c r="G163">
        <v>6</v>
      </c>
      <c r="H163">
        <v>8.59</v>
      </c>
    </row>
    <row r="164" spans="1:8">
      <c r="A164" s="1">
        <v>47</v>
      </c>
      <c r="B164" t="s">
        <v>2152</v>
      </c>
      <c r="C164">
        <v>36.450000000000003</v>
      </c>
      <c r="D164">
        <v>74.94</v>
      </c>
      <c r="E164">
        <v>0.77690899999999996</v>
      </c>
      <c r="F164">
        <v>8.83</v>
      </c>
      <c r="G164">
        <v>0</v>
      </c>
      <c r="H164">
        <v>6.96</v>
      </c>
    </row>
    <row r="165" spans="1:8">
      <c r="A165" s="1">
        <v>48</v>
      </c>
      <c r="B165" t="s">
        <v>2153</v>
      </c>
      <c r="C165">
        <v>43.88</v>
      </c>
      <c r="D165">
        <v>72.55</v>
      </c>
      <c r="E165">
        <v>0.66485899999999998</v>
      </c>
      <c r="F165">
        <v>0.5</v>
      </c>
      <c r="G165">
        <v>2</v>
      </c>
      <c r="H165">
        <v>8.35</v>
      </c>
    </row>
    <row r="166" spans="1:8">
      <c r="A166" s="1">
        <v>49</v>
      </c>
      <c r="B166" t="s">
        <v>2154</v>
      </c>
      <c r="C166">
        <v>43.91</v>
      </c>
      <c r="D166">
        <v>70.39</v>
      </c>
      <c r="E166">
        <v>0.46335999999999999</v>
      </c>
      <c r="F166">
        <v>0.5</v>
      </c>
      <c r="G166">
        <v>14</v>
      </c>
      <c r="H166">
        <v>8.35</v>
      </c>
    </row>
    <row r="167" spans="1:8">
      <c r="A167" s="1">
        <v>50</v>
      </c>
      <c r="B167" t="s">
        <v>2155</v>
      </c>
      <c r="C167">
        <v>46.29</v>
      </c>
      <c r="D167">
        <v>76.290000000000006</v>
      </c>
      <c r="E167">
        <v>0.845966</v>
      </c>
      <c r="F167">
        <v>23.54</v>
      </c>
      <c r="G167">
        <v>8</v>
      </c>
      <c r="H167">
        <v>8.74</v>
      </c>
    </row>
    <row r="168" spans="1:8">
      <c r="B168" s="1" t="s">
        <v>19</v>
      </c>
      <c r="C168" s="1">
        <f>AVERAGE(C118:C167)</f>
        <v>41.657200000000003</v>
      </c>
      <c r="D168" s="1" t="e">
        <f>AVERAGE(#REF!)</f>
        <v>#REF!</v>
      </c>
      <c r="E168" s="1" t="e">
        <f>AVERAGE(#REF!)</f>
        <v>#REF!</v>
      </c>
      <c r="F168" s="1" t="e">
        <f>AVERAGE(#REF!)</f>
        <v>#REF!</v>
      </c>
      <c r="H168" s="1" t="e">
        <f>AVERAGE(#REF!)</f>
        <v>#REF!</v>
      </c>
    </row>
    <row r="169" spans="1:8">
      <c r="B169" s="1" t="s">
        <v>20</v>
      </c>
      <c r="C169" s="1">
        <f>MIN(C117:C167)</f>
        <v>30.18</v>
      </c>
      <c r="D169" s="1">
        <f>MIN(D117:D167)</f>
        <v>65.78</v>
      </c>
      <c r="E169" s="1">
        <f>MIN(E117:E167)</f>
        <v>0.31458999999999998</v>
      </c>
      <c r="F169" s="1">
        <f>MIN(F117:F167)</f>
        <v>0.15</v>
      </c>
      <c r="H169" s="1">
        <f>MIN(H117:H167)</f>
        <v>5.76</v>
      </c>
    </row>
    <row r="170" spans="1:8">
      <c r="B170" s="1" t="s">
        <v>3</v>
      </c>
      <c r="C170" s="1" t="e">
        <f>STDEV(#REF!)</f>
        <v>#REF!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18" t="s">
        <v>1435</v>
      </c>
    </row>
    <row r="173" spans="1:8" ht="18">
      <c r="A173" s="18" t="s">
        <v>7</v>
      </c>
      <c r="B173" s="3" t="s">
        <v>9</v>
      </c>
      <c r="C173" s="18" t="s">
        <v>4</v>
      </c>
      <c r="D173" s="18" t="s">
        <v>322</v>
      </c>
      <c r="E173" s="18" t="s">
        <v>321</v>
      </c>
      <c r="F173" s="18" t="s">
        <v>324</v>
      </c>
      <c r="G173" s="18" t="s">
        <v>323</v>
      </c>
      <c r="H173" s="18" t="s">
        <v>1436</v>
      </c>
    </row>
    <row r="174" spans="1:8">
      <c r="A174" s="1">
        <v>1</v>
      </c>
      <c r="B174" t="s">
        <v>2156</v>
      </c>
      <c r="C174">
        <v>24.88</v>
      </c>
      <c r="D174">
        <v>143.56</v>
      </c>
      <c r="E174">
        <v>0.49852400000000002</v>
      </c>
      <c r="F174">
        <v>2</v>
      </c>
      <c r="G174">
        <v>24</v>
      </c>
      <c r="H174">
        <v>4.72</v>
      </c>
    </row>
    <row r="175" spans="1:8">
      <c r="A175" s="1">
        <v>2</v>
      </c>
      <c r="B175" t="s">
        <v>2157</v>
      </c>
      <c r="C175">
        <v>21.34</v>
      </c>
      <c r="D175">
        <v>143.12</v>
      </c>
      <c r="E175">
        <v>0.66163499999999997</v>
      </c>
      <c r="F175">
        <v>1.23</v>
      </c>
      <c r="G175">
        <v>4</v>
      </c>
      <c r="H175">
        <v>4.05</v>
      </c>
    </row>
    <row r="176" spans="1:8">
      <c r="A176" s="1">
        <v>3</v>
      </c>
      <c r="B176" t="s">
        <v>2158</v>
      </c>
      <c r="C176">
        <v>22.49</v>
      </c>
      <c r="D176">
        <v>142.83000000000001</v>
      </c>
      <c r="E176">
        <v>0.79873099999999997</v>
      </c>
      <c r="F176">
        <v>0.42</v>
      </c>
      <c r="G176">
        <v>2</v>
      </c>
      <c r="H176">
        <v>4.2699999999999996</v>
      </c>
    </row>
    <row r="177" spans="1:8">
      <c r="A177" s="1">
        <v>4</v>
      </c>
      <c r="B177" t="s">
        <v>2159</v>
      </c>
      <c r="C177">
        <v>25.16</v>
      </c>
      <c r="D177">
        <v>134.69999999999999</v>
      </c>
      <c r="E177">
        <v>0.38268999999999997</v>
      </c>
      <c r="F177">
        <v>0.04</v>
      </c>
      <c r="G177">
        <v>20</v>
      </c>
      <c r="H177">
        <v>4.8</v>
      </c>
    </row>
    <row r="178" spans="1:8">
      <c r="A178" s="1">
        <v>5</v>
      </c>
      <c r="B178" t="s">
        <v>2160</v>
      </c>
      <c r="C178">
        <v>23.58</v>
      </c>
      <c r="D178">
        <v>144.52000000000001</v>
      </c>
      <c r="E178">
        <v>0.492315</v>
      </c>
      <c r="F178">
        <v>5.95</v>
      </c>
      <c r="G178">
        <v>20</v>
      </c>
      <c r="H178">
        <v>4.46</v>
      </c>
    </row>
    <row r="179" spans="1:8">
      <c r="A179" s="1">
        <v>6</v>
      </c>
      <c r="B179" t="s">
        <v>2161</v>
      </c>
      <c r="C179">
        <v>25.05</v>
      </c>
      <c r="D179">
        <v>142.99</v>
      </c>
      <c r="E179">
        <v>0.50399700000000003</v>
      </c>
      <c r="F179">
        <v>2.2999999999999998</v>
      </c>
      <c r="G179">
        <v>20</v>
      </c>
      <c r="H179">
        <v>4.74</v>
      </c>
    </row>
    <row r="180" spans="1:8">
      <c r="A180" s="1">
        <v>7</v>
      </c>
      <c r="B180" t="s">
        <v>2162</v>
      </c>
      <c r="C180">
        <v>23.14</v>
      </c>
      <c r="D180">
        <v>145.33000000000001</v>
      </c>
      <c r="E180">
        <v>0.65203299999999997</v>
      </c>
      <c r="F180">
        <v>5.61</v>
      </c>
      <c r="G180">
        <v>20</v>
      </c>
      <c r="H180">
        <v>4.41</v>
      </c>
    </row>
    <row r="181" spans="1:8">
      <c r="A181" s="1">
        <v>8</v>
      </c>
      <c r="B181" t="s">
        <v>2163</v>
      </c>
      <c r="C181">
        <v>24.77</v>
      </c>
      <c r="D181">
        <v>143.38999999999999</v>
      </c>
      <c r="E181">
        <v>0.502359</v>
      </c>
      <c r="F181">
        <v>2.34</v>
      </c>
      <c r="G181">
        <v>24</v>
      </c>
      <c r="H181">
        <v>4.71</v>
      </c>
    </row>
    <row r="182" spans="1:8">
      <c r="A182" s="1">
        <v>9</v>
      </c>
      <c r="B182" t="s">
        <v>2164</v>
      </c>
      <c r="C182">
        <v>23.68</v>
      </c>
      <c r="D182">
        <v>143.65</v>
      </c>
      <c r="E182">
        <v>0.55091999999999997</v>
      </c>
      <c r="F182">
        <v>4.22</v>
      </c>
      <c r="G182">
        <v>18</v>
      </c>
      <c r="H182">
        <v>4.5199999999999996</v>
      </c>
    </row>
    <row r="183" spans="1:8">
      <c r="A183" s="1">
        <v>10</v>
      </c>
      <c r="B183" t="s">
        <v>2165</v>
      </c>
      <c r="C183">
        <v>23.64</v>
      </c>
      <c r="D183">
        <v>144.88999999999999</v>
      </c>
      <c r="E183">
        <v>0.50984700000000005</v>
      </c>
      <c r="F183">
        <v>5.76</v>
      </c>
      <c r="G183">
        <v>36</v>
      </c>
      <c r="H183">
        <v>4.49</v>
      </c>
    </row>
    <row r="184" spans="1:8">
      <c r="A184" s="1">
        <v>11</v>
      </c>
      <c r="B184" t="s">
        <v>2166</v>
      </c>
      <c r="C184">
        <v>25.32</v>
      </c>
      <c r="D184">
        <v>132.6</v>
      </c>
      <c r="E184">
        <v>0.393229</v>
      </c>
      <c r="F184">
        <v>0.04</v>
      </c>
      <c r="G184">
        <v>30</v>
      </c>
      <c r="H184">
        <v>4.8099999999999996</v>
      </c>
    </row>
    <row r="185" spans="1:8">
      <c r="A185" s="1">
        <v>12</v>
      </c>
      <c r="B185" t="s">
        <v>2167</v>
      </c>
      <c r="C185">
        <v>22.51</v>
      </c>
      <c r="D185">
        <v>145.13999999999999</v>
      </c>
      <c r="E185">
        <v>0.66308199999999995</v>
      </c>
      <c r="F185">
        <v>3.34</v>
      </c>
      <c r="G185">
        <v>6</v>
      </c>
      <c r="H185">
        <v>4.25</v>
      </c>
    </row>
    <row r="186" spans="1:8">
      <c r="A186" s="1">
        <v>13</v>
      </c>
      <c r="B186" t="s">
        <v>2168</v>
      </c>
      <c r="C186">
        <v>22.11</v>
      </c>
      <c r="D186">
        <v>143.38999999999999</v>
      </c>
      <c r="E186">
        <v>0.581426</v>
      </c>
      <c r="F186">
        <v>0.73</v>
      </c>
      <c r="G186">
        <v>32</v>
      </c>
      <c r="H186">
        <v>4.21</v>
      </c>
    </row>
    <row r="187" spans="1:8">
      <c r="A187" s="1">
        <v>14</v>
      </c>
      <c r="B187" t="s">
        <v>2169</v>
      </c>
      <c r="C187">
        <v>25.02</v>
      </c>
      <c r="D187">
        <v>140.28</v>
      </c>
      <c r="E187">
        <v>0.45028200000000002</v>
      </c>
      <c r="F187">
        <v>0.35</v>
      </c>
      <c r="G187">
        <v>22</v>
      </c>
      <c r="H187">
        <v>4.74</v>
      </c>
    </row>
    <row r="188" spans="1:8">
      <c r="A188" s="1">
        <v>15</v>
      </c>
      <c r="B188" t="s">
        <v>2170</v>
      </c>
      <c r="C188">
        <v>22.31</v>
      </c>
      <c r="D188">
        <v>142.5</v>
      </c>
      <c r="E188">
        <v>0.59542600000000001</v>
      </c>
      <c r="F188">
        <v>1.08</v>
      </c>
      <c r="G188">
        <v>26</v>
      </c>
      <c r="H188">
        <v>4.26</v>
      </c>
    </row>
    <row r="189" spans="1:8">
      <c r="A189" s="1">
        <v>16</v>
      </c>
      <c r="B189" t="s">
        <v>2171</v>
      </c>
      <c r="C189">
        <v>24.76</v>
      </c>
      <c r="D189">
        <v>145.03</v>
      </c>
      <c r="E189">
        <v>0.56967900000000005</v>
      </c>
      <c r="F189">
        <v>4.38</v>
      </c>
      <c r="G189">
        <v>8</v>
      </c>
      <c r="H189">
        <v>4.71</v>
      </c>
    </row>
    <row r="190" spans="1:8">
      <c r="A190" s="1">
        <v>17</v>
      </c>
      <c r="B190" t="s">
        <v>2172</v>
      </c>
      <c r="C190">
        <v>22.88</v>
      </c>
      <c r="D190">
        <v>145.05000000000001</v>
      </c>
      <c r="E190">
        <v>0.78030299999999997</v>
      </c>
      <c r="F190">
        <v>0.42</v>
      </c>
      <c r="G190">
        <v>6</v>
      </c>
      <c r="H190">
        <v>4.37</v>
      </c>
    </row>
    <row r="191" spans="1:8">
      <c r="A191" s="1">
        <v>18</v>
      </c>
      <c r="B191" t="s">
        <v>2173</v>
      </c>
      <c r="C191">
        <v>22.56</v>
      </c>
      <c r="D191">
        <v>139.4</v>
      </c>
      <c r="E191">
        <v>0.59174000000000004</v>
      </c>
      <c r="F191">
        <v>0.23</v>
      </c>
      <c r="G191">
        <v>24</v>
      </c>
      <c r="H191">
        <v>4.3</v>
      </c>
    </row>
    <row r="192" spans="1:8">
      <c r="A192" s="1">
        <v>19</v>
      </c>
      <c r="B192" t="s">
        <v>2174</v>
      </c>
      <c r="C192">
        <v>22.08</v>
      </c>
      <c r="D192">
        <v>145.38999999999999</v>
      </c>
      <c r="E192">
        <v>0.73523899999999998</v>
      </c>
      <c r="F192">
        <v>5.18</v>
      </c>
      <c r="G192">
        <v>2</v>
      </c>
      <c r="H192">
        <v>4.1900000000000004</v>
      </c>
    </row>
    <row r="193" spans="1:8">
      <c r="A193" s="1">
        <v>20</v>
      </c>
      <c r="B193" t="s">
        <v>2175</v>
      </c>
      <c r="C193">
        <v>23.84</v>
      </c>
      <c r="D193">
        <v>145.35</v>
      </c>
      <c r="E193">
        <v>0.64370000000000005</v>
      </c>
      <c r="F193">
        <v>7.1</v>
      </c>
      <c r="G193">
        <v>0</v>
      </c>
      <c r="H193">
        <v>4.55</v>
      </c>
    </row>
    <row r="194" spans="1:8">
      <c r="A194" s="1">
        <v>21</v>
      </c>
      <c r="B194" t="s">
        <v>2176</v>
      </c>
      <c r="C194">
        <v>23.04</v>
      </c>
      <c r="D194">
        <v>145.77000000000001</v>
      </c>
      <c r="E194">
        <v>0.79131700000000005</v>
      </c>
      <c r="F194">
        <v>3.96</v>
      </c>
      <c r="G194">
        <v>24</v>
      </c>
      <c r="H194">
        <v>4.4000000000000004</v>
      </c>
    </row>
    <row r="195" spans="1:8">
      <c r="A195" s="1">
        <v>22</v>
      </c>
      <c r="B195" t="s">
        <v>2177</v>
      </c>
      <c r="C195">
        <v>22.54</v>
      </c>
      <c r="D195">
        <v>143.51</v>
      </c>
      <c r="E195">
        <v>0.64453099999999997</v>
      </c>
      <c r="F195">
        <v>1.61</v>
      </c>
      <c r="G195">
        <v>4</v>
      </c>
      <c r="H195">
        <v>4.3</v>
      </c>
    </row>
    <row r="196" spans="1:8">
      <c r="A196" s="1">
        <v>23</v>
      </c>
      <c r="B196" t="s">
        <v>2178</v>
      </c>
      <c r="C196">
        <v>22.68</v>
      </c>
      <c r="D196">
        <v>145.41</v>
      </c>
      <c r="E196">
        <v>0.80888199999999999</v>
      </c>
      <c r="F196">
        <v>1.38</v>
      </c>
      <c r="G196">
        <v>38</v>
      </c>
      <c r="H196">
        <v>4.32</v>
      </c>
    </row>
    <row r="197" spans="1:8">
      <c r="A197" s="1">
        <v>24</v>
      </c>
      <c r="B197" t="s">
        <v>2179</v>
      </c>
      <c r="C197">
        <v>23.82</v>
      </c>
      <c r="D197">
        <v>143.55000000000001</v>
      </c>
      <c r="E197">
        <v>0.63418200000000002</v>
      </c>
      <c r="F197">
        <v>0.08</v>
      </c>
      <c r="G197">
        <v>38</v>
      </c>
      <c r="H197">
        <v>4.54</v>
      </c>
    </row>
    <row r="198" spans="1:8">
      <c r="A198" s="1">
        <v>25</v>
      </c>
      <c r="B198" t="s">
        <v>2180</v>
      </c>
      <c r="C198">
        <v>22.58</v>
      </c>
      <c r="D198">
        <v>144.43</v>
      </c>
      <c r="E198">
        <v>0.71608000000000005</v>
      </c>
      <c r="F198">
        <v>2</v>
      </c>
      <c r="G198">
        <v>8</v>
      </c>
      <c r="H198">
        <v>4.3099999999999996</v>
      </c>
    </row>
    <row r="199" spans="1:8">
      <c r="A199" s="1">
        <v>26</v>
      </c>
      <c r="B199" t="s">
        <v>2181</v>
      </c>
      <c r="C199">
        <v>25.41</v>
      </c>
      <c r="D199">
        <v>135.44</v>
      </c>
      <c r="E199">
        <v>0.38864700000000002</v>
      </c>
      <c r="F199">
        <v>0.08</v>
      </c>
      <c r="G199">
        <v>22</v>
      </c>
      <c r="H199">
        <v>4.8</v>
      </c>
    </row>
    <row r="200" spans="1:8">
      <c r="A200" s="1">
        <v>27</v>
      </c>
      <c r="B200" t="s">
        <v>2182</v>
      </c>
      <c r="C200">
        <v>22.7</v>
      </c>
      <c r="D200">
        <v>145.16</v>
      </c>
      <c r="E200">
        <v>0.80365600000000004</v>
      </c>
      <c r="F200">
        <v>0.84</v>
      </c>
      <c r="G200">
        <v>0</v>
      </c>
      <c r="H200">
        <v>4.3099999999999996</v>
      </c>
    </row>
    <row r="201" spans="1:8">
      <c r="A201" s="1">
        <v>28</v>
      </c>
      <c r="B201" t="s">
        <v>2183</v>
      </c>
      <c r="C201">
        <v>25.87</v>
      </c>
      <c r="D201">
        <v>136.66</v>
      </c>
      <c r="E201">
        <v>0.394565</v>
      </c>
      <c r="F201">
        <v>0.92</v>
      </c>
      <c r="G201">
        <v>14</v>
      </c>
      <c r="H201">
        <v>4.92</v>
      </c>
    </row>
    <row r="202" spans="1:8">
      <c r="A202" s="1">
        <v>29</v>
      </c>
      <c r="B202" t="s">
        <v>2184</v>
      </c>
      <c r="C202">
        <v>22.34</v>
      </c>
      <c r="D202">
        <v>145.29</v>
      </c>
      <c r="E202">
        <v>0.73468699999999998</v>
      </c>
      <c r="F202">
        <v>5.53</v>
      </c>
      <c r="G202">
        <v>32</v>
      </c>
      <c r="H202">
        <v>4.26</v>
      </c>
    </row>
    <row r="203" spans="1:8">
      <c r="A203" s="1">
        <v>30</v>
      </c>
      <c r="B203" t="s">
        <v>2185</v>
      </c>
      <c r="C203">
        <v>23.24</v>
      </c>
      <c r="D203">
        <v>142.38</v>
      </c>
      <c r="E203">
        <v>0.56952800000000003</v>
      </c>
      <c r="F203">
        <v>1.27</v>
      </c>
      <c r="G203">
        <v>10</v>
      </c>
      <c r="H203">
        <v>4.42</v>
      </c>
    </row>
    <row r="204" spans="1:8">
      <c r="A204" s="1">
        <v>31</v>
      </c>
      <c r="B204" t="s">
        <v>2186</v>
      </c>
      <c r="C204">
        <v>21.93</v>
      </c>
      <c r="D204">
        <v>143.77000000000001</v>
      </c>
      <c r="E204">
        <v>0.62754200000000004</v>
      </c>
      <c r="F204">
        <v>1.65</v>
      </c>
      <c r="G204">
        <v>10</v>
      </c>
      <c r="H204">
        <v>4.1500000000000004</v>
      </c>
    </row>
    <row r="205" spans="1:8">
      <c r="A205" s="1">
        <v>32</v>
      </c>
      <c r="B205" t="s">
        <v>2187</v>
      </c>
      <c r="C205">
        <v>22.46</v>
      </c>
      <c r="D205">
        <v>145.46</v>
      </c>
      <c r="E205">
        <v>0.77912700000000001</v>
      </c>
      <c r="F205">
        <v>2.92</v>
      </c>
      <c r="G205">
        <v>6</v>
      </c>
      <c r="H205">
        <v>4.29</v>
      </c>
    </row>
    <row r="206" spans="1:8">
      <c r="A206" s="1">
        <v>33</v>
      </c>
      <c r="B206" t="s">
        <v>2188</v>
      </c>
      <c r="C206">
        <v>25.73</v>
      </c>
      <c r="D206">
        <v>139.66</v>
      </c>
      <c r="E206">
        <v>0.455536</v>
      </c>
      <c r="F206">
        <v>0.46</v>
      </c>
      <c r="G206">
        <v>2</v>
      </c>
      <c r="H206">
        <v>4.88</v>
      </c>
    </row>
    <row r="207" spans="1:8">
      <c r="A207" s="1">
        <v>34</v>
      </c>
      <c r="B207" t="s">
        <v>2189</v>
      </c>
      <c r="C207">
        <v>22.96</v>
      </c>
      <c r="D207">
        <v>144.74</v>
      </c>
      <c r="E207">
        <v>0.62232799999999999</v>
      </c>
      <c r="F207">
        <v>3.34</v>
      </c>
      <c r="G207">
        <v>38</v>
      </c>
      <c r="H207">
        <v>4.4000000000000004</v>
      </c>
    </row>
    <row r="208" spans="1:8">
      <c r="A208" s="1">
        <v>35</v>
      </c>
      <c r="B208" t="s">
        <v>2190</v>
      </c>
      <c r="C208">
        <v>22.52</v>
      </c>
      <c r="D208">
        <v>145.94</v>
      </c>
      <c r="E208">
        <v>0.84153800000000001</v>
      </c>
      <c r="F208">
        <v>4.45</v>
      </c>
      <c r="G208">
        <v>4</v>
      </c>
      <c r="H208">
        <v>4.29</v>
      </c>
    </row>
    <row r="209" spans="1:8">
      <c r="A209" s="1">
        <v>36</v>
      </c>
      <c r="B209" t="s">
        <v>2191</v>
      </c>
      <c r="C209">
        <v>25.78</v>
      </c>
      <c r="D209">
        <v>145.03</v>
      </c>
      <c r="E209">
        <v>0.62649100000000002</v>
      </c>
      <c r="F209">
        <v>1.38</v>
      </c>
      <c r="G209">
        <v>6</v>
      </c>
      <c r="H209">
        <v>4.91</v>
      </c>
    </row>
    <row r="210" spans="1:8">
      <c r="A210" s="1">
        <v>37</v>
      </c>
      <c r="B210" t="s">
        <v>2192</v>
      </c>
      <c r="C210">
        <v>24.72</v>
      </c>
      <c r="D210">
        <v>143.47999999999999</v>
      </c>
      <c r="E210">
        <v>0.56367800000000001</v>
      </c>
      <c r="F210">
        <v>1.54</v>
      </c>
      <c r="G210">
        <v>6</v>
      </c>
      <c r="H210">
        <v>4.71</v>
      </c>
    </row>
    <row r="211" spans="1:8">
      <c r="A211" s="1">
        <v>38</v>
      </c>
      <c r="B211" t="s">
        <v>2193</v>
      </c>
      <c r="C211">
        <v>18.649999999999999</v>
      </c>
      <c r="D211">
        <v>143.55000000000001</v>
      </c>
      <c r="E211">
        <v>0.65270399999999995</v>
      </c>
      <c r="F211">
        <v>3.84</v>
      </c>
      <c r="G211">
        <v>20</v>
      </c>
      <c r="H211">
        <v>3.56</v>
      </c>
    </row>
    <row r="212" spans="1:8">
      <c r="A212" s="1">
        <v>39</v>
      </c>
      <c r="B212" t="s">
        <v>2194</v>
      </c>
      <c r="C212">
        <v>22.75</v>
      </c>
      <c r="D212">
        <v>143.69</v>
      </c>
      <c r="E212">
        <v>0.70818599999999998</v>
      </c>
      <c r="F212">
        <v>1.38</v>
      </c>
      <c r="G212">
        <v>14</v>
      </c>
      <c r="H212">
        <v>4.33</v>
      </c>
    </row>
    <row r="213" spans="1:8">
      <c r="A213" s="1">
        <v>40</v>
      </c>
      <c r="B213" t="s">
        <v>2195</v>
      </c>
      <c r="C213">
        <v>22</v>
      </c>
      <c r="D213">
        <v>140.74</v>
      </c>
      <c r="E213">
        <v>0.59734500000000001</v>
      </c>
      <c r="F213">
        <v>0.38</v>
      </c>
      <c r="G213">
        <v>34</v>
      </c>
      <c r="H213">
        <v>4.1900000000000004</v>
      </c>
    </row>
    <row r="214" spans="1:8">
      <c r="A214" s="1">
        <v>41</v>
      </c>
      <c r="B214" t="s">
        <v>2196</v>
      </c>
      <c r="C214">
        <v>25.24</v>
      </c>
      <c r="D214">
        <v>137.76</v>
      </c>
      <c r="E214">
        <v>0.41769899999999999</v>
      </c>
      <c r="F214">
        <v>0.31</v>
      </c>
      <c r="G214">
        <v>10</v>
      </c>
      <c r="H214">
        <v>4.8</v>
      </c>
    </row>
    <row r="215" spans="1:8">
      <c r="A215" s="1">
        <v>42</v>
      </c>
      <c r="B215" t="s">
        <v>2197</v>
      </c>
      <c r="C215">
        <v>24.79</v>
      </c>
      <c r="D215">
        <v>138.06</v>
      </c>
      <c r="E215">
        <v>0.35901</v>
      </c>
      <c r="F215">
        <v>0.88</v>
      </c>
      <c r="G215">
        <v>2</v>
      </c>
      <c r="H215">
        <v>4.7</v>
      </c>
    </row>
    <row r="216" spans="1:8">
      <c r="A216" s="1">
        <v>43</v>
      </c>
      <c r="B216" t="s">
        <v>2198</v>
      </c>
      <c r="C216">
        <v>26.63</v>
      </c>
      <c r="D216">
        <v>138.29</v>
      </c>
      <c r="E216">
        <v>0.45352500000000001</v>
      </c>
      <c r="F216">
        <v>0.15</v>
      </c>
      <c r="G216">
        <v>2</v>
      </c>
      <c r="H216">
        <v>5.04</v>
      </c>
    </row>
    <row r="217" spans="1:8">
      <c r="A217" s="1">
        <v>44</v>
      </c>
      <c r="B217" t="s">
        <v>2199</v>
      </c>
      <c r="C217">
        <v>22.86</v>
      </c>
      <c r="D217">
        <v>144.52000000000001</v>
      </c>
      <c r="E217">
        <v>0.61073299999999997</v>
      </c>
      <c r="F217">
        <v>4.42</v>
      </c>
      <c r="G217">
        <v>8</v>
      </c>
      <c r="H217">
        <v>4.38</v>
      </c>
    </row>
    <row r="218" spans="1:8">
      <c r="A218" s="1">
        <v>45</v>
      </c>
      <c r="B218" t="s">
        <v>2200</v>
      </c>
      <c r="C218">
        <v>23.06</v>
      </c>
      <c r="D218">
        <v>144.68</v>
      </c>
      <c r="E218">
        <v>0.61099899999999996</v>
      </c>
      <c r="F218">
        <v>4.1500000000000004</v>
      </c>
      <c r="G218">
        <v>6</v>
      </c>
      <c r="H218">
        <v>4.3899999999999997</v>
      </c>
    </row>
    <row r="219" spans="1:8">
      <c r="A219" s="1">
        <v>46</v>
      </c>
      <c r="B219" t="s">
        <v>2201</v>
      </c>
      <c r="C219">
        <v>26.92</v>
      </c>
      <c r="D219">
        <v>134.83000000000001</v>
      </c>
      <c r="E219">
        <v>0.41337699999999999</v>
      </c>
      <c r="F219">
        <v>0.23</v>
      </c>
      <c r="G219">
        <v>16</v>
      </c>
      <c r="H219">
        <v>5.0999999999999996</v>
      </c>
    </row>
    <row r="220" spans="1:8">
      <c r="A220" s="1">
        <v>47</v>
      </c>
      <c r="B220" t="s">
        <v>2202</v>
      </c>
      <c r="C220">
        <v>23.34</v>
      </c>
      <c r="D220">
        <v>146.54</v>
      </c>
      <c r="E220">
        <v>0.85238800000000003</v>
      </c>
      <c r="F220">
        <v>9.41</v>
      </c>
      <c r="G220">
        <v>14</v>
      </c>
      <c r="H220">
        <v>4.42</v>
      </c>
    </row>
    <row r="221" spans="1:8">
      <c r="A221" s="1">
        <v>48</v>
      </c>
      <c r="B221" t="s">
        <v>2203</v>
      </c>
      <c r="C221">
        <v>21.93</v>
      </c>
      <c r="D221">
        <v>136.05000000000001</v>
      </c>
      <c r="E221">
        <v>0.46978900000000001</v>
      </c>
      <c r="F221">
        <v>0.12</v>
      </c>
      <c r="G221">
        <v>30</v>
      </c>
      <c r="H221">
        <v>4.1900000000000004</v>
      </c>
    </row>
    <row r="222" spans="1:8">
      <c r="A222" s="1">
        <v>49</v>
      </c>
      <c r="B222" t="s">
        <v>2204</v>
      </c>
      <c r="C222">
        <v>24.17</v>
      </c>
      <c r="D222">
        <v>145.88</v>
      </c>
      <c r="E222">
        <v>0.71593799999999996</v>
      </c>
      <c r="F222">
        <v>4.1500000000000004</v>
      </c>
      <c r="G222">
        <v>8</v>
      </c>
      <c r="H222">
        <v>4.59</v>
      </c>
    </row>
    <row r="223" spans="1:8">
      <c r="A223" s="1">
        <v>50</v>
      </c>
      <c r="B223" t="s">
        <v>2205</v>
      </c>
      <c r="C223">
        <v>24.65</v>
      </c>
      <c r="D223">
        <v>141.24</v>
      </c>
      <c r="E223">
        <v>0.44056899999999999</v>
      </c>
      <c r="F223">
        <v>1</v>
      </c>
      <c r="G223">
        <v>32</v>
      </c>
      <c r="H223">
        <v>4.67</v>
      </c>
    </row>
    <row r="224" spans="1:8">
      <c r="B224" s="1" t="s">
        <v>19</v>
      </c>
      <c r="C224" s="1">
        <f>AVERAGE(C174:C223)</f>
        <v>23.5686</v>
      </c>
      <c r="D224" s="1" t="e">
        <f>AVERAGE(#REF!)</f>
        <v>#REF!</v>
      </c>
      <c r="E224" s="1" t="e">
        <f>AVERAGE(#REF!)</f>
        <v>#REF!</v>
      </c>
      <c r="F224" s="1" t="e">
        <f>AVERAGE(#REF!)</f>
        <v>#REF!</v>
      </c>
      <c r="H224" s="1" t="e">
        <f>AVERAGE(#REF!)</f>
        <v>#REF!</v>
      </c>
    </row>
    <row r="225" spans="1:8">
      <c r="B225" s="1" t="s">
        <v>20</v>
      </c>
      <c r="C225" s="1">
        <f>MIN(C173:C223)</f>
        <v>18.649999999999999</v>
      </c>
      <c r="D225" s="1">
        <f>MIN(D173:D223)</f>
        <v>132.6</v>
      </c>
      <c r="E225" s="1">
        <f>MIN(E173:E223)</f>
        <v>0.35901</v>
      </c>
      <c r="F225" s="1">
        <f>MIN(F173:F223)</f>
        <v>0.04</v>
      </c>
      <c r="H225" s="1">
        <f>MIN(H173:H223)</f>
        <v>3.56</v>
      </c>
    </row>
    <row r="226" spans="1:8">
      <c r="B226" s="1" t="s">
        <v>3</v>
      </c>
      <c r="C226" s="1" t="e">
        <f>STDEV(#REF!)</f>
        <v>#REF!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18" t="s">
        <v>1435</v>
      </c>
    </row>
    <row r="229" spans="1:8" ht="18">
      <c r="A229" s="18" t="s">
        <v>7</v>
      </c>
      <c r="B229" s="3" t="s">
        <v>2</v>
      </c>
      <c r="C229" s="18" t="s">
        <v>4</v>
      </c>
      <c r="D229" s="18" t="s">
        <v>322</v>
      </c>
      <c r="E229" s="18" t="s">
        <v>321</v>
      </c>
      <c r="F229" s="18" t="s">
        <v>324</v>
      </c>
      <c r="G229" s="18" t="s">
        <v>323</v>
      </c>
      <c r="H229" s="18" t="s">
        <v>1436</v>
      </c>
    </row>
    <row r="230" spans="1:8">
      <c r="A230" s="1">
        <v>1</v>
      </c>
      <c r="B230" t="s">
        <v>2206</v>
      </c>
      <c r="C230">
        <v>17.32</v>
      </c>
      <c r="D230">
        <v>207.94</v>
      </c>
      <c r="E230">
        <v>0.451851</v>
      </c>
      <c r="F230">
        <v>0.19</v>
      </c>
      <c r="G230">
        <v>30</v>
      </c>
      <c r="H230">
        <v>3.29</v>
      </c>
    </row>
    <row r="231" spans="1:8">
      <c r="A231" s="1">
        <v>2</v>
      </c>
      <c r="B231" t="s">
        <v>2207</v>
      </c>
      <c r="C231">
        <v>16.21</v>
      </c>
      <c r="D231">
        <v>211.29</v>
      </c>
      <c r="E231">
        <v>0.57823899999999995</v>
      </c>
      <c r="F231">
        <v>2.0699999999999998</v>
      </c>
      <c r="G231">
        <v>0</v>
      </c>
      <c r="H231">
        <v>3.09</v>
      </c>
    </row>
    <row r="232" spans="1:8">
      <c r="A232" s="1">
        <v>3</v>
      </c>
      <c r="B232" t="s">
        <v>2208</v>
      </c>
      <c r="C232">
        <v>17.559999999999999</v>
      </c>
      <c r="D232">
        <v>209.32</v>
      </c>
      <c r="E232">
        <v>0.54831300000000005</v>
      </c>
      <c r="F232">
        <v>0.04</v>
      </c>
      <c r="G232">
        <v>44</v>
      </c>
      <c r="H232">
        <v>3.32</v>
      </c>
    </row>
    <row r="233" spans="1:8">
      <c r="A233" s="1">
        <v>4</v>
      </c>
      <c r="B233" t="s">
        <v>2209</v>
      </c>
      <c r="C233">
        <v>19.010000000000002</v>
      </c>
      <c r="D233">
        <v>207.68</v>
      </c>
      <c r="E233">
        <v>0.383768</v>
      </c>
      <c r="F233">
        <v>0.42</v>
      </c>
      <c r="G233">
        <v>14</v>
      </c>
      <c r="H233">
        <v>3.61</v>
      </c>
    </row>
    <row r="234" spans="1:8">
      <c r="A234" s="1">
        <v>5</v>
      </c>
      <c r="B234" t="s">
        <v>2210</v>
      </c>
      <c r="C234">
        <v>16.82</v>
      </c>
      <c r="D234">
        <v>210.79</v>
      </c>
      <c r="E234">
        <v>0.63956500000000005</v>
      </c>
      <c r="F234">
        <v>0.08</v>
      </c>
      <c r="G234">
        <v>8</v>
      </c>
      <c r="H234">
        <v>3.2</v>
      </c>
    </row>
    <row r="235" spans="1:8">
      <c r="A235" s="1">
        <v>6</v>
      </c>
      <c r="B235" t="s">
        <v>2211</v>
      </c>
      <c r="C235">
        <v>15.21</v>
      </c>
      <c r="D235">
        <v>211.93</v>
      </c>
      <c r="E235">
        <v>0.62409700000000001</v>
      </c>
      <c r="F235">
        <v>3.8</v>
      </c>
      <c r="G235">
        <v>26</v>
      </c>
      <c r="H235">
        <v>2.89</v>
      </c>
    </row>
    <row r="236" spans="1:8">
      <c r="A236" s="1">
        <v>7</v>
      </c>
      <c r="B236" t="s">
        <v>2212</v>
      </c>
      <c r="C236">
        <v>16.77</v>
      </c>
      <c r="D236">
        <v>210.64</v>
      </c>
      <c r="E236">
        <v>0.59732499999999999</v>
      </c>
      <c r="F236">
        <v>0.77</v>
      </c>
      <c r="G236">
        <v>38</v>
      </c>
      <c r="H236">
        <v>3.2</v>
      </c>
    </row>
    <row r="237" spans="1:8">
      <c r="A237" s="1">
        <v>8</v>
      </c>
      <c r="B237" t="s">
        <v>2213</v>
      </c>
      <c r="C237">
        <v>17</v>
      </c>
      <c r="D237">
        <v>194.4</v>
      </c>
      <c r="E237">
        <v>0.25092700000000001</v>
      </c>
      <c r="F237">
        <v>0.04</v>
      </c>
      <c r="G237">
        <v>54</v>
      </c>
      <c r="H237">
        <v>3.23</v>
      </c>
    </row>
    <row r="238" spans="1:8">
      <c r="A238" s="1">
        <v>9</v>
      </c>
      <c r="B238" t="s">
        <v>2214</v>
      </c>
      <c r="C238">
        <v>15.37</v>
      </c>
      <c r="D238">
        <v>213.72</v>
      </c>
      <c r="E238">
        <v>0.78008100000000002</v>
      </c>
      <c r="F238">
        <v>3.26</v>
      </c>
      <c r="G238">
        <v>28</v>
      </c>
      <c r="H238">
        <v>2.94</v>
      </c>
    </row>
    <row r="239" spans="1:8">
      <c r="A239" s="1">
        <v>10</v>
      </c>
      <c r="B239" t="s">
        <v>2215</v>
      </c>
      <c r="C239">
        <v>17.239999999999998</v>
      </c>
      <c r="D239">
        <v>207.69</v>
      </c>
      <c r="E239">
        <v>0.45261299999999999</v>
      </c>
      <c r="F239">
        <v>0.65</v>
      </c>
      <c r="G239">
        <v>48</v>
      </c>
      <c r="H239">
        <v>3.27</v>
      </c>
    </row>
    <row r="240" spans="1:8">
      <c r="A240" s="1">
        <v>11</v>
      </c>
      <c r="B240" t="s">
        <v>2216</v>
      </c>
      <c r="C240">
        <v>16.57</v>
      </c>
      <c r="D240">
        <v>211.12</v>
      </c>
      <c r="E240">
        <v>0.63226400000000005</v>
      </c>
      <c r="F240">
        <v>1.19</v>
      </c>
      <c r="G240">
        <v>8</v>
      </c>
      <c r="H240">
        <v>3.17</v>
      </c>
    </row>
    <row r="241" spans="1:8">
      <c r="A241" s="1">
        <v>12</v>
      </c>
      <c r="B241" t="s">
        <v>2217</v>
      </c>
      <c r="C241">
        <v>17.22</v>
      </c>
      <c r="D241">
        <v>203.49</v>
      </c>
      <c r="E241">
        <v>0.41689300000000001</v>
      </c>
      <c r="F241">
        <v>0.27</v>
      </c>
      <c r="G241">
        <v>54</v>
      </c>
      <c r="H241">
        <v>3.27</v>
      </c>
    </row>
    <row r="242" spans="1:8">
      <c r="A242" s="1">
        <v>13</v>
      </c>
      <c r="B242" t="s">
        <v>2218</v>
      </c>
      <c r="C242">
        <v>17.04</v>
      </c>
      <c r="D242">
        <v>212.29</v>
      </c>
      <c r="E242">
        <v>0.52998299999999998</v>
      </c>
      <c r="F242">
        <v>2.15</v>
      </c>
      <c r="G242">
        <v>18</v>
      </c>
      <c r="H242">
        <v>3.24</v>
      </c>
    </row>
    <row r="243" spans="1:8">
      <c r="A243" s="1">
        <v>14</v>
      </c>
      <c r="B243" t="s">
        <v>2219</v>
      </c>
      <c r="C243">
        <v>16.04</v>
      </c>
      <c r="D243">
        <v>209.56</v>
      </c>
      <c r="E243">
        <v>0.609514</v>
      </c>
      <c r="F243">
        <v>0.5</v>
      </c>
      <c r="G243">
        <v>34</v>
      </c>
      <c r="H243">
        <v>3.06</v>
      </c>
    </row>
    <row r="244" spans="1:8">
      <c r="A244" s="1">
        <v>15</v>
      </c>
      <c r="B244" t="s">
        <v>2220</v>
      </c>
      <c r="C244">
        <v>15.15</v>
      </c>
      <c r="D244">
        <v>211.7</v>
      </c>
      <c r="E244">
        <v>0.666022</v>
      </c>
      <c r="F244">
        <v>0.92</v>
      </c>
      <c r="G244">
        <v>12</v>
      </c>
      <c r="H244">
        <v>2.9</v>
      </c>
    </row>
    <row r="245" spans="1:8">
      <c r="A245" s="1">
        <v>16</v>
      </c>
      <c r="B245" t="s">
        <v>2221</v>
      </c>
      <c r="C245">
        <v>16.5</v>
      </c>
      <c r="D245">
        <v>212.05</v>
      </c>
      <c r="E245">
        <v>0.63637500000000002</v>
      </c>
      <c r="F245">
        <v>0.92</v>
      </c>
      <c r="G245">
        <v>24</v>
      </c>
      <c r="H245">
        <v>3.15</v>
      </c>
    </row>
    <row r="246" spans="1:8">
      <c r="A246" s="1">
        <v>17</v>
      </c>
      <c r="B246" t="s">
        <v>2222</v>
      </c>
      <c r="C246">
        <v>16.29</v>
      </c>
      <c r="D246">
        <v>210.96</v>
      </c>
      <c r="E246">
        <v>0.49332199999999998</v>
      </c>
      <c r="F246">
        <v>1.57</v>
      </c>
      <c r="G246">
        <v>16</v>
      </c>
      <c r="H246">
        <v>3.09</v>
      </c>
    </row>
    <row r="247" spans="1:8">
      <c r="A247" s="1">
        <v>18</v>
      </c>
      <c r="B247" t="s">
        <v>2223</v>
      </c>
      <c r="C247">
        <v>17.07</v>
      </c>
      <c r="D247">
        <v>213.21</v>
      </c>
      <c r="E247">
        <v>0.71126599999999995</v>
      </c>
      <c r="F247">
        <v>0.73</v>
      </c>
      <c r="G247">
        <v>34</v>
      </c>
      <c r="H247">
        <v>3.24</v>
      </c>
    </row>
    <row r="248" spans="1:8">
      <c r="A248" s="1">
        <v>19</v>
      </c>
      <c r="B248" t="s">
        <v>2224</v>
      </c>
      <c r="C248">
        <v>15.06</v>
      </c>
      <c r="D248">
        <v>211.91</v>
      </c>
      <c r="E248">
        <v>0.74819800000000003</v>
      </c>
      <c r="F248">
        <v>0.54</v>
      </c>
      <c r="G248">
        <v>30</v>
      </c>
      <c r="H248">
        <v>2.88</v>
      </c>
    </row>
    <row r="249" spans="1:8">
      <c r="A249" s="1">
        <v>20</v>
      </c>
      <c r="B249" t="s">
        <v>2225</v>
      </c>
      <c r="C249">
        <v>17.12</v>
      </c>
      <c r="D249">
        <v>210.62</v>
      </c>
      <c r="E249">
        <v>0.49841200000000002</v>
      </c>
      <c r="F249">
        <v>1.42</v>
      </c>
      <c r="G249">
        <v>10</v>
      </c>
      <c r="H249">
        <v>3.24</v>
      </c>
    </row>
    <row r="250" spans="1:8">
      <c r="A250" s="1">
        <v>21</v>
      </c>
      <c r="B250" t="s">
        <v>2226</v>
      </c>
      <c r="C250">
        <v>16.190000000000001</v>
      </c>
      <c r="D250">
        <v>210.85</v>
      </c>
      <c r="E250">
        <v>0.43255700000000002</v>
      </c>
      <c r="F250">
        <v>2.34</v>
      </c>
      <c r="G250">
        <v>50</v>
      </c>
      <c r="H250">
        <v>3.07</v>
      </c>
    </row>
    <row r="251" spans="1:8">
      <c r="A251" s="1">
        <v>22</v>
      </c>
      <c r="B251" t="s">
        <v>2227</v>
      </c>
      <c r="C251">
        <v>15.78</v>
      </c>
      <c r="D251">
        <v>213.19</v>
      </c>
      <c r="E251">
        <v>0.76837599999999995</v>
      </c>
      <c r="F251">
        <v>0.81</v>
      </c>
      <c r="G251">
        <v>24</v>
      </c>
      <c r="H251">
        <v>3</v>
      </c>
    </row>
    <row r="252" spans="1:8">
      <c r="A252" s="1">
        <v>23</v>
      </c>
      <c r="B252" t="s">
        <v>2228</v>
      </c>
      <c r="C252">
        <v>18.670000000000002</v>
      </c>
      <c r="D252" t="e">
        <f>-inf</f>
        <v>#NAME?</v>
      </c>
      <c r="E252">
        <v>0.57474999999999998</v>
      </c>
      <c r="F252">
        <v>0</v>
      </c>
      <c r="G252">
        <v>40</v>
      </c>
      <c r="H252">
        <v>3.54</v>
      </c>
    </row>
    <row r="253" spans="1:8">
      <c r="A253" s="1">
        <v>24</v>
      </c>
      <c r="B253" t="s">
        <v>2229</v>
      </c>
      <c r="C253">
        <v>16.89</v>
      </c>
      <c r="D253">
        <v>195.16</v>
      </c>
      <c r="E253">
        <v>0.303004</v>
      </c>
      <c r="F253">
        <v>0.04</v>
      </c>
      <c r="G253">
        <v>34</v>
      </c>
      <c r="H253">
        <v>3.22</v>
      </c>
    </row>
    <row r="254" spans="1:8">
      <c r="A254" s="1">
        <v>25</v>
      </c>
      <c r="B254" t="s">
        <v>2230</v>
      </c>
      <c r="C254">
        <v>17.37</v>
      </c>
      <c r="D254">
        <v>211.59</v>
      </c>
      <c r="E254">
        <v>0.59944600000000003</v>
      </c>
      <c r="F254">
        <v>0.31</v>
      </c>
      <c r="G254">
        <v>40</v>
      </c>
      <c r="H254">
        <v>3.3</v>
      </c>
    </row>
    <row r="255" spans="1:8">
      <c r="A255" s="1">
        <v>26</v>
      </c>
      <c r="B255" t="s">
        <v>2231</v>
      </c>
      <c r="C255">
        <v>16.25</v>
      </c>
      <c r="D255">
        <v>212.03</v>
      </c>
      <c r="E255">
        <v>0.65044299999999999</v>
      </c>
      <c r="F255">
        <v>0.81</v>
      </c>
      <c r="G255">
        <v>28</v>
      </c>
      <c r="H255">
        <v>3.08</v>
      </c>
    </row>
    <row r="256" spans="1:8">
      <c r="A256" s="1">
        <v>27</v>
      </c>
      <c r="B256" t="s">
        <v>2232</v>
      </c>
      <c r="C256">
        <v>17.3</v>
      </c>
      <c r="D256">
        <v>207.63</v>
      </c>
      <c r="E256">
        <v>0.37459500000000001</v>
      </c>
      <c r="F256">
        <v>0.73</v>
      </c>
      <c r="G256">
        <v>4</v>
      </c>
      <c r="H256">
        <v>3.29</v>
      </c>
    </row>
    <row r="257" spans="1:8">
      <c r="A257" s="1">
        <v>28</v>
      </c>
      <c r="B257" t="s">
        <v>2233</v>
      </c>
      <c r="C257">
        <v>17.079999999999998</v>
      </c>
      <c r="D257">
        <v>209.44</v>
      </c>
      <c r="E257">
        <v>0.551091</v>
      </c>
      <c r="F257">
        <v>0.57999999999999996</v>
      </c>
      <c r="G257">
        <v>48</v>
      </c>
      <c r="H257">
        <v>3.26</v>
      </c>
    </row>
    <row r="258" spans="1:8">
      <c r="A258" s="1">
        <v>29</v>
      </c>
      <c r="B258" t="s">
        <v>2234</v>
      </c>
      <c r="C258">
        <v>16.57</v>
      </c>
      <c r="D258">
        <v>213.62</v>
      </c>
      <c r="E258">
        <v>0.66180700000000003</v>
      </c>
      <c r="F258">
        <v>3.8</v>
      </c>
      <c r="G258">
        <v>18</v>
      </c>
      <c r="H258">
        <v>3.17</v>
      </c>
    </row>
    <row r="259" spans="1:8">
      <c r="A259" s="1">
        <v>30</v>
      </c>
      <c r="B259" t="s">
        <v>2235</v>
      </c>
      <c r="C259">
        <v>16.3</v>
      </c>
      <c r="D259">
        <v>210.49</v>
      </c>
      <c r="E259">
        <v>0.56833800000000001</v>
      </c>
      <c r="F259">
        <v>1.38</v>
      </c>
      <c r="G259">
        <v>8</v>
      </c>
      <c r="H259">
        <v>3.11</v>
      </c>
    </row>
    <row r="260" spans="1:8">
      <c r="A260" s="1">
        <v>31</v>
      </c>
      <c r="B260" t="s">
        <v>2236</v>
      </c>
      <c r="C260">
        <v>15.57</v>
      </c>
      <c r="D260">
        <v>213.41</v>
      </c>
      <c r="E260">
        <v>0.69416</v>
      </c>
      <c r="F260">
        <v>3.69</v>
      </c>
      <c r="G260">
        <v>12</v>
      </c>
      <c r="H260">
        <v>2.96</v>
      </c>
    </row>
    <row r="261" spans="1:8">
      <c r="A261" s="1">
        <v>32</v>
      </c>
      <c r="B261" t="s">
        <v>2237</v>
      </c>
      <c r="C261">
        <v>17.57</v>
      </c>
      <c r="D261">
        <v>207.32</v>
      </c>
      <c r="E261">
        <v>0.49737500000000001</v>
      </c>
      <c r="F261">
        <v>0.61</v>
      </c>
      <c r="G261">
        <v>48</v>
      </c>
      <c r="H261">
        <v>3.33</v>
      </c>
    </row>
    <row r="262" spans="1:8">
      <c r="A262" s="1">
        <v>33</v>
      </c>
      <c r="B262" t="s">
        <v>2238</v>
      </c>
      <c r="C262">
        <v>16.420000000000002</v>
      </c>
      <c r="D262">
        <v>211.81</v>
      </c>
      <c r="E262">
        <v>0.55829099999999998</v>
      </c>
      <c r="F262">
        <v>1.57</v>
      </c>
      <c r="G262">
        <v>54</v>
      </c>
      <c r="H262">
        <v>3.12</v>
      </c>
    </row>
    <row r="263" spans="1:8">
      <c r="A263" s="1">
        <v>34</v>
      </c>
      <c r="B263" t="s">
        <v>2239</v>
      </c>
      <c r="C263">
        <v>15.64</v>
      </c>
      <c r="D263">
        <v>210.1</v>
      </c>
      <c r="E263">
        <v>0.59251900000000002</v>
      </c>
      <c r="F263">
        <v>1.31</v>
      </c>
      <c r="G263">
        <v>54</v>
      </c>
      <c r="H263">
        <v>2.98</v>
      </c>
    </row>
    <row r="264" spans="1:8">
      <c r="A264" s="1">
        <v>35</v>
      </c>
      <c r="B264" t="s">
        <v>2240</v>
      </c>
      <c r="C264">
        <v>16.89</v>
      </c>
      <c r="D264">
        <v>212.45</v>
      </c>
      <c r="E264">
        <v>0.56715400000000005</v>
      </c>
      <c r="F264">
        <v>1.04</v>
      </c>
      <c r="G264">
        <v>24</v>
      </c>
      <c r="H264">
        <v>3.21</v>
      </c>
    </row>
    <row r="265" spans="1:8">
      <c r="A265" s="1">
        <v>36</v>
      </c>
      <c r="B265" t="s">
        <v>2241</v>
      </c>
      <c r="C265">
        <v>17.309999999999999</v>
      </c>
      <c r="D265">
        <v>210.72</v>
      </c>
      <c r="E265">
        <v>0.53383199999999997</v>
      </c>
      <c r="F265">
        <v>1.65</v>
      </c>
      <c r="G265">
        <v>32</v>
      </c>
      <c r="H265">
        <v>3.29</v>
      </c>
    </row>
    <row r="266" spans="1:8">
      <c r="A266" s="1">
        <v>37</v>
      </c>
      <c r="B266" t="s">
        <v>2242</v>
      </c>
      <c r="C266">
        <v>16.43</v>
      </c>
      <c r="D266">
        <v>213.96</v>
      </c>
      <c r="E266">
        <v>0.72024100000000002</v>
      </c>
      <c r="F266">
        <v>1.1499999999999999</v>
      </c>
      <c r="G266">
        <v>12</v>
      </c>
      <c r="H266">
        <v>3.13</v>
      </c>
    </row>
    <row r="267" spans="1:8">
      <c r="A267" s="1">
        <v>38</v>
      </c>
      <c r="B267" t="s">
        <v>2243</v>
      </c>
      <c r="C267">
        <v>16.28</v>
      </c>
      <c r="D267">
        <v>213.05</v>
      </c>
      <c r="E267">
        <v>0.66252100000000003</v>
      </c>
      <c r="F267">
        <v>2.8</v>
      </c>
      <c r="G267">
        <v>52</v>
      </c>
      <c r="H267">
        <v>3.1</v>
      </c>
    </row>
    <row r="268" spans="1:8">
      <c r="A268" s="1">
        <v>39</v>
      </c>
      <c r="B268" t="s">
        <v>2244</v>
      </c>
      <c r="C268">
        <v>16.47</v>
      </c>
      <c r="D268">
        <v>211.86</v>
      </c>
      <c r="E268">
        <v>0.63551000000000002</v>
      </c>
      <c r="F268">
        <v>1.42</v>
      </c>
      <c r="G268">
        <v>20</v>
      </c>
      <c r="H268">
        <v>3.14</v>
      </c>
    </row>
    <row r="269" spans="1:8">
      <c r="A269" s="1">
        <v>40</v>
      </c>
      <c r="B269" t="s">
        <v>2245</v>
      </c>
      <c r="C269">
        <v>16.52</v>
      </c>
      <c r="D269">
        <v>211.26</v>
      </c>
      <c r="E269">
        <v>0.57054899999999997</v>
      </c>
      <c r="F269">
        <v>1.65</v>
      </c>
      <c r="G269">
        <v>52</v>
      </c>
      <c r="H269">
        <v>3.15</v>
      </c>
    </row>
    <row r="270" spans="1:8">
      <c r="A270" s="1">
        <v>41</v>
      </c>
      <c r="B270" t="s">
        <v>2246</v>
      </c>
      <c r="C270">
        <v>15.63</v>
      </c>
      <c r="D270">
        <v>212.24</v>
      </c>
      <c r="E270">
        <v>0.60142499999999999</v>
      </c>
      <c r="F270">
        <v>3.23</v>
      </c>
      <c r="G270">
        <v>14</v>
      </c>
      <c r="H270">
        <v>2.98</v>
      </c>
    </row>
    <row r="271" spans="1:8">
      <c r="A271" s="1">
        <v>42</v>
      </c>
      <c r="B271" t="s">
        <v>2247</v>
      </c>
      <c r="C271">
        <v>16.45</v>
      </c>
      <c r="D271">
        <v>201.81</v>
      </c>
      <c r="E271">
        <v>0.31417099999999998</v>
      </c>
      <c r="F271">
        <v>0.04</v>
      </c>
      <c r="G271">
        <v>48</v>
      </c>
      <c r="H271">
        <v>3.13</v>
      </c>
    </row>
    <row r="272" spans="1:8">
      <c r="A272" s="1">
        <v>43</v>
      </c>
      <c r="B272" t="s">
        <v>2248</v>
      </c>
      <c r="C272">
        <v>15.68</v>
      </c>
      <c r="D272">
        <v>211.23</v>
      </c>
      <c r="E272">
        <v>0.67153399999999996</v>
      </c>
      <c r="F272">
        <v>0.27</v>
      </c>
      <c r="G272">
        <v>22</v>
      </c>
      <c r="H272">
        <v>2.96</v>
      </c>
    </row>
    <row r="273" spans="1:8">
      <c r="A273" s="1">
        <v>44</v>
      </c>
      <c r="B273" t="s">
        <v>2249</v>
      </c>
      <c r="C273">
        <v>18.03</v>
      </c>
      <c r="D273">
        <v>211.82</v>
      </c>
      <c r="E273">
        <v>0.47466399999999997</v>
      </c>
      <c r="F273">
        <v>1.27</v>
      </c>
      <c r="G273">
        <v>10</v>
      </c>
      <c r="H273">
        <v>3.42</v>
      </c>
    </row>
    <row r="274" spans="1:8">
      <c r="A274" s="1">
        <v>45</v>
      </c>
      <c r="B274" t="s">
        <v>2250</v>
      </c>
      <c r="C274">
        <v>19.309999999999999</v>
      </c>
      <c r="D274">
        <v>207.46</v>
      </c>
      <c r="E274">
        <v>0.38324599999999998</v>
      </c>
      <c r="F274">
        <v>1.04</v>
      </c>
      <c r="G274">
        <v>42</v>
      </c>
      <c r="H274">
        <v>3.65</v>
      </c>
    </row>
    <row r="275" spans="1:8">
      <c r="A275" s="1">
        <v>46</v>
      </c>
      <c r="B275" t="s">
        <v>2251</v>
      </c>
      <c r="C275">
        <v>17.2</v>
      </c>
      <c r="D275">
        <v>212.25</v>
      </c>
      <c r="E275">
        <v>0.633525</v>
      </c>
      <c r="F275">
        <v>1.46</v>
      </c>
      <c r="G275">
        <v>40</v>
      </c>
      <c r="H275">
        <v>3.28</v>
      </c>
    </row>
    <row r="276" spans="1:8">
      <c r="A276" s="1">
        <v>47</v>
      </c>
      <c r="B276" t="s">
        <v>2252</v>
      </c>
      <c r="C276">
        <v>19.41</v>
      </c>
      <c r="D276">
        <v>201.24</v>
      </c>
      <c r="E276">
        <v>0.26279400000000003</v>
      </c>
      <c r="F276">
        <v>0.27</v>
      </c>
      <c r="G276">
        <v>32</v>
      </c>
      <c r="H276">
        <v>3.7</v>
      </c>
    </row>
    <row r="277" spans="1:8">
      <c r="A277" s="1">
        <v>48</v>
      </c>
      <c r="B277" t="s">
        <v>2253</v>
      </c>
      <c r="C277">
        <v>18.260000000000002</v>
      </c>
      <c r="D277">
        <v>208.68</v>
      </c>
      <c r="E277">
        <v>0.43541099999999999</v>
      </c>
      <c r="F277">
        <v>1</v>
      </c>
      <c r="G277">
        <v>20</v>
      </c>
      <c r="H277">
        <v>3.47</v>
      </c>
    </row>
    <row r="278" spans="1:8">
      <c r="A278" s="1">
        <v>49</v>
      </c>
      <c r="B278" t="s">
        <v>2254</v>
      </c>
      <c r="C278">
        <v>14.99</v>
      </c>
      <c r="D278">
        <v>210.67</v>
      </c>
      <c r="E278">
        <v>0.58613199999999999</v>
      </c>
      <c r="F278">
        <v>1.08</v>
      </c>
      <c r="G278">
        <v>52</v>
      </c>
      <c r="H278">
        <v>2.86</v>
      </c>
    </row>
    <row r="279" spans="1:8">
      <c r="A279" s="1">
        <v>50</v>
      </c>
      <c r="B279" t="s">
        <v>2255</v>
      </c>
      <c r="C279">
        <v>16.940000000000001</v>
      </c>
      <c r="D279">
        <v>212.28</v>
      </c>
      <c r="E279">
        <v>0.573465</v>
      </c>
      <c r="F279">
        <v>1.19</v>
      </c>
      <c r="G279">
        <v>26</v>
      </c>
      <c r="H279">
        <v>3.23</v>
      </c>
    </row>
    <row r="280" spans="1:8">
      <c r="B280" s="1" t="s">
        <v>19</v>
      </c>
      <c r="C280" s="1">
        <f>AVERAGE(C230:C279)</f>
        <v>16.759399999999999</v>
      </c>
      <c r="D280" s="1" t="e">
        <f t="shared" ref="D280:F280" si="5">AVERAGE(D230:D279)</f>
        <v>#NAME?</v>
      </c>
      <c r="E280" s="1">
        <f t="shared" si="5"/>
        <v>0.55403907999999991</v>
      </c>
      <c r="F280" s="1">
        <f t="shared" si="5"/>
        <v>1.2013999999999998</v>
      </c>
      <c r="H280" s="1">
        <f t="shared" ref="H280" si="6">AVERAGE(H230:H279)</f>
        <v>3.1882000000000001</v>
      </c>
    </row>
    <row r="281" spans="1:8">
      <c r="B281" s="1" t="s">
        <v>20</v>
      </c>
      <c r="C281" s="1">
        <f>MIN(C229:C279)</f>
        <v>14.99</v>
      </c>
      <c r="D281" s="1" t="e">
        <f t="shared" ref="D281:F281" si="7">MIN(D229:D279)</f>
        <v>#NAME?</v>
      </c>
      <c r="E281" s="1">
        <f t="shared" si="7"/>
        <v>0.25092700000000001</v>
      </c>
      <c r="F281" s="1">
        <f t="shared" si="7"/>
        <v>0</v>
      </c>
      <c r="H281" s="1">
        <f t="shared" ref="H281" si="8">MIN(H229:H279)</f>
        <v>2.86</v>
      </c>
    </row>
    <row r="282" spans="1:8">
      <c r="B282" s="1" t="s">
        <v>3</v>
      </c>
      <c r="C282" s="1">
        <f>STDEV(C230:C279)</f>
        <v>1.0255778062803305</v>
      </c>
      <c r="D282" s="1" t="e">
        <f t="shared" ref="D282:E282" si="9">STDEV(D230:D279)</f>
        <v>#NAME?</v>
      </c>
      <c r="E282" s="1">
        <f t="shared" si="9"/>
        <v>0.1270500979605664</v>
      </c>
      <c r="F282" s="1">
        <f>STDEV(F230:F279)</f>
        <v>1.0176483695666363</v>
      </c>
      <c r="H282" s="1">
        <f>STDEV(H230:H279)</f>
        <v>0.19094491138460229</v>
      </c>
    </row>
    <row r="284" spans="1:8">
      <c r="H284" s="18" t="s">
        <v>1435</v>
      </c>
    </row>
    <row r="285" spans="1:8" ht="18">
      <c r="A285" s="18" t="s">
        <v>7</v>
      </c>
      <c r="B285" s="3" t="s">
        <v>10</v>
      </c>
      <c r="C285" s="18" t="s">
        <v>4</v>
      </c>
      <c r="D285" s="18" t="s">
        <v>322</v>
      </c>
      <c r="E285" s="18" t="s">
        <v>321</v>
      </c>
      <c r="F285" s="18" t="s">
        <v>324</v>
      </c>
      <c r="G285" s="18" t="s">
        <v>323</v>
      </c>
      <c r="H285" s="18" t="s">
        <v>1436</v>
      </c>
    </row>
    <row r="286" spans="1:8">
      <c r="A286" s="1">
        <v>1</v>
      </c>
      <c r="B286" t="s">
        <v>2256</v>
      </c>
      <c r="C286">
        <v>12.8</v>
      </c>
      <c r="D286">
        <v>276.36</v>
      </c>
      <c r="E286">
        <v>0.57050999999999996</v>
      </c>
      <c r="F286">
        <v>0.92</v>
      </c>
      <c r="G286">
        <v>0</v>
      </c>
      <c r="H286">
        <v>2.44</v>
      </c>
    </row>
    <row r="287" spans="1:8">
      <c r="A287" s="1">
        <v>2</v>
      </c>
      <c r="B287" t="s">
        <v>2257</v>
      </c>
      <c r="C287">
        <v>12.57</v>
      </c>
      <c r="D287">
        <v>279.33</v>
      </c>
      <c r="E287">
        <v>0.69020000000000004</v>
      </c>
      <c r="F287">
        <v>2.11</v>
      </c>
      <c r="G287">
        <v>18</v>
      </c>
      <c r="H287">
        <v>2.4</v>
      </c>
    </row>
    <row r="288" spans="1:8">
      <c r="A288" s="1">
        <v>3</v>
      </c>
      <c r="B288" t="s">
        <v>2258</v>
      </c>
      <c r="C288">
        <v>13.29</v>
      </c>
      <c r="D288">
        <v>274.66000000000003</v>
      </c>
      <c r="E288">
        <v>0.50973999999999997</v>
      </c>
      <c r="F288">
        <v>0.61</v>
      </c>
      <c r="G288">
        <v>66</v>
      </c>
      <c r="H288">
        <v>2.52</v>
      </c>
    </row>
    <row r="289" spans="1:8">
      <c r="A289" s="1">
        <v>4</v>
      </c>
      <c r="B289" t="s">
        <v>2259</v>
      </c>
      <c r="C289">
        <v>12.83</v>
      </c>
      <c r="D289">
        <v>275.79000000000002</v>
      </c>
      <c r="E289">
        <v>0.63355899999999998</v>
      </c>
      <c r="F289">
        <v>0.15</v>
      </c>
      <c r="G289">
        <v>6</v>
      </c>
      <c r="H289">
        <v>2.44</v>
      </c>
    </row>
    <row r="290" spans="1:8">
      <c r="A290" s="1">
        <v>5</v>
      </c>
      <c r="B290" t="s">
        <v>2260</v>
      </c>
      <c r="C290">
        <v>12.6</v>
      </c>
      <c r="D290">
        <v>276.81</v>
      </c>
      <c r="E290">
        <v>0.55737899999999996</v>
      </c>
      <c r="F290">
        <v>0.65</v>
      </c>
      <c r="G290">
        <v>0</v>
      </c>
      <c r="H290">
        <v>2.4</v>
      </c>
    </row>
    <row r="291" spans="1:8">
      <c r="A291" s="1">
        <v>6</v>
      </c>
      <c r="B291" t="s">
        <v>2261</v>
      </c>
      <c r="C291">
        <v>13.06</v>
      </c>
      <c r="D291">
        <v>275.25</v>
      </c>
      <c r="E291">
        <v>0.57541100000000001</v>
      </c>
      <c r="F291">
        <v>0.08</v>
      </c>
      <c r="G291">
        <v>46</v>
      </c>
      <c r="H291">
        <v>2.4900000000000002</v>
      </c>
    </row>
    <row r="292" spans="1:8">
      <c r="A292" s="1">
        <v>7</v>
      </c>
      <c r="B292" t="s">
        <v>2262</v>
      </c>
      <c r="C292">
        <v>13.55</v>
      </c>
      <c r="D292">
        <v>277.76</v>
      </c>
      <c r="E292">
        <v>0.54273000000000005</v>
      </c>
      <c r="F292">
        <v>1.61</v>
      </c>
      <c r="G292">
        <v>66</v>
      </c>
      <c r="H292">
        <v>2.57</v>
      </c>
    </row>
    <row r="293" spans="1:8">
      <c r="A293" s="1">
        <v>8</v>
      </c>
      <c r="B293" t="s">
        <v>2263</v>
      </c>
      <c r="C293">
        <v>12.42</v>
      </c>
      <c r="D293">
        <v>272.3</v>
      </c>
      <c r="E293">
        <v>0.54392300000000005</v>
      </c>
      <c r="F293">
        <v>0.23</v>
      </c>
      <c r="G293">
        <v>0</v>
      </c>
      <c r="H293">
        <v>2.37</v>
      </c>
    </row>
    <row r="294" spans="1:8">
      <c r="A294" s="1">
        <v>9</v>
      </c>
      <c r="B294" t="s">
        <v>2264</v>
      </c>
      <c r="C294">
        <v>13.49</v>
      </c>
      <c r="D294">
        <v>277.55</v>
      </c>
      <c r="E294">
        <v>0.55153399999999997</v>
      </c>
      <c r="F294">
        <v>0.69</v>
      </c>
      <c r="G294">
        <v>58</v>
      </c>
      <c r="H294">
        <v>2.5499999999999998</v>
      </c>
    </row>
    <row r="295" spans="1:8">
      <c r="A295" s="1">
        <v>10</v>
      </c>
      <c r="B295" t="s">
        <v>2265</v>
      </c>
      <c r="C295">
        <v>12.93</v>
      </c>
      <c r="D295">
        <v>277.55</v>
      </c>
      <c r="E295">
        <v>0.60495200000000005</v>
      </c>
      <c r="F295">
        <v>0.61</v>
      </c>
      <c r="G295">
        <v>20</v>
      </c>
      <c r="H295">
        <v>2.46</v>
      </c>
    </row>
    <row r="296" spans="1:8">
      <c r="A296" s="1">
        <v>11</v>
      </c>
      <c r="B296" t="s">
        <v>2266</v>
      </c>
      <c r="C296">
        <v>12.58</v>
      </c>
      <c r="D296">
        <v>276.48</v>
      </c>
      <c r="E296">
        <v>0.59476399999999996</v>
      </c>
      <c r="F296">
        <v>0.57999999999999996</v>
      </c>
      <c r="G296">
        <v>66</v>
      </c>
      <c r="H296">
        <v>2.38</v>
      </c>
    </row>
    <row r="297" spans="1:8">
      <c r="A297" s="1">
        <v>12</v>
      </c>
      <c r="B297" t="s">
        <v>2267</v>
      </c>
      <c r="C297">
        <v>12.43</v>
      </c>
      <c r="D297">
        <v>277.24</v>
      </c>
      <c r="E297">
        <v>0.61598900000000001</v>
      </c>
      <c r="F297">
        <v>1.08</v>
      </c>
      <c r="G297">
        <v>48</v>
      </c>
      <c r="H297">
        <v>2.37</v>
      </c>
    </row>
    <row r="298" spans="1:8">
      <c r="A298" s="1">
        <v>13</v>
      </c>
      <c r="B298" t="s">
        <v>2268</v>
      </c>
      <c r="C298">
        <v>13.04</v>
      </c>
      <c r="D298">
        <v>275.95999999999998</v>
      </c>
      <c r="E298">
        <v>0.574241</v>
      </c>
      <c r="F298">
        <v>0.15</v>
      </c>
      <c r="G298">
        <v>70</v>
      </c>
      <c r="H298">
        <v>2.48</v>
      </c>
    </row>
    <row r="299" spans="1:8">
      <c r="A299" s="1">
        <v>14</v>
      </c>
      <c r="B299" t="s">
        <v>2269</v>
      </c>
      <c r="C299">
        <v>13.25</v>
      </c>
      <c r="D299">
        <v>273.49</v>
      </c>
      <c r="E299">
        <v>0.37018000000000001</v>
      </c>
      <c r="F299">
        <v>0.81</v>
      </c>
      <c r="G299">
        <v>48</v>
      </c>
      <c r="H299">
        <v>2.52</v>
      </c>
    </row>
    <row r="300" spans="1:8">
      <c r="A300" s="1">
        <v>15</v>
      </c>
      <c r="B300" t="s">
        <v>2270</v>
      </c>
      <c r="C300">
        <v>12.76</v>
      </c>
      <c r="D300">
        <v>271.61</v>
      </c>
      <c r="E300">
        <v>0.40834500000000001</v>
      </c>
      <c r="F300">
        <v>0.04</v>
      </c>
      <c r="G300">
        <v>44</v>
      </c>
      <c r="H300">
        <v>2.41</v>
      </c>
    </row>
    <row r="301" spans="1:8">
      <c r="A301" s="1">
        <v>16</v>
      </c>
      <c r="B301" t="s">
        <v>2271</v>
      </c>
      <c r="C301">
        <v>12.62</v>
      </c>
      <c r="D301">
        <v>279.49</v>
      </c>
      <c r="E301">
        <v>0.65995300000000001</v>
      </c>
      <c r="F301">
        <v>1.61</v>
      </c>
      <c r="G301">
        <v>36</v>
      </c>
      <c r="H301">
        <v>2.41</v>
      </c>
    </row>
    <row r="302" spans="1:8">
      <c r="A302" s="1">
        <v>17</v>
      </c>
      <c r="B302" t="s">
        <v>2272</v>
      </c>
      <c r="C302">
        <v>13.08</v>
      </c>
      <c r="D302">
        <v>276.39999999999998</v>
      </c>
      <c r="E302">
        <v>0.51639900000000005</v>
      </c>
      <c r="F302">
        <v>0.15</v>
      </c>
      <c r="G302">
        <v>34</v>
      </c>
      <c r="H302">
        <v>2.4900000000000002</v>
      </c>
    </row>
    <row r="303" spans="1:8">
      <c r="A303" s="1">
        <v>18</v>
      </c>
      <c r="B303" t="s">
        <v>2273</v>
      </c>
      <c r="C303">
        <v>12.96</v>
      </c>
      <c r="D303">
        <v>272.07</v>
      </c>
      <c r="E303">
        <v>0.52342699999999998</v>
      </c>
      <c r="F303">
        <v>0.15</v>
      </c>
      <c r="G303">
        <v>60</v>
      </c>
      <c r="H303">
        <v>2.4500000000000002</v>
      </c>
    </row>
    <row r="304" spans="1:8">
      <c r="A304" s="1">
        <v>19</v>
      </c>
      <c r="B304" t="s">
        <v>2274</v>
      </c>
      <c r="C304">
        <v>13.94</v>
      </c>
      <c r="D304">
        <v>274.94</v>
      </c>
      <c r="E304">
        <v>0.40218399999999999</v>
      </c>
      <c r="F304">
        <v>0.42</v>
      </c>
      <c r="G304">
        <v>14</v>
      </c>
      <c r="H304">
        <v>2.66</v>
      </c>
    </row>
    <row r="305" spans="1:8">
      <c r="A305" s="1">
        <v>20</v>
      </c>
      <c r="B305" t="s">
        <v>2275</v>
      </c>
      <c r="C305">
        <v>12.49</v>
      </c>
      <c r="D305">
        <v>279.85000000000002</v>
      </c>
      <c r="E305">
        <v>0.73109199999999996</v>
      </c>
      <c r="F305">
        <v>0.46</v>
      </c>
      <c r="G305">
        <v>34</v>
      </c>
      <c r="H305">
        <v>2.37</v>
      </c>
    </row>
    <row r="306" spans="1:8">
      <c r="A306" s="1">
        <v>21</v>
      </c>
      <c r="B306" t="s">
        <v>2276</v>
      </c>
      <c r="C306">
        <v>12.53</v>
      </c>
      <c r="D306">
        <v>278.60000000000002</v>
      </c>
      <c r="E306">
        <v>0.575461</v>
      </c>
      <c r="F306">
        <v>2.38</v>
      </c>
      <c r="G306">
        <v>78</v>
      </c>
      <c r="H306">
        <v>2.4</v>
      </c>
    </row>
    <row r="307" spans="1:8">
      <c r="A307" s="1">
        <v>22</v>
      </c>
      <c r="B307" t="s">
        <v>2277</v>
      </c>
      <c r="C307">
        <v>13.29</v>
      </c>
      <c r="D307">
        <v>276.20999999999998</v>
      </c>
      <c r="E307">
        <v>0.398478</v>
      </c>
      <c r="F307">
        <v>1.38</v>
      </c>
      <c r="G307">
        <v>2</v>
      </c>
      <c r="H307">
        <v>2.52</v>
      </c>
    </row>
    <row r="308" spans="1:8">
      <c r="A308" s="1">
        <v>23</v>
      </c>
      <c r="B308" t="s">
        <v>2278</v>
      </c>
      <c r="C308">
        <v>13.93</v>
      </c>
      <c r="D308">
        <v>275.87</v>
      </c>
      <c r="E308">
        <v>0.496284</v>
      </c>
      <c r="F308">
        <v>0.69</v>
      </c>
      <c r="G308">
        <v>4</v>
      </c>
      <c r="H308">
        <v>2.65</v>
      </c>
    </row>
    <row r="309" spans="1:8">
      <c r="A309" s="1">
        <v>24</v>
      </c>
      <c r="B309" t="s">
        <v>2279</v>
      </c>
      <c r="C309">
        <v>12.97</v>
      </c>
      <c r="D309">
        <v>275.83999999999997</v>
      </c>
      <c r="E309">
        <v>0.59823899999999997</v>
      </c>
      <c r="F309">
        <v>0.23</v>
      </c>
      <c r="G309">
        <v>22</v>
      </c>
      <c r="H309">
        <v>2.4700000000000002</v>
      </c>
    </row>
    <row r="310" spans="1:8">
      <c r="A310" s="1">
        <v>25</v>
      </c>
      <c r="B310" t="s">
        <v>2280</v>
      </c>
      <c r="C310">
        <v>11.48</v>
      </c>
      <c r="D310">
        <v>276.20999999999998</v>
      </c>
      <c r="E310">
        <v>0.61103099999999999</v>
      </c>
      <c r="F310">
        <v>1.31</v>
      </c>
      <c r="G310">
        <v>64</v>
      </c>
      <c r="H310">
        <v>2.1800000000000002</v>
      </c>
    </row>
    <row r="311" spans="1:8">
      <c r="A311" s="1">
        <v>26</v>
      </c>
      <c r="B311" t="s">
        <v>2281</v>
      </c>
      <c r="C311">
        <v>12.98</v>
      </c>
      <c r="D311">
        <v>278.82</v>
      </c>
      <c r="E311">
        <v>0.60362499999999997</v>
      </c>
      <c r="F311">
        <v>1.08</v>
      </c>
      <c r="G311">
        <v>60</v>
      </c>
      <c r="H311">
        <v>2.4700000000000002</v>
      </c>
    </row>
    <row r="312" spans="1:8">
      <c r="A312" s="1">
        <v>27</v>
      </c>
      <c r="B312" t="s">
        <v>2282</v>
      </c>
      <c r="C312">
        <v>13.5</v>
      </c>
      <c r="D312">
        <v>276.45999999999998</v>
      </c>
      <c r="E312">
        <v>0.54583199999999998</v>
      </c>
      <c r="F312">
        <v>0.69</v>
      </c>
      <c r="G312">
        <v>74</v>
      </c>
      <c r="H312">
        <v>2.57</v>
      </c>
    </row>
    <row r="313" spans="1:8">
      <c r="A313" s="1">
        <v>28</v>
      </c>
      <c r="B313" t="s">
        <v>2283</v>
      </c>
      <c r="C313">
        <v>12.6</v>
      </c>
      <c r="D313">
        <v>274.26</v>
      </c>
      <c r="E313">
        <v>0.51860300000000004</v>
      </c>
      <c r="F313">
        <v>0.65</v>
      </c>
      <c r="G313">
        <v>34</v>
      </c>
      <c r="H313">
        <v>2.4</v>
      </c>
    </row>
    <row r="314" spans="1:8">
      <c r="A314" s="1">
        <v>29</v>
      </c>
      <c r="B314" t="s">
        <v>2284</v>
      </c>
      <c r="C314">
        <v>13.62</v>
      </c>
      <c r="D314">
        <v>273.73</v>
      </c>
      <c r="E314">
        <v>0.41091</v>
      </c>
      <c r="F314">
        <v>0.12</v>
      </c>
      <c r="G314">
        <v>58</v>
      </c>
      <c r="H314">
        <v>2.59</v>
      </c>
    </row>
    <row r="315" spans="1:8">
      <c r="A315" s="1">
        <v>30</v>
      </c>
      <c r="B315" t="s">
        <v>2285</v>
      </c>
      <c r="C315">
        <v>12.61</v>
      </c>
      <c r="D315">
        <v>274.45</v>
      </c>
      <c r="E315">
        <v>0.58572000000000002</v>
      </c>
      <c r="F315">
        <v>0.04</v>
      </c>
      <c r="G315">
        <v>4</v>
      </c>
      <c r="H315">
        <v>2.39</v>
      </c>
    </row>
    <row r="316" spans="1:8">
      <c r="A316" s="1">
        <v>31</v>
      </c>
      <c r="B316" t="s">
        <v>2286</v>
      </c>
      <c r="C316">
        <v>12.92</v>
      </c>
      <c r="D316">
        <v>275.98</v>
      </c>
      <c r="E316">
        <v>0.577569</v>
      </c>
      <c r="F316">
        <v>0.27</v>
      </c>
      <c r="G316">
        <v>44</v>
      </c>
      <c r="H316">
        <v>2.46</v>
      </c>
    </row>
    <row r="317" spans="1:8">
      <c r="A317" s="1">
        <v>32</v>
      </c>
      <c r="B317" t="s">
        <v>2287</v>
      </c>
      <c r="C317">
        <v>12.77</v>
      </c>
      <c r="D317">
        <v>280.55</v>
      </c>
      <c r="E317">
        <v>0.681755</v>
      </c>
      <c r="F317">
        <v>2.96</v>
      </c>
      <c r="G317">
        <v>2</v>
      </c>
      <c r="H317">
        <v>2.4300000000000002</v>
      </c>
    </row>
    <row r="318" spans="1:8">
      <c r="A318" s="1">
        <v>33</v>
      </c>
      <c r="B318" t="s">
        <v>2288</v>
      </c>
      <c r="C318">
        <v>12.43</v>
      </c>
      <c r="D318" t="e">
        <f>-inf</f>
        <v>#NAME?</v>
      </c>
      <c r="E318">
        <v>0.59325600000000001</v>
      </c>
      <c r="F318">
        <v>0</v>
      </c>
      <c r="G318">
        <v>36</v>
      </c>
      <c r="H318">
        <v>2.36</v>
      </c>
    </row>
    <row r="319" spans="1:8">
      <c r="A319" s="1">
        <v>34</v>
      </c>
      <c r="B319" t="s">
        <v>2289</v>
      </c>
      <c r="C319">
        <v>11.94</v>
      </c>
      <c r="D319">
        <v>275.5</v>
      </c>
      <c r="E319">
        <v>0.62321899999999997</v>
      </c>
      <c r="F319">
        <v>0.23</v>
      </c>
      <c r="G319">
        <v>2</v>
      </c>
      <c r="H319">
        <v>2.27</v>
      </c>
    </row>
    <row r="320" spans="1:8">
      <c r="A320" s="1">
        <v>35</v>
      </c>
      <c r="B320" t="s">
        <v>2290</v>
      </c>
      <c r="C320">
        <v>12.71</v>
      </c>
      <c r="D320">
        <v>274.5</v>
      </c>
      <c r="E320">
        <v>0.45945000000000003</v>
      </c>
      <c r="F320">
        <v>1.1100000000000001</v>
      </c>
      <c r="G320">
        <v>40</v>
      </c>
      <c r="H320">
        <v>2.4</v>
      </c>
    </row>
    <row r="321" spans="1:8">
      <c r="A321" s="1">
        <v>36</v>
      </c>
      <c r="B321" t="s">
        <v>2291</v>
      </c>
      <c r="C321">
        <v>13.29</v>
      </c>
      <c r="D321">
        <v>277.24</v>
      </c>
      <c r="E321">
        <v>0.51371999999999995</v>
      </c>
      <c r="F321">
        <v>1</v>
      </c>
      <c r="G321">
        <v>24</v>
      </c>
      <c r="H321">
        <v>2.52</v>
      </c>
    </row>
    <row r="322" spans="1:8">
      <c r="A322" s="1">
        <v>37</v>
      </c>
      <c r="B322" t="s">
        <v>2292</v>
      </c>
      <c r="C322">
        <v>12.85</v>
      </c>
      <c r="D322">
        <v>277.64999999999998</v>
      </c>
      <c r="E322">
        <v>0.55726799999999999</v>
      </c>
      <c r="F322">
        <v>0.69</v>
      </c>
      <c r="G322">
        <v>10</v>
      </c>
      <c r="H322">
        <v>2.4300000000000002</v>
      </c>
    </row>
    <row r="323" spans="1:8">
      <c r="A323" s="1">
        <v>38</v>
      </c>
      <c r="B323" t="s">
        <v>2293</v>
      </c>
      <c r="C323">
        <v>12.43</v>
      </c>
      <c r="D323">
        <v>274.86</v>
      </c>
      <c r="E323">
        <v>0.42895800000000001</v>
      </c>
      <c r="F323">
        <v>0.27</v>
      </c>
      <c r="G323">
        <v>62</v>
      </c>
      <c r="H323">
        <v>2.36</v>
      </c>
    </row>
    <row r="324" spans="1:8">
      <c r="A324" s="1">
        <v>39</v>
      </c>
      <c r="B324" t="s">
        <v>2294</v>
      </c>
      <c r="C324">
        <v>12.98</v>
      </c>
      <c r="D324">
        <v>275.52</v>
      </c>
      <c r="E324">
        <v>0.483796</v>
      </c>
      <c r="F324">
        <v>0.61</v>
      </c>
      <c r="G324">
        <v>30</v>
      </c>
      <c r="H324">
        <v>2.48</v>
      </c>
    </row>
    <row r="325" spans="1:8">
      <c r="A325" s="1">
        <v>40</v>
      </c>
      <c r="B325" t="s">
        <v>2295</v>
      </c>
      <c r="C325">
        <v>12.5</v>
      </c>
      <c r="D325">
        <v>278.52999999999997</v>
      </c>
      <c r="E325">
        <v>0.603634</v>
      </c>
      <c r="F325">
        <v>1.1499999999999999</v>
      </c>
      <c r="G325">
        <v>38</v>
      </c>
      <c r="H325">
        <v>2.38</v>
      </c>
    </row>
    <row r="326" spans="1:8">
      <c r="A326" s="1">
        <v>41</v>
      </c>
      <c r="B326" t="s">
        <v>2296</v>
      </c>
      <c r="C326">
        <v>12.88</v>
      </c>
      <c r="D326">
        <v>280.33</v>
      </c>
      <c r="E326">
        <v>0.64111899999999999</v>
      </c>
      <c r="F326">
        <v>2.27</v>
      </c>
      <c r="G326">
        <v>14</v>
      </c>
      <c r="H326">
        <v>2.4500000000000002</v>
      </c>
    </row>
    <row r="327" spans="1:8">
      <c r="A327" s="1">
        <v>42</v>
      </c>
      <c r="B327" t="s">
        <v>2297</v>
      </c>
      <c r="C327">
        <v>13.12</v>
      </c>
      <c r="D327">
        <v>273.56</v>
      </c>
      <c r="E327">
        <v>0.345439</v>
      </c>
      <c r="F327">
        <v>0.12</v>
      </c>
      <c r="G327">
        <v>16</v>
      </c>
      <c r="H327">
        <v>2.4900000000000002</v>
      </c>
    </row>
    <row r="328" spans="1:8">
      <c r="A328" s="1">
        <v>43</v>
      </c>
      <c r="B328" t="s">
        <v>2298</v>
      </c>
      <c r="C328">
        <v>12.48</v>
      </c>
      <c r="D328">
        <v>276.64</v>
      </c>
      <c r="E328">
        <v>0.56735500000000005</v>
      </c>
      <c r="F328">
        <v>1.27</v>
      </c>
      <c r="G328">
        <v>66</v>
      </c>
      <c r="H328">
        <v>2.38</v>
      </c>
    </row>
    <row r="329" spans="1:8">
      <c r="A329" s="1">
        <v>44</v>
      </c>
      <c r="B329" t="s">
        <v>2299</v>
      </c>
      <c r="C329">
        <v>14.02</v>
      </c>
      <c r="D329">
        <v>270.20999999999998</v>
      </c>
      <c r="E329">
        <v>0.361294</v>
      </c>
      <c r="F329">
        <v>0.27</v>
      </c>
      <c r="G329">
        <v>8</v>
      </c>
      <c r="H329">
        <v>2.66</v>
      </c>
    </row>
    <row r="330" spans="1:8">
      <c r="A330" s="1">
        <v>45</v>
      </c>
      <c r="B330" t="s">
        <v>2300</v>
      </c>
      <c r="C330">
        <v>13.07</v>
      </c>
      <c r="D330">
        <v>275.70999999999998</v>
      </c>
      <c r="E330">
        <v>0.58834299999999995</v>
      </c>
      <c r="F330">
        <v>0.12</v>
      </c>
      <c r="G330">
        <v>10</v>
      </c>
      <c r="H330">
        <v>2.48</v>
      </c>
    </row>
    <row r="331" spans="1:8">
      <c r="A331" s="1">
        <v>46</v>
      </c>
      <c r="B331" t="s">
        <v>2301</v>
      </c>
      <c r="C331">
        <v>12.88</v>
      </c>
      <c r="D331">
        <v>272.77999999999997</v>
      </c>
      <c r="E331">
        <v>0.59138900000000005</v>
      </c>
      <c r="F331">
        <v>0.08</v>
      </c>
      <c r="G331">
        <v>32</v>
      </c>
      <c r="H331">
        <v>2.44</v>
      </c>
    </row>
    <row r="332" spans="1:8">
      <c r="A332" s="1">
        <v>47</v>
      </c>
      <c r="B332" t="s">
        <v>2302</v>
      </c>
      <c r="C332">
        <v>12.65</v>
      </c>
      <c r="D332">
        <v>278.62</v>
      </c>
      <c r="E332">
        <v>0.61696200000000001</v>
      </c>
      <c r="F332">
        <v>1.5</v>
      </c>
      <c r="G332">
        <v>64</v>
      </c>
      <c r="H332">
        <v>2.4</v>
      </c>
    </row>
    <row r="333" spans="1:8">
      <c r="A333" s="1">
        <v>48</v>
      </c>
      <c r="B333" t="s">
        <v>2303</v>
      </c>
      <c r="C333">
        <v>12.46</v>
      </c>
      <c r="D333">
        <v>279.32</v>
      </c>
      <c r="E333">
        <v>0.67127499999999996</v>
      </c>
      <c r="F333">
        <v>1.1499999999999999</v>
      </c>
      <c r="G333">
        <v>28</v>
      </c>
      <c r="H333">
        <v>2.37</v>
      </c>
    </row>
    <row r="334" spans="1:8">
      <c r="A334" s="1">
        <v>49</v>
      </c>
      <c r="B334" t="s">
        <v>2304</v>
      </c>
      <c r="C334">
        <v>13.28</v>
      </c>
      <c r="D334">
        <v>269.45</v>
      </c>
      <c r="E334">
        <v>0.49900600000000001</v>
      </c>
      <c r="F334">
        <v>0.04</v>
      </c>
      <c r="G334">
        <v>52</v>
      </c>
      <c r="H334">
        <v>2.54</v>
      </c>
    </row>
    <row r="335" spans="1:8">
      <c r="A335" s="1">
        <v>50</v>
      </c>
      <c r="B335" t="s">
        <v>2305</v>
      </c>
      <c r="C335">
        <v>12.61</v>
      </c>
      <c r="D335">
        <v>277.51</v>
      </c>
      <c r="E335">
        <v>0.59311199999999997</v>
      </c>
      <c r="F335">
        <v>1.65</v>
      </c>
      <c r="G335">
        <v>4</v>
      </c>
      <c r="H335">
        <v>2.4</v>
      </c>
    </row>
    <row r="336" spans="1:8">
      <c r="B336" s="1" t="s">
        <v>19</v>
      </c>
      <c r="C336" s="1">
        <f>AVERAGE(C286:C335)</f>
        <v>12.889400000000006</v>
      </c>
      <c r="D336" s="1" t="e">
        <f>AVERAGE(#REF!)</f>
        <v>#REF!</v>
      </c>
      <c r="E336" s="1" t="e">
        <f>AVERAGE(#REF!)</f>
        <v>#REF!</v>
      </c>
      <c r="F336" s="1" t="e">
        <f>AVERAGE(#REF!)</f>
        <v>#REF!</v>
      </c>
      <c r="H336" s="1" t="e">
        <f>AVERAGE(#REF!)</f>
        <v>#REF!</v>
      </c>
    </row>
    <row r="337" spans="1:8">
      <c r="B337" s="1" t="s">
        <v>20</v>
      </c>
      <c r="C337" s="1">
        <f>MIN(C285:C335)</f>
        <v>11.48</v>
      </c>
      <c r="D337" s="1" t="e">
        <f>MIN(D285:D335)</f>
        <v>#NAME?</v>
      </c>
      <c r="E337" s="1">
        <f>MIN(E285:E335)</f>
        <v>0.345439</v>
      </c>
      <c r="F337" s="1">
        <f>MIN(F285:F335)</f>
        <v>0</v>
      </c>
      <c r="H337" s="1">
        <f>MIN(H285:H335)</f>
        <v>2.1800000000000002</v>
      </c>
    </row>
    <row r="338" spans="1:8">
      <c r="B338" s="1" t="s">
        <v>3</v>
      </c>
      <c r="C338" s="1" t="e">
        <f>STDEV(#REF!)</f>
        <v>#REF!</v>
      </c>
      <c r="D338" s="1" t="e">
        <f>STDEV(#REF!)</f>
        <v>#REF!</v>
      </c>
      <c r="E338" s="1" t="e">
        <f>STDEV(#REF!)</f>
        <v>#REF!</v>
      </c>
      <c r="F338" s="1" t="e">
        <f>STDEV(#REF!)</f>
        <v>#REF!</v>
      </c>
      <c r="H338" s="1" t="e">
        <f>STDEV(#REF!)</f>
        <v>#REF!</v>
      </c>
    </row>
    <row r="340" spans="1:8">
      <c r="H340" s="18" t="s">
        <v>1435</v>
      </c>
    </row>
    <row r="341" spans="1:8" ht="18">
      <c r="A341" s="18" t="s">
        <v>7</v>
      </c>
      <c r="B341" s="3" t="s">
        <v>6</v>
      </c>
      <c r="C341" s="18" t="s">
        <v>4</v>
      </c>
      <c r="D341" s="18" t="s">
        <v>322</v>
      </c>
      <c r="E341" s="18" t="s">
        <v>321</v>
      </c>
      <c r="F341" s="18" t="s">
        <v>324</v>
      </c>
      <c r="G341" s="18" t="s">
        <v>323</v>
      </c>
      <c r="H341" s="18" t="s">
        <v>1436</v>
      </c>
    </row>
    <row r="342" spans="1:8">
      <c r="A342" s="1">
        <v>1</v>
      </c>
    </row>
    <row r="343" spans="1:8">
      <c r="A343" s="1">
        <v>2</v>
      </c>
    </row>
    <row r="344" spans="1:8">
      <c r="A344" s="1">
        <v>3</v>
      </c>
    </row>
    <row r="345" spans="1:8">
      <c r="A345" s="1">
        <v>4</v>
      </c>
    </row>
    <row r="346" spans="1:8">
      <c r="A346" s="1">
        <v>5</v>
      </c>
    </row>
    <row r="347" spans="1:8">
      <c r="A347" s="1">
        <v>6</v>
      </c>
    </row>
    <row r="348" spans="1:8">
      <c r="A348" s="1">
        <v>7</v>
      </c>
    </row>
    <row r="349" spans="1:8">
      <c r="A349" s="1">
        <v>8</v>
      </c>
    </row>
    <row r="350" spans="1:8">
      <c r="A350" s="1">
        <v>9</v>
      </c>
    </row>
    <row r="351" spans="1:8">
      <c r="A351" s="1">
        <v>10</v>
      </c>
    </row>
    <row r="352" spans="1:8">
      <c r="A352" s="1">
        <v>11</v>
      </c>
    </row>
    <row r="353" spans="1:1">
      <c r="A353" s="1">
        <v>12</v>
      </c>
    </row>
    <row r="354" spans="1:1">
      <c r="A354" s="1">
        <v>13</v>
      </c>
    </row>
    <row r="355" spans="1:1">
      <c r="A355" s="1">
        <v>14</v>
      </c>
    </row>
    <row r="356" spans="1:1">
      <c r="A356" s="1">
        <v>15</v>
      </c>
    </row>
    <row r="357" spans="1:1">
      <c r="A357" s="1">
        <v>16</v>
      </c>
    </row>
    <row r="358" spans="1:1">
      <c r="A358" s="1">
        <v>17</v>
      </c>
    </row>
    <row r="359" spans="1:1">
      <c r="A359" s="1">
        <v>18</v>
      </c>
    </row>
    <row r="360" spans="1:1">
      <c r="A360" s="1">
        <v>19</v>
      </c>
    </row>
    <row r="361" spans="1:1">
      <c r="A361" s="1">
        <v>20</v>
      </c>
    </row>
    <row r="362" spans="1:1">
      <c r="A362" s="1">
        <v>21</v>
      </c>
    </row>
    <row r="363" spans="1:1">
      <c r="A363" s="1">
        <v>22</v>
      </c>
    </row>
    <row r="364" spans="1:1">
      <c r="A364" s="1">
        <v>23</v>
      </c>
    </row>
    <row r="365" spans="1:1">
      <c r="A365" s="1">
        <v>24</v>
      </c>
    </row>
    <row r="366" spans="1:1">
      <c r="A366" s="1">
        <v>25</v>
      </c>
    </row>
    <row r="367" spans="1:1">
      <c r="A367" s="1">
        <v>26</v>
      </c>
    </row>
    <row r="368" spans="1:1">
      <c r="A368" s="1">
        <v>27</v>
      </c>
    </row>
    <row r="369" spans="1:1">
      <c r="A369" s="1">
        <v>28</v>
      </c>
    </row>
    <row r="370" spans="1:1">
      <c r="A370" s="1">
        <v>29</v>
      </c>
    </row>
    <row r="371" spans="1:1">
      <c r="A371" s="1">
        <v>30</v>
      </c>
    </row>
    <row r="372" spans="1:1">
      <c r="A372" s="1">
        <v>31</v>
      </c>
    </row>
    <row r="373" spans="1:1">
      <c r="A373" s="1">
        <v>32</v>
      </c>
    </row>
    <row r="374" spans="1:1">
      <c r="A374" s="1">
        <v>33</v>
      </c>
    </row>
    <row r="375" spans="1:1">
      <c r="A375" s="1">
        <v>34</v>
      </c>
    </row>
    <row r="376" spans="1:1">
      <c r="A376" s="1">
        <v>35</v>
      </c>
    </row>
    <row r="377" spans="1:1">
      <c r="A377" s="1">
        <v>36</v>
      </c>
    </row>
    <row r="378" spans="1:1">
      <c r="A378" s="1">
        <v>37</v>
      </c>
    </row>
    <row r="379" spans="1:1">
      <c r="A379" s="1">
        <v>38</v>
      </c>
    </row>
    <row r="380" spans="1:1">
      <c r="A380" s="1">
        <v>39</v>
      </c>
    </row>
    <row r="381" spans="1:1">
      <c r="A381" s="1">
        <v>40</v>
      </c>
    </row>
    <row r="382" spans="1:1">
      <c r="A382" s="1">
        <v>41</v>
      </c>
    </row>
    <row r="383" spans="1:1">
      <c r="A383" s="1">
        <v>42</v>
      </c>
    </row>
    <row r="384" spans="1:1">
      <c r="A384" s="1">
        <v>43</v>
      </c>
    </row>
    <row r="385" spans="1:8">
      <c r="A385" s="1">
        <v>44</v>
      </c>
    </row>
    <row r="386" spans="1:8">
      <c r="A386" s="1">
        <v>45</v>
      </c>
    </row>
    <row r="387" spans="1:8">
      <c r="A387" s="1">
        <v>46</v>
      </c>
    </row>
    <row r="388" spans="1:8">
      <c r="A388" s="1">
        <v>47</v>
      </c>
    </row>
    <row r="389" spans="1:8">
      <c r="A389" s="1">
        <v>48</v>
      </c>
    </row>
    <row r="390" spans="1:8">
      <c r="A390" s="1">
        <v>49</v>
      </c>
    </row>
    <row r="391" spans="1:8">
      <c r="A391" s="1">
        <v>50</v>
      </c>
    </row>
    <row r="392" spans="1:8">
      <c r="B392" s="1" t="s">
        <v>19</v>
      </c>
      <c r="C392" s="1" t="e">
        <f>AVERAGE(C342:C391)</f>
        <v>#DIV/0!</v>
      </c>
      <c r="D392" s="1" t="e">
        <f t="shared" ref="D392:F392" si="10">AVERAGE(D342:D391)</f>
        <v>#DIV/0!</v>
      </c>
      <c r="E392" s="1" t="e">
        <f t="shared" si="10"/>
        <v>#DIV/0!</v>
      </c>
      <c r="F392" s="1" t="e">
        <f t="shared" si="10"/>
        <v>#DIV/0!</v>
      </c>
      <c r="H392" s="1" t="e">
        <f t="shared" ref="H392" si="11">AVERAGE(H342:H391)</f>
        <v>#DIV/0!</v>
      </c>
    </row>
    <row r="393" spans="1:8">
      <c r="B393" s="1" t="s">
        <v>20</v>
      </c>
      <c r="C393" s="1">
        <f>MIN(C341:C391)</f>
        <v>0</v>
      </c>
      <c r="D393" s="1">
        <f t="shared" ref="D393:F393" si="12">MIN(D341:D391)</f>
        <v>0</v>
      </c>
      <c r="E393" s="1">
        <f t="shared" si="12"/>
        <v>0</v>
      </c>
      <c r="F393" s="1">
        <f t="shared" si="12"/>
        <v>0</v>
      </c>
      <c r="H393" s="1">
        <f t="shared" ref="H393" si="13">MIN(H341:H391)</f>
        <v>0</v>
      </c>
    </row>
    <row r="394" spans="1:8">
      <c r="B394" s="1" t="s">
        <v>3</v>
      </c>
      <c r="C394" s="1" t="e">
        <f>STDEV(C342:C391)</f>
        <v>#DIV/0!</v>
      </c>
      <c r="D394" s="1" t="e">
        <f t="shared" ref="D394:E394" si="14">STDEV(D342:D391)</f>
        <v>#DIV/0!</v>
      </c>
      <c r="E394" s="1" t="e">
        <f t="shared" si="14"/>
        <v>#DIV/0!</v>
      </c>
      <c r="F394" s="1" t="e">
        <f>STDEV(F342:F391)</f>
        <v>#DIV/0!</v>
      </c>
      <c r="H394" s="1" t="e">
        <f>STDEV(H342:H391)</f>
        <v>#DIV/0!</v>
      </c>
    </row>
    <row r="397" spans="1:8" ht="18">
      <c r="A397" s="18"/>
      <c r="B397" s="3"/>
      <c r="C397" s="18"/>
      <c r="D397" s="18"/>
      <c r="E397" s="18"/>
      <c r="F397" s="18"/>
      <c r="G397" s="18"/>
    </row>
    <row r="421" spans="2:4" ht="18">
      <c r="B421" s="3"/>
      <c r="C421" s="18"/>
      <c r="D421" s="18"/>
    </row>
    <row r="445" spans="2:4" ht="18">
      <c r="B445" s="3"/>
      <c r="C445" s="18"/>
      <c r="D445" s="18"/>
    </row>
  </sheetData>
  <mergeCells count="1">
    <mergeCell ref="B1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5"/>
  <sheetViews>
    <sheetView topLeftCell="A123" zoomScale="60" zoomScaleNormal="60" workbookViewId="0">
      <selection activeCell="B159" sqref="B159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2359</v>
      </c>
      <c r="C1" s="25"/>
      <c r="D1" s="25"/>
    </row>
    <row r="2" spans="1:8">
      <c r="B2" s="25"/>
      <c r="C2" s="25"/>
      <c r="D2" s="25"/>
    </row>
    <row r="4" spans="1:8">
      <c r="H4" s="18" t="s">
        <v>1435</v>
      </c>
    </row>
    <row r="5" spans="1:8" ht="18">
      <c r="A5" s="18" t="s">
        <v>7</v>
      </c>
      <c r="B5" s="3" t="s">
        <v>0</v>
      </c>
      <c r="C5" s="18" t="s">
        <v>4</v>
      </c>
      <c r="D5" s="18" t="s">
        <v>322</v>
      </c>
      <c r="E5" s="18" t="s">
        <v>321</v>
      </c>
      <c r="F5" s="18" t="s">
        <v>324</v>
      </c>
      <c r="G5" s="18" t="s">
        <v>323</v>
      </c>
      <c r="H5" s="18" t="s">
        <v>1436</v>
      </c>
    </row>
    <row r="6" spans="1:8">
      <c r="A6" s="1">
        <v>1</v>
      </c>
      <c r="B6" t="s">
        <v>2465</v>
      </c>
      <c r="C6">
        <v>91.64</v>
      </c>
      <c r="D6">
        <v>15.92</v>
      </c>
      <c r="E6">
        <v>0.98675400000000002</v>
      </c>
      <c r="F6">
        <v>81.02</v>
      </c>
      <c r="G6">
        <v>0</v>
      </c>
      <c r="H6">
        <v>19.37</v>
      </c>
    </row>
    <row r="7" spans="1:8">
      <c r="A7" s="1">
        <v>2</v>
      </c>
      <c r="B7" t="s">
        <v>2466</v>
      </c>
      <c r="C7">
        <v>86.88</v>
      </c>
      <c r="D7">
        <v>15.88</v>
      </c>
      <c r="E7">
        <v>0.99668400000000001</v>
      </c>
      <c r="F7">
        <v>81.87</v>
      </c>
      <c r="G7">
        <v>0</v>
      </c>
      <c r="H7">
        <v>19.41</v>
      </c>
    </row>
    <row r="8" spans="1:8">
      <c r="A8" s="1">
        <v>3</v>
      </c>
      <c r="B8" t="s">
        <v>2467</v>
      </c>
      <c r="C8">
        <v>91.64</v>
      </c>
      <c r="D8">
        <v>15.92</v>
      </c>
      <c r="E8">
        <v>0.98675400000000002</v>
      </c>
      <c r="F8">
        <v>81.02</v>
      </c>
      <c r="G8">
        <v>0</v>
      </c>
      <c r="H8">
        <v>19.37</v>
      </c>
    </row>
    <row r="9" spans="1:8">
      <c r="A9" s="1">
        <v>4</v>
      </c>
      <c r="B9" t="s">
        <v>2468</v>
      </c>
      <c r="C9">
        <v>97.32</v>
      </c>
      <c r="D9">
        <v>15.98</v>
      </c>
      <c r="E9">
        <v>0.99759299999999995</v>
      </c>
      <c r="F9">
        <v>92.54</v>
      </c>
      <c r="G9">
        <v>0</v>
      </c>
      <c r="H9">
        <v>19.34</v>
      </c>
    </row>
    <row r="10" spans="1:8" s="19" customFormat="1">
      <c r="A10" s="19">
        <v>5</v>
      </c>
      <c r="B10" t="s">
        <v>2469</v>
      </c>
      <c r="C10">
        <v>97.32</v>
      </c>
      <c r="D10">
        <v>15.98</v>
      </c>
      <c r="E10">
        <v>0.99759299999999995</v>
      </c>
      <c r="F10">
        <v>92.54</v>
      </c>
      <c r="G10">
        <v>0</v>
      </c>
      <c r="H10">
        <v>19.34</v>
      </c>
    </row>
    <row r="11" spans="1:8">
      <c r="A11" s="1">
        <v>6</v>
      </c>
      <c r="B11" t="s">
        <v>2470</v>
      </c>
      <c r="C11">
        <v>92.28</v>
      </c>
      <c r="D11">
        <v>15.93</v>
      </c>
      <c r="E11">
        <v>0.99999199999999999</v>
      </c>
      <c r="F11">
        <v>92.01</v>
      </c>
      <c r="G11">
        <v>2</v>
      </c>
      <c r="H11">
        <v>19.38</v>
      </c>
    </row>
    <row r="12" spans="1:8">
      <c r="A12" s="1">
        <v>7</v>
      </c>
      <c r="B12" t="s">
        <v>2471</v>
      </c>
      <c r="C12">
        <v>91.64</v>
      </c>
      <c r="D12">
        <v>15.92</v>
      </c>
      <c r="E12">
        <v>0.98675400000000002</v>
      </c>
      <c r="F12">
        <v>81.02</v>
      </c>
      <c r="G12">
        <v>0</v>
      </c>
      <c r="H12">
        <v>19.37</v>
      </c>
    </row>
    <row r="13" spans="1:8">
      <c r="A13" s="1">
        <v>8</v>
      </c>
      <c r="B13" t="s">
        <v>2472</v>
      </c>
      <c r="C13">
        <v>91.64</v>
      </c>
      <c r="D13">
        <v>15.92</v>
      </c>
      <c r="E13">
        <v>0.98675400000000002</v>
      </c>
      <c r="F13">
        <v>81.02</v>
      </c>
      <c r="G13">
        <v>0</v>
      </c>
      <c r="H13">
        <v>19.37</v>
      </c>
    </row>
    <row r="14" spans="1:8">
      <c r="A14" s="1">
        <v>9</v>
      </c>
      <c r="B14" t="s">
        <v>2473</v>
      </c>
      <c r="C14">
        <v>91.56</v>
      </c>
      <c r="D14">
        <v>15.92</v>
      </c>
      <c r="E14">
        <v>0.99050199999999999</v>
      </c>
      <c r="F14">
        <v>82.6</v>
      </c>
      <c r="G14">
        <v>2</v>
      </c>
      <c r="H14">
        <v>19.38</v>
      </c>
    </row>
    <row r="15" spans="1:8">
      <c r="A15" s="1">
        <v>10</v>
      </c>
      <c r="B15" t="s">
        <v>2474</v>
      </c>
      <c r="C15">
        <v>96.81</v>
      </c>
      <c r="D15">
        <v>15.97</v>
      </c>
      <c r="E15">
        <v>0.99742900000000001</v>
      </c>
      <c r="F15">
        <v>91.89</v>
      </c>
      <c r="G15">
        <v>2</v>
      </c>
      <c r="H15">
        <v>19.34</v>
      </c>
    </row>
    <row r="16" spans="1:8">
      <c r="A16" s="1">
        <v>11</v>
      </c>
      <c r="B16" t="s">
        <v>2475</v>
      </c>
      <c r="C16">
        <v>92.28</v>
      </c>
      <c r="D16">
        <v>15.93</v>
      </c>
      <c r="E16">
        <v>0.99999199999999999</v>
      </c>
      <c r="F16">
        <v>92.01</v>
      </c>
      <c r="G16">
        <v>2</v>
      </c>
      <c r="H16">
        <v>19.38</v>
      </c>
    </row>
    <row r="17" spans="1:8">
      <c r="A17" s="1">
        <v>12</v>
      </c>
      <c r="B17" t="s">
        <v>2476</v>
      </c>
      <c r="C17">
        <v>91.64</v>
      </c>
      <c r="D17">
        <v>15.92</v>
      </c>
      <c r="E17">
        <v>0.98675400000000002</v>
      </c>
      <c r="F17">
        <v>81.02</v>
      </c>
      <c r="G17">
        <v>0</v>
      </c>
      <c r="H17">
        <v>19.37</v>
      </c>
    </row>
    <row r="18" spans="1:8">
      <c r="A18" s="1">
        <v>13</v>
      </c>
      <c r="B18" t="s">
        <v>2477</v>
      </c>
      <c r="C18">
        <v>102.16</v>
      </c>
      <c r="D18">
        <v>16.02</v>
      </c>
      <c r="E18">
        <v>0.99998699999999996</v>
      </c>
      <c r="F18">
        <v>101.8</v>
      </c>
      <c r="G18">
        <v>2</v>
      </c>
      <c r="H18">
        <v>19.309999999999999</v>
      </c>
    </row>
    <row r="19" spans="1:8">
      <c r="A19" s="1">
        <v>14</v>
      </c>
      <c r="B19" t="s">
        <v>2478</v>
      </c>
      <c r="C19">
        <v>91.85</v>
      </c>
      <c r="D19">
        <v>15.92</v>
      </c>
      <c r="E19">
        <v>0.98945000000000005</v>
      </c>
      <c r="F19">
        <v>82.37</v>
      </c>
      <c r="G19">
        <v>2</v>
      </c>
      <c r="H19">
        <v>19.37</v>
      </c>
    </row>
    <row r="20" spans="1:8">
      <c r="A20" s="1">
        <v>15</v>
      </c>
      <c r="B20" t="s">
        <v>2479</v>
      </c>
      <c r="C20">
        <v>82.54</v>
      </c>
      <c r="D20">
        <v>15.83</v>
      </c>
      <c r="E20">
        <v>0.99999099999999996</v>
      </c>
      <c r="F20">
        <v>82.29</v>
      </c>
      <c r="G20">
        <v>2</v>
      </c>
      <c r="H20">
        <v>19.440000000000001</v>
      </c>
    </row>
    <row r="21" spans="1:8">
      <c r="A21" s="1">
        <v>16</v>
      </c>
      <c r="B21" t="s">
        <v>2480</v>
      </c>
      <c r="C21">
        <v>82.54</v>
      </c>
      <c r="D21">
        <v>15.83</v>
      </c>
      <c r="E21">
        <v>0.99999099999999996</v>
      </c>
      <c r="F21">
        <v>82.29</v>
      </c>
      <c r="G21">
        <v>2</v>
      </c>
      <c r="H21">
        <v>19.440000000000001</v>
      </c>
    </row>
    <row r="22" spans="1:8">
      <c r="A22" s="1">
        <v>17</v>
      </c>
      <c r="B22" t="s">
        <v>2481</v>
      </c>
      <c r="C22">
        <v>82.54</v>
      </c>
      <c r="D22">
        <v>15.83</v>
      </c>
      <c r="E22">
        <v>0.99999099999999996</v>
      </c>
      <c r="F22">
        <v>82.29</v>
      </c>
      <c r="G22">
        <v>2</v>
      </c>
      <c r="H22">
        <v>19.440000000000001</v>
      </c>
    </row>
    <row r="23" spans="1:8">
      <c r="A23" s="1">
        <v>18</v>
      </c>
      <c r="B23" t="s">
        <v>2482</v>
      </c>
      <c r="C23">
        <v>91.64</v>
      </c>
      <c r="D23">
        <v>15.92</v>
      </c>
      <c r="E23">
        <v>0.98675400000000002</v>
      </c>
      <c r="F23">
        <v>81.02</v>
      </c>
      <c r="G23">
        <v>0</v>
      </c>
      <c r="H23">
        <v>19.37</v>
      </c>
    </row>
    <row r="24" spans="1:8">
      <c r="A24" s="1">
        <v>19</v>
      </c>
      <c r="B24" t="s">
        <v>2483</v>
      </c>
      <c r="C24">
        <v>91.85</v>
      </c>
      <c r="D24">
        <v>15.92</v>
      </c>
      <c r="E24">
        <v>0.98945000000000005</v>
      </c>
      <c r="F24">
        <v>82.37</v>
      </c>
      <c r="G24">
        <v>2</v>
      </c>
      <c r="H24">
        <v>19.37</v>
      </c>
    </row>
    <row r="25" spans="1:8">
      <c r="A25" s="1">
        <v>20</v>
      </c>
      <c r="B25" t="s">
        <v>2484</v>
      </c>
      <c r="C25">
        <v>96.81</v>
      </c>
      <c r="D25">
        <v>15.97</v>
      </c>
      <c r="E25">
        <v>0.99742900000000001</v>
      </c>
      <c r="F25">
        <v>91.89</v>
      </c>
      <c r="G25">
        <v>2</v>
      </c>
      <c r="H25">
        <v>19.34</v>
      </c>
    </row>
    <row r="26" spans="1:8">
      <c r="A26" s="1">
        <v>21</v>
      </c>
      <c r="B26" t="s">
        <v>2485</v>
      </c>
      <c r="C26">
        <v>86.88</v>
      </c>
      <c r="D26">
        <v>15.88</v>
      </c>
      <c r="E26">
        <v>0.99668400000000001</v>
      </c>
      <c r="F26">
        <v>81.87</v>
      </c>
      <c r="G26">
        <v>0</v>
      </c>
      <c r="H26">
        <v>19.41</v>
      </c>
    </row>
    <row r="27" spans="1:8">
      <c r="A27" s="1">
        <v>22</v>
      </c>
      <c r="B27" t="s">
        <v>2486</v>
      </c>
      <c r="C27">
        <v>97.32</v>
      </c>
      <c r="D27">
        <v>15.98</v>
      </c>
      <c r="E27">
        <v>0.99759299999999995</v>
      </c>
      <c r="F27">
        <v>92.54</v>
      </c>
      <c r="G27">
        <v>0</v>
      </c>
      <c r="H27">
        <v>19.34</v>
      </c>
    </row>
    <row r="28" spans="1:8">
      <c r="A28" s="1">
        <v>23</v>
      </c>
      <c r="B28" t="s">
        <v>2487</v>
      </c>
      <c r="C28">
        <v>91.56</v>
      </c>
      <c r="D28">
        <v>15.92</v>
      </c>
      <c r="E28">
        <v>0.99050199999999999</v>
      </c>
      <c r="F28">
        <v>82.6</v>
      </c>
      <c r="G28">
        <v>2</v>
      </c>
      <c r="H28">
        <v>19.38</v>
      </c>
    </row>
    <row r="29" spans="1:8">
      <c r="A29" s="1">
        <v>24</v>
      </c>
      <c r="B29" t="s">
        <v>2488</v>
      </c>
      <c r="C29">
        <v>91.64</v>
      </c>
      <c r="D29">
        <v>15.92</v>
      </c>
      <c r="E29">
        <v>0.98675400000000002</v>
      </c>
      <c r="F29">
        <v>81.02</v>
      </c>
      <c r="G29">
        <v>0</v>
      </c>
      <c r="H29">
        <v>19.37</v>
      </c>
    </row>
    <row r="30" spans="1:8">
      <c r="A30" s="1">
        <v>25</v>
      </c>
      <c r="B30" t="s">
        <v>2489</v>
      </c>
      <c r="C30">
        <v>91.64</v>
      </c>
      <c r="D30">
        <v>15.92</v>
      </c>
      <c r="E30">
        <v>0.98675400000000002</v>
      </c>
      <c r="F30">
        <v>81.02</v>
      </c>
      <c r="G30">
        <v>0</v>
      </c>
      <c r="H30">
        <v>19.37</v>
      </c>
    </row>
    <row r="31" spans="1:8">
      <c r="A31" s="1">
        <v>26</v>
      </c>
      <c r="B31" t="s">
        <v>2490</v>
      </c>
      <c r="C31">
        <v>91.64</v>
      </c>
      <c r="D31">
        <v>15.92</v>
      </c>
      <c r="E31">
        <v>0.98675400000000002</v>
      </c>
      <c r="F31">
        <v>81.02</v>
      </c>
      <c r="G31">
        <v>0</v>
      </c>
      <c r="H31">
        <v>19.37</v>
      </c>
    </row>
    <row r="32" spans="1:8">
      <c r="A32" s="1">
        <v>27</v>
      </c>
      <c r="B32" t="s">
        <v>2491</v>
      </c>
      <c r="C32">
        <v>86.46</v>
      </c>
      <c r="D32">
        <v>15.87</v>
      </c>
      <c r="E32">
        <v>0.99589799999999995</v>
      </c>
      <c r="F32">
        <v>80.91</v>
      </c>
      <c r="G32">
        <v>2</v>
      </c>
      <c r="H32">
        <v>19.41</v>
      </c>
    </row>
    <row r="33" spans="1:8">
      <c r="A33" s="1">
        <v>28</v>
      </c>
      <c r="B33" t="s">
        <v>2492</v>
      </c>
      <c r="C33">
        <v>92.28</v>
      </c>
      <c r="D33">
        <v>15.93</v>
      </c>
      <c r="E33">
        <v>0.99999199999999999</v>
      </c>
      <c r="F33">
        <v>92.01</v>
      </c>
      <c r="G33">
        <v>2</v>
      </c>
      <c r="H33">
        <v>19.38</v>
      </c>
    </row>
    <row r="34" spans="1:8">
      <c r="A34" s="1">
        <v>29</v>
      </c>
      <c r="B34" t="s">
        <v>2493</v>
      </c>
      <c r="C34">
        <v>82.54</v>
      </c>
      <c r="D34">
        <v>15.83</v>
      </c>
      <c r="E34">
        <v>0.99999099999999996</v>
      </c>
      <c r="F34">
        <v>82.29</v>
      </c>
      <c r="G34">
        <v>2</v>
      </c>
      <c r="H34">
        <v>19.440000000000001</v>
      </c>
    </row>
    <row r="35" spans="1:8">
      <c r="A35" s="1">
        <v>30</v>
      </c>
      <c r="B35" t="s">
        <v>2494</v>
      </c>
      <c r="C35">
        <v>102.16</v>
      </c>
      <c r="D35">
        <v>16.02</v>
      </c>
      <c r="E35">
        <v>0.99998699999999996</v>
      </c>
      <c r="F35">
        <v>101.8</v>
      </c>
      <c r="G35">
        <v>2</v>
      </c>
      <c r="H35">
        <v>19.309999999999999</v>
      </c>
    </row>
    <row r="36" spans="1:8">
      <c r="A36" s="1">
        <v>31</v>
      </c>
      <c r="B36" t="s">
        <v>2495</v>
      </c>
      <c r="C36">
        <v>91.64</v>
      </c>
      <c r="D36">
        <v>15.92</v>
      </c>
      <c r="E36">
        <v>0.98675400000000002</v>
      </c>
      <c r="F36">
        <v>81.02</v>
      </c>
      <c r="G36">
        <v>0</v>
      </c>
      <c r="H36">
        <v>19.37</v>
      </c>
    </row>
    <row r="37" spans="1:8">
      <c r="A37" s="1">
        <v>32</v>
      </c>
      <c r="B37" t="s">
        <v>2496</v>
      </c>
      <c r="C37">
        <v>102.16</v>
      </c>
      <c r="D37">
        <v>16.02</v>
      </c>
      <c r="E37">
        <v>0.99998699999999996</v>
      </c>
      <c r="F37">
        <v>101.8</v>
      </c>
      <c r="G37">
        <v>2</v>
      </c>
      <c r="H37">
        <v>19.309999999999999</v>
      </c>
    </row>
    <row r="38" spans="1:8">
      <c r="A38" s="1">
        <v>33</v>
      </c>
      <c r="B38" t="s">
        <v>2497</v>
      </c>
      <c r="C38">
        <v>96.58</v>
      </c>
      <c r="D38">
        <v>15.97</v>
      </c>
      <c r="E38">
        <v>0.99769099999999999</v>
      </c>
      <c r="F38">
        <v>91.93</v>
      </c>
      <c r="G38">
        <v>0</v>
      </c>
      <c r="H38">
        <v>19.34</v>
      </c>
    </row>
    <row r="39" spans="1:8">
      <c r="A39" s="1">
        <v>34</v>
      </c>
      <c r="B39" t="s">
        <v>2498</v>
      </c>
      <c r="C39">
        <v>91.64</v>
      </c>
      <c r="D39">
        <v>15.92</v>
      </c>
      <c r="E39">
        <v>0.98675400000000002</v>
      </c>
      <c r="F39">
        <v>81.02</v>
      </c>
      <c r="G39">
        <v>0</v>
      </c>
      <c r="H39">
        <v>19.37</v>
      </c>
    </row>
    <row r="40" spans="1:8">
      <c r="A40" s="1">
        <v>35</v>
      </c>
      <c r="B40" t="s">
        <v>2499</v>
      </c>
      <c r="C40">
        <v>91.64</v>
      </c>
      <c r="D40">
        <v>15.92</v>
      </c>
      <c r="E40">
        <v>0.98675400000000002</v>
      </c>
      <c r="F40">
        <v>81.02</v>
      </c>
      <c r="G40">
        <v>0</v>
      </c>
      <c r="H40">
        <v>19.37</v>
      </c>
    </row>
    <row r="41" spans="1:8">
      <c r="A41" s="1">
        <v>36</v>
      </c>
      <c r="B41" t="s">
        <v>2500</v>
      </c>
      <c r="C41">
        <v>82.54</v>
      </c>
      <c r="D41">
        <v>15.83</v>
      </c>
      <c r="E41">
        <v>0.99999099999999996</v>
      </c>
      <c r="F41">
        <v>82.29</v>
      </c>
      <c r="G41">
        <v>2</v>
      </c>
      <c r="H41">
        <v>19.440000000000001</v>
      </c>
    </row>
    <row r="42" spans="1:8">
      <c r="A42" s="1">
        <v>37</v>
      </c>
      <c r="B42" t="s">
        <v>2501</v>
      </c>
      <c r="C42">
        <v>91.64</v>
      </c>
      <c r="D42">
        <v>15.92</v>
      </c>
      <c r="E42">
        <v>0.98675400000000002</v>
      </c>
      <c r="F42">
        <v>81.02</v>
      </c>
      <c r="G42">
        <v>0</v>
      </c>
      <c r="H42">
        <v>19.37</v>
      </c>
    </row>
    <row r="43" spans="1:8">
      <c r="A43" s="1">
        <v>38</v>
      </c>
      <c r="B43" t="s">
        <v>2502</v>
      </c>
      <c r="C43">
        <v>82.33</v>
      </c>
      <c r="D43">
        <v>15.83</v>
      </c>
      <c r="E43">
        <v>1</v>
      </c>
      <c r="F43">
        <v>82.29</v>
      </c>
      <c r="G43">
        <v>0</v>
      </c>
      <c r="H43">
        <v>19.440000000000001</v>
      </c>
    </row>
    <row r="44" spans="1:8">
      <c r="A44" s="1">
        <v>39</v>
      </c>
      <c r="B44" t="s">
        <v>2503</v>
      </c>
      <c r="C44">
        <v>91.85</v>
      </c>
      <c r="D44">
        <v>15.92</v>
      </c>
      <c r="E44">
        <v>0.98945000000000005</v>
      </c>
      <c r="F44">
        <v>82.37</v>
      </c>
      <c r="G44">
        <v>2</v>
      </c>
      <c r="H44">
        <v>19.37</v>
      </c>
    </row>
    <row r="45" spans="1:8">
      <c r="A45" s="1">
        <v>40</v>
      </c>
      <c r="B45" t="s">
        <v>2504</v>
      </c>
      <c r="C45">
        <v>91.64</v>
      </c>
      <c r="D45">
        <v>15.92</v>
      </c>
      <c r="E45">
        <v>0.98675400000000002</v>
      </c>
      <c r="F45">
        <v>81.02</v>
      </c>
      <c r="G45">
        <v>0</v>
      </c>
      <c r="H45">
        <v>19.37</v>
      </c>
    </row>
    <row r="46" spans="1:8">
      <c r="A46" s="1">
        <v>41</v>
      </c>
      <c r="B46" t="s">
        <v>2505</v>
      </c>
      <c r="C46">
        <v>86.88</v>
      </c>
      <c r="D46">
        <v>15.88</v>
      </c>
      <c r="E46">
        <v>0.99668400000000001</v>
      </c>
      <c r="F46">
        <v>81.87</v>
      </c>
      <c r="G46">
        <v>0</v>
      </c>
      <c r="H46">
        <v>19.41</v>
      </c>
    </row>
    <row r="47" spans="1:8">
      <c r="A47" s="1">
        <v>42</v>
      </c>
      <c r="B47" t="s">
        <v>2506</v>
      </c>
      <c r="C47">
        <v>82.54</v>
      </c>
      <c r="D47">
        <v>15.83</v>
      </c>
      <c r="E47">
        <v>0.99999099999999996</v>
      </c>
      <c r="F47">
        <v>82.29</v>
      </c>
      <c r="G47">
        <v>2</v>
      </c>
      <c r="H47">
        <v>19.440000000000001</v>
      </c>
    </row>
    <row r="48" spans="1:8">
      <c r="A48" s="1">
        <v>43</v>
      </c>
      <c r="B48" t="s">
        <v>2507</v>
      </c>
      <c r="C48">
        <v>91.85</v>
      </c>
      <c r="D48">
        <v>15.92</v>
      </c>
      <c r="E48">
        <v>0.98945000000000005</v>
      </c>
      <c r="F48">
        <v>82.37</v>
      </c>
      <c r="G48">
        <v>2</v>
      </c>
      <c r="H48">
        <v>19.37</v>
      </c>
    </row>
    <row r="49" spans="1:8">
      <c r="A49" s="1">
        <v>44</v>
      </c>
      <c r="B49" t="s">
        <v>2508</v>
      </c>
      <c r="C49">
        <v>86.88</v>
      </c>
      <c r="D49">
        <v>15.88</v>
      </c>
      <c r="E49">
        <v>0.99668400000000001</v>
      </c>
      <c r="F49">
        <v>81.87</v>
      </c>
      <c r="G49">
        <v>0</v>
      </c>
      <c r="H49">
        <v>19.41</v>
      </c>
    </row>
    <row r="50" spans="1:8">
      <c r="A50" s="1">
        <v>45</v>
      </c>
      <c r="B50" t="s">
        <v>2509</v>
      </c>
      <c r="C50">
        <v>91.64</v>
      </c>
      <c r="D50">
        <v>15.92</v>
      </c>
      <c r="E50">
        <v>0.98675400000000002</v>
      </c>
      <c r="F50">
        <v>81.02</v>
      </c>
      <c r="G50">
        <v>0</v>
      </c>
      <c r="H50">
        <v>19.37</v>
      </c>
    </row>
    <row r="51" spans="1:8">
      <c r="A51" s="1">
        <v>46</v>
      </c>
      <c r="B51" t="s">
        <v>2510</v>
      </c>
      <c r="C51">
        <v>91.64</v>
      </c>
      <c r="D51">
        <v>15.92</v>
      </c>
      <c r="E51">
        <v>0.98675400000000002</v>
      </c>
      <c r="F51">
        <v>81.02</v>
      </c>
      <c r="G51">
        <v>0</v>
      </c>
      <c r="H51">
        <v>19.37</v>
      </c>
    </row>
    <row r="52" spans="1:8">
      <c r="A52" s="1">
        <v>47</v>
      </c>
      <c r="B52" t="s">
        <v>2511</v>
      </c>
      <c r="C52">
        <v>82.54</v>
      </c>
      <c r="D52">
        <v>15.83</v>
      </c>
      <c r="E52">
        <v>0.99999099999999996</v>
      </c>
      <c r="F52">
        <v>82.29</v>
      </c>
      <c r="G52">
        <v>2</v>
      </c>
      <c r="H52">
        <v>19.440000000000001</v>
      </c>
    </row>
    <row r="53" spans="1:8">
      <c r="A53" s="1">
        <v>48</v>
      </c>
      <c r="B53" t="s">
        <v>2512</v>
      </c>
      <c r="C53">
        <v>101.82</v>
      </c>
      <c r="D53">
        <v>16.02</v>
      </c>
      <c r="E53">
        <v>0.99999800000000005</v>
      </c>
      <c r="F53">
        <v>101.68</v>
      </c>
      <c r="G53">
        <v>0</v>
      </c>
      <c r="H53">
        <v>19.309999999999999</v>
      </c>
    </row>
    <row r="54" spans="1:8">
      <c r="A54" s="1">
        <v>49</v>
      </c>
      <c r="B54" t="s">
        <v>2513</v>
      </c>
      <c r="C54">
        <v>97.32</v>
      </c>
      <c r="D54">
        <v>15.98</v>
      </c>
      <c r="E54">
        <v>0.99759299999999995</v>
      </c>
      <c r="F54">
        <v>92.54</v>
      </c>
      <c r="G54">
        <v>0</v>
      </c>
      <c r="H54">
        <v>19.34</v>
      </c>
    </row>
    <row r="55" spans="1:8">
      <c r="A55" s="1">
        <v>50</v>
      </c>
      <c r="B55" t="s">
        <v>2514</v>
      </c>
      <c r="C55">
        <v>96.81</v>
      </c>
      <c r="D55">
        <v>15.97</v>
      </c>
      <c r="E55">
        <v>0.99742900000000001</v>
      </c>
      <c r="F55">
        <v>91.89</v>
      </c>
      <c r="G55">
        <v>2</v>
      </c>
      <c r="H55">
        <v>19.34</v>
      </c>
    </row>
    <row r="56" spans="1:8">
      <c r="B56" s="1" t="s">
        <v>19</v>
      </c>
      <c r="C56" s="1">
        <f>AVERAGE(C6:C55)</f>
        <v>91.44559999999997</v>
      </c>
      <c r="D56" s="1">
        <f t="shared" ref="D56:H56" si="0">AVERAGE(D6:D55)</f>
        <v>15.918799999999999</v>
      </c>
      <c r="E56" s="1">
        <f t="shared" si="0"/>
        <v>0.99379447999999981</v>
      </c>
      <c r="F56" s="1">
        <f t="shared" si="0"/>
        <v>85.571600000000004</v>
      </c>
      <c r="H56" s="1">
        <f t="shared" si="0"/>
        <v>19.376600000000003</v>
      </c>
    </row>
    <row r="57" spans="1:8">
      <c r="B57" s="1" t="s">
        <v>20</v>
      </c>
      <c r="C57" s="1">
        <f>MIN(C5:C55)</f>
        <v>82.33</v>
      </c>
      <c r="D57" s="1">
        <f t="shared" ref="D57:H57" si="1">MIN(D5:D55)</f>
        <v>15.83</v>
      </c>
      <c r="E57" s="1">
        <f t="shared" si="1"/>
        <v>0.98675400000000002</v>
      </c>
      <c r="F57" s="1">
        <f t="shared" si="1"/>
        <v>80.91</v>
      </c>
      <c r="H57" s="1">
        <f t="shared" si="1"/>
        <v>19.309999999999999</v>
      </c>
    </row>
    <row r="58" spans="1:8">
      <c r="B58" s="1" t="s">
        <v>3</v>
      </c>
      <c r="C58" s="1">
        <f>STDEV(C6:C55)</f>
        <v>5.4447518861781505</v>
      </c>
      <c r="D58" s="1">
        <f t="shared" ref="D58:E58" si="2">STDEV(D6:D55)</f>
        <v>5.3132103366639476E-2</v>
      </c>
      <c r="E58" s="1">
        <f t="shared" si="2"/>
        <v>5.7439615826411052E-3</v>
      </c>
      <c r="F58" s="1">
        <f>STDEV(F6:F55)</f>
        <v>6.5171304440289539</v>
      </c>
      <c r="H58" s="1">
        <f>STDEV(H6:H55)</f>
        <v>3.7011305498373261E-2</v>
      </c>
    </row>
    <row r="60" spans="1:8">
      <c r="H60" s="18" t="s">
        <v>1435</v>
      </c>
    </row>
    <row r="61" spans="1:8" ht="18">
      <c r="A61" s="18" t="s">
        <v>7</v>
      </c>
      <c r="B61" s="3" t="s">
        <v>8</v>
      </c>
      <c r="C61" s="18" t="s">
        <v>4</v>
      </c>
      <c r="D61" s="18" t="s">
        <v>322</v>
      </c>
      <c r="E61" s="18" t="s">
        <v>321</v>
      </c>
      <c r="F61" s="18" t="s">
        <v>324</v>
      </c>
      <c r="G61" s="18" t="s">
        <v>323</v>
      </c>
      <c r="H61" s="18" t="s">
        <v>1436</v>
      </c>
    </row>
    <row r="62" spans="1:8">
      <c r="A62" s="1">
        <v>1</v>
      </c>
      <c r="B62" t="s">
        <v>2615</v>
      </c>
      <c r="C62">
        <v>92.08</v>
      </c>
      <c r="D62">
        <v>39.82</v>
      </c>
      <c r="E62">
        <v>0.99570599999999998</v>
      </c>
      <c r="F62">
        <v>83.02</v>
      </c>
      <c r="G62">
        <v>2</v>
      </c>
      <c r="H62">
        <v>19.37</v>
      </c>
    </row>
    <row r="63" spans="1:8">
      <c r="A63" s="1">
        <v>2</v>
      </c>
      <c r="B63" t="s">
        <v>2616</v>
      </c>
      <c r="C63">
        <v>95.74</v>
      </c>
      <c r="D63">
        <v>39.9</v>
      </c>
      <c r="E63">
        <v>0.99395</v>
      </c>
      <c r="F63">
        <v>82.06</v>
      </c>
      <c r="G63">
        <v>2</v>
      </c>
      <c r="H63">
        <v>19.34</v>
      </c>
    </row>
    <row r="64" spans="1:8">
      <c r="A64" s="1">
        <v>3</v>
      </c>
      <c r="B64" t="s">
        <v>2617</v>
      </c>
      <c r="C64">
        <v>91.97</v>
      </c>
      <c r="D64">
        <v>39.81</v>
      </c>
      <c r="E64">
        <v>0.99160000000000004</v>
      </c>
      <c r="F64">
        <v>82.52</v>
      </c>
      <c r="G64">
        <v>6</v>
      </c>
      <c r="H64">
        <v>19.37</v>
      </c>
    </row>
    <row r="65" spans="1:8">
      <c r="A65" s="1">
        <v>4</v>
      </c>
      <c r="B65" t="s">
        <v>2618</v>
      </c>
      <c r="C65">
        <v>99.15</v>
      </c>
      <c r="D65">
        <v>39.979999999999997</v>
      </c>
      <c r="E65">
        <v>0.99800999999999995</v>
      </c>
      <c r="F65">
        <v>90.43</v>
      </c>
      <c r="G65">
        <v>2</v>
      </c>
      <c r="H65">
        <v>19.32</v>
      </c>
    </row>
    <row r="66" spans="1:8">
      <c r="A66" s="1">
        <v>5</v>
      </c>
      <c r="B66" t="s">
        <v>2619</v>
      </c>
      <c r="C66">
        <v>89.5</v>
      </c>
      <c r="D66">
        <v>39.75</v>
      </c>
      <c r="E66">
        <v>0.99331999999999998</v>
      </c>
      <c r="F66">
        <v>81.64</v>
      </c>
      <c r="G66">
        <v>4</v>
      </c>
      <c r="H66">
        <v>19.39</v>
      </c>
    </row>
    <row r="67" spans="1:8">
      <c r="A67" s="1">
        <v>6</v>
      </c>
      <c r="B67" t="s">
        <v>2620</v>
      </c>
      <c r="C67">
        <v>89.52</v>
      </c>
      <c r="D67">
        <v>39.75</v>
      </c>
      <c r="E67">
        <v>0.99292499999999995</v>
      </c>
      <c r="F67">
        <v>81.33</v>
      </c>
      <c r="G67">
        <v>2</v>
      </c>
      <c r="H67">
        <v>19.38</v>
      </c>
    </row>
    <row r="68" spans="1:8">
      <c r="A68" s="1">
        <v>7</v>
      </c>
      <c r="B68" t="s">
        <v>2621</v>
      </c>
      <c r="C68">
        <v>94.1</v>
      </c>
      <c r="D68">
        <v>39.86</v>
      </c>
      <c r="E68">
        <v>0.99345399999999995</v>
      </c>
      <c r="F68">
        <v>81.87</v>
      </c>
      <c r="G68">
        <v>2</v>
      </c>
      <c r="H68">
        <v>19.36</v>
      </c>
    </row>
    <row r="69" spans="1:8">
      <c r="A69" s="1">
        <v>8</v>
      </c>
      <c r="B69" t="s">
        <v>2622</v>
      </c>
      <c r="C69">
        <v>93.79</v>
      </c>
      <c r="D69">
        <v>39.85</v>
      </c>
      <c r="E69">
        <v>0.98939999999999995</v>
      </c>
      <c r="F69">
        <v>81.599999999999994</v>
      </c>
      <c r="G69">
        <v>8</v>
      </c>
      <c r="H69">
        <v>19.36</v>
      </c>
    </row>
    <row r="70" spans="1:8">
      <c r="A70" s="1">
        <v>9</v>
      </c>
      <c r="B70" t="s">
        <v>2623</v>
      </c>
      <c r="C70">
        <v>91.78</v>
      </c>
      <c r="D70">
        <v>39.799999999999997</v>
      </c>
      <c r="E70">
        <v>0.99147600000000002</v>
      </c>
      <c r="F70">
        <v>82.41</v>
      </c>
      <c r="G70">
        <v>2</v>
      </c>
      <c r="H70">
        <v>19.37</v>
      </c>
    </row>
    <row r="71" spans="1:8">
      <c r="A71" s="1">
        <v>10</v>
      </c>
      <c r="B71" t="s">
        <v>2624</v>
      </c>
      <c r="C71">
        <v>97.67</v>
      </c>
      <c r="D71">
        <v>39.950000000000003</v>
      </c>
      <c r="E71">
        <v>0.99743800000000005</v>
      </c>
      <c r="F71">
        <v>91.32</v>
      </c>
      <c r="G71">
        <v>4</v>
      </c>
      <c r="H71">
        <v>19.329999999999998</v>
      </c>
    </row>
    <row r="72" spans="1:8">
      <c r="A72" s="1">
        <v>11</v>
      </c>
      <c r="B72" t="s">
        <v>2625</v>
      </c>
      <c r="C72">
        <v>94.3</v>
      </c>
      <c r="D72">
        <v>39.869999999999997</v>
      </c>
      <c r="E72">
        <v>0.99502400000000002</v>
      </c>
      <c r="F72">
        <v>83.64</v>
      </c>
      <c r="G72">
        <v>0</v>
      </c>
      <c r="H72">
        <v>19.36</v>
      </c>
    </row>
    <row r="73" spans="1:8">
      <c r="A73" s="1">
        <v>12</v>
      </c>
      <c r="B73" t="s">
        <v>2626</v>
      </c>
      <c r="C73">
        <v>95.59</v>
      </c>
      <c r="D73">
        <v>39.9</v>
      </c>
      <c r="E73">
        <v>0.99751299999999998</v>
      </c>
      <c r="F73">
        <v>90.78</v>
      </c>
      <c r="G73">
        <v>6</v>
      </c>
      <c r="H73">
        <v>19.34</v>
      </c>
    </row>
    <row r="74" spans="1:8">
      <c r="A74" s="1">
        <v>13</v>
      </c>
      <c r="B74" t="s">
        <v>2627</v>
      </c>
      <c r="C74">
        <v>90.42</v>
      </c>
      <c r="D74">
        <v>39.770000000000003</v>
      </c>
      <c r="E74">
        <v>0.99385000000000001</v>
      </c>
      <c r="F74">
        <v>82.14</v>
      </c>
      <c r="G74">
        <v>8</v>
      </c>
      <c r="H74">
        <v>19.39</v>
      </c>
    </row>
    <row r="75" spans="1:8">
      <c r="A75" s="1">
        <v>14</v>
      </c>
      <c r="B75" t="s">
        <v>2628</v>
      </c>
      <c r="C75">
        <v>91.6</v>
      </c>
      <c r="D75">
        <v>39.799999999999997</v>
      </c>
      <c r="E75">
        <v>0.99594400000000005</v>
      </c>
      <c r="F75">
        <v>81.72</v>
      </c>
      <c r="G75">
        <v>6</v>
      </c>
      <c r="H75">
        <v>19.37</v>
      </c>
    </row>
    <row r="76" spans="1:8">
      <c r="A76" s="1">
        <v>15</v>
      </c>
      <c r="B76" t="s">
        <v>2629</v>
      </c>
      <c r="C76">
        <v>91.6</v>
      </c>
      <c r="D76">
        <v>39.799999999999997</v>
      </c>
      <c r="E76">
        <v>0.99474200000000002</v>
      </c>
      <c r="F76">
        <v>81.02</v>
      </c>
      <c r="G76">
        <v>8</v>
      </c>
      <c r="H76">
        <v>19.37</v>
      </c>
    </row>
    <row r="77" spans="1:8">
      <c r="A77" s="1">
        <v>16</v>
      </c>
      <c r="B77" t="s">
        <v>2630</v>
      </c>
      <c r="C77">
        <v>80.290000000000006</v>
      </c>
      <c r="D77">
        <v>39.39</v>
      </c>
      <c r="E77">
        <v>0.90297099999999997</v>
      </c>
      <c r="F77">
        <v>47.69</v>
      </c>
      <c r="G77">
        <v>2</v>
      </c>
      <c r="H77">
        <v>15.67</v>
      </c>
    </row>
    <row r="78" spans="1:8">
      <c r="A78" s="1">
        <v>17</v>
      </c>
      <c r="B78" t="s">
        <v>2631</v>
      </c>
      <c r="C78">
        <v>90.05</v>
      </c>
      <c r="D78">
        <v>39.76</v>
      </c>
      <c r="E78">
        <v>0.98952799999999996</v>
      </c>
      <c r="F78">
        <v>82.06</v>
      </c>
      <c r="G78">
        <v>6</v>
      </c>
      <c r="H78">
        <v>19.39</v>
      </c>
    </row>
    <row r="79" spans="1:8">
      <c r="A79" s="1">
        <v>18</v>
      </c>
      <c r="B79" t="s">
        <v>2632</v>
      </c>
      <c r="C79">
        <v>89.84</v>
      </c>
      <c r="D79">
        <v>39.76</v>
      </c>
      <c r="E79">
        <v>0.99330799999999997</v>
      </c>
      <c r="F79">
        <v>81.680000000000007</v>
      </c>
      <c r="G79">
        <v>8</v>
      </c>
      <c r="H79">
        <v>19.38</v>
      </c>
    </row>
    <row r="80" spans="1:8">
      <c r="A80" s="1">
        <v>19</v>
      </c>
      <c r="B80" t="s">
        <v>2633</v>
      </c>
      <c r="C80">
        <v>97.87</v>
      </c>
      <c r="D80">
        <v>39.950000000000003</v>
      </c>
      <c r="E80">
        <v>0.99382000000000004</v>
      </c>
      <c r="F80">
        <v>82.48</v>
      </c>
      <c r="G80">
        <v>8</v>
      </c>
      <c r="H80">
        <v>19.329999999999998</v>
      </c>
    </row>
    <row r="81" spans="1:8">
      <c r="A81" s="1">
        <v>20</v>
      </c>
      <c r="B81" t="s">
        <v>2634</v>
      </c>
      <c r="C81">
        <v>88.16</v>
      </c>
      <c r="D81">
        <v>39.72</v>
      </c>
      <c r="E81">
        <v>0.99187499999999995</v>
      </c>
      <c r="F81">
        <v>81.33</v>
      </c>
      <c r="G81">
        <v>4</v>
      </c>
      <c r="H81">
        <v>19.399999999999999</v>
      </c>
    </row>
    <row r="82" spans="1:8">
      <c r="A82" s="1">
        <v>21</v>
      </c>
      <c r="B82" t="s">
        <v>2635</v>
      </c>
      <c r="C82">
        <v>99.56</v>
      </c>
      <c r="D82">
        <v>39.99</v>
      </c>
      <c r="E82">
        <v>0.99821199999999999</v>
      </c>
      <c r="F82">
        <v>91.2</v>
      </c>
      <c r="G82">
        <v>6</v>
      </c>
      <c r="H82">
        <v>19.309999999999999</v>
      </c>
    </row>
    <row r="83" spans="1:8">
      <c r="A83" s="1">
        <v>22</v>
      </c>
      <c r="B83" t="s">
        <v>2636</v>
      </c>
      <c r="C83">
        <v>90.36</v>
      </c>
      <c r="D83">
        <v>39.770000000000003</v>
      </c>
      <c r="E83">
        <v>0.99387400000000004</v>
      </c>
      <c r="F83">
        <v>82.48</v>
      </c>
      <c r="G83">
        <v>6</v>
      </c>
      <c r="H83">
        <v>19.39</v>
      </c>
    </row>
    <row r="84" spans="1:8">
      <c r="A84" s="1">
        <v>23</v>
      </c>
      <c r="B84" t="s">
        <v>2637</v>
      </c>
      <c r="C84">
        <v>91.84</v>
      </c>
      <c r="D84">
        <v>39.799999999999997</v>
      </c>
      <c r="E84">
        <v>0.99063900000000005</v>
      </c>
      <c r="F84">
        <v>81.91</v>
      </c>
      <c r="G84">
        <v>2</v>
      </c>
      <c r="H84">
        <v>19.37</v>
      </c>
    </row>
    <row r="85" spans="1:8">
      <c r="A85" s="1">
        <v>24</v>
      </c>
      <c r="B85" t="s">
        <v>2638</v>
      </c>
      <c r="C85">
        <v>91.77</v>
      </c>
      <c r="D85">
        <v>39.799999999999997</v>
      </c>
      <c r="E85">
        <v>0.99085500000000004</v>
      </c>
      <c r="F85">
        <v>80.91</v>
      </c>
      <c r="G85">
        <v>2</v>
      </c>
      <c r="H85">
        <v>19.37</v>
      </c>
    </row>
    <row r="86" spans="1:8">
      <c r="A86" s="1">
        <v>25</v>
      </c>
      <c r="B86" t="s">
        <v>2639</v>
      </c>
      <c r="C86">
        <v>90.09</v>
      </c>
      <c r="D86">
        <v>39.76</v>
      </c>
      <c r="E86">
        <v>0.98951</v>
      </c>
      <c r="F86">
        <v>82.1</v>
      </c>
      <c r="G86">
        <v>0</v>
      </c>
      <c r="H86">
        <v>19.39</v>
      </c>
    </row>
    <row r="87" spans="1:8">
      <c r="A87" s="1">
        <v>26</v>
      </c>
      <c r="B87" t="s">
        <v>2640</v>
      </c>
      <c r="C87">
        <v>69.73</v>
      </c>
      <c r="D87">
        <v>39.119999999999997</v>
      </c>
      <c r="E87">
        <v>0.92443299999999995</v>
      </c>
      <c r="F87">
        <v>45.12</v>
      </c>
      <c r="G87">
        <v>8</v>
      </c>
      <c r="H87">
        <v>15.71</v>
      </c>
    </row>
    <row r="88" spans="1:8">
      <c r="A88" s="1">
        <v>27</v>
      </c>
      <c r="B88" t="s">
        <v>2641</v>
      </c>
      <c r="C88">
        <v>67.83</v>
      </c>
      <c r="D88">
        <v>37.44</v>
      </c>
      <c r="E88">
        <v>0.80038500000000001</v>
      </c>
      <c r="F88">
        <v>0.54</v>
      </c>
      <c r="G88">
        <v>8</v>
      </c>
      <c r="H88">
        <v>15.52</v>
      </c>
    </row>
    <row r="89" spans="1:8">
      <c r="A89" s="1">
        <v>28</v>
      </c>
      <c r="B89" t="s">
        <v>2642</v>
      </c>
      <c r="C89">
        <v>91.55</v>
      </c>
      <c r="D89">
        <v>39.799999999999997</v>
      </c>
      <c r="E89">
        <v>0.99189099999999997</v>
      </c>
      <c r="F89">
        <v>82.21</v>
      </c>
      <c r="G89">
        <v>6</v>
      </c>
      <c r="H89">
        <v>19.37</v>
      </c>
    </row>
    <row r="90" spans="1:8">
      <c r="A90" s="1">
        <v>29</v>
      </c>
      <c r="B90" t="s">
        <v>2643</v>
      </c>
      <c r="C90">
        <v>79.599999999999994</v>
      </c>
      <c r="D90">
        <v>39.4</v>
      </c>
      <c r="E90">
        <v>0.92047999999999996</v>
      </c>
      <c r="F90">
        <v>50.42</v>
      </c>
      <c r="G90">
        <v>2</v>
      </c>
      <c r="H90">
        <v>15.68</v>
      </c>
    </row>
    <row r="91" spans="1:8">
      <c r="A91" s="1">
        <v>30</v>
      </c>
      <c r="B91" t="s">
        <v>2644</v>
      </c>
      <c r="C91">
        <v>85.82</v>
      </c>
      <c r="D91">
        <v>39.64</v>
      </c>
      <c r="E91">
        <v>0.97295900000000002</v>
      </c>
      <c r="F91">
        <v>63.28</v>
      </c>
      <c r="G91">
        <v>2</v>
      </c>
      <c r="H91">
        <v>17.899999999999999</v>
      </c>
    </row>
    <row r="92" spans="1:8">
      <c r="A92" s="1">
        <v>31</v>
      </c>
      <c r="B92" t="s">
        <v>2645</v>
      </c>
      <c r="C92">
        <v>92.02</v>
      </c>
      <c r="D92">
        <v>39.81</v>
      </c>
      <c r="E92">
        <v>0.99525399999999997</v>
      </c>
      <c r="F92">
        <v>81.52</v>
      </c>
      <c r="G92">
        <v>8</v>
      </c>
      <c r="H92">
        <v>19.37</v>
      </c>
    </row>
    <row r="93" spans="1:8">
      <c r="A93" s="1">
        <v>32</v>
      </c>
      <c r="B93" t="s">
        <v>2646</v>
      </c>
      <c r="C93">
        <v>75.69</v>
      </c>
      <c r="D93">
        <v>39.299999999999997</v>
      </c>
      <c r="E93">
        <v>0.92749700000000002</v>
      </c>
      <c r="F93">
        <v>49.19</v>
      </c>
      <c r="G93">
        <v>6</v>
      </c>
      <c r="H93">
        <v>15.72</v>
      </c>
    </row>
    <row r="94" spans="1:8">
      <c r="A94" s="1">
        <v>33</v>
      </c>
      <c r="B94" t="s">
        <v>2647</v>
      </c>
      <c r="C94">
        <v>87.94</v>
      </c>
      <c r="D94">
        <v>39.71</v>
      </c>
      <c r="E94">
        <v>0.99199000000000004</v>
      </c>
      <c r="F94">
        <v>81.41</v>
      </c>
      <c r="G94">
        <v>8</v>
      </c>
      <c r="H94">
        <v>19.399999999999999</v>
      </c>
    </row>
    <row r="95" spans="1:8">
      <c r="A95" s="1">
        <v>34</v>
      </c>
      <c r="B95" t="s">
        <v>2648</v>
      </c>
      <c r="C95">
        <v>94.46</v>
      </c>
      <c r="D95">
        <v>39.86</v>
      </c>
      <c r="E95">
        <v>0.988479</v>
      </c>
      <c r="F95">
        <v>81.87</v>
      </c>
      <c r="G95">
        <v>0</v>
      </c>
      <c r="H95">
        <v>19.36</v>
      </c>
    </row>
    <row r="96" spans="1:8">
      <c r="A96" s="1">
        <v>35</v>
      </c>
      <c r="B96" t="s">
        <v>2649</v>
      </c>
      <c r="C96">
        <v>85.89</v>
      </c>
      <c r="D96">
        <v>39.67</v>
      </c>
      <c r="E96">
        <v>0.99659699999999996</v>
      </c>
      <c r="F96">
        <v>81.680000000000007</v>
      </c>
      <c r="G96">
        <v>6</v>
      </c>
      <c r="H96">
        <v>19.41</v>
      </c>
    </row>
    <row r="97" spans="1:8">
      <c r="A97" s="1">
        <v>36</v>
      </c>
      <c r="B97" t="s">
        <v>2650</v>
      </c>
      <c r="C97">
        <v>92.57</v>
      </c>
      <c r="D97">
        <v>39.82</v>
      </c>
      <c r="E97">
        <v>0.99046999999999996</v>
      </c>
      <c r="F97">
        <v>81.290000000000006</v>
      </c>
      <c r="G97">
        <v>0</v>
      </c>
      <c r="H97">
        <v>19.37</v>
      </c>
    </row>
    <row r="98" spans="1:8">
      <c r="A98" s="1">
        <v>37</v>
      </c>
      <c r="B98" t="s">
        <v>2651</v>
      </c>
      <c r="C98">
        <v>88.2</v>
      </c>
      <c r="D98">
        <v>39.72</v>
      </c>
      <c r="E98">
        <v>0.99198399999999998</v>
      </c>
      <c r="F98">
        <v>81.72</v>
      </c>
      <c r="G98">
        <v>8</v>
      </c>
      <c r="H98">
        <v>19.399999999999999</v>
      </c>
    </row>
    <row r="99" spans="1:8">
      <c r="A99" s="1">
        <v>38</v>
      </c>
      <c r="B99" t="s">
        <v>2652</v>
      </c>
      <c r="C99">
        <v>94.03</v>
      </c>
      <c r="D99">
        <v>39.86</v>
      </c>
      <c r="E99">
        <v>0.99380100000000005</v>
      </c>
      <c r="F99">
        <v>82.18</v>
      </c>
      <c r="G99">
        <v>4</v>
      </c>
      <c r="H99">
        <v>19.36</v>
      </c>
    </row>
    <row r="100" spans="1:8">
      <c r="A100" s="1">
        <v>39</v>
      </c>
      <c r="B100" t="s">
        <v>2653</v>
      </c>
      <c r="C100">
        <v>91.91</v>
      </c>
      <c r="D100">
        <v>39.81</v>
      </c>
      <c r="E100">
        <v>0.99046500000000004</v>
      </c>
      <c r="F100">
        <v>81.48</v>
      </c>
      <c r="G100">
        <v>0</v>
      </c>
      <c r="H100">
        <v>19.37</v>
      </c>
    </row>
    <row r="101" spans="1:8">
      <c r="A101" s="1">
        <v>40</v>
      </c>
      <c r="B101" t="s">
        <v>2654</v>
      </c>
      <c r="C101">
        <v>86.03</v>
      </c>
      <c r="D101">
        <v>39.659999999999997</v>
      </c>
      <c r="E101">
        <v>0.99177599999999999</v>
      </c>
      <c r="F101">
        <v>81.52</v>
      </c>
      <c r="G101">
        <v>8</v>
      </c>
      <c r="H101">
        <v>19.41</v>
      </c>
    </row>
    <row r="102" spans="1:8">
      <c r="A102" s="1">
        <v>41</v>
      </c>
      <c r="B102" t="s">
        <v>2655</v>
      </c>
      <c r="C102">
        <v>97.99</v>
      </c>
      <c r="D102">
        <v>39.950000000000003</v>
      </c>
      <c r="E102">
        <v>0.99733099999999997</v>
      </c>
      <c r="F102">
        <v>91.55</v>
      </c>
      <c r="G102">
        <v>6</v>
      </c>
      <c r="H102">
        <v>19.32</v>
      </c>
    </row>
    <row r="103" spans="1:8">
      <c r="A103" s="1">
        <v>42</v>
      </c>
      <c r="B103" t="s">
        <v>2656</v>
      </c>
      <c r="C103">
        <v>86.57</v>
      </c>
      <c r="D103">
        <v>39.68</v>
      </c>
      <c r="E103">
        <v>0.99087199999999998</v>
      </c>
      <c r="F103">
        <v>82.06</v>
      </c>
      <c r="G103">
        <v>6</v>
      </c>
      <c r="H103">
        <v>19.41</v>
      </c>
    </row>
    <row r="104" spans="1:8">
      <c r="A104" s="1">
        <v>43</v>
      </c>
      <c r="B104" t="s">
        <v>2657</v>
      </c>
      <c r="C104">
        <v>96.05</v>
      </c>
      <c r="D104">
        <v>39.9</v>
      </c>
      <c r="E104">
        <v>0.99355099999999996</v>
      </c>
      <c r="F104">
        <v>82.68</v>
      </c>
      <c r="G104">
        <v>2</v>
      </c>
      <c r="H104">
        <v>19.34</v>
      </c>
    </row>
    <row r="105" spans="1:8">
      <c r="A105" s="1">
        <v>44</v>
      </c>
      <c r="B105" t="s">
        <v>2658</v>
      </c>
      <c r="C105">
        <v>91.9</v>
      </c>
      <c r="D105">
        <v>39.81</v>
      </c>
      <c r="E105">
        <v>0.99150700000000003</v>
      </c>
      <c r="F105">
        <v>81.98</v>
      </c>
      <c r="G105">
        <v>6</v>
      </c>
      <c r="H105">
        <v>19.37</v>
      </c>
    </row>
    <row r="106" spans="1:8">
      <c r="A106" s="1">
        <v>45</v>
      </c>
      <c r="B106" t="s">
        <v>2659</v>
      </c>
      <c r="C106">
        <v>94.45</v>
      </c>
      <c r="D106">
        <v>39.86</v>
      </c>
      <c r="E106">
        <v>0.989958</v>
      </c>
      <c r="F106">
        <v>82.52</v>
      </c>
      <c r="G106">
        <v>6</v>
      </c>
      <c r="H106">
        <v>19.36</v>
      </c>
    </row>
    <row r="107" spans="1:8">
      <c r="A107" s="1">
        <v>46</v>
      </c>
      <c r="B107" t="s">
        <v>2660</v>
      </c>
      <c r="C107">
        <v>83.26</v>
      </c>
      <c r="D107">
        <v>39.49</v>
      </c>
      <c r="E107">
        <v>0.92424899999999999</v>
      </c>
      <c r="F107">
        <v>41.89</v>
      </c>
      <c r="G107">
        <v>0</v>
      </c>
      <c r="H107">
        <v>16.02</v>
      </c>
    </row>
    <row r="108" spans="1:8">
      <c r="A108" s="1">
        <v>47</v>
      </c>
      <c r="B108" t="s">
        <v>2661</v>
      </c>
      <c r="C108">
        <v>94.1</v>
      </c>
      <c r="D108">
        <v>39.86</v>
      </c>
      <c r="E108">
        <v>0.98875000000000002</v>
      </c>
      <c r="F108">
        <v>81.599999999999994</v>
      </c>
      <c r="G108">
        <v>6</v>
      </c>
      <c r="H108">
        <v>19.36</v>
      </c>
    </row>
    <row r="109" spans="1:8">
      <c r="A109" s="1">
        <v>48</v>
      </c>
      <c r="B109" t="s">
        <v>2662</v>
      </c>
      <c r="C109">
        <v>87.94</v>
      </c>
      <c r="D109">
        <v>39.71</v>
      </c>
      <c r="E109">
        <v>0.99222399999999999</v>
      </c>
      <c r="F109">
        <v>81.64</v>
      </c>
      <c r="G109">
        <v>6</v>
      </c>
      <c r="H109">
        <v>19.399999999999999</v>
      </c>
    </row>
    <row r="110" spans="1:8">
      <c r="A110" s="1">
        <v>49</v>
      </c>
      <c r="B110" t="s">
        <v>2663</v>
      </c>
      <c r="C110">
        <v>74.3</v>
      </c>
      <c r="D110">
        <v>39.270000000000003</v>
      </c>
      <c r="E110">
        <v>0.934195</v>
      </c>
      <c r="F110">
        <v>51.76</v>
      </c>
      <c r="G110">
        <v>8</v>
      </c>
      <c r="H110">
        <v>15.75</v>
      </c>
    </row>
    <row r="111" spans="1:8">
      <c r="A111" s="1">
        <v>50</v>
      </c>
      <c r="B111" t="s">
        <v>2664</v>
      </c>
      <c r="C111">
        <v>88.19</v>
      </c>
      <c r="D111">
        <v>39.72</v>
      </c>
      <c r="E111">
        <v>0.99221400000000004</v>
      </c>
      <c r="F111">
        <v>81.91</v>
      </c>
      <c r="G111">
        <v>0</v>
      </c>
      <c r="H111">
        <v>19.399999999999999</v>
      </c>
    </row>
    <row r="112" spans="1:8">
      <c r="B112" s="1" t="s">
        <v>19</v>
      </c>
      <c r="C112" s="1">
        <f>AVERAGE(C62:C111)</f>
        <v>89.733199999999997</v>
      </c>
      <c r="D112" s="1">
        <f t="shared" ref="D112:F112" si="3">AVERAGE(D62:D111)</f>
        <v>39.703599999999994</v>
      </c>
      <c r="E112" s="1">
        <f t="shared" si="3"/>
        <v>0.98024512000000019</v>
      </c>
      <c r="F112" s="1">
        <f t="shared" si="3"/>
        <v>76.727199999999982</v>
      </c>
      <c r="H112" s="1">
        <f t="shared" ref="H112" si="4">AVERAGE(H62:H111)</f>
        <v>18.829999999999995</v>
      </c>
    </row>
    <row r="113" spans="1:8">
      <c r="B113" s="1" t="s">
        <v>20</v>
      </c>
      <c r="C113" s="1">
        <f>MIN(C61:C111)</f>
        <v>67.83</v>
      </c>
      <c r="D113" s="1">
        <f t="shared" ref="D113:F113" si="5">MIN(D61:D111)</f>
        <v>37.44</v>
      </c>
      <c r="E113" s="1">
        <f t="shared" si="5"/>
        <v>0.80038500000000001</v>
      </c>
      <c r="F113" s="1">
        <f t="shared" si="5"/>
        <v>0.54</v>
      </c>
      <c r="H113" s="1">
        <f t="shared" ref="H113" si="6">MIN(H61:H111)</f>
        <v>15.52</v>
      </c>
    </row>
    <row r="114" spans="1:8">
      <c r="B114" s="1" t="s">
        <v>3</v>
      </c>
      <c r="C114" s="1">
        <f>STDEV(C62:C111)</f>
        <v>6.8591540026926605</v>
      </c>
      <c r="D114" s="1">
        <f t="shared" ref="D114:E114" si="7">STDEV(D62:D111)</f>
        <v>0.37358036045087351</v>
      </c>
      <c r="E114" s="1">
        <f t="shared" si="7"/>
        <v>3.504862723948881E-2</v>
      </c>
      <c r="F114" s="1">
        <f>STDEV(F62:F111)</f>
        <v>16.383403628336268</v>
      </c>
      <c r="H114" s="1">
        <f>STDEV(H62:H111)</f>
        <v>1.2839766035125677</v>
      </c>
    </row>
    <row r="116" spans="1:8">
      <c r="H116" s="18" t="s">
        <v>1435</v>
      </c>
    </row>
    <row r="117" spans="1:8" ht="18">
      <c r="A117" s="18" t="s">
        <v>7</v>
      </c>
      <c r="B117" s="3" t="s">
        <v>1</v>
      </c>
      <c r="C117" s="18" t="s">
        <v>4</v>
      </c>
      <c r="D117" s="18" t="s">
        <v>322</v>
      </c>
      <c r="E117" s="18" t="s">
        <v>321</v>
      </c>
      <c r="F117" s="18" t="s">
        <v>324</v>
      </c>
      <c r="G117" s="18" t="s">
        <v>323</v>
      </c>
      <c r="H117" s="18" t="s">
        <v>1436</v>
      </c>
    </row>
    <row r="118" spans="1:8">
      <c r="A118" s="1">
        <v>1</v>
      </c>
      <c r="B118" t="s">
        <v>2365</v>
      </c>
      <c r="C118">
        <v>82.94</v>
      </c>
      <c r="D118">
        <v>79.02</v>
      </c>
      <c r="E118">
        <v>0.94271400000000005</v>
      </c>
      <c r="F118">
        <v>41.09</v>
      </c>
      <c r="G118">
        <v>6</v>
      </c>
      <c r="H118">
        <v>17.53</v>
      </c>
    </row>
    <row r="119" spans="1:8">
      <c r="A119" s="1">
        <v>2</v>
      </c>
      <c r="B119" t="s">
        <v>2366</v>
      </c>
      <c r="C119">
        <v>90.04</v>
      </c>
      <c r="D119">
        <v>79.53</v>
      </c>
      <c r="E119">
        <v>0.99110500000000001</v>
      </c>
      <c r="F119">
        <v>81.91</v>
      </c>
      <c r="G119">
        <v>4</v>
      </c>
      <c r="H119">
        <v>19.38</v>
      </c>
    </row>
    <row r="120" spans="1:8">
      <c r="A120" s="1">
        <v>3</v>
      </c>
      <c r="B120" t="s">
        <v>2367</v>
      </c>
      <c r="C120">
        <v>93.98</v>
      </c>
      <c r="D120">
        <v>79.72</v>
      </c>
      <c r="E120">
        <v>0.99392999999999998</v>
      </c>
      <c r="F120">
        <v>81.22</v>
      </c>
      <c r="G120">
        <v>2</v>
      </c>
      <c r="H120">
        <v>19.350000000000001</v>
      </c>
    </row>
    <row r="121" spans="1:8">
      <c r="A121" s="1">
        <v>4</v>
      </c>
      <c r="B121" t="s">
        <v>2368</v>
      </c>
      <c r="C121">
        <v>78.61</v>
      </c>
      <c r="D121">
        <v>78.8</v>
      </c>
      <c r="E121">
        <v>0.94732799999999995</v>
      </c>
      <c r="F121">
        <v>38.479999999999997</v>
      </c>
      <c r="G121">
        <v>12</v>
      </c>
      <c r="H121">
        <v>17.47</v>
      </c>
    </row>
    <row r="122" spans="1:8">
      <c r="A122" s="1">
        <v>5</v>
      </c>
      <c r="B122" t="s">
        <v>2369</v>
      </c>
      <c r="C122">
        <v>89.11</v>
      </c>
      <c r="D122">
        <v>79.48</v>
      </c>
      <c r="E122">
        <v>0.99327399999999999</v>
      </c>
      <c r="F122">
        <v>81.599999999999994</v>
      </c>
      <c r="G122">
        <v>4</v>
      </c>
      <c r="H122">
        <v>19.39</v>
      </c>
    </row>
    <row r="123" spans="1:8">
      <c r="A123" s="1">
        <v>6</v>
      </c>
      <c r="B123" t="s">
        <v>2370</v>
      </c>
      <c r="C123">
        <v>91.9</v>
      </c>
      <c r="D123">
        <v>79.61</v>
      </c>
      <c r="E123">
        <v>0.99135300000000004</v>
      </c>
      <c r="F123">
        <v>81.06</v>
      </c>
      <c r="G123">
        <v>2</v>
      </c>
      <c r="H123">
        <v>19.37</v>
      </c>
    </row>
    <row r="124" spans="1:8">
      <c r="A124" s="1">
        <v>7</v>
      </c>
      <c r="B124" t="s">
        <v>2371</v>
      </c>
      <c r="C124">
        <v>80.22</v>
      </c>
      <c r="D124">
        <v>78.87</v>
      </c>
      <c r="E124">
        <v>0.94231500000000001</v>
      </c>
      <c r="F124">
        <v>37.090000000000003</v>
      </c>
      <c r="G124">
        <v>16</v>
      </c>
      <c r="H124">
        <v>17.46</v>
      </c>
    </row>
    <row r="125" spans="1:8">
      <c r="A125" s="1">
        <v>8</v>
      </c>
      <c r="B125" t="s">
        <v>2372</v>
      </c>
      <c r="C125">
        <v>86.32</v>
      </c>
      <c r="D125">
        <v>79.349999999999994</v>
      </c>
      <c r="E125">
        <v>0.99434100000000003</v>
      </c>
      <c r="F125">
        <v>81.599999999999994</v>
      </c>
      <c r="G125">
        <v>4</v>
      </c>
      <c r="H125">
        <v>19.41</v>
      </c>
    </row>
    <row r="126" spans="1:8">
      <c r="A126" s="1">
        <v>9</v>
      </c>
      <c r="B126" t="s">
        <v>2373</v>
      </c>
      <c r="C126">
        <v>85.79</v>
      </c>
      <c r="D126">
        <v>79.2</v>
      </c>
      <c r="E126">
        <v>0.95299500000000004</v>
      </c>
      <c r="F126">
        <v>46.5</v>
      </c>
      <c r="G126">
        <v>2</v>
      </c>
      <c r="H126">
        <v>17.420000000000002</v>
      </c>
    </row>
    <row r="127" spans="1:8">
      <c r="A127" s="1">
        <v>10</v>
      </c>
      <c r="B127" t="s">
        <v>2374</v>
      </c>
      <c r="C127">
        <v>92.28</v>
      </c>
      <c r="D127">
        <v>79.58</v>
      </c>
      <c r="E127">
        <v>0.97451299999999996</v>
      </c>
      <c r="F127">
        <v>54.34</v>
      </c>
      <c r="G127">
        <v>12</v>
      </c>
      <c r="H127">
        <v>18.68</v>
      </c>
    </row>
    <row r="128" spans="1:8">
      <c r="A128" s="1">
        <v>11</v>
      </c>
      <c r="B128" t="s">
        <v>2375</v>
      </c>
      <c r="C128">
        <v>90.02</v>
      </c>
      <c r="D128">
        <v>79.53</v>
      </c>
      <c r="E128">
        <v>0.99296099999999998</v>
      </c>
      <c r="F128">
        <v>81.72</v>
      </c>
      <c r="G128">
        <v>2</v>
      </c>
      <c r="H128">
        <v>19.38</v>
      </c>
    </row>
    <row r="129" spans="1:8">
      <c r="A129" s="1">
        <v>12</v>
      </c>
      <c r="B129" t="s">
        <v>2376</v>
      </c>
      <c r="C129">
        <v>96.03</v>
      </c>
      <c r="D129">
        <v>79.81</v>
      </c>
      <c r="E129">
        <v>0.99557799999999996</v>
      </c>
      <c r="F129">
        <v>83.4</v>
      </c>
      <c r="G129">
        <v>18</v>
      </c>
      <c r="H129">
        <v>19.34</v>
      </c>
    </row>
    <row r="130" spans="1:8">
      <c r="A130" s="1">
        <v>13</v>
      </c>
      <c r="B130" t="s">
        <v>2377</v>
      </c>
      <c r="C130">
        <v>83.49</v>
      </c>
      <c r="D130">
        <v>79.03</v>
      </c>
      <c r="E130">
        <v>0.93955699999999998</v>
      </c>
      <c r="F130">
        <v>43.24</v>
      </c>
      <c r="G130">
        <v>2</v>
      </c>
      <c r="H130">
        <v>17.440000000000001</v>
      </c>
    </row>
    <row r="131" spans="1:8">
      <c r="A131" s="1">
        <v>14</v>
      </c>
      <c r="B131" t="s">
        <v>2378</v>
      </c>
      <c r="C131">
        <v>93.17</v>
      </c>
      <c r="D131">
        <v>79.680000000000007</v>
      </c>
      <c r="E131">
        <v>0.99247399999999997</v>
      </c>
      <c r="F131">
        <v>82.14</v>
      </c>
      <c r="G131">
        <v>10</v>
      </c>
      <c r="H131">
        <v>19.36</v>
      </c>
    </row>
    <row r="132" spans="1:8">
      <c r="A132" s="1">
        <v>15</v>
      </c>
      <c r="B132" t="s">
        <v>2379</v>
      </c>
      <c r="C132">
        <v>89.6</v>
      </c>
      <c r="D132">
        <v>79.5</v>
      </c>
      <c r="E132">
        <v>0.99117200000000005</v>
      </c>
      <c r="F132">
        <v>81.33</v>
      </c>
      <c r="G132">
        <v>18</v>
      </c>
      <c r="H132">
        <v>19.38</v>
      </c>
    </row>
    <row r="133" spans="1:8">
      <c r="A133" s="1">
        <v>16</v>
      </c>
      <c r="B133" t="s">
        <v>2380</v>
      </c>
      <c r="C133">
        <v>72.510000000000005</v>
      </c>
      <c r="D133">
        <v>78.45</v>
      </c>
      <c r="E133">
        <v>0.93722000000000005</v>
      </c>
      <c r="F133">
        <v>46.85</v>
      </c>
      <c r="G133">
        <v>8</v>
      </c>
      <c r="H133">
        <v>15.73</v>
      </c>
    </row>
    <row r="134" spans="1:8">
      <c r="A134" s="1">
        <v>17</v>
      </c>
      <c r="B134" t="s">
        <v>2381</v>
      </c>
      <c r="C134">
        <v>76.25</v>
      </c>
      <c r="D134">
        <v>78.58</v>
      </c>
      <c r="E134">
        <v>0.90966899999999995</v>
      </c>
      <c r="F134">
        <v>41.89</v>
      </c>
      <c r="G134">
        <v>14</v>
      </c>
      <c r="H134">
        <v>15.58</v>
      </c>
    </row>
    <row r="135" spans="1:8">
      <c r="A135" s="1">
        <v>18</v>
      </c>
      <c r="B135" t="s">
        <v>2382</v>
      </c>
      <c r="C135">
        <v>92.06</v>
      </c>
      <c r="D135">
        <v>79.62</v>
      </c>
      <c r="E135">
        <v>0.99109499999999995</v>
      </c>
      <c r="F135">
        <v>82.21</v>
      </c>
      <c r="G135">
        <v>16</v>
      </c>
      <c r="H135">
        <v>19.37</v>
      </c>
    </row>
    <row r="136" spans="1:8">
      <c r="A136" s="1">
        <v>19</v>
      </c>
      <c r="B136" t="s">
        <v>2383</v>
      </c>
      <c r="C136">
        <v>84.02</v>
      </c>
      <c r="D136">
        <v>79.09</v>
      </c>
      <c r="E136">
        <v>0.94641799999999998</v>
      </c>
      <c r="F136">
        <v>47.58</v>
      </c>
      <c r="G136">
        <v>8</v>
      </c>
      <c r="H136">
        <v>17.52</v>
      </c>
    </row>
    <row r="137" spans="1:8">
      <c r="A137" s="1">
        <v>20</v>
      </c>
      <c r="B137" t="s">
        <v>2384</v>
      </c>
      <c r="C137">
        <v>88.94</v>
      </c>
      <c r="D137">
        <v>79.41</v>
      </c>
      <c r="E137">
        <v>0.97049099999999999</v>
      </c>
      <c r="F137">
        <v>53.84</v>
      </c>
      <c r="G137">
        <v>14</v>
      </c>
      <c r="H137">
        <v>17.87</v>
      </c>
    </row>
    <row r="138" spans="1:8">
      <c r="A138" s="1">
        <v>21</v>
      </c>
      <c r="B138" t="s">
        <v>2385</v>
      </c>
      <c r="C138">
        <v>78.89</v>
      </c>
      <c r="D138">
        <v>78.709999999999994</v>
      </c>
      <c r="E138">
        <v>0.90793900000000005</v>
      </c>
      <c r="F138">
        <v>39.74</v>
      </c>
      <c r="G138">
        <v>18</v>
      </c>
      <c r="H138">
        <v>15.68</v>
      </c>
    </row>
    <row r="139" spans="1:8">
      <c r="A139" s="1">
        <v>22</v>
      </c>
      <c r="B139" t="s">
        <v>2386</v>
      </c>
      <c r="C139">
        <v>87.59</v>
      </c>
      <c r="D139">
        <v>79.3</v>
      </c>
      <c r="E139">
        <v>0.95654600000000001</v>
      </c>
      <c r="F139">
        <v>51.03</v>
      </c>
      <c r="G139">
        <v>6</v>
      </c>
      <c r="H139">
        <v>17.52</v>
      </c>
    </row>
    <row r="140" spans="1:8">
      <c r="A140" s="1">
        <v>23</v>
      </c>
      <c r="B140" t="s">
        <v>2387</v>
      </c>
      <c r="C140">
        <v>73.3</v>
      </c>
      <c r="D140">
        <v>78.16</v>
      </c>
      <c r="E140">
        <v>0.87099199999999999</v>
      </c>
      <c r="F140">
        <v>23.23</v>
      </c>
      <c r="G140">
        <v>0</v>
      </c>
      <c r="H140">
        <v>15.62</v>
      </c>
    </row>
    <row r="141" spans="1:8">
      <c r="A141" s="1">
        <v>24</v>
      </c>
      <c r="B141" t="s">
        <v>2388</v>
      </c>
      <c r="C141">
        <v>91.95</v>
      </c>
      <c r="D141">
        <v>79.62</v>
      </c>
      <c r="E141">
        <v>0.99114800000000003</v>
      </c>
      <c r="F141">
        <v>81.64</v>
      </c>
      <c r="G141">
        <v>8</v>
      </c>
      <c r="H141">
        <v>19.37</v>
      </c>
    </row>
    <row r="142" spans="1:8">
      <c r="A142" s="1">
        <v>25</v>
      </c>
      <c r="B142" t="s">
        <v>2389</v>
      </c>
      <c r="C142">
        <v>91.25</v>
      </c>
      <c r="D142">
        <v>79.59</v>
      </c>
      <c r="E142">
        <v>0.99259299999999995</v>
      </c>
      <c r="F142">
        <v>82.52</v>
      </c>
      <c r="G142">
        <v>18</v>
      </c>
      <c r="H142">
        <v>19.37</v>
      </c>
    </row>
    <row r="143" spans="1:8">
      <c r="A143" s="1">
        <v>26</v>
      </c>
      <c r="B143" t="s">
        <v>2390</v>
      </c>
      <c r="C143">
        <v>89.09</v>
      </c>
      <c r="D143">
        <v>79.48</v>
      </c>
      <c r="E143">
        <v>0.99302999999999997</v>
      </c>
      <c r="F143">
        <v>81.22</v>
      </c>
      <c r="G143">
        <v>0</v>
      </c>
      <c r="H143">
        <v>19.39</v>
      </c>
    </row>
    <row r="144" spans="1:8">
      <c r="A144" s="1">
        <v>27</v>
      </c>
      <c r="B144" t="s">
        <v>2391</v>
      </c>
      <c r="C144">
        <v>79.61</v>
      </c>
      <c r="D144">
        <v>78.849999999999994</v>
      </c>
      <c r="E144">
        <v>0.94127099999999997</v>
      </c>
      <c r="F144">
        <v>42.09</v>
      </c>
      <c r="G144">
        <v>10</v>
      </c>
      <c r="H144">
        <v>16.86</v>
      </c>
    </row>
    <row r="145" spans="1:8">
      <c r="A145" s="1">
        <v>28</v>
      </c>
      <c r="B145" t="s">
        <v>2392</v>
      </c>
      <c r="C145">
        <v>84.8</v>
      </c>
      <c r="D145">
        <v>79.150000000000006</v>
      </c>
      <c r="E145">
        <v>0.95296400000000003</v>
      </c>
      <c r="F145">
        <v>50.27</v>
      </c>
      <c r="G145">
        <v>4</v>
      </c>
      <c r="H145">
        <v>17.53</v>
      </c>
    </row>
    <row r="146" spans="1:8">
      <c r="A146" s="1">
        <v>29</v>
      </c>
      <c r="B146" t="s">
        <v>2393</v>
      </c>
      <c r="C146">
        <v>90.76</v>
      </c>
      <c r="D146">
        <v>79.5</v>
      </c>
      <c r="E146">
        <v>0.97345300000000001</v>
      </c>
      <c r="F146">
        <v>49.61</v>
      </c>
      <c r="G146">
        <v>4</v>
      </c>
      <c r="H146">
        <v>18.579999999999998</v>
      </c>
    </row>
    <row r="147" spans="1:8">
      <c r="A147" s="1">
        <v>30</v>
      </c>
      <c r="B147" t="s">
        <v>2394</v>
      </c>
      <c r="C147">
        <v>87.26</v>
      </c>
      <c r="D147">
        <v>79.38</v>
      </c>
      <c r="E147">
        <v>0.986927</v>
      </c>
      <c r="F147">
        <v>66.12</v>
      </c>
      <c r="G147">
        <v>4</v>
      </c>
      <c r="H147">
        <v>18.84</v>
      </c>
    </row>
    <row r="148" spans="1:8">
      <c r="A148" s="1">
        <v>31</v>
      </c>
      <c r="B148" t="s">
        <v>2395</v>
      </c>
      <c r="C148">
        <v>90.74</v>
      </c>
      <c r="D148">
        <v>79.569999999999993</v>
      </c>
      <c r="E148">
        <v>0.99413499999999999</v>
      </c>
      <c r="F148">
        <v>81.64</v>
      </c>
      <c r="G148">
        <v>4</v>
      </c>
      <c r="H148">
        <v>19.37</v>
      </c>
    </row>
    <row r="149" spans="1:8">
      <c r="A149" s="1">
        <v>32</v>
      </c>
      <c r="B149" t="s">
        <v>2396</v>
      </c>
      <c r="C149">
        <v>94.93</v>
      </c>
      <c r="D149">
        <v>79.75</v>
      </c>
      <c r="E149">
        <v>0.99113200000000001</v>
      </c>
      <c r="F149">
        <v>81.75</v>
      </c>
      <c r="G149">
        <v>18</v>
      </c>
      <c r="H149">
        <v>19.34</v>
      </c>
    </row>
    <row r="150" spans="1:8">
      <c r="A150" s="1">
        <v>33</v>
      </c>
      <c r="B150" t="s">
        <v>2397</v>
      </c>
      <c r="C150">
        <v>82.38</v>
      </c>
      <c r="D150">
        <v>79.02</v>
      </c>
      <c r="E150">
        <v>0.950874</v>
      </c>
      <c r="F150">
        <v>47.96</v>
      </c>
      <c r="G150">
        <v>8</v>
      </c>
      <c r="H150">
        <v>17.440000000000001</v>
      </c>
    </row>
    <row r="151" spans="1:8">
      <c r="A151" s="1">
        <v>34</v>
      </c>
      <c r="B151" t="s">
        <v>2398</v>
      </c>
      <c r="C151">
        <v>81.91</v>
      </c>
      <c r="D151">
        <v>77.69</v>
      </c>
      <c r="E151">
        <v>0.89146400000000003</v>
      </c>
      <c r="F151">
        <v>1.23</v>
      </c>
      <c r="G151">
        <v>16</v>
      </c>
      <c r="H151">
        <v>16.57</v>
      </c>
    </row>
    <row r="152" spans="1:8">
      <c r="A152" s="1">
        <v>35</v>
      </c>
      <c r="B152" t="s">
        <v>2399</v>
      </c>
      <c r="C152">
        <v>93.86</v>
      </c>
      <c r="D152">
        <v>79.709999999999994</v>
      </c>
      <c r="E152">
        <v>0.99209700000000001</v>
      </c>
      <c r="F152">
        <v>81.290000000000006</v>
      </c>
      <c r="G152">
        <v>6</v>
      </c>
      <c r="H152">
        <v>19.350000000000001</v>
      </c>
    </row>
    <row r="153" spans="1:8">
      <c r="A153" s="1">
        <v>36</v>
      </c>
      <c r="B153" t="s">
        <v>2400</v>
      </c>
      <c r="C153">
        <v>79.650000000000006</v>
      </c>
      <c r="D153">
        <v>78.88</v>
      </c>
      <c r="E153">
        <v>0.95317499999999999</v>
      </c>
      <c r="F153">
        <v>46.54</v>
      </c>
      <c r="G153">
        <v>4</v>
      </c>
      <c r="H153">
        <v>17.57</v>
      </c>
    </row>
    <row r="154" spans="1:8">
      <c r="A154" s="1">
        <v>37</v>
      </c>
      <c r="B154" t="s">
        <v>2401</v>
      </c>
      <c r="C154">
        <v>75.66</v>
      </c>
      <c r="D154">
        <v>78.63</v>
      </c>
      <c r="E154">
        <v>0.93546300000000004</v>
      </c>
      <c r="F154">
        <v>50.96</v>
      </c>
      <c r="G154">
        <v>8</v>
      </c>
      <c r="H154">
        <v>16.11</v>
      </c>
    </row>
    <row r="155" spans="1:8">
      <c r="A155" s="1">
        <v>38</v>
      </c>
      <c r="B155" t="s">
        <v>2402</v>
      </c>
      <c r="C155">
        <v>89.23</v>
      </c>
      <c r="D155">
        <v>79.48</v>
      </c>
      <c r="E155">
        <v>0.99038099999999996</v>
      </c>
      <c r="F155">
        <v>81.75</v>
      </c>
      <c r="G155">
        <v>18</v>
      </c>
      <c r="H155">
        <v>19.39</v>
      </c>
    </row>
    <row r="156" spans="1:8">
      <c r="A156" s="1">
        <v>39</v>
      </c>
      <c r="B156" t="s">
        <v>2403</v>
      </c>
      <c r="C156">
        <v>88.93</v>
      </c>
      <c r="D156">
        <v>79.47</v>
      </c>
      <c r="E156">
        <v>0.99220600000000003</v>
      </c>
      <c r="F156">
        <v>81.290000000000006</v>
      </c>
      <c r="G156">
        <v>16</v>
      </c>
      <c r="H156">
        <v>19.39</v>
      </c>
    </row>
    <row r="157" spans="1:8">
      <c r="A157" s="1">
        <v>40</v>
      </c>
      <c r="B157" t="s">
        <v>2404</v>
      </c>
      <c r="C157">
        <v>88.79</v>
      </c>
      <c r="D157">
        <v>79.47</v>
      </c>
      <c r="E157">
        <v>0.99273699999999998</v>
      </c>
      <c r="F157">
        <v>81.45</v>
      </c>
      <c r="G157">
        <v>6</v>
      </c>
      <c r="H157">
        <v>19.39</v>
      </c>
    </row>
    <row r="158" spans="1:8">
      <c r="A158" s="1">
        <v>41</v>
      </c>
      <c r="B158" t="s">
        <v>2405</v>
      </c>
      <c r="C158">
        <v>84.65</v>
      </c>
      <c r="D158">
        <v>79.239999999999995</v>
      </c>
      <c r="E158">
        <v>0.98374600000000001</v>
      </c>
      <c r="F158">
        <v>57.48</v>
      </c>
      <c r="G158">
        <v>4</v>
      </c>
      <c r="H158">
        <v>18.809999999999999</v>
      </c>
    </row>
    <row r="159" spans="1:8">
      <c r="A159" s="1">
        <v>42</v>
      </c>
      <c r="B159" t="s">
        <v>2406</v>
      </c>
      <c r="C159">
        <v>79.3</v>
      </c>
      <c r="D159">
        <v>78.87</v>
      </c>
      <c r="E159">
        <v>0.95592600000000005</v>
      </c>
      <c r="F159">
        <v>48.5</v>
      </c>
      <c r="G159">
        <v>2</v>
      </c>
      <c r="H159">
        <v>17.57</v>
      </c>
    </row>
    <row r="160" spans="1:8">
      <c r="A160" s="1">
        <v>43</v>
      </c>
      <c r="B160" t="s">
        <v>2407</v>
      </c>
      <c r="C160">
        <v>83.67</v>
      </c>
      <c r="D160">
        <v>79.06</v>
      </c>
      <c r="E160">
        <v>0.94234099999999998</v>
      </c>
      <c r="F160">
        <v>43.2</v>
      </c>
      <c r="G160">
        <v>10</v>
      </c>
      <c r="H160">
        <v>17.53</v>
      </c>
    </row>
    <row r="161" spans="1:8">
      <c r="A161" s="1">
        <v>44</v>
      </c>
      <c r="B161" t="s">
        <v>2408</v>
      </c>
      <c r="C161">
        <v>87.59</v>
      </c>
      <c r="D161">
        <v>79.400000000000006</v>
      </c>
      <c r="E161">
        <v>0.98839100000000002</v>
      </c>
      <c r="F161">
        <v>69.39</v>
      </c>
      <c r="G161">
        <v>8</v>
      </c>
      <c r="H161">
        <v>19.079999999999998</v>
      </c>
    </row>
    <row r="162" spans="1:8">
      <c r="A162" s="1">
        <v>45</v>
      </c>
      <c r="B162" t="s">
        <v>2409</v>
      </c>
      <c r="C162">
        <v>86.08</v>
      </c>
      <c r="D162">
        <v>79.14</v>
      </c>
      <c r="E162">
        <v>0.93689900000000004</v>
      </c>
      <c r="F162">
        <v>38.28</v>
      </c>
      <c r="G162">
        <v>2</v>
      </c>
      <c r="H162">
        <v>17.420000000000002</v>
      </c>
    </row>
    <row r="163" spans="1:8">
      <c r="A163" s="1">
        <v>46</v>
      </c>
      <c r="B163" t="s">
        <v>2410</v>
      </c>
      <c r="C163">
        <v>85.68</v>
      </c>
      <c r="D163">
        <v>79.19</v>
      </c>
      <c r="E163">
        <v>0.95101500000000005</v>
      </c>
      <c r="F163">
        <v>49.34</v>
      </c>
      <c r="G163">
        <v>10</v>
      </c>
      <c r="H163">
        <v>17.510000000000002</v>
      </c>
    </row>
    <row r="164" spans="1:8">
      <c r="A164" s="1">
        <v>47</v>
      </c>
      <c r="B164" t="s">
        <v>2411</v>
      </c>
      <c r="C164">
        <v>91.18</v>
      </c>
      <c r="D164">
        <v>79.58</v>
      </c>
      <c r="E164">
        <v>0.992502</v>
      </c>
      <c r="F164">
        <v>82.14</v>
      </c>
      <c r="G164">
        <v>6</v>
      </c>
      <c r="H164">
        <v>19.38</v>
      </c>
    </row>
    <row r="165" spans="1:8">
      <c r="A165" s="1">
        <v>48</v>
      </c>
      <c r="B165" t="s">
        <v>2412</v>
      </c>
      <c r="C165">
        <v>82.65</v>
      </c>
      <c r="D165">
        <v>79.06</v>
      </c>
      <c r="E165">
        <v>0.95745999999999998</v>
      </c>
      <c r="F165">
        <v>50.65</v>
      </c>
      <c r="G165">
        <v>0</v>
      </c>
      <c r="H165">
        <v>17.53</v>
      </c>
    </row>
    <row r="166" spans="1:8">
      <c r="A166" s="1">
        <v>49</v>
      </c>
      <c r="B166" t="s">
        <v>2413</v>
      </c>
      <c r="C166">
        <v>77.010000000000005</v>
      </c>
      <c r="D166">
        <v>76.569999999999993</v>
      </c>
      <c r="E166">
        <v>0.89512499999999995</v>
      </c>
      <c r="F166">
        <v>0.15</v>
      </c>
      <c r="G166">
        <v>16</v>
      </c>
      <c r="H166">
        <v>17.47</v>
      </c>
    </row>
    <row r="167" spans="1:8">
      <c r="A167" s="1">
        <v>50</v>
      </c>
      <c r="B167" t="s">
        <v>2414</v>
      </c>
      <c r="C167">
        <v>93.62</v>
      </c>
      <c r="D167">
        <v>79.69</v>
      </c>
      <c r="E167">
        <v>0.99170999999999998</v>
      </c>
      <c r="F167">
        <v>81.06</v>
      </c>
      <c r="G167">
        <v>18</v>
      </c>
      <c r="H167">
        <v>19.350000000000001</v>
      </c>
    </row>
    <row r="168" spans="1:8">
      <c r="B168" s="1" t="s">
        <v>19</v>
      </c>
      <c r="C168" s="1">
        <f>AVERAGE(C118:C167)</f>
        <v>86.1858</v>
      </c>
      <c r="D168" s="1">
        <f t="shared" ref="D168:F168" si="8">AVERAGE(D118:D167)</f>
        <v>79.181399999999996</v>
      </c>
      <c r="E168" s="1">
        <f t="shared" si="8"/>
        <v>0.96472290000000005</v>
      </c>
      <c r="F168" s="1">
        <f t="shared" si="8"/>
        <v>59.852199999999996</v>
      </c>
      <c r="H168" s="1">
        <f t="shared" ref="H168" si="9">AVERAGE(H118:H167)</f>
        <v>18.215200000000003</v>
      </c>
    </row>
    <row r="169" spans="1:8">
      <c r="B169" s="1" t="s">
        <v>20</v>
      </c>
      <c r="C169" s="1">
        <f>MIN(C117:C167)</f>
        <v>72.510000000000005</v>
      </c>
      <c r="D169" s="1">
        <f>MIN(D117:D167)</f>
        <v>76.569999999999993</v>
      </c>
      <c r="E169" s="1">
        <f>MIN(E117:E167)</f>
        <v>0.87099199999999999</v>
      </c>
      <c r="F169" s="1">
        <f>MIN(F117:F167)</f>
        <v>0.15</v>
      </c>
      <c r="H169" s="1">
        <f>MIN(H117:H167)</f>
        <v>15.58</v>
      </c>
    </row>
    <row r="170" spans="1:8">
      <c r="B170" s="1" t="s">
        <v>3</v>
      </c>
      <c r="C170" s="1">
        <f>STDEV(C118:C167)</f>
        <v>5.9358310423448168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18" t="s">
        <v>1435</v>
      </c>
    </row>
    <row r="173" spans="1:8" ht="18">
      <c r="A173" s="18" t="s">
        <v>7</v>
      </c>
      <c r="B173" s="3" t="s">
        <v>9</v>
      </c>
      <c r="C173" s="18" t="s">
        <v>4</v>
      </c>
      <c r="D173" s="18" t="s">
        <v>322</v>
      </c>
      <c r="E173" s="18" t="s">
        <v>321</v>
      </c>
      <c r="F173" s="18" t="s">
        <v>324</v>
      </c>
      <c r="G173" s="18" t="s">
        <v>323</v>
      </c>
      <c r="H173" s="18" t="s">
        <v>1436</v>
      </c>
    </row>
    <row r="174" spans="1:8">
      <c r="A174" s="1">
        <v>1</v>
      </c>
      <c r="B174" t="s">
        <v>2415</v>
      </c>
      <c r="C174">
        <v>83.1</v>
      </c>
      <c r="D174">
        <v>158.13</v>
      </c>
      <c r="E174">
        <v>0.95269899999999996</v>
      </c>
      <c r="F174">
        <v>46.5</v>
      </c>
      <c r="G174">
        <v>6</v>
      </c>
      <c r="H174">
        <v>17.53</v>
      </c>
    </row>
    <row r="175" spans="1:8">
      <c r="A175" s="1">
        <v>2</v>
      </c>
      <c r="B175" t="s">
        <v>2416</v>
      </c>
      <c r="C175">
        <v>72.849999999999994</v>
      </c>
      <c r="D175">
        <v>156.6</v>
      </c>
      <c r="E175">
        <v>0.89766500000000005</v>
      </c>
      <c r="F175">
        <v>28.11</v>
      </c>
      <c r="G175">
        <v>10</v>
      </c>
      <c r="H175">
        <v>15.61</v>
      </c>
    </row>
    <row r="176" spans="1:8">
      <c r="A176" s="1">
        <v>3</v>
      </c>
      <c r="B176" t="s">
        <v>2417</v>
      </c>
      <c r="C176">
        <v>75.19</v>
      </c>
      <c r="D176">
        <v>157.16</v>
      </c>
      <c r="E176">
        <v>0.93432300000000001</v>
      </c>
      <c r="F176">
        <v>38.71</v>
      </c>
      <c r="G176">
        <v>20</v>
      </c>
      <c r="H176">
        <v>16.28</v>
      </c>
    </row>
    <row r="177" spans="1:8">
      <c r="A177" s="1">
        <v>4</v>
      </c>
      <c r="B177" t="s">
        <v>2418</v>
      </c>
      <c r="C177">
        <v>74.12</v>
      </c>
      <c r="D177">
        <v>156.97999999999999</v>
      </c>
      <c r="E177">
        <v>0.92183199999999998</v>
      </c>
      <c r="F177">
        <v>40.9</v>
      </c>
      <c r="G177">
        <v>10</v>
      </c>
      <c r="H177">
        <v>15.8</v>
      </c>
    </row>
    <row r="178" spans="1:8">
      <c r="A178" s="1">
        <v>5</v>
      </c>
      <c r="B178" t="s">
        <v>2419</v>
      </c>
      <c r="C178">
        <v>70.849999999999994</v>
      </c>
      <c r="D178">
        <v>156.31</v>
      </c>
      <c r="E178">
        <v>0.88374299999999995</v>
      </c>
      <c r="F178">
        <v>25.46</v>
      </c>
      <c r="G178">
        <v>22</v>
      </c>
      <c r="H178">
        <v>14.99</v>
      </c>
    </row>
    <row r="179" spans="1:8">
      <c r="A179" s="1">
        <v>6</v>
      </c>
      <c r="B179" t="s">
        <v>2420</v>
      </c>
      <c r="C179">
        <v>83.17</v>
      </c>
      <c r="D179">
        <v>158.12</v>
      </c>
      <c r="E179">
        <v>0.94953699999999996</v>
      </c>
      <c r="F179">
        <v>45.66</v>
      </c>
      <c r="G179">
        <v>0</v>
      </c>
      <c r="H179">
        <v>17.53</v>
      </c>
    </row>
    <row r="180" spans="1:8">
      <c r="A180" s="1">
        <v>7</v>
      </c>
      <c r="B180" t="s">
        <v>2421</v>
      </c>
      <c r="C180">
        <v>78.89</v>
      </c>
      <c r="D180">
        <v>157.6</v>
      </c>
      <c r="E180">
        <v>0.93580600000000003</v>
      </c>
      <c r="F180">
        <v>47.42</v>
      </c>
      <c r="G180">
        <v>0</v>
      </c>
      <c r="H180">
        <v>16.61</v>
      </c>
    </row>
    <row r="181" spans="1:8">
      <c r="A181" s="1">
        <v>8</v>
      </c>
      <c r="B181" t="s">
        <v>2422</v>
      </c>
      <c r="C181">
        <v>74.239999999999995</v>
      </c>
      <c r="D181">
        <v>156.91999999999999</v>
      </c>
      <c r="E181">
        <v>0.91010899999999995</v>
      </c>
      <c r="F181">
        <v>39.549999999999997</v>
      </c>
      <c r="G181">
        <v>6</v>
      </c>
      <c r="H181">
        <v>15.46</v>
      </c>
    </row>
    <row r="182" spans="1:8">
      <c r="A182" s="1">
        <v>9</v>
      </c>
      <c r="B182" t="s">
        <v>2423</v>
      </c>
      <c r="C182">
        <v>71.78</v>
      </c>
      <c r="D182">
        <v>154.9</v>
      </c>
      <c r="E182">
        <v>0.862429</v>
      </c>
      <c r="F182">
        <v>0.5</v>
      </c>
      <c r="G182">
        <v>36</v>
      </c>
      <c r="H182">
        <v>15.01</v>
      </c>
    </row>
    <row r="183" spans="1:8">
      <c r="A183" s="1">
        <v>10</v>
      </c>
      <c r="B183" t="s">
        <v>2424</v>
      </c>
      <c r="C183">
        <v>83.51</v>
      </c>
      <c r="D183">
        <v>158.16999999999999</v>
      </c>
      <c r="E183">
        <v>0.95501199999999997</v>
      </c>
      <c r="F183">
        <v>39.86</v>
      </c>
      <c r="G183">
        <v>18</v>
      </c>
      <c r="H183">
        <v>17.71</v>
      </c>
    </row>
    <row r="184" spans="1:8">
      <c r="A184" s="1">
        <v>11</v>
      </c>
      <c r="B184" t="s">
        <v>2425</v>
      </c>
      <c r="C184">
        <v>80.44</v>
      </c>
      <c r="D184">
        <v>156.37</v>
      </c>
      <c r="E184">
        <v>0.89315900000000004</v>
      </c>
      <c r="F184">
        <v>1.27</v>
      </c>
      <c r="G184">
        <v>18</v>
      </c>
      <c r="H184">
        <v>16.5</v>
      </c>
    </row>
    <row r="185" spans="1:8">
      <c r="A185" s="1">
        <v>12</v>
      </c>
      <c r="B185" t="s">
        <v>2426</v>
      </c>
      <c r="C185">
        <v>72.03</v>
      </c>
      <c r="D185">
        <v>156.58000000000001</v>
      </c>
      <c r="E185">
        <v>0.89871800000000002</v>
      </c>
      <c r="F185">
        <v>35.83</v>
      </c>
      <c r="G185">
        <v>30</v>
      </c>
      <c r="H185">
        <v>15.62</v>
      </c>
    </row>
    <row r="186" spans="1:8">
      <c r="A186" s="1">
        <v>13</v>
      </c>
      <c r="B186" t="s">
        <v>2427</v>
      </c>
      <c r="C186">
        <v>83.37</v>
      </c>
      <c r="D186">
        <v>157.25</v>
      </c>
      <c r="E186">
        <v>0.92603199999999997</v>
      </c>
      <c r="F186">
        <v>3.11</v>
      </c>
      <c r="G186">
        <v>4</v>
      </c>
      <c r="H186">
        <v>17.57</v>
      </c>
    </row>
    <row r="187" spans="1:8">
      <c r="A187" s="1">
        <v>14</v>
      </c>
      <c r="B187" t="s">
        <v>2428</v>
      </c>
      <c r="C187">
        <v>67.599999999999994</v>
      </c>
      <c r="D187">
        <v>155.93</v>
      </c>
      <c r="E187">
        <v>0.89040699999999995</v>
      </c>
      <c r="F187">
        <v>25.31</v>
      </c>
      <c r="G187">
        <v>30</v>
      </c>
      <c r="H187">
        <v>14.47</v>
      </c>
    </row>
    <row r="188" spans="1:8">
      <c r="A188" s="1">
        <v>15</v>
      </c>
      <c r="B188" t="s">
        <v>2429</v>
      </c>
      <c r="C188">
        <v>74.989999999999995</v>
      </c>
      <c r="D188">
        <v>155.9</v>
      </c>
      <c r="E188">
        <v>0.89497199999999999</v>
      </c>
      <c r="F188">
        <v>1.42</v>
      </c>
      <c r="G188">
        <v>34</v>
      </c>
      <c r="H188">
        <v>15.5</v>
      </c>
    </row>
    <row r="189" spans="1:8">
      <c r="A189" s="1">
        <v>16</v>
      </c>
      <c r="B189" t="s">
        <v>2430</v>
      </c>
      <c r="C189">
        <v>85.35</v>
      </c>
      <c r="D189">
        <v>157.5</v>
      </c>
      <c r="E189">
        <v>0.94426900000000002</v>
      </c>
      <c r="F189">
        <v>2.73</v>
      </c>
      <c r="G189">
        <v>18</v>
      </c>
      <c r="H189">
        <v>18.399999999999999</v>
      </c>
    </row>
    <row r="190" spans="1:8">
      <c r="A190" s="1">
        <v>17</v>
      </c>
      <c r="B190" t="s">
        <v>2431</v>
      </c>
      <c r="C190">
        <v>74.5</v>
      </c>
      <c r="D190">
        <v>156.96</v>
      </c>
      <c r="E190">
        <v>0.92195400000000005</v>
      </c>
      <c r="F190">
        <v>25.73</v>
      </c>
      <c r="G190">
        <v>30</v>
      </c>
      <c r="H190">
        <v>15.8</v>
      </c>
    </row>
    <row r="191" spans="1:8">
      <c r="A191" s="1">
        <v>18</v>
      </c>
      <c r="B191" t="s">
        <v>2432</v>
      </c>
      <c r="C191">
        <v>75.25</v>
      </c>
      <c r="D191">
        <v>157.19999999999999</v>
      </c>
      <c r="E191">
        <v>0.93896900000000005</v>
      </c>
      <c r="F191">
        <v>43.35</v>
      </c>
      <c r="G191">
        <v>4</v>
      </c>
      <c r="H191">
        <v>16.649999999999999</v>
      </c>
    </row>
    <row r="192" spans="1:8">
      <c r="A192" s="1">
        <v>19</v>
      </c>
      <c r="B192" t="s">
        <v>2433</v>
      </c>
      <c r="C192">
        <v>76.98</v>
      </c>
      <c r="D192">
        <v>156.01</v>
      </c>
      <c r="E192">
        <v>0.89337999999999995</v>
      </c>
      <c r="F192">
        <v>1.54</v>
      </c>
      <c r="G192">
        <v>20</v>
      </c>
      <c r="H192">
        <v>16.46</v>
      </c>
    </row>
    <row r="193" spans="1:8">
      <c r="A193" s="1">
        <v>20</v>
      </c>
      <c r="B193" t="s">
        <v>2434</v>
      </c>
      <c r="C193">
        <v>84.95</v>
      </c>
      <c r="D193">
        <v>158.21</v>
      </c>
      <c r="E193">
        <v>0.93922600000000001</v>
      </c>
      <c r="F193">
        <v>40.090000000000003</v>
      </c>
      <c r="G193">
        <v>24</v>
      </c>
      <c r="H193">
        <v>17.46</v>
      </c>
    </row>
    <row r="194" spans="1:8">
      <c r="A194" s="1">
        <v>21</v>
      </c>
      <c r="B194" t="s">
        <v>2435</v>
      </c>
      <c r="C194">
        <v>84.97</v>
      </c>
      <c r="D194">
        <v>158.44999999999999</v>
      </c>
      <c r="E194">
        <v>0.97420399999999996</v>
      </c>
      <c r="F194">
        <v>50.73</v>
      </c>
      <c r="G194">
        <v>14</v>
      </c>
      <c r="H194">
        <v>18.47</v>
      </c>
    </row>
    <row r="195" spans="1:8">
      <c r="A195" s="1">
        <v>22</v>
      </c>
      <c r="B195" t="s">
        <v>2436</v>
      </c>
      <c r="C195">
        <v>81.05</v>
      </c>
      <c r="D195">
        <v>157.91999999999999</v>
      </c>
      <c r="E195">
        <v>0.95617200000000002</v>
      </c>
      <c r="F195">
        <v>42.62</v>
      </c>
      <c r="G195">
        <v>10</v>
      </c>
      <c r="H195">
        <v>17.5</v>
      </c>
    </row>
    <row r="196" spans="1:8">
      <c r="A196" s="1">
        <v>23</v>
      </c>
      <c r="B196" t="s">
        <v>2437</v>
      </c>
      <c r="C196">
        <v>77.069999999999993</v>
      </c>
      <c r="D196">
        <v>157.34</v>
      </c>
      <c r="E196">
        <v>0.92768099999999998</v>
      </c>
      <c r="F196">
        <v>38.82</v>
      </c>
      <c r="G196">
        <v>24</v>
      </c>
      <c r="H196">
        <v>16.239999999999998</v>
      </c>
    </row>
    <row r="197" spans="1:8">
      <c r="A197" s="1">
        <v>24</v>
      </c>
      <c r="B197" t="s">
        <v>2438</v>
      </c>
      <c r="C197">
        <v>81.45</v>
      </c>
      <c r="D197">
        <v>157.97</v>
      </c>
      <c r="E197">
        <v>0.95403099999999996</v>
      </c>
      <c r="F197">
        <v>46.62</v>
      </c>
      <c r="G197">
        <v>6</v>
      </c>
      <c r="H197">
        <v>17.190000000000001</v>
      </c>
    </row>
    <row r="198" spans="1:8">
      <c r="A198" s="1">
        <v>25</v>
      </c>
      <c r="B198" t="s">
        <v>2439</v>
      </c>
      <c r="C198">
        <v>79.650000000000006</v>
      </c>
      <c r="D198">
        <v>155.66999999999999</v>
      </c>
      <c r="E198">
        <v>0.893571</v>
      </c>
      <c r="F198">
        <v>0.35</v>
      </c>
      <c r="G198">
        <v>28</v>
      </c>
      <c r="H198">
        <v>16.489999999999998</v>
      </c>
    </row>
    <row r="199" spans="1:8">
      <c r="A199" s="1">
        <v>26</v>
      </c>
      <c r="B199" t="s">
        <v>2440</v>
      </c>
      <c r="C199">
        <v>80.150000000000006</v>
      </c>
      <c r="D199">
        <v>157.71</v>
      </c>
      <c r="E199">
        <v>0.93276199999999998</v>
      </c>
      <c r="F199">
        <v>45.04</v>
      </c>
      <c r="G199">
        <v>0</v>
      </c>
      <c r="H199">
        <v>16.61</v>
      </c>
    </row>
    <row r="200" spans="1:8">
      <c r="A200" s="1">
        <v>27</v>
      </c>
      <c r="B200" t="s">
        <v>2441</v>
      </c>
      <c r="C200">
        <v>75.180000000000007</v>
      </c>
      <c r="D200">
        <v>154.21</v>
      </c>
      <c r="E200">
        <v>0.85991300000000004</v>
      </c>
      <c r="F200">
        <v>0.65</v>
      </c>
      <c r="G200">
        <v>38</v>
      </c>
      <c r="H200">
        <v>15.64</v>
      </c>
    </row>
    <row r="201" spans="1:8">
      <c r="A201" s="1">
        <v>28</v>
      </c>
      <c r="B201" t="s">
        <v>2442</v>
      </c>
      <c r="C201">
        <v>78.48</v>
      </c>
      <c r="D201">
        <v>157.47999999999999</v>
      </c>
      <c r="E201">
        <v>0.92586599999999997</v>
      </c>
      <c r="F201">
        <v>39.94</v>
      </c>
      <c r="G201">
        <v>22</v>
      </c>
      <c r="H201">
        <v>16.55</v>
      </c>
    </row>
    <row r="202" spans="1:8">
      <c r="A202" s="1">
        <v>29</v>
      </c>
      <c r="B202" t="s">
        <v>2443</v>
      </c>
      <c r="C202">
        <v>76.430000000000007</v>
      </c>
      <c r="D202">
        <v>157.28</v>
      </c>
      <c r="E202">
        <v>0.93271999999999999</v>
      </c>
      <c r="F202">
        <v>38.020000000000003</v>
      </c>
      <c r="G202">
        <v>24</v>
      </c>
      <c r="H202">
        <v>16.79</v>
      </c>
    </row>
    <row r="203" spans="1:8">
      <c r="A203" s="1">
        <v>30</v>
      </c>
      <c r="B203" t="s">
        <v>2444</v>
      </c>
      <c r="C203">
        <v>65.09</v>
      </c>
      <c r="D203">
        <v>153.59</v>
      </c>
      <c r="E203">
        <v>0.83853100000000003</v>
      </c>
      <c r="F203">
        <v>1.5</v>
      </c>
      <c r="G203">
        <v>24</v>
      </c>
      <c r="H203">
        <v>14.39</v>
      </c>
    </row>
    <row r="204" spans="1:8">
      <c r="A204" s="1">
        <v>31</v>
      </c>
      <c r="B204" t="s">
        <v>2445</v>
      </c>
      <c r="C204">
        <v>73.39</v>
      </c>
      <c r="D204">
        <v>156.63999999999999</v>
      </c>
      <c r="E204">
        <v>0.89600000000000002</v>
      </c>
      <c r="F204">
        <v>25.23</v>
      </c>
      <c r="G204">
        <v>18</v>
      </c>
      <c r="H204">
        <v>15.54</v>
      </c>
    </row>
    <row r="205" spans="1:8">
      <c r="A205" s="1">
        <v>32</v>
      </c>
      <c r="B205" t="s">
        <v>2446</v>
      </c>
      <c r="C205">
        <v>68.64</v>
      </c>
      <c r="D205">
        <v>156.04</v>
      </c>
      <c r="E205">
        <v>0.88473100000000005</v>
      </c>
      <c r="F205">
        <v>26.3</v>
      </c>
      <c r="G205">
        <v>26</v>
      </c>
      <c r="H205">
        <v>14.8</v>
      </c>
    </row>
    <row r="206" spans="1:8">
      <c r="A206" s="1">
        <v>33</v>
      </c>
      <c r="B206" t="s">
        <v>2447</v>
      </c>
      <c r="C206">
        <v>81.599999999999994</v>
      </c>
      <c r="D206">
        <v>157.03</v>
      </c>
      <c r="E206">
        <v>0.92032400000000003</v>
      </c>
      <c r="F206">
        <v>3.07</v>
      </c>
      <c r="G206">
        <v>34</v>
      </c>
      <c r="H206">
        <v>17.18</v>
      </c>
    </row>
    <row r="207" spans="1:8">
      <c r="A207" s="1">
        <v>34</v>
      </c>
      <c r="B207" t="s">
        <v>2448</v>
      </c>
      <c r="C207">
        <v>77.62</v>
      </c>
      <c r="D207">
        <v>157.25</v>
      </c>
      <c r="E207">
        <v>0.915682</v>
      </c>
      <c r="F207">
        <v>26.8</v>
      </c>
      <c r="G207">
        <v>6</v>
      </c>
      <c r="H207">
        <v>16.25</v>
      </c>
    </row>
    <row r="208" spans="1:8">
      <c r="A208" s="1">
        <v>35</v>
      </c>
      <c r="B208" t="s">
        <v>2449</v>
      </c>
      <c r="C208">
        <v>64.180000000000007</v>
      </c>
      <c r="D208">
        <v>155.13999999999999</v>
      </c>
      <c r="E208">
        <v>0.85473399999999999</v>
      </c>
      <c r="F208">
        <v>14.63</v>
      </c>
      <c r="G208">
        <v>10</v>
      </c>
      <c r="H208">
        <v>14.04</v>
      </c>
    </row>
    <row r="209" spans="1:8">
      <c r="A209" s="1">
        <v>36</v>
      </c>
      <c r="B209" t="s">
        <v>2450</v>
      </c>
      <c r="C209">
        <v>81.78</v>
      </c>
      <c r="D209">
        <v>157.71</v>
      </c>
      <c r="E209">
        <v>0.92213400000000001</v>
      </c>
      <c r="F209">
        <v>28.53</v>
      </c>
      <c r="G209">
        <v>0</v>
      </c>
      <c r="H209">
        <v>16.940000000000001</v>
      </c>
    </row>
    <row r="210" spans="1:8">
      <c r="A210" s="1">
        <v>37</v>
      </c>
      <c r="B210" t="s">
        <v>2451</v>
      </c>
      <c r="C210">
        <v>79.41</v>
      </c>
      <c r="D210">
        <v>157.35</v>
      </c>
      <c r="E210">
        <v>0.90586599999999995</v>
      </c>
      <c r="F210">
        <v>27.11</v>
      </c>
      <c r="G210">
        <v>12</v>
      </c>
      <c r="H210">
        <v>16.52</v>
      </c>
    </row>
    <row r="211" spans="1:8">
      <c r="A211" s="1">
        <v>38</v>
      </c>
      <c r="B211" t="s">
        <v>2452</v>
      </c>
      <c r="C211">
        <v>68.88</v>
      </c>
      <c r="D211">
        <v>154.86000000000001</v>
      </c>
      <c r="E211">
        <v>0.86295100000000002</v>
      </c>
      <c r="F211">
        <v>0.96</v>
      </c>
      <c r="G211">
        <v>6</v>
      </c>
      <c r="H211">
        <v>14.6</v>
      </c>
    </row>
    <row r="212" spans="1:8">
      <c r="A212" s="1">
        <v>39</v>
      </c>
      <c r="B212" t="s">
        <v>2453</v>
      </c>
      <c r="C212">
        <v>78.78</v>
      </c>
      <c r="D212">
        <v>157.54</v>
      </c>
      <c r="E212">
        <v>0.93169800000000003</v>
      </c>
      <c r="F212">
        <v>41.24</v>
      </c>
      <c r="G212">
        <v>20</v>
      </c>
      <c r="H212">
        <v>16.52</v>
      </c>
    </row>
    <row r="213" spans="1:8">
      <c r="A213" s="1">
        <v>40</v>
      </c>
      <c r="B213" t="s">
        <v>2454</v>
      </c>
      <c r="C213">
        <v>78.08</v>
      </c>
      <c r="D213">
        <v>157.19999999999999</v>
      </c>
      <c r="E213">
        <v>0.90485199999999999</v>
      </c>
      <c r="F213">
        <v>19.43</v>
      </c>
      <c r="G213">
        <v>4</v>
      </c>
      <c r="H213">
        <v>16.190000000000001</v>
      </c>
    </row>
    <row r="214" spans="1:8">
      <c r="A214" s="1">
        <v>41</v>
      </c>
      <c r="B214" t="s">
        <v>2455</v>
      </c>
      <c r="C214">
        <v>80.010000000000005</v>
      </c>
      <c r="D214">
        <v>157.65</v>
      </c>
      <c r="E214">
        <v>0.92875099999999999</v>
      </c>
      <c r="F214">
        <v>39.82</v>
      </c>
      <c r="G214">
        <v>4</v>
      </c>
      <c r="H214">
        <v>16.63</v>
      </c>
    </row>
    <row r="215" spans="1:8">
      <c r="A215" s="1">
        <v>42</v>
      </c>
      <c r="B215" t="s">
        <v>2456</v>
      </c>
      <c r="C215">
        <v>85.57</v>
      </c>
      <c r="D215">
        <v>158.31</v>
      </c>
      <c r="E215">
        <v>0.94363399999999997</v>
      </c>
      <c r="F215">
        <v>42.51</v>
      </c>
      <c r="G215">
        <v>16</v>
      </c>
      <c r="H215">
        <v>17.55</v>
      </c>
    </row>
    <row r="216" spans="1:8">
      <c r="A216" s="1">
        <v>43</v>
      </c>
      <c r="B216" t="s">
        <v>2457</v>
      </c>
      <c r="C216">
        <v>69.91</v>
      </c>
      <c r="D216">
        <v>156.25</v>
      </c>
      <c r="E216">
        <v>0.88722500000000004</v>
      </c>
      <c r="F216">
        <v>31.22</v>
      </c>
      <c r="G216">
        <v>36</v>
      </c>
      <c r="H216">
        <v>14.69</v>
      </c>
    </row>
    <row r="217" spans="1:8">
      <c r="A217" s="1">
        <v>44</v>
      </c>
      <c r="B217" t="s">
        <v>2458</v>
      </c>
      <c r="C217">
        <v>83.21</v>
      </c>
      <c r="D217">
        <v>156.74</v>
      </c>
      <c r="E217">
        <v>0.92498400000000003</v>
      </c>
      <c r="F217">
        <v>0.96</v>
      </c>
      <c r="G217">
        <v>34</v>
      </c>
      <c r="H217">
        <v>17.45</v>
      </c>
    </row>
    <row r="218" spans="1:8">
      <c r="A218" s="1">
        <v>45</v>
      </c>
      <c r="B218" t="s">
        <v>2459</v>
      </c>
      <c r="C218">
        <v>77.23</v>
      </c>
      <c r="D218">
        <v>157.09</v>
      </c>
      <c r="E218">
        <v>0.89949999999999997</v>
      </c>
      <c r="F218">
        <v>21.39</v>
      </c>
      <c r="G218">
        <v>4</v>
      </c>
      <c r="H218">
        <v>15.82</v>
      </c>
    </row>
    <row r="219" spans="1:8">
      <c r="A219" s="1">
        <v>46</v>
      </c>
      <c r="B219" t="s">
        <v>2460</v>
      </c>
      <c r="C219">
        <v>75.03</v>
      </c>
      <c r="D219">
        <v>154.5</v>
      </c>
      <c r="E219">
        <v>0.86614400000000002</v>
      </c>
      <c r="F219">
        <v>1.08</v>
      </c>
      <c r="G219">
        <v>32</v>
      </c>
      <c r="H219">
        <v>15.85</v>
      </c>
    </row>
    <row r="220" spans="1:8">
      <c r="A220" s="1">
        <v>47</v>
      </c>
      <c r="B220" t="s">
        <v>2461</v>
      </c>
      <c r="C220">
        <v>71.540000000000006</v>
      </c>
      <c r="D220">
        <v>156.49</v>
      </c>
      <c r="E220">
        <v>0.89472200000000002</v>
      </c>
      <c r="F220">
        <v>27.03</v>
      </c>
      <c r="G220">
        <v>20</v>
      </c>
      <c r="H220">
        <v>15.16</v>
      </c>
    </row>
    <row r="221" spans="1:8">
      <c r="A221" s="1">
        <v>48</v>
      </c>
      <c r="B221" t="s">
        <v>2462</v>
      </c>
      <c r="C221">
        <v>68.19</v>
      </c>
      <c r="D221">
        <v>155.82</v>
      </c>
      <c r="E221">
        <v>0.85598399999999997</v>
      </c>
      <c r="F221">
        <v>22.62</v>
      </c>
      <c r="G221">
        <v>32</v>
      </c>
      <c r="H221">
        <v>13.87</v>
      </c>
    </row>
    <row r="222" spans="1:8">
      <c r="A222" s="1">
        <v>49</v>
      </c>
      <c r="B222" t="s">
        <v>2463</v>
      </c>
      <c r="C222">
        <v>76.86</v>
      </c>
      <c r="D222">
        <v>157.1</v>
      </c>
      <c r="E222">
        <v>0.90918600000000005</v>
      </c>
      <c r="F222">
        <v>25.84</v>
      </c>
      <c r="G222">
        <v>0</v>
      </c>
      <c r="H222">
        <v>16.48</v>
      </c>
    </row>
    <row r="223" spans="1:8">
      <c r="A223" s="1">
        <v>50</v>
      </c>
      <c r="B223" t="s">
        <v>2464</v>
      </c>
      <c r="C223">
        <v>65.27</v>
      </c>
      <c r="D223">
        <v>154.69999999999999</v>
      </c>
      <c r="E223">
        <v>0.86254900000000001</v>
      </c>
      <c r="F223">
        <v>1.77</v>
      </c>
      <c r="G223">
        <v>2</v>
      </c>
      <c r="H223">
        <v>14.17</v>
      </c>
    </row>
    <row r="224" spans="1:8">
      <c r="B224" s="1" t="s">
        <v>19</v>
      </c>
      <c r="C224" s="1">
        <f>AVERAGE(C174:C223)</f>
        <v>76.557200000000009</v>
      </c>
      <c r="D224" s="1" t="e">
        <f>AVERAGE(#REF!)</f>
        <v>#REF!</v>
      </c>
      <c r="E224" s="1" t="e">
        <f>AVERAGE(#REF!)</f>
        <v>#REF!</v>
      </c>
      <c r="F224" s="1" t="e">
        <f>AVERAGE(#REF!)</f>
        <v>#REF!</v>
      </c>
      <c r="H224" s="1" t="e">
        <f>AVERAGE(#REF!)</f>
        <v>#REF!</v>
      </c>
    </row>
    <row r="225" spans="1:8">
      <c r="B225" s="1" t="s">
        <v>20</v>
      </c>
      <c r="C225" s="1">
        <f>MIN(C173:C223)</f>
        <v>64.180000000000007</v>
      </c>
      <c r="D225" s="1">
        <f>MIN(D173:D223)</f>
        <v>153.59</v>
      </c>
      <c r="E225" s="1">
        <f>MIN(E173:E223)</f>
        <v>0.83853100000000003</v>
      </c>
      <c r="F225" s="1">
        <f>MIN(F173:F223)</f>
        <v>0.35</v>
      </c>
      <c r="H225" s="1">
        <f>MIN(H173:H223)</f>
        <v>13.87</v>
      </c>
    </row>
    <row r="226" spans="1:8">
      <c r="B226" s="1" t="s">
        <v>3</v>
      </c>
      <c r="C226" s="1">
        <f>STDEV(C174:C223)</f>
        <v>5.6731832622018779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18" t="s">
        <v>1435</v>
      </c>
    </row>
    <row r="229" spans="1:8" ht="18">
      <c r="A229" s="18" t="s">
        <v>7</v>
      </c>
      <c r="B229" s="3" t="s">
        <v>2</v>
      </c>
      <c r="C229" s="18" t="s">
        <v>4</v>
      </c>
      <c r="D229" s="18" t="s">
        <v>322</v>
      </c>
      <c r="E229" s="18" t="s">
        <v>321</v>
      </c>
      <c r="F229" s="18" t="s">
        <v>324</v>
      </c>
      <c r="G229" s="18" t="s">
        <v>323</v>
      </c>
      <c r="H229" s="18" t="s">
        <v>1436</v>
      </c>
    </row>
    <row r="230" spans="1:8">
      <c r="A230" s="1">
        <v>1</v>
      </c>
      <c r="B230" t="s">
        <v>2515</v>
      </c>
      <c r="C230">
        <v>73.459999999999994</v>
      </c>
      <c r="D230">
        <v>234.67</v>
      </c>
      <c r="E230">
        <v>0.89732900000000004</v>
      </c>
      <c r="F230">
        <v>5.76</v>
      </c>
      <c r="G230">
        <v>50</v>
      </c>
      <c r="H230">
        <v>15.64</v>
      </c>
    </row>
    <row r="231" spans="1:8">
      <c r="A231" s="1">
        <v>2</v>
      </c>
      <c r="B231" t="s">
        <v>2516</v>
      </c>
      <c r="C231">
        <v>74.08</v>
      </c>
      <c r="D231">
        <v>234.34</v>
      </c>
      <c r="E231">
        <v>0.91195899999999996</v>
      </c>
      <c r="F231">
        <v>1.38</v>
      </c>
      <c r="G231">
        <v>38</v>
      </c>
      <c r="H231">
        <v>16.11</v>
      </c>
    </row>
    <row r="232" spans="1:8">
      <c r="A232" s="1">
        <v>3</v>
      </c>
      <c r="B232" t="s">
        <v>2517</v>
      </c>
      <c r="C232">
        <v>71.760000000000005</v>
      </c>
      <c r="D232">
        <v>234.81</v>
      </c>
      <c r="E232">
        <v>0.89417400000000002</v>
      </c>
      <c r="F232">
        <v>30.87</v>
      </c>
      <c r="G232">
        <v>14</v>
      </c>
      <c r="H232">
        <v>15.15</v>
      </c>
    </row>
    <row r="233" spans="1:8">
      <c r="A233" s="1">
        <v>4</v>
      </c>
      <c r="B233" t="s">
        <v>2518</v>
      </c>
      <c r="C233">
        <v>70.569999999999993</v>
      </c>
      <c r="D233">
        <v>233.47</v>
      </c>
      <c r="E233">
        <v>0.89350300000000005</v>
      </c>
      <c r="F233">
        <v>1</v>
      </c>
      <c r="G233">
        <v>20</v>
      </c>
      <c r="H233">
        <v>15.01</v>
      </c>
    </row>
    <row r="234" spans="1:8">
      <c r="A234" s="1">
        <v>5</v>
      </c>
      <c r="B234" t="s">
        <v>2519</v>
      </c>
      <c r="C234">
        <v>76.77</v>
      </c>
      <c r="D234">
        <v>234.16</v>
      </c>
      <c r="E234">
        <v>0.90607700000000002</v>
      </c>
      <c r="F234">
        <v>0.42</v>
      </c>
      <c r="G234">
        <v>58</v>
      </c>
      <c r="H234">
        <v>16.38</v>
      </c>
    </row>
    <row r="235" spans="1:8">
      <c r="A235" s="1">
        <v>6</v>
      </c>
      <c r="B235" t="s">
        <v>2520</v>
      </c>
      <c r="C235">
        <v>70.84</v>
      </c>
      <c r="D235">
        <v>231.76</v>
      </c>
      <c r="E235">
        <v>0.85539699999999996</v>
      </c>
      <c r="F235">
        <v>0.38</v>
      </c>
      <c r="G235">
        <v>8</v>
      </c>
      <c r="H235">
        <v>15.08</v>
      </c>
    </row>
    <row r="236" spans="1:8">
      <c r="A236" s="1">
        <v>7</v>
      </c>
      <c r="B236" t="s">
        <v>2521</v>
      </c>
      <c r="C236">
        <v>71.819999999999993</v>
      </c>
      <c r="D236">
        <v>234.77</v>
      </c>
      <c r="E236">
        <v>0.89892099999999997</v>
      </c>
      <c r="F236">
        <v>27.3</v>
      </c>
      <c r="G236">
        <v>16</v>
      </c>
      <c r="H236">
        <v>15.21</v>
      </c>
    </row>
    <row r="237" spans="1:8">
      <c r="A237" s="1">
        <v>8</v>
      </c>
      <c r="B237" t="s">
        <v>2522</v>
      </c>
      <c r="C237">
        <v>66.900000000000006</v>
      </c>
      <c r="D237">
        <v>225.83</v>
      </c>
      <c r="E237">
        <v>0.77941199999999999</v>
      </c>
      <c r="F237">
        <v>0.04</v>
      </c>
      <c r="G237">
        <v>54</v>
      </c>
      <c r="H237">
        <v>14.46</v>
      </c>
    </row>
    <row r="238" spans="1:8">
      <c r="A238" s="1">
        <v>9</v>
      </c>
      <c r="B238" t="s">
        <v>2523</v>
      </c>
      <c r="C238">
        <v>71.849999999999994</v>
      </c>
      <c r="D238">
        <v>230.04</v>
      </c>
      <c r="E238">
        <v>0.840978</v>
      </c>
      <c r="F238">
        <v>0.04</v>
      </c>
      <c r="G238">
        <v>30</v>
      </c>
      <c r="H238">
        <v>15.02</v>
      </c>
    </row>
    <row r="239" spans="1:8">
      <c r="A239" s="1">
        <v>10</v>
      </c>
      <c r="B239" t="s">
        <v>2524</v>
      </c>
      <c r="C239">
        <v>68.7</v>
      </c>
      <c r="D239">
        <v>232.62</v>
      </c>
      <c r="E239">
        <v>0.85267199999999999</v>
      </c>
      <c r="F239">
        <v>1.69</v>
      </c>
      <c r="G239">
        <v>28</v>
      </c>
      <c r="H239">
        <v>14.67</v>
      </c>
    </row>
    <row r="240" spans="1:8">
      <c r="A240" s="1">
        <v>11</v>
      </c>
      <c r="B240" t="s">
        <v>2525</v>
      </c>
      <c r="C240">
        <v>74.150000000000006</v>
      </c>
      <c r="D240">
        <v>235.27</v>
      </c>
      <c r="E240">
        <v>0.904389</v>
      </c>
      <c r="F240">
        <v>24.88</v>
      </c>
      <c r="G240">
        <v>44</v>
      </c>
      <c r="H240">
        <v>15.3</v>
      </c>
    </row>
    <row r="241" spans="1:8">
      <c r="A241" s="1">
        <v>12</v>
      </c>
      <c r="B241" t="s">
        <v>2526</v>
      </c>
      <c r="C241">
        <v>72.400000000000006</v>
      </c>
      <c r="D241">
        <v>234.09</v>
      </c>
      <c r="E241">
        <v>0.88558400000000004</v>
      </c>
      <c r="F241">
        <v>3.49</v>
      </c>
      <c r="G241">
        <v>58</v>
      </c>
      <c r="H241">
        <v>15.65</v>
      </c>
    </row>
    <row r="242" spans="1:8">
      <c r="A242" s="1">
        <v>13</v>
      </c>
      <c r="B242" t="s">
        <v>2527</v>
      </c>
      <c r="C242">
        <v>61.69</v>
      </c>
      <c r="D242">
        <v>230</v>
      </c>
      <c r="E242">
        <v>0.825743</v>
      </c>
      <c r="F242">
        <v>0.19</v>
      </c>
      <c r="G242">
        <v>4</v>
      </c>
      <c r="H242">
        <v>13.13</v>
      </c>
    </row>
    <row r="243" spans="1:8">
      <c r="A243" s="1">
        <v>14</v>
      </c>
      <c r="B243" t="s">
        <v>2528</v>
      </c>
      <c r="C243">
        <v>80.87</v>
      </c>
      <c r="D243">
        <v>235.39</v>
      </c>
      <c r="E243">
        <v>0.91391999999999995</v>
      </c>
      <c r="F243">
        <v>1.34</v>
      </c>
      <c r="G243">
        <v>6</v>
      </c>
      <c r="H243">
        <v>16.850000000000001</v>
      </c>
    </row>
    <row r="244" spans="1:8">
      <c r="A244" s="1">
        <v>15</v>
      </c>
      <c r="B244" t="s">
        <v>2529</v>
      </c>
      <c r="C244">
        <v>73.040000000000006</v>
      </c>
      <c r="D244">
        <v>232.08</v>
      </c>
      <c r="E244">
        <v>0.87293100000000001</v>
      </c>
      <c r="F244">
        <v>0.31</v>
      </c>
      <c r="G244">
        <v>14</v>
      </c>
      <c r="H244">
        <v>15.56</v>
      </c>
    </row>
    <row r="245" spans="1:8">
      <c r="A245" s="1">
        <v>16</v>
      </c>
      <c r="B245" t="s">
        <v>2530</v>
      </c>
      <c r="C245">
        <v>75.959999999999994</v>
      </c>
      <c r="D245">
        <v>234.83</v>
      </c>
      <c r="E245">
        <v>0.89540600000000004</v>
      </c>
      <c r="F245">
        <v>4.26</v>
      </c>
      <c r="G245">
        <v>2</v>
      </c>
      <c r="H245">
        <v>16.25</v>
      </c>
    </row>
    <row r="246" spans="1:8">
      <c r="A246" s="1">
        <v>17</v>
      </c>
      <c r="B246" t="s">
        <v>2531</v>
      </c>
      <c r="C246">
        <v>70.27</v>
      </c>
      <c r="D246">
        <v>234.08</v>
      </c>
      <c r="E246">
        <v>0.87374700000000005</v>
      </c>
      <c r="F246">
        <v>18.78</v>
      </c>
      <c r="G246">
        <v>40</v>
      </c>
      <c r="H246">
        <v>14.86</v>
      </c>
    </row>
    <row r="247" spans="1:8">
      <c r="A247" s="1">
        <v>18</v>
      </c>
      <c r="B247" t="s">
        <v>2532</v>
      </c>
      <c r="C247">
        <v>74.849999999999994</v>
      </c>
      <c r="D247">
        <v>234.03</v>
      </c>
      <c r="E247">
        <v>0.86974099999999999</v>
      </c>
      <c r="F247">
        <v>1.61</v>
      </c>
      <c r="G247">
        <v>36</v>
      </c>
      <c r="H247">
        <v>15.48</v>
      </c>
    </row>
    <row r="248" spans="1:8">
      <c r="A248" s="1">
        <v>19</v>
      </c>
      <c r="B248" t="s">
        <v>2533</v>
      </c>
      <c r="C248">
        <v>78.75</v>
      </c>
      <c r="D248">
        <v>233.84</v>
      </c>
      <c r="E248">
        <v>0.90551199999999998</v>
      </c>
      <c r="F248">
        <v>1</v>
      </c>
      <c r="G248">
        <v>18</v>
      </c>
      <c r="H248">
        <v>16.82</v>
      </c>
    </row>
    <row r="249" spans="1:8">
      <c r="A249" s="1">
        <v>20</v>
      </c>
      <c r="B249" t="s">
        <v>2534</v>
      </c>
      <c r="C249">
        <v>72.33</v>
      </c>
      <c r="D249">
        <v>234.18</v>
      </c>
      <c r="E249">
        <v>0.89245099999999999</v>
      </c>
      <c r="F249">
        <v>2.96</v>
      </c>
      <c r="G249">
        <v>28</v>
      </c>
      <c r="H249">
        <v>15.25</v>
      </c>
    </row>
    <row r="250" spans="1:8">
      <c r="A250" s="1">
        <v>21</v>
      </c>
      <c r="B250" t="s">
        <v>2535</v>
      </c>
      <c r="C250">
        <v>66.400000000000006</v>
      </c>
      <c r="D250">
        <v>229.44</v>
      </c>
      <c r="E250">
        <v>0.81709799999999999</v>
      </c>
      <c r="F250">
        <v>0.12</v>
      </c>
      <c r="G250">
        <v>40</v>
      </c>
      <c r="H250">
        <v>14.08</v>
      </c>
    </row>
    <row r="251" spans="1:8">
      <c r="A251" s="1">
        <v>22</v>
      </c>
      <c r="B251" t="s">
        <v>2536</v>
      </c>
      <c r="C251">
        <v>72.47</v>
      </c>
      <c r="D251">
        <v>233.85</v>
      </c>
      <c r="E251">
        <v>0.87565599999999999</v>
      </c>
      <c r="F251">
        <v>1.92</v>
      </c>
      <c r="G251">
        <v>0</v>
      </c>
      <c r="H251">
        <v>15.15</v>
      </c>
    </row>
    <row r="252" spans="1:8">
      <c r="A252" s="1">
        <v>23</v>
      </c>
      <c r="B252" t="s">
        <v>2537</v>
      </c>
      <c r="C252">
        <v>76.67</v>
      </c>
      <c r="D252">
        <v>232.54</v>
      </c>
      <c r="E252">
        <v>0.88128399999999996</v>
      </c>
      <c r="F252">
        <v>1.19</v>
      </c>
      <c r="G252">
        <v>44</v>
      </c>
      <c r="H252">
        <v>16.600000000000001</v>
      </c>
    </row>
    <row r="253" spans="1:8">
      <c r="A253" s="1">
        <v>24</v>
      </c>
      <c r="B253" t="s">
        <v>2538</v>
      </c>
      <c r="C253">
        <v>64.459999999999994</v>
      </c>
      <c r="D253">
        <v>232.82</v>
      </c>
      <c r="E253">
        <v>0.85057700000000003</v>
      </c>
      <c r="F253">
        <v>18.66</v>
      </c>
      <c r="G253">
        <v>36</v>
      </c>
      <c r="H253">
        <v>14.08</v>
      </c>
    </row>
    <row r="254" spans="1:8">
      <c r="A254" s="1">
        <v>25</v>
      </c>
      <c r="B254" t="s">
        <v>2539</v>
      </c>
      <c r="C254">
        <v>65.61</v>
      </c>
      <c r="D254">
        <v>232.68</v>
      </c>
      <c r="E254">
        <v>0.87203299999999995</v>
      </c>
      <c r="F254">
        <v>2.15</v>
      </c>
      <c r="G254">
        <v>58</v>
      </c>
      <c r="H254">
        <v>14.13</v>
      </c>
    </row>
    <row r="255" spans="1:8">
      <c r="A255" s="1">
        <v>26</v>
      </c>
      <c r="B255" t="s">
        <v>2540</v>
      </c>
      <c r="C255">
        <v>75.48</v>
      </c>
      <c r="D255">
        <v>235.7</v>
      </c>
      <c r="E255">
        <v>0.92605499999999996</v>
      </c>
      <c r="F255">
        <v>28.22</v>
      </c>
      <c r="G255">
        <v>58</v>
      </c>
      <c r="H255">
        <v>16.03</v>
      </c>
    </row>
    <row r="256" spans="1:8">
      <c r="A256" s="1">
        <v>27</v>
      </c>
      <c r="B256" t="s">
        <v>2541</v>
      </c>
      <c r="C256">
        <v>73.12</v>
      </c>
      <c r="D256">
        <v>233.96</v>
      </c>
      <c r="E256">
        <v>0.89459599999999995</v>
      </c>
      <c r="F256">
        <v>1.19</v>
      </c>
      <c r="G256">
        <v>58</v>
      </c>
      <c r="H256">
        <v>15.44</v>
      </c>
    </row>
    <row r="257" spans="1:8">
      <c r="A257" s="1">
        <v>28</v>
      </c>
      <c r="B257" t="s">
        <v>2542</v>
      </c>
      <c r="C257">
        <v>66.77</v>
      </c>
      <c r="D257">
        <v>230.51</v>
      </c>
      <c r="E257">
        <v>0.81286800000000003</v>
      </c>
      <c r="F257">
        <v>1.04</v>
      </c>
      <c r="G257">
        <v>54</v>
      </c>
      <c r="H257">
        <v>14.29</v>
      </c>
    </row>
    <row r="258" spans="1:8">
      <c r="A258" s="1">
        <v>29</v>
      </c>
      <c r="B258" t="s">
        <v>2543</v>
      </c>
      <c r="C258">
        <v>73.739999999999995</v>
      </c>
      <c r="D258">
        <v>234.07</v>
      </c>
      <c r="E258">
        <v>0.89081999999999995</v>
      </c>
      <c r="F258">
        <v>1.34</v>
      </c>
      <c r="G258">
        <v>16</v>
      </c>
      <c r="H258">
        <v>15.19</v>
      </c>
    </row>
    <row r="259" spans="1:8">
      <c r="A259" s="1">
        <v>30</v>
      </c>
      <c r="B259" t="s">
        <v>2544</v>
      </c>
      <c r="C259">
        <v>78.12</v>
      </c>
      <c r="D259">
        <v>236.13</v>
      </c>
      <c r="E259">
        <v>0.92889900000000003</v>
      </c>
      <c r="F259">
        <v>30.72</v>
      </c>
      <c r="G259">
        <v>48</v>
      </c>
      <c r="H259">
        <v>16.54</v>
      </c>
    </row>
    <row r="260" spans="1:8">
      <c r="A260" s="1">
        <v>31</v>
      </c>
      <c r="B260" t="s">
        <v>2545</v>
      </c>
      <c r="C260">
        <v>75.239999999999995</v>
      </c>
      <c r="D260">
        <v>234.2</v>
      </c>
      <c r="E260">
        <v>0.887799</v>
      </c>
      <c r="F260">
        <v>4.57</v>
      </c>
      <c r="G260">
        <v>8</v>
      </c>
      <c r="H260">
        <v>16.11</v>
      </c>
    </row>
    <row r="261" spans="1:8">
      <c r="A261" s="1">
        <v>32</v>
      </c>
      <c r="B261" t="s">
        <v>2546</v>
      </c>
      <c r="C261">
        <v>69.95</v>
      </c>
      <c r="D261">
        <v>233.21</v>
      </c>
      <c r="E261">
        <v>0.87724599999999997</v>
      </c>
      <c r="F261">
        <v>1.31</v>
      </c>
      <c r="G261">
        <v>48</v>
      </c>
      <c r="H261">
        <v>14.8</v>
      </c>
    </row>
    <row r="262" spans="1:8">
      <c r="A262" s="1">
        <v>33</v>
      </c>
      <c r="B262" t="s">
        <v>2547</v>
      </c>
      <c r="C262">
        <v>71.94</v>
      </c>
      <c r="D262">
        <v>232.43</v>
      </c>
      <c r="E262">
        <v>0.86666699999999997</v>
      </c>
      <c r="F262">
        <v>1.04</v>
      </c>
      <c r="G262">
        <v>48</v>
      </c>
      <c r="H262">
        <v>15.16</v>
      </c>
    </row>
    <row r="263" spans="1:8">
      <c r="A263" s="1">
        <v>34</v>
      </c>
      <c r="B263" t="s">
        <v>2548</v>
      </c>
      <c r="C263">
        <v>74.900000000000006</v>
      </c>
      <c r="D263">
        <v>235.13</v>
      </c>
      <c r="E263">
        <v>0.89951099999999995</v>
      </c>
      <c r="F263">
        <v>15.32</v>
      </c>
      <c r="G263">
        <v>56</v>
      </c>
      <c r="H263">
        <v>16.07</v>
      </c>
    </row>
    <row r="264" spans="1:8">
      <c r="A264" s="1">
        <v>35</v>
      </c>
      <c r="B264" t="s">
        <v>2549</v>
      </c>
      <c r="C264">
        <v>80.36</v>
      </c>
      <c r="D264">
        <v>234.36</v>
      </c>
      <c r="E264">
        <v>0.92196400000000001</v>
      </c>
      <c r="F264">
        <v>0.12</v>
      </c>
      <c r="G264">
        <v>0</v>
      </c>
      <c r="H264">
        <v>16.73</v>
      </c>
    </row>
    <row r="265" spans="1:8">
      <c r="A265" s="1">
        <v>36</v>
      </c>
      <c r="B265" t="s">
        <v>2550</v>
      </c>
      <c r="C265">
        <v>72.19</v>
      </c>
      <c r="D265">
        <v>234</v>
      </c>
      <c r="E265">
        <v>0.88563999999999998</v>
      </c>
      <c r="F265">
        <v>3.46</v>
      </c>
      <c r="G265">
        <v>46</v>
      </c>
      <c r="H265">
        <v>15.7</v>
      </c>
    </row>
    <row r="266" spans="1:8">
      <c r="A266" s="1">
        <v>37</v>
      </c>
      <c r="B266" t="s">
        <v>2551</v>
      </c>
      <c r="C266">
        <v>73.03</v>
      </c>
      <c r="D266">
        <v>234.15</v>
      </c>
      <c r="E266">
        <v>0.87935099999999999</v>
      </c>
      <c r="F266">
        <v>2.65</v>
      </c>
      <c r="G266">
        <v>8</v>
      </c>
      <c r="H266">
        <v>15.02</v>
      </c>
    </row>
    <row r="267" spans="1:8">
      <c r="A267" s="1">
        <v>38</v>
      </c>
      <c r="B267" t="s">
        <v>2552</v>
      </c>
      <c r="C267">
        <v>76.91</v>
      </c>
      <c r="D267">
        <v>233.96</v>
      </c>
      <c r="E267">
        <v>0.87164799999999998</v>
      </c>
      <c r="F267">
        <v>1.84</v>
      </c>
      <c r="G267">
        <v>16</v>
      </c>
      <c r="H267">
        <v>15.92</v>
      </c>
    </row>
    <row r="268" spans="1:8">
      <c r="A268" s="1">
        <v>39</v>
      </c>
      <c r="B268" t="s">
        <v>2553</v>
      </c>
      <c r="C268">
        <v>63.47</v>
      </c>
      <c r="D268">
        <v>233.11</v>
      </c>
      <c r="E268">
        <v>0.88286100000000001</v>
      </c>
      <c r="F268">
        <v>22.92</v>
      </c>
      <c r="G268">
        <v>48</v>
      </c>
      <c r="H268">
        <v>14.03</v>
      </c>
    </row>
    <row r="269" spans="1:8">
      <c r="A269" s="1">
        <v>40</v>
      </c>
      <c r="B269" t="s">
        <v>2554</v>
      </c>
      <c r="C269">
        <v>71.95</v>
      </c>
      <c r="D269">
        <v>233.64</v>
      </c>
      <c r="E269">
        <v>0.88804400000000006</v>
      </c>
      <c r="F269">
        <v>1.34</v>
      </c>
      <c r="G269">
        <v>34</v>
      </c>
      <c r="H269">
        <v>15.47</v>
      </c>
    </row>
    <row r="270" spans="1:8">
      <c r="A270" s="1">
        <v>41</v>
      </c>
      <c r="B270" t="s">
        <v>2555</v>
      </c>
      <c r="C270">
        <v>73.180000000000007</v>
      </c>
      <c r="D270">
        <v>233.11</v>
      </c>
      <c r="E270">
        <v>0.86605399999999999</v>
      </c>
      <c r="F270">
        <v>0.69</v>
      </c>
      <c r="G270">
        <v>46</v>
      </c>
      <c r="H270">
        <v>15</v>
      </c>
    </row>
    <row r="271" spans="1:8">
      <c r="A271" s="1">
        <v>42</v>
      </c>
      <c r="B271" t="s">
        <v>2556</v>
      </c>
      <c r="C271">
        <v>68.180000000000007</v>
      </c>
      <c r="D271">
        <v>232.92</v>
      </c>
      <c r="E271">
        <v>0.84266099999999999</v>
      </c>
      <c r="F271">
        <v>6.03</v>
      </c>
      <c r="G271">
        <v>48</v>
      </c>
      <c r="H271">
        <v>14.27</v>
      </c>
    </row>
    <row r="272" spans="1:8">
      <c r="A272" s="1">
        <v>43</v>
      </c>
      <c r="B272" t="s">
        <v>2557</v>
      </c>
      <c r="C272">
        <v>72.709999999999994</v>
      </c>
      <c r="D272">
        <v>232.62</v>
      </c>
      <c r="E272">
        <v>0.87627900000000003</v>
      </c>
      <c r="F272">
        <v>0.92</v>
      </c>
      <c r="G272">
        <v>34</v>
      </c>
      <c r="H272">
        <v>15.23</v>
      </c>
    </row>
    <row r="273" spans="1:8">
      <c r="A273" s="1">
        <v>44</v>
      </c>
      <c r="B273" t="s">
        <v>2558</v>
      </c>
      <c r="C273">
        <v>68.83</v>
      </c>
      <c r="D273">
        <v>232.96</v>
      </c>
      <c r="E273">
        <v>0.902092</v>
      </c>
      <c r="F273">
        <v>0.54</v>
      </c>
      <c r="G273">
        <v>6</v>
      </c>
      <c r="H273">
        <v>15.1</v>
      </c>
    </row>
    <row r="274" spans="1:8">
      <c r="A274" s="1">
        <v>45</v>
      </c>
      <c r="B274" t="s">
        <v>2559</v>
      </c>
      <c r="C274">
        <v>66.75</v>
      </c>
      <c r="D274">
        <v>233.8</v>
      </c>
      <c r="E274">
        <v>0.88365300000000002</v>
      </c>
      <c r="F274">
        <v>31.87</v>
      </c>
      <c r="G274">
        <v>0</v>
      </c>
      <c r="H274">
        <v>13.82</v>
      </c>
    </row>
    <row r="275" spans="1:8">
      <c r="A275" s="1">
        <v>46</v>
      </c>
      <c r="B275" t="s">
        <v>2560</v>
      </c>
      <c r="C275">
        <v>80.62</v>
      </c>
      <c r="D275">
        <v>236.62</v>
      </c>
      <c r="E275">
        <v>0.93730400000000003</v>
      </c>
      <c r="F275">
        <v>31.18</v>
      </c>
      <c r="G275">
        <v>10</v>
      </c>
      <c r="H275">
        <v>16.71</v>
      </c>
    </row>
    <row r="276" spans="1:8">
      <c r="A276" s="1">
        <v>47</v>
      </c>
      <c r="B276" t="s">
        <v>2561</v>
      </c>
      <c r="C276">
        <v>78.42</v>
      </c>
      <c r="D276">
        <v>236.08</v>
      </c>
      <c r="E276">
        <v>0.91327999999999998</v>
      </c>
      <c r="F276">
        <v>38.94</v>
      </c>
      <c r="G276">
        <v>28</v>
      </c>
      <c r="H276">
        <v>16.18</v>
      </c>
    </row>
    <row r="277" spans="1:8">
      <c r="A277" s="1">
        <v>48</v>
      </c>
      <c r="B277" t="s">
        <v>2562</v>
      </c>
      <c r="C277">
        <v>71.03</v>
      </c>
      <c r="D277">
        <v>234.09</v>
      </c>
      <c r="E277">
        <v>0.88908399999999999</v>
      </c>
      <c r="F277">
        <v>4.22</v>
      </c>
      <c r="G277">
        <v>48</v>
      </c>
      <c r="H277">
        <v>15.3</v>
      </c>
    </row>
    <row r="278" spans="1:8">
      <c r="A278" s="1">
        <v>49</v>
      </c>
      <c r="B278" t="s">
        <v>2563</v>
      </c>
      <c r="C278">
        <v>68.48</v>
      </c>
      <c r="D278">
        <v>234.4</v>
      </c>
      <c r="E278">
        <v>0.91001699999999996</v>
      </c>
      <c r="F278">
        <v>37.9</v>
      </c>
      <c r="G278">
        <v>4</v>
      </c>
      <c r="H278">
        <v>14.66</v>
      </c>
    </row>
    <row r="279" spans="1:8">
      <c r="A279" s="1">
        <v>50</v>
      </c>
      <c r="B279" t="s">
        <v>2564</v>
      </c>
      <c r="C279">
        <v>69.459999999999994</v>
      </c>
      <c r="D279">
        <v>233.74</v>
      </c>
      <c r="E279">
        <v>0.87885999999999997</v>
      </c>
      <c r="F279">
        <v>5.3</v>
      </c>
      <c r="G279">
        <v>14</v>
      </c>
      <c r="H279">
        <v>14.88</v>
      </c>
    </row>
    <row r="280" spans="1:8">
      <c r="B280" s="1" t="s">
        <v>19</v>
      </c>
      <c r="C280" s="1">
        <f>AVERAGE(C230:C279)</f>
        <v>72.229999999999976</v>
      </c>
      <c r="D280" s="1" t="e">
        <f>AVERAGE(#REF!)</f>
        <v>#REF!</v>
      </c>
      <c r="E280" s="1" t="e">
        <f>AVERAGE(#REF!)</f>
        <v>#REF!</v>
      </c>
      <c r="F280" s="1" t="e">
        <f>AVERAGE(#REF!)</f>
        <v>#REF!</v>
      </c>
      <c r="H280" s="1" t="e">
        <f>AVERAGE(#REF!)</f>
        <v>#REF!</v>
      </c>
    </row>
    <row r="281" spans="1:8">
      <c r="B281" s="1" t="s">
        <v>20</v>
      </c>
      <c r="C281" s="1">
        <f>MIN(C229:C279)</f>
        <v>61.69</v>
      </c>
      <c r="D281" s="1">
        <f>MIN(D229:D279)</f>
        <v>225.83</v>
      </c>
      <c r="E281" s="1">
        <f>MIN(E229:E279)</f>
        <v>0.77941199999999999</v>
      </c>
      <c r="F281" s="1">
        <f>MIN(F229:F279)</f>
        <v>0.04</v>
      </c>
      <c r="H281" s="1">
        <f>MIN(H229:H279)</f>
        <v>13.13</v>
      </c>
    </row>
    <row r="282" spans="1:8">
      <c r="B282" s="1" t="s">
        <v>3</v>
      </c>
      <c r="C282" s="1" t="e">
        <f>STDEV(#REF!)</f>
        <v>#REF!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18" t="s">
        <v>1435</v>
      </c>
    </row>
    <row r="285" spans="1:8" ht="18">
      <c r="A285" s="18" t="s">
        <v>7</v>
      </c>
      <c r="B285" s="3" t="s">
        <v>10</v>
      </c>
      <c r="C285" s="18" t="s">
        <v>4</v>
      </c>
      <c r="D285" s="18" t="s">
        <v>322</v>
      </c>
      <c r="E285" s="18" t="s">
        <v>321</v>
      </c>
      <c r="F285" s="18" t="s">
        <v>324</v>
      </c>
      <c r="G285" s="18" t="s">
        <v>323</v>
      </c>
      <c r="H285" s="18" t="s">
        <v>1436</v>
      </c>
    </row>
    <row r="286" spans="1:8">
      <c r="A286" s="1">
        <v>1</v>
      </c>
      <c r="B286" t="s">
        <v>2565</v>
      </c>
      <c r="C286">
        <v>68.39</v>
      </c>
      <c r="D286">
        <v>311.60000000000002</v>
      </c>
      <c r="E286">
        <v>0.85750899999999997</v>
      </c>
      <c r="F286">
        <v>18.7</v>
      </c>
      <c r="G286">
        <v>46</v>
      </c>
      <c r="H286">
        <v>14.05</v>
      </c>
    </row>
    <row r="287" spans="1:8">
      <c r="A287" s="1">
        <v>2</v>
      </c>
      <c r="B287" t="s">
        <v>2566</v>
      </c>
      <c r="C287">
        <v>74.02</v>
      </c>
      <c r="D287">
        <v>309.83999999999997</v>
      </c>
      <c r="E287">
        <v>0.86444500000000002</v>
      </c>
      <c r="F287">
        <v>0.35</v>
      </c>
      <c r="G287">
        <v>50</v>
      </c>
      <c r="H287">
        <v>15.6</v>
      </c>
    </row>
    <row r="288" spans="1:8">
      <c r="A288" s="1">
        <v>3</v>
      </c>
      <c r="B288" t="s">
        <v>2567</v>
      </c>
      <c r="C288">
        <v>66.25</v>
      </c>
      <c r="D288">
        <v>310.70999999999998</v>
      </c>
      <c r="E288">
        <v>0.84479499999999996</v>
      </c>
      <c r="F288">
        <v>16.63</v>
      </c>
      <c r="G288">
        <v>24</v>
      </c>
      <c r="H288">
        <v>13.82</v>
      </c>
    </row>
    <row r="289" spans="1:8">
      <c r="A289" s="1">
        <v>4</v>
      </c>
      <c r="B289" t="s">
        <v>2568</v>
      </c>
      <c r="C289">
        <v>68.53</v>
      </c>
      <c r="D289">
        <v>310.69</v>
      </c>
      <c r="E289">
        <v>0.85833499999999996</v>
      </c>
      <c r="F289">
        <v>1.8</v>
      </c>
      <c r="G289">
        <v>40</v>
      </c>
      <c r="H289">
        <v>14.44</v>
      </c>
    </row>
    <row r="290" spans="1:8">
      <c r="A290" s="1">
        <v>5</v>
      </c>
      <c r="B290" t="s">
        <v>2569</v>
      </c>
      <c r="C290">
        <v>66.72</v>
      </c>
      <c r="D290">
        <v>310.7</v>
      </c>
      <c r="E290">
        <v>0.84963900000000003</v>
      </c>
      <c r="F290">
        <v>9.91</v>
      </c>
      <c r="G290">
        <v>38</v>
      </c>
      <c r="H290">
        <v>14.11</v>
      </c>
    </row>
    <row r="291" spans="1:8">
      <c r="A291" s="1">
        <v>6</v>
      </c>
      <c r="B291" t="s">
        <v>2570</v>
      </c>
      <c r="C291">
        <v>67.19</v>
      </c>
      <c r="D291">
        <v>310.55</v>
      </c>
      <c r="E291">
        <v>0.85867099999999996</v>
      </c>
      <c r="F291">
        <v>1.96</v>
      </c>
      <c r="G291">
        <v>26</v>
      </c>
      <c r="H291">
        <v>14.47</v>
      </c>
    </row>
    <row r="292" spans="1:8">
      <c r="A292" s="1">
        <v>7</v>
      </c>
      <c r="B292" t="s">
        <v>2571</v>
      </c>
      <c r="C292">
        <v>64.92</v>
      </c>
      <c r="D292">
        <v>310.43</v>
      </c>
      <c r="E292">
        <v>0.83381700000000003</v>
      </c>
      <c r="F292">
        <v>22.92</v>
      </c>
      <c r="G292">
        <v>22</v>
      </c>
      <c r="H292">
        <v>13.45</v>
      </c>
    </row>
    <row r="293" spans="1:8">
      <c r="A293" s="1">
        <v>8</v>
      </c>
      <c r="B293" t="s">
        <v>2572</v>
      </c>
      <c r="C293">
        <v>64.64</v>
      </c>
      <c r="D293">
        <v>309.64</v>
      </c>
      <c r="E293">
        <v>0.85483799999999999</v>
      </c>
      <c r="F293">
        <v>3.57</v>
      </c>
      <c r="G293">
        <v>0</v>
      </c>
      <c r="H293">
        <v>13.76</v>
      </c>
    </row>
    <row r="294" spans="1:8">
      <c r="A294" s="1">
        <v>9</v>
      </c>
      <c r="B294" t="s">
        <v>2573</v>
      </c>
      <c r="C294">
        <v>67.709999999999994</v>
      </c>
      <c r="D294">
        <v>311.06</v>
      </c>
      <c r="E294">
        <v>0.88755899999999999</v>
      </c>
      <c r="F294">
        <v>1.42</v>
      </c>
      <c r="G294">
        <v>74</v>
      </c>
      <c r="H294">
        <v>14.35</v>
      </c>
    </row>
    <row r="295" spans="1:8">
      <c r="A295" s="1">
        <v>10</v>
      </c>
      <c r="B295" t="s">
        <v>2574</v>
      </c>
      <c r="C295">
        <v>54.97</v>
      </c>
      <c r="D295">
        <v>304.01</v>
      </c>
      <c r="E295">
        <v>0.768571</v>
      </c>
      <c r="F295">
        <v>0.65</v>
      </c>
      <c r="G295">
        <v>54</v>
      </c>
      <c r="H295">
        <v>11.36</v>
      </c>
    </row>
    <row r="296" spans="1:8">
      <c r="A296" s="1">
        <v>11</v>
      </c>
      <c r="B296" t="s">
        <v>2575</v>
      </c>
      <c r="C296">
        <v>71.599999999999994</v>
      </c>
      <c r="D296">
        <v>312.64999999999998</v>
      </c>
      <c r="E296">
        <v>0.88360799999999995</v>
      </c>
      <c r="F296">
        <v>17.43</v>
      </c>
      <c r="G296">
        <v>8</v>
      </c>
      <c r="H296">
        <v>15.14</v>
      </c>
    </row>
    <row r="297" spans="1:8">
      <c r="A297" s="1">
        <v>12</v>
      </c>
      <c r="B297" t="s">
        <v>2576</v>
      </c>
      <c r="C297">
        <v>71.989999999999995</v>
      </c>
      <c r="D297">
        <v>312.87</v>
      </c>
      <c r="E297">
        <v>0.90291900000000003</v>
      </c>
      <c r="F297">
        <v>14.02</v>
      </c>
      <c r="G297">
        <v>8</v>
      </c>
      <c r="H297">
        <v>15.67</v>
      </c>
    </row>
    <row r="298" spans="1:8">
      <c r="A298" s="1">
        <v>13</v>
      </c>
      <c r="B298" t="s">
        <v>2577</v>
      </c>
      <c r="C298">
        <v>69.64</v>
      </c>
      <c r="D298">
        <v>308.47000000000003</v>
      </c>
      <c r="E298">
        <v>0.82284400000000002</v>
      </c>
      <c r="F298">
        <v>0.19</v>
      </c>
      <c r="G298">
        <v>44</v>
      </c>
      <c r="H298">
        <v>14.27</v>
      </c>
    </row>
    <row r="299" spans="1:8">
      <c r="A299" s="1">
        <v>14</v>
      </c>
      <c r="B299" t="s">
        <v>2578</v>
      </c>
      <c r="C299">
        <v>65.12</v>
      </c>
      <c r="D299">
        <v>311.05</v>
      </c>
      <c r="E299">
        <v>0.86413700000000004</v>
      </c>
      <c r="F299">
        <v>25.57</v>
      </c>
      <c r="G299">
        <v>36</v>
      </c>
      <c r="H299">
        <v>13.45</v>
      </c>
    </row>
    <row r="300" spans="1:8">
      <c r="A300" s="1">
        <v>15</v>
      </c>
      <c r="B300" t="s">
        <v>2579</v>
      </c>
      <c r="C300">
        <v>67.239999999999995</v>
      </c>
      <c r="D300">
        <v>309.23</v>
      </c>
      <c r="E300">
        <v>0.86197299999999999</v>
      </c>
      <c r="F300">
        <v>0.77</v>
      </c>
      <c r="G300">
        <v>42</v>
      </c>
      <c r="H300">
        <v>14.2</v>
      </c>
    </row>
    <row r="301" spans="1:8">
      <c r="A301" s="1">
        <v>16</v>
      </c>
      <c r="B301" t="s">
        <v>2580</v>
      </c>
      <c r="C301">
        <v>64.47</v>
      </c>
      <c r="D301">
        <v>310.26</v>
      </c>
      <c r="E301">
        <v>0.85753599999999996</v>
      </c>
      <c r="F301">
        <v>7.64</v>
      </c>
      <c r="G301">
        <v>18</v>
      </c>
      <c r="H301">
        <v>13.94</v>
      </c>
    </row>
    <row r="302" spans="1:8">
      <c r="A302" s="1">
        <v>17</v>
      </c>
      <c r="B302" t="s">
        <v>2581</v>
      </c>
      <c r="C302">
        <v>68.3</v>
      </c>
      <c r="D302">
        <v>307.36</v>
      </c>
      <c r="E302">
        <v>0.83428500000000005</v>
      </c>
      <c r="F302">
        <v>0.77</v>
      </c>
      <c r="G302">
        <v>36</v>
      </c>
      <c r="H302">
        <v>14.69</v>
      </c>
    </row>
    <row r="303" spans="1:8">
      <c r="A303" s="1">
        <v>18</v>
      </c>
      <c r="B303" t="s">
        <v>2582</v>
      </c>
      <c r="C303">
        <v>63.9</v>
      </c>
      <c r="D303">
        <v>307.25</v>
      </c>
      <c r="E303">
        <v>0.84392900000000004</v>
      </c>
      <c r="F303">
        <v>0.38</v>
      </c>
      <c r="G303">
        <v>4</v>
      </c>
      <c r="H303">
        <v>13.93</v>
      </c>
    </row>
    <row r="304" spans="1:8">
      <c r="A304" s="1">
        <v>19</v>
      </c>
      <c r="B304" t="s">
        <v>2583</v>
      </c>
      <c r="C304">
        <v>66.319999999999993</v>
      </c>
      <c r="D304">
        <v>310.73</v>
      </c>
      <c r="E304">
        <v>0.86061799999999999</v>
      </c>
      <c r="F304">
        <v>9.02</v>
      </c>
      <c r="G304">
        <v>16</v>
      </c>
      <c r="H304">
        <v>14.51</v>
      </c>
    </row>
    <row r="305" spans="1:8">
      <c r="A305" s="1">
        <v>20</v>
      </c>
      <c r="B305" t="s">
        <v>2584</v>
      </c>
      <c r="C305">
        <v>64.41</v>
      </c>
      <c r="D305">
        <v>310.42</v>
      </c>
      <c r="E305">
        <v>0.86766699999999997</v>
      </c>
      <c r="F305">
        <v>9.3699999999999992</v>
      </c>
      <c r="G305">
        <v>68</v>
      </c>
      <c r="H305">
        <v>13.72</v>
      </c>
    </row>
    <row r="306" spans="1:8">
      <c r="A306" s="1">
        <v>21</v>
      </c>
      <c r="B306" t="s">
        <v>2585</v>
      </c>
      <c r="C306">
        <v>65.55</v>
      </c>
      <c r="D306" t="e">
        <f>-inf</f>
        <v>#NAME?</v>
      </c>
      <c r="E306">
        <v>0.84313400000000005</v>
      </c>
      <c r="F306">
        <v>0</v>
      </c>
      <c r="G306">
        <v>38</v>
      </c>
      <c r="H306">
        <v>13.81</v>
      </c>
    </row>
    <row r="307" spans="1:8">
      <c r="A307" s="1">
        <v>22</v>
      </c>
      <c r="B307" t="s">
        <v>2586</v>
      </c>
      <c r="C307">
        <v>68.3</v>
      </c>
      <c r="D307">
        <v>307.32</v>
      </c>
      <c r="E307">
        <v>0.82888700000000004</v>
      </c>
      <c r="F307">
        <v>0.15</v>
      </c>
      <c r="G307">
        <v>22</v>
      </c>
      <c r="H307">
        <v>14.32</v>
      </c>
    </row>
    <row r="308" spans="1:8">
      <c r="A308" s="1">
        <v>23</v>
      </c>
      <c r="B308" t="s">
        <v>2587</v>
      </c>
      <c r="C308">
        <v>66.900000000000006</v>
      </c>
      <c r="D308">
        <v>309.98</v>
      </c>
      <c r="E308">
        <v>0.84269799999999995</v>
      </c>
      <c r="F308">
        <v>1.04</v>
      </c>
      <c r="G308">
        <v>52</v>
      </c>
      <c r="H308">
        <v>14.16</v>
      </c>
    </row>
    <row r="309" spans="1:8">
      <c r="A309" s="1">
        <v>24</v>
      </c>
      <c r="B309" t="s">
        <v>2588</v>
      </c>
      <c r="C309">
        <v>70.709999999999994</v>
      </c>
      <c r="D309">
        <v>310.02999999999997</v>
      </c>
      <c r="E309">
        <v>0.83963200000000004</v>
      </c>
      <c r="F309">
        <v>1.31</v>
      </c>
      <c r="G309">
        <v>72</v>
      </c>
      <c r="H309">
        <v>14.68</v>
      </c>
    </row>
    <row r="310" spans="1:8">
      <c r="A310" s="1">
        <v>25</v>
      </c>
      <c r="B310" t="s">
        <v>2589</v>
      </c>
      <c r="C310">
        <v>70.91</v>
      </c>
      <c r="D310">
        <v>312.79000000000002</v>
      </c>
      <c r="E310">
        <v>0.89867900000000001</v>
      </c>
      <c r="F310">
        <v>16.93</v>
      </c>
      <c r="G310">
        <v>46</v>
      </c>
      <c r="H310">
        <v>15.17</v>
      </c>
    </row>
    <row r="311" spans="1:8">
      <c r="A311" s="1">
        <v>26</v>
      </c>
      <c r="B311" t="s">
        <v>2590</v>
      </c>
      <c r="C311">
        <v>73.22</v>
      </c>
      <c r="D311">
        <v>313.13</v>
      </c>
      <c r="E311">
        <v>0.905196</v>
      </c>
      <c r="F311">
        <v>7.99</v>
      </c>
      <c r="G311">
        <v>68</v>
      </c>
      <c r="H311">
        <v>15.77</v>
      </c>
    </row>
    <row r="312" spans="1:8">
      <c r="A312" s="1">
        <v>27</v>
      </c>
      <c r="B312" t="s">
        <v>2591</v>
      </c>
      <c r="C312">
        <v>68.569999999999993</v>
      </c>
      <c r="D312">
        <v>310.13</v>
      </c>
      <c r="E312">
        <v>0.85767400000000005</v>
      </c>
      <c r="F312">
        <v>1.8</v>
      </c>
      <c r="G312">
        <v>40</v>
      </c>
      <c r="H312">
        <v>14.68</v>
      </c>
    </row>
    <row r="313" spans="1:8">
      <c r="A313" s="1">
        <v>28</v>
      </c>
      <c r="B313" t="s">
        <v>2592</v>
      </c>
      <c r="C313">
        <v>62.65</v>
      </c>
      <c r="D313">
        <v>307.85000000000002</v>
      </c>
      <c r="E313">
        <v>0.79889500000000002</v>
      </c>
      <c r="F313">
        <v>0.88</v>
      </c>
      <c r="G313">
        <v>54</v>
      </c>
      <c r="H313">
        <v>13.6</v>
      </c>
    </row>
    <row r="314" spans="1:8">
      <c r="A314" s="1">
        <v>29</v>
      </c>
      <c r="B314" t="s">
        <v>2593</v>
      </c>
      <c r="C314">
        <v>62.02</v>
      </c>
      <c r="D314">
        <v>303.83</v>
      </c>
      <c r="E314">
        <v>0.78076000000000001</v>
      </c>
      <c r="F314">
        <v>0.35</v>
      </c>
      <c r="G314">
        <v>40</v>
      </c>
      <c r="H314">
        <v>12.62</v>
      </c>
    </row>
    <row r="315" spans="1:8">
      <c r="A315" s="1">
        <v>30</v>
      </c>
      <c r="B315" t="s">
        <v>2594</v>
      </c>
      <c r="C315">
        <v>65.319999999999993</v>
      </c>
      <c r="D315">
        <v>309.70999999999998</v>
      </c>
      <c r="E315">
        <v>0.83199900000000004</v>
      </c>
      <c r="F315">
        <v>2.2999999999999998</v>
      </c>
      <c r="G315">
        <v>66</v>
      </c>
      <c r="H315">
        <v>13.86</v>
      </c>
    </row>
    <row r="316" spans="1:8">
      <c r="A316" s="1">
        <v>31</v>
      </c>
      <c r="B316" t="s">
        <v>2595</v>
      </c>
      <c r="C316">
        <v>64.89</v>
      </c>
      <c r="D316">
        <v>309.42</v>
      </c>
      <c r="E316">
        <v>0.83843100000000004</v>
      </c>
      <c r="F316">
        <v>1.42</v>
      </c>
      <c r="G316">
        <v>16</v>
      </c>
      <c r="H316">
        <v>13.91</v>
      </c>
    </row>
    <row r="317" spans="1:8">
      <c r="A317" s="1">
        <v>32</v>
      </c>
      <c r="B317" t="s">
        <v>2596</v>
      </c>
      <c r="C317">
        <v>73.12</v>
      </c>
      <c r="D317">
        <v>308.98</v>
      </c>
      <c r="E317">
        <v>0.86433899999999997</v>
      </c>
      <c r="F317">
        <v>0.19</v>
      </c>
      <c r="G317">
        <v>58</v>
      </c>
      <c r="H317">
        <v>15.33</v>
      </c>
    </row>
    <row r="318" spans="1:8">
      <c r="A318" s="1">
        <v>33</v>
      </c>
      <c r="B318" t="s">
        <v>2597</v>
      </c>
      <c r="C318">
        <v>65.75</v>
      </c>
      <c r="D318">
        <v>306.38</v>
      </c>
      <c r="E318">
        <v>0.79071599999999997</v>
      </c>
      <c r="F318">
        <v>0.61</v>
      </c>
      <c r="G318">
        <v>10</v>
      </c>
      <c r="H318">
        <v>13.47</v>
      </c>
    </row>
    <row r="319" spans="1:8">
      <c r="A319" s="1">
        <v>34</v>
      </c>
      <c r="B319" t="s">
        <v>2598</v>
      </c>
      <c r="C319">
        <v>66.97</v>
      </c>
      <c r="D319">
        <v>310.5</v>
      </c>
      <c r="E319">
        <v>0.84856799999999999</v>
      </c>
      <c r="F319">
        <v>2.69</v>
      </c>
      <c r="G319">
        <v>38</v>
      </c>
      <c r="H319">
        <v>13.86</v>
      </c>
    </row>
    <row r="320" spans="1:8">
      <c r="A320" s="1">
        <v>35</v>
      </c>
      <c r="B320" t="s">
        <v>2599</v>
      </c>
      <c r="C320">
        <v>68.11</v>
      </c>
      <c r="D320">
        <v>309.83</v>
      </c>
      <c r="E320">
        <v>0.83052300000000001</v>
      </c>
      <c r="F320">
        <v>2.42</v>
      </c>
      <c r="G320">
        <v>34</v>
      </c>
      <c r="H320">
        <v>14.3</v>
      </c>
    </row>
    <row r="321" spans="1:8">
      <c r="A321" s="1">
        <v>36</v>
      </c>
      <c r="B321" t="s">
        <v>2600</v>
      </c>
      <c r="C321">
        <v>61.25</v>
      </c>
      <c r="D321">
        <v>304.12</v>
      </c>
      <c r="E321">
        <v>0.77677099999999999</v>
      </c>
      <c r="F321">
        <v>0.15</v>
      </c>
      <c r="G321">
        <v>34</v>
      </c>
      <c r="H321">
        <v>12.77</v>
      </c>
    </row>
    <row r="322" spans="1:8">
      <c r="A322" s="1">
        <v>37</v>
      </c>
      <c r="B322" t="s">
        <v>2601</v>
      </c>
      <c r="C322">
        <v>67.59</v>
      </c>
      <c r="D322">
        <v>306.43</v>
      </c>
      <c r="E322">
        <v>0.81938999999999995</v>
      </c>
      <c r="F322">
        <v>0.27</v>
      </c>
      <c r="G322">
        <v>44</v>
      </c>
      <c r="H322">
        <v>14.09</v>
      </c>
    </row>
    <row r="323" spans="1:8">
      <c r="A323" s="1">
        <v>38</v>
      </c>
      <c r="B323" t="s">
        <v>2602</v>
      </c>
      <c r="C323">
        <v>67.010000000000005</v>
      </c>
      <c r="D323">
        <v>310.44</v>
      </c>
      <c r="E323">
        <v>0.87598900000000002</v>
      </c>
      <c r="F323">
        <v>2.65</v>
      </c>
      <c r="G323">
        <v>6</v>
      </c>
      <c r="H323">
        <v>14.22</v>
      </c>
    </row>
    <row r="324" spans="1:8">
      <c r="A324" s="1">
        <v>39</v>
      </c>
      <c r="B324" t="s">
        <v>2603</v>
      </c>
      <c r="C324">
        <v>66.89</v>
      </c>
      <c r="D324">
        <v>311.82</v>
      </c>
      <c r="E324">
        <v>0.88536999999999999</v>
      </c>
      <c r="F324">
        <v>30.64</v>
      </c>
      <c r="G324">
        <v>70</v>
      </c>
      <c r="H324">
        <v>14.01</v>
      </c>
    </row>
    <row r="325" spans="1:8">
      <c r="A325" s="1">
        <v>40</v>
      </c>
      <c r="B325" t="s">
        <v>2604</v>
      </c>
      <c r="C325">
        <v>68.7</v>
      </c>
      <c r="D325">
        <v>311.55</v>
      </c>
      <c r="E325">
        <v>0.88433300000000004</v>
      </c>
      <c r="F325">
        <v>6.49</v>
      </c>
      <c r="G325">
        <v>48</v>
      </c>
      <c r="H325">
        <v>15.04</v>
      </c>
    </row>
    <row r="326" spans="1:8">
      <c r="A326" s="1">
        <v>41</v>
      </c>
      <c r="B326" t="s">
        <v>2605</v>
      </c>
      <c r="C326">
        <v>65.06</v>
      </c>
      <c r="D326">
        <v>309.41000000000003</v>
      </c>
      <c r="E326">
        <v>0.84122799999999998</v>
      </c>
      <c r="F326">
        <v>1.5</v>
      </c>
      <c r="G326">
        <v>0</v>
      </c>
      <c r="H326">
        <v>13.73</v>
      </c>
    </row>
    <row r="327" spans="1:8">
      <c r="A327" s="1">
        <v>42</v>
      </c>
      <c r="B327" t="s">
        <v>2606</v>
      </c>
      <c r="C327">
        <v>61.65</v>
      </c>
      <c r="D327">
        <v>307.29000000000002</v>
      </c>
      <c r="E327">
        <v>0.82060299999999997</v>
      </c>
      <c r="F327">
        <v>0.08</v>
      </c>
      <c r="G327">
        <v>20</v>
      </c>
      <c r="H327">
        <v>13.03</v>
      </c>
    </row>
    <row r="328" spans="1:8">
      <c r="A328" s="1">
        <v>43</v>
      </c>
      <c r="B328" t="s">
        <v>2607</v>
      </c>
      <c r="C328">
        <v>63.66</v>
      </c>
      <c r="D328">
        <v>309.58999999999997</v>
      </c>
      <c r="E328">
        <v>0.85209199999999996</v>
      </c>
      <c r="F328">
        <v>1.88</v>
      </c>
      <c r="G328">
        <v>38</v>
      </c>
      <c r="H328">
        <v>13.17</v>
      </c>
    </row>
    <row r="329" spans="1:8">
      <c r="A329" s="1">
        <v>44</v>
      </c>
      <c r="B329" t="s">
        <v>2608</v>
      </c>
      <c r="C329">
        <v>64.17</v>
      </c>
      <c r="D329">
        <v>309.08999999999997</v>
      </c>
      <c r="E329">
        <v>0.84544399999999997</v>
      </c>
      <c r="F329">
        <v>0.69</v>
      </c>
      <c r="G329">
        <v>2</v>
      </c>
      <c r="H329">
        <v>13.45</v>
      </c>
    </row>
    <row r="330" spans="1:8">
      <c r="A330" s="1">
        <v>45</v>
      </c>
      <c r="B330" t="s">
        <v>2609</v>
      </c>
      <c r="C330">
        <v>71.489999999999995</v>
      </c>
      <c r="D330" t="e">
        <f>-inf</f>
        <v>#NAME?</v>
      </c>
      <c r="E330">
        <v>0.82569000000000004</v>
      </c>
      <c r="F330">
        <v>0</v>
      </c>
      <c r="G330">
        <v>36</v>
      </c>
      <c r="H330">
        <v>15.02</v>
      </c>
    </row>
    <row r="331" spans="1:8">
      <c r="A331" s="1">
        <v>46</v>
      </c>
      <c r="B331" t="s">
        <v>2610</v>
      </c>
      <c r="C331">
        <v>65.72</v>
      </c>
      <c r="D331">
        <v>310.45</v>
      </c>
      <c r="E331">
        <v>0.85236999999999996</v>
      </c>
      <c r="F331">
        <v>8.4499999999999993</v>
      </c>
      <c r="G331">
        <v>12</v>
      </c>
      <c r="H331">
        <v>13.91</v>
      </c>
    </row>
    <row r="332" spans="1:8">
      <c r="A332" s="1">
        <v>47</v>
      </c>
      <c r="B332" t="s">
        <v>2611</v>
      </c>
      <c r="C332">
        <v>61.87</v>
      </c>
      <c r="D332">
        <v>309.11</v>
      </c>
      <c r="E332">
        <v>0.84035700000000002</v>
      </c>
      <c r="F332">
        <v>2.65</v>
      </c>
      <c r="G332">
        <v>22</v>
      </c>
      <c r="H332">
        <v>13.4</v>
      </c>
    </row>
    <row r="333" spans="1:8">
      <c r="A333" s="1">
        <v>48</v>
      </c>
      <c r="B333" t="s">
        <v>2612</v>
      </c>
      <c r="C333">
        <v>65.959999999999994</v>
      </c>
      <c r="D333">
        <v>311.7</v>
      </c>
      <c r="E333">
        <v>0.89504499999999998</v>
      </c>
      <c r="F333">
        <v>30.57</v>
      </c>
      <c r="G333">
        <v>32</v>
      </c>
      <c r="H333">
        <v>13.81</v>
      </c>
    </row>
    <row r="334" spans="1:8">
      <c r="A334" s="1">
        <v>49</v>
      </c>
      <c r="B334" t="s">
        <v>2613</v>
      </c>
      <c r="C334">
        <v>59.74</v>
      </c>
      <c r="D334">
        <v>308.48</v>
      </c>
      <c r="E334">
        <v>0.82687500000000003</v>
      </c>
      <c r="F334">
        <v>8.83</v>
      </c>
      <c r="G334">
        <v>54</v>
      </c>
      <c r="H334">
        <v>13.06</v>
      </c>
    </row>
    <row r="335" spans="1:8">
      <c r="A335" s="1">
        <v>50</v>
      </c>
      <c r="B335" t="s">
        <v>2614</v>
      </c>
      <c r="C335">
        <v>67.63</v>
      </c>
      <c r="D335">
        <v>311.64999999999998</v>
      </c>
      <c r="E335">
        <v>0.88417599999999996</v>
      </c>
      <c r="F335">
        <v>9.7200000000000006</v>
      </c>
      <c r="G335">
        <v>66</v>
      </c>
      <c r="H335">
        <v>14.34</v>
      </c>
    </row>
    <row r="336" spans="1:8">
      <c r="B336" s="1" t="s">
        <v>19</v>
      </c>
      <c r="C336" s="1">
        <f>AVERAGE(C286:C335)</f>
        <v>66.554199999999994</v>
      </c>
      <c r="D336" s="1" t="e">
        <f t="shared" ref="D336:F336" si="10">AVERAGE(D286:D335)</f>
        <v>#NAME?</v>
      </c>
      <c r="E336" s="1">
        <f t="shared" si="10"/>
        <v>0.84807118000000004</v>
      </c>
      <c r="F336" s="1">
        <f t="shared" si="10"/>
        <v>6.1544000000000016</v>
      </c>
      <c r="H336" s="1">
        <f t="shared" ref="H336" si="11">AVERAGE(H286:H335)</f>
        <v>14.070399999999999</v>
      </c>
    </row>
    <row r="337" spans="1:8">
      <c r="B337" s="1" t="s">
        <v>20</v>
      </c>
      <c r="C337" s="1">
        <f>MIN(C285:C335)</f>
        <v>54.97</v>
      </c>
      <c r="D337" s="1" t="e">
        <f t="shared" ref="D337:F337" si="12">MIN(D285:D335)</f>
        <v>#NAME?</v>
      </c>
      <c r="E337" s="1">
        <f t="shared" si="12"/>
        <v>0.768571</v>
      </c>
      <c r="F337" s="1">
        <f t="shared" si="12"/>
        <v>0</v>
      </c>
      <c r="H337" s="1">
        <f t="shared" ref="H337" si="13">MIN(H285:H335)</f>
        <v>11.36</v>
      </c>
    </row>
    <row r="338" spans="1:8">
      <c r="B338" s="1" t="s">
        <v>3</v>
      </c>
      <c r="C338" s="1">
        <f>STDEV(C286:C335)</f>
        <v>3.6036484290233943</v>
      </c>
      <c r="D338" s="1" t="e">
        <f t="shared" ref="D338:E338" si="14">STDEV(D286:D335)</f>
        <v>#NAME?</v>
      </c>
      <c r="E338" s="1">
        <f t="shared" si="14"/>
        <v>3.1049723518892874E-2</v>
      </c>
      <c r="F338" s="1">
        <f>STDEV(F286:F335)</f>
        <v>8.2305573397218357</v>
      </c>
      <c r="H338" s="1">
        <f>STDEV(H286:H335)</f>
        <v>0.81435077434324254</v>
      </c>
    </row>
    <row r="340" spans="1:8">
      <c r="H340" s="18" t="s">
        <v>1435</v>
      </c>
    </row>
    <row r="341" spans="1:8" ht="18">
      <c r="A341" s="18" t="s">
        <v>7</v>
      </c>
      <c r="B341" s="3" t="s">
        <v>6</v>
      </c>
      <c r="C341" s="18" t="s">
        <v>4</v>
      </c>
      <c r="D341" s="18" t="s">
        <v>322</v>
      </c>
      <c r="E341" s="18" t="s">
        <v>321</v>
      </c>
      <c r="F341" s="18" t="s">
        <v>324</v>
      </c>
      <c r="G341" s="18" t="s">
        <v>323</v>
      </c>
      <c r="H341" s="18" t="s">
        <v>1436</v>
      </c>
    </row>
    <row r="342" spans="1:8">
      <c r="A342" s="1">
        <v>1</v>
      </c>
    </row>
    <row r="343" spans="1:8">
      <c r="A343" s="1">
        <v>2</v>
      </c>
    </row>
    <row r="344" spans="1:8">
      <c r="A344" s="1">
        <v>3</v>
      </c>
    </row>
    <row r="345" spans="1:8">
      <c r="A345" s="1">
        <v>4</v>
      </c>
    </row>
    <row r="346" spans="1:8">
      <c r="A346" s="1">
        <v>5</v>
      </c>
    </row>
    <row r="347" spans="1:8">
      <c r="A347" s="1">
        <v>6</v>
      </c>
    </row>
    <row r="348" spans="1:8">
      <c r="A348" s="1">
        <v>7</v>
      </c>
    </row>
    <row r="349" spans="1:8">
      <c r="A349" s="1">
        <v>8</v>
      </c>
    </row>
    <row r="350" spans="1:8">
      <c r="A350" s="1">
        <v>9</v>
      </c>
    </row>
    <row r="351" spans="1:8">
      <c r="A351" s="1">
        <v>10</v>
      </c>
    </row>
    <row r="352" spans="1:8">
      <c r="A352" s="1">
        <v>11</v>
      </c>
    </row>
    <row r="353" spans="1:1">
      <c r="A353" s="1">
        <v>12</v>
      </c>
    </row>
    <row r="354" spans="1:1">
      <c r="A354" s="1">
        <v>13</v>
      </c>
    </row>
    <row r="355" spans="1:1">
      <c r="A355" s="1">
        <v>14</v>
      </c>
    </row>
    <row r="356" spans="1:1">
      <c r="A356" s="1">
        <v>15</v>
      </c>
    </row>
    <row r="357" spans="1:1">
      <c r="A357" s="1">
        <v>16</v>
      </c>
    </row>
    <row r="358" spans="1:1">
      <c r="A358" s="1">
        <v>17</v>
      </c>
    </row>
    <row r="359" spans="1:1">
      <c r="A359" s="1">
        <v>18</v>
      </c>
    </row>
    <row r="360" spans="1:1">
      <c r="A360" s="1">
        <v>19</v>
      </c>
    </row>
    <row r="361" spans="1:1">
      <c r="A361" s="1">
        <v>20</v>
      </c>
    </row>
    <row r="362" spans="1:1">
      <c r="A362" s="1">
        <v>21</v>
      </c>
    </row>
    <row r="363" spans="1:1">
      <c r="A363" s="1">
        <v>22</v>
      </c>
    </row>
    <row r="364" spans="1:1">
      <c r="A364" s="1">
        <v>23</v>
      </c>
    </row>
    <row r="365" spans="1:1">
      <c r="A365" s="1">
        <v>24</v>
      </c>
    </row>
    <row r="366" spans="1:1">
      <c r="A366" s="1">
        <v>25</v>
      </c>
    </row>
    <row r="367" spans="1:1">
      <c r="A367" s="1">
        <v>26</v>
      </c>
    </row>
    <row r="368" spans="1:1">
      <c r="A368" s="1">
        <v>27</v>
      </c>
    </row>
    <row r="369" spans="1:1">
      <c r="A369" s="1">
        <v>28</v>
      </c>
    </row>
    <row r="370" spans="1:1">
      <c r="A370" s="1">
        <v>29</v>
      </c>
    </row>
    <row r="371" spans="1:1">
      <c r="A371" s="1">
        <v>30</v>
      </c>
    </row>
    <row r="372" spans="1:1">
      <c r="A372" s="1">
        <v>31</v>
      </c>
    </row>
    <row r="373" spans="1:1">
      <c r="A373" s="1">
        <v>32</v>
      </c>
    </row>
    <row r="374" spans="1:1">
      <c r="A374" s="1">
        <v>33</v>
      </c>
    </row>
    <row r="375" spans="1:1">
      <c r="A375" s="1">
        <v>34</v>
      </c>
    </row>
    <row r="376" spans="1:1">
      <c r="A376" s="1">
        <v>35</v>
      </c>
    </row>
    <row r="377" spans="1:1">
      <c r="A377" s="1">
        <v>36</v>
      </c>
    </row>
    <row r="378" spans="1:1">
      <c r="A378" s="1">
        <v>37</v>
      </c>
    </row>
    <row r="379" spans="1:1">
      <c r="A379" s="1">
        <v>38</v>
      </c>
    </row>
    <row r="380" spans="1:1">
      <c r="A380" s="1">
        <v>39</v>
      </c>
    </row>
    <row r="381" spans="1:1">
      <c r="A381" s="1">
        <v>40</v>
      </c>
    </row>
    <row r="382" spans="1:1">
      <c r="A382" s="1">
        <v>41</v>
      </c>
    </row>
    <row r="383" spans="1:1">
      <c r="A383" s="1">
        <v>42</v>
      </c>
    </row>
    <row r="384" spans="1:1">
      <c r="A384" s="1">
        <v>43</v>
      </c>
    </row>
    <row r="385" spans="1:8">
      <c r="A385" s="1">
        <v>44</v>
      </c>
    </row>
    <row r="386" spans="1:8">
      <c r="A386" s="1">
        <v>45</v>
      </c>
    </row>
    <row r="387" spans="1:8">
      <c r="A387" s="1">
        <v>46</v>
      </c>
    </row>
    <row r="388" spans="1:8">
      <c r="A388" s="1">
        <v>47</v>
      </c>
    </row>
    <row r="389" spans="1:8">
      <c r="A389" s="1">
        <v>48</v>
      </c>
    </row>
    <row r="390" spans="1:8">
      <c r="A390" s="1">
        <v>49</v>
      </c>
    </row>
    <row r="391" spans="1:8">
      <c r="A391" s="1">
        <v>50</v>
      </c>
    </row>
    <row r="392" spans="1:8">
      <c r="B392" s="1" t="s">
        <v>19</v>
      </c>
      <c r="C392" s="1" t="e">
        <f>AVERAGE(C342:C391)</f>
        <v>#DIV/0!</v>
      </c>
      <c r="D392" s="1" t="e">
        <f t="shared" ref="D392:F392" si="15">AVERAGE(D342:D391)</f>
        <v>#DIV/0!</v>
      </c>
      <c r="E392" s="1" t="e">
        <f t="shared" si="15"/>
        <v>#DIV/0!</v>
      </c>
      <c r="F392" s="1" t="e">
        <f t="shared" si="15"/>
        <v>#DIV/0!</v>
      </c>
      <c r="H392" s="1" t="e">
        <f t="shared" ref="H392" si="16">AVERAGE(H342:H391)</f>
        <v>#DIV/0!</v>
      </c>
    </row>
    <row r="393" spans="1:8">
      <c r="B393" s="1" t="s">
        <v>20</v>
      </c>
      <c r="C393" s="1">
        <f>MIN(C341:C391)</f>
        <v>0</v>
      </c>
      <c r="D393" s="1">
        <f t="shared" ref="D393:F393" si="17">MIN(D341:D391)</f>
        <v>0</v>
      </c>
      <c r="E393" s="1">
        <f t="shared" si="17"/>
        <v>0</v>
      </c>
      <c r="F393" s="1">
        <f t="shared" si="17"/>
        <v>0</v>
      </c>
      <c r="H393" s="1">
        <f t="shared" ref="H393" si="18">MIN(H341:H391)</f>
        <v>0</v>
      </c>
    </row>
    <row r="394" spans="1:8">
      <c r="B394" s="1" t="s">
        <v>3</v>
      </c>
      <c r="C394" s="1" t="e">
        <f>STDEV(C342:C391)</f>
        <v>#DIV/0!</v>
      </c>
      <c r="D394" s="1" t="e">
        <f t="shared" ref="D394:E394" si="19">STDEV(D342:D391)</f>
        <v>#DIV/0!</v>
      </c>
      <c r="E394" s="1" t="e">
        <f t="shared" si="19"/>
        <v>#DIV/0!</v>
      </c>
      <c r="F394" s="1" t="e">
        <f>STDEV(F342:F391)</f>
        <v>#DIV/0!</v>
      </c>
      <c r="H394" s="1" t="e">
        <f>STDEV(H342:H391)</f>
        <v>#DIV/0!</v>
      </c>
    </row>
    <row r="397" spans="1:8" ht="18">
      <c r="A397" s="18"/>
      <c r="B397" s="3"/>
      <c r="C397" s="18"/>
      <c r="D397" s="18"/>
      <c r="E397" s="18"/>
      <c r="F397" s="18"/>
      <c r="G397" s="18"/>
    </row>
    <row r="421" spans="2:4" ht="18">
      <c r="B421" s="3"/>
      <c r="C421" s="18"/>
      <c r="D421" s="18"/>
    </row>
    <row r="445" spans="2:4" ht="18">
      <c r="B445" s="3"/>
      <c r="C445" s="18"/>
      <c r="D445" s="18"/>
    </row>
  </sheetData>
  <mergeCells count="1">
    <mergeCell ref="B1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445"/>
  <sheetViews>
    <sheetView topLeftCell="A130" zoomScale="70" zoomScaleNormal="70" workbookViewId="0">
      <selection activeCell="K48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2360</v>
      </c>
      <c r="C1" s="25"/>
      <c r="D1" s="25"/>
    </row>
    <row r="2" spans="1:8">
      <c r="B2" s="25"/>
      <c r="C2" s="25"/>
      <c r="D2" s="25"/>
    </row>
    <row r="4" spans="1:8">
      <c r="H4" s="18" t="s">
        <v>1435</v>
      </c>
    </row>
    <row r="5" spans="1:8" ht="18">
      <c r="A5" s="18" t="s">
        <v>7</v>
      </c>
      <c r="B5" s="3" t="s">
        <v>0</v>
      </c>
      <c r="C5" s="18" t="s">
        <v>4</v>
      </c>
      <c r="D5" s="18" t="s">
        <v>322</v>
      </c>
      <c r="E5" s="18" t="s">
        <v>321</v>
      </c>
      <c r="F5" s="18" t="s">
        <v>324</v>
      </c>
      <c r="G5" s="18" t="s">
        <v>323</v>
      </c>
      <c r="H5" s="18" t="s">
        <v>1436</v>
      </c>
    </row>
    <row r="6" spans="1:8">
      <c r="A6" s="1">
        <v>1</v>
      </c>
      <c r="B6" t="s">
        <v>2765</v>
      </c>
      <c r="C6">
        <v>91.64</v>
      </c>
      <c r="D6">
        <v>15.92</v>
      </c>
      <c r="E6">
        <v>0.98675400000000002</v>
      </c>
      <c r="F6">
        <v>81.02</v>
      </c>
      <c r="G6">
        <v>0</v>
      </c>
      <c r="H6">
        <v>19.37</v>
      </c>
    </row>
    <row r="7" spans="1:8">
      <c r="A7" s="1">
        <v>2</v>
      </c>
      <c r="B7" t="s">
        <v>2766</v>
      </c>
      <c r="C7">
        <v>149.16</v>
      </c>
      <c r="D7">
        <v>16.25</v>
      </c>
      <c r="E7">
        <v>0.83504299999999998</v>
      </c>
      <c r="F7">
        <v>82.87</v>
      </c>
      <c r="G7">
        <v>0</v>
      </c>
      <c r="H7">
        <v>46.59</v>
      </c>
    </row>
    <row r="8" spans="1:8">
      <c r="A8" s="1">
        <v>3</v>
      </c>
      <c r="B8" t="s">
        <v>2767</v>
      </c>
      <c r="C8">
        <v>254.32</v>
      </c>
      <c r="D8">
        <v>16.72</v>
      </c>
      <c r="E8">
        <v>0.83958299999999997</v>
      </c>
      <c r="F8">
        <v>143.16</v>
      </c>
      <c r="G8">
        <v>0</v>
      </c>
      <c r="H8">
        <v>53.97</v>
      </c>
    </row>
    <row r="9" spans="1:8">
      <c r="A9" s="1">
        <v>4</v>
      </c>
      <c r="B9" t="s">
        <v>2768</v>
      </c>
      <c r="C9">
        <v>308.87</v>
      </c>
      <c r="D9">
        <v>16.98</v>
      </c>
      <c r="E9">
        <v>0.99192999999999998</v>
      </c>
      <c r="F9">
        <v>281.01</v>
      </c>
      <c r="G9">
        <v>0</v>
      </c>
      <c r="H9">
        <v>71.55</v>
      </c>
    </row>
    <row r="10" spans="1:8">
      <c r="A10" s="1">
        <v>5</v>
      </c>
      <c r="B10" t="s">
        <v>2769</v>
      </c>
      <c r="C10">
        <v>129.97999999999999</v>
      </c>
      <c r="D10">
        <v>16.21</v>
      </c>
      <c r="E10">
        <v>0.95403499999999997</v>
      </c>
      <c r="F10">
        <v>101.45</v>
      </c>
      <c r="G10">
        <v>2</v>
      </c>
      <c r="H10">
        <v>28.57</v>
      </c>
    </row>
    <row r="11" spans="1:8">
      <c r="A11" s="1">
        <v>6</v>
      </c>
      <c r="B11" t="s">
        <v>2770</v>
      </c>
      <c r="C11">
        <v>273.08</v>
      </c>
      <c r="D11">
        <v>16.79</v>
      </c>
      <c r="E11">
        <v>0.84845599999999999</v>
      </c>
      <c r="F11">
        <v>157.66999999999999</v>
      </c>
      <c r="G11">
        <v>2</v>
      </c>
      <c r="H11">
        <v>87.65</v>
      </c>
    </row>
    <row r="12" spans="1:8">
      <c r="A12" s="1">
        <v>7</v>
      </c>
      <c r="B12" t="s">
        <v>2771</v>
      </c>
      <c r="C12">
        <v>194.52</v>
      </c>
      <c r="D12">
        <v>16.399999999999999</v>
      </c>
      <c r="E12">
        <v>0.75231700000000001</v>
      </c>
      <c r="F12">
        <v>82.91</v>
      </c>
      <c r="G12">
        <v>0</v>
      </c>
      <c r="H12">
        <v>45.55</v>
      </c>
    </row>
    <row r="13" spans="1:8">
      <c r="A13" s="1">
        <v>8</v>
      </c>
      <c r="B13" t="s">
        <v>2772</v>
      </c>
      <c r="C13">
        <v>187.68</v>
      </c>
      <c r="D13">
        <v>16.54</v>
      </c>
      <c r="E13">
        <v>0.97599499999999995</v>
      </c>
      <c r="F13">
        <v>158.25</v>
      </c>
      <c r="G13">
        <v>2</v>
      </c>
      <c r="H13">
        <v>55.8</v>
      </c>
    </row>
    <row r="14" spans="1:8">
      <c r="A14" s="1">
        <v>9</v>
      </c>
      <c r="B14" t="s">
        <v>2773</v>
      </c>
      <c r="C14">
        <v>121.4</v>
      </c>
      <c r="D14">
        <v>16.16</v>
      </c>
      <c r="E14">
        <v>0.97231199999999995</v>
      </c>
      <c r="F14">
        <v>100.92</v>
      </c>
      <c r="G14">
        <v>0</v>
      </c>
      <c r="H14">
        <v>28.67</v>
      </c>
    </row>
    <row r="15" spans="1:8">
      <c r="A15" s="1">
        <v>10</v>
      </c>
      <c r="B15" t="s">
        <v>2774</v>
      </c>
      <c r="C15">
        <v>97.42</v>
      </c>
      <c r="D15">
        <v>15.98</v>
      </c>
      <c r="E15">
        <v>0.99776799999999999</v>
      </c>
      <c r="F15">
        <v>92.81</v>
      </c>
      <c r="G15">
        <v>2</v>
      </c>
      <c r="H15">
        <v>19.57</v>
      </c>
    </row>
    <row r="16" spans="1:8">
      <c r="A16" s="1">
        <v>11</v>
      </c>
      <c r="B16" t="s">
        <v>2775</v>
      </c>
      <c r="C16">
        <v>125.24</v>
      </c>
      <c r="D16">
        <v>16.16</v>
      </c>
      <c r="E16">
        <v>0.93562599999999996</v>
      </c>
      <c r="F16">
        <v>92.39</v>
      </c>
      <c r="G16">
        <v>0</v>
      </c>
      <c r="H16">
        <v>28.61</v>
      </c>
    </row>
    <row r="17" spans="1:8">
      <c r="A17" s="1">
        <v>12</v>
      </c>
      <c r="B17" t="s">
        <v>2776</v>
      </c>
      <c r="C17">
        <v>138.63999999999999</v>
      </c>
      <c r="D17">
        <v>16.21</v>
      </c>
      <c r="E17">
        <v>0.85805299999999995</v>
      </c>
      <c r="F17">
        <v>82.25</v>
      </c>
      <c r="G17">
        <v>0</v>
      </c>
      <c r="H17">
        <v>28.4</v>
      </c>
    </row>
    <row r="18" spans="1:8">
      <c r="A18" s="1">
        <v>13</v>
      </c>
      <c r="B18" t="s">
        <v>2777</v>
      </c>
      <c r="C18">
        <v>297.66000000000003</v>
      </c>
      <c r="D18">
        <v>16.7</v>
      </c>
      <c r="E18">
        <v>0.69826699999999997</v>
      </c>
      <c r="F18">
        <v>101.99</v>
      </c>
      <c r="G18">
        <v>2</v>
      </c>
      <c r="H18">
        <v>76.13</v>
      </c>
    </row>
    <row r="19" spans="1:8">
      <c r="A19" s="1">
        <v>14</v>
      </c>
      <c r="B19" t="s">
        <v>2778</v>
      </c>
      <c r="C19">
        <v>308.06</v>
      </c>
      <c r="D19">
        <v>16.97</v>
      </c>
      <c r="E19">
        <v>0.98992100000000005</v>
      </c>
      <c r="F19">
        <v>276.98</v>
      </c>
      <c r="G19">
        <v>2</v>
      </c>
      <c r="H19">
        <v>107.35</v>
      </c>
    </row>
    <row r="20" spans="1:8">
      <c r="A20" s="1">
        <v>15</v>
      </c>
      <c r="B20" t="s">
        <v>2779</v>
      </c>
      <c r="C20">
        <v>218.25</v>
      </c>
      <c r="D20">
        <v>16.46</v>
      </c>
      <c r="E20">
        <v>0.71974800000000005</v>
      </c>
      <c r="F20">
        <v>82.06</v>
      </c>
      <c r="G20">
        <v>2</v>
      </c>
      <c r="H20">
        <v>79.48</v>
      </c>
    </row>
    <row r="21" spans="1:8">
      <c r="A21" s="1">
        <v>16</v>
      </c>
      <c r="B21" t="s">
        <v>2780</v>
      </c>
      <c r="C21">
        <v>179.35</v>
      </c>
      <c r="D21">
        <v>16.489999999999998</v>
      </c>
      <c r="E21">
        <v>0.95366399999999996</v>
      </c>
      <c r="F21">
        <v>139.81</v>
      </c>
      <c r="G21">
        <v>2</v>
      </c>
      <c r="H21">
        <v>56.18</v>
      </c>
    </row>
    <row r="22" spans="1:8">
      <c r="A22" s="1">
        <v>17</v>
      </c>
      <c r="B22" t="s">
        <v>2781</v>
      </c>
      <c r="C22">
        <v>112.9</v>
      </c>
      <c r="D22">
        <v>16.07</v>
      </c>
      <c r="E22">
        <v>0.93009600000000003</v>
      </c>
      <c r="F22">
        <v>81.95</v>
      </c>
      <c r="G22">
        <v>2</v>
      </c>
      <c r="H22">
        <v>28.74</v>
      </c>
    </row>
    <row r="23" spans="1:8">
      <c r="A23" s="1">
        <v>18</v>
      </c>
      <c r="B23" t="s">
        <v>2782</v>
      </c>
      <c r="C23">
        <v>122.92</v>
      </c>
      <c r="D23">
        <v>16.170000000000002</v>
      </c>
      <c r="E23">
        <v>0.97192900000000004</v>
      </c>
      <c r="F23">
        <v>102.03</v>
      </c>
      <c r="G23">
        <v>2</v>
      </c>
      <c r="H23">
        <v>28.68</v>
      </c>
    </row>
    <row r="24" spans="1:8">
      <c r="A24" s="1">
        <v>19</v>
      </c>
      <c r="B24" t="s">
        <v>2783</v>
      </c>
      <c r="C24">
        <v>189.54</v>
      </c>
      <c r="D24">
        <v>16.45</v>
      </c>
      <c r="E24">
        <v>0.82326500000000002</v>
      </c>
      <c r="F24">
        <v>101.72</v>
      </c>
      <c r="G24">
        <v>0</v>
      </c>
      <c r="H24">
        <v>81.62</v>
      </c>
    </row>
    <row r="25" spans="1:8">
      <c r="A25" s="1">
        <v>20</v>
      </c>
      <c r="B25" t="s">
        <v>2784</v>
      </c>
      <c r="C25">
        <v>190.54</v>
      </c>
      <c r="D25">
        <v>16.46</v>
      </c>
      <c r="E25">
        <v>0.82327099999999998</v>
      </c>
      <c r="F25">
        <v>102.26</v>
      </c>
      <c r="G25">
        <v>0</v>
      </c>
      <c r="H25">
        <v>45.82</v>
      </c>
    </row>
    <row r="26" spans="1:8">
      <c r="A26" s="1">
        <v>21</v>
      </c>
      <c r="B26" t="s">
        <v>2785</v>
      </c>
      <c r="C26">
        <v>371.42</v>
      </c>
      <c r="D26">
        <v>17.14</v>
      </c>
      <c r="E26">
        <v>0.99784499999999998</v>
      </c>
      <c r="F26">
        <v>354.16</v>
      </c>
      <c r="G26">
        <v>0</v>
      </c>
      <c r="H26">
        <v>138.41999999999999</v>
      </c>
    </row>
    <row r="27" spans="1:8">
      <c r="A27" s="1">
        <v>22</v>
      </c>
      <c r="B27" t="s">
        <v>2786</v>
      </c>
      <c r="C27">
        <v>97.32</v>
      </c>
      <c r="D27">
        <v>15.98</v>
      </c>
      <c r="E27">
        <v>0.99759299999999995</v>
      </c>
      <c r="F27">
        <v>92.54</v>
      </c>
      <c r="G27">
        <v>0</v>
      </c>
      <c r="H27">
        <v>19.34</v>
      </c>
    </row>
    <row r="28" spans="1:8">
      <c r="A28" s="1">
        <v>23</v>
      </c>
      <c r="B28" t="s">
        <v>2787</v>
      </c>
      <c r="C28">
        <v>255.49</v>
      </c>
      <c r="D28">
        <v>16.739999999999998</v>
      </c>
      <c r="E28">
        <v>0.87065499999999996</v>
      </c>
      <c r="F28">
        <v>157.02000000000001</v>
      </c>
      <c r="G28">
        <v>0</v>
      </c>
      <c r="H28">
        <v>88.7</v>
      </c>
    </row>
    <row r="29" spans="1:8">
      <c r="A29" s="1">
        <v>24</v>
      </c>
      <c r="B29" t="s">
        <v>2788</v>
      </c>
      <c r="C29">
        <v>210.12</v>
      </c>
      <c r="D29">
        <v>16.45</v>
      </c>
      <c r="E29">
        <v>0.731406</v>
      </c>
      <c r="F29">
        <v>82.79</v>
      </c>
      <c r="G29">
        <v>0</v>
      </c>
      <c r="H29">
        <v>45.13</v>
      </c>
    </row>
    <row r="30" spans="1:8">
      <c r="A30" s="1">
        <v>25</v>
      </c>
      <c r="B30" t="s">
        <v>2789</v>
      </c>
      <c r="C30">
        <v>224.33</v>
      </c>
      <c r="D30">
        <v>16.64</v>
      </c>
      <c r="E30">
        <v>0.88237200000000005</v>
      </c>
      <c r="F30">
        <v>142.43</v>
      </c>
      <c r="G30">
        <v>0</v>
      </c>
      <c r="H30">
        <v>54.84</v>
      </c>
    </row>
    <row r="31" spans="1:8">
      <c r="A31" s="1">
        <v>26</v>
      </c>
      <c r="B31" t="s">
        <v>2790</v>
      </c>
      <c r="C31">
        <v>233.16</v>
      </c>
      <c r="D31">
        <v>16.72</v>
      </c>
      <c r="E31">
        <v>0.97096499999999997</v>
      </c>
      <c r="F31">
        <v>192.84</v>
      </c>
      <c r="G31">
        <v>2</v>
      </c>
      <c r="H31">
        <v>90.61</v>
      </c>
    </row>
    <row r="32" spans="1:8">
      <c r="A32" s="1">
        <v>27</v>
      </c>
      <c r="B32" t="s">
        <v>2791</v>
      </c>
      <c r="C32">
        <v>215.81</v>
      </c>
      <c r="D32">
        <v>16.670000000000002</v>
      </c>
      <c r="E32">
        <v>0.99999700000000002</v>
      </c>
      <c r="F32">
        <v>215.42</v>
      </c>
      <c r="G32">
        <v>0</v>
      </c>
      <c r="H32">
        <v>73.739999999999995</v>
      </c>
    </row>
    <row r="33" spans="1:8">
      <c r="A33" s="1">
        <v>28</v>
      </c>
      <c r="B33" t="s">
        <v>2792</v>
      </c>
      <c r="C33">
        <v>239.85</v>
      </c>
      <c r="D33">
        <v>16.55</v>
      </c>
      <c r="E33">
        <v>0.72269899999999998</v>
      </c>
      <c r="F33">
        <v>91.28</v>
      </c>
      <c r="G33">
        <v>0</v>
      </c>
      <c r="H33">
        <v>78.42</v>
      </c>
    </row>
    <row r="34" spans="1:8">
      <c r="A34" s="1">
        <v>29</v>
      </c>
      <c r="B34" t="s">
        <v>2793</v>
      </c>
      <c r="C34">
        <v>248.39</v>
      </c>
      <c r="D34">
        <v>16.7</v>
      </c>
      <c r="E34">
        <v>0.84697199999999995</v>
      </c>
      <c r="F34">
        <v>142.81</v>
      </c>
      <c r="G34">
        <v>0</v>
      </c>
      <c r="H34">
        <v>88.76</v>
      </c>
    </row>
    <row r="35" spans="1:8">
      <c r="A35" s="1">
        <v>30</v>
      </c>
      <c r="B35" t="s">
        <v>2794</v>
      </c>
      <c r="C35">
        <v>315.45999999999998</v>
      </c>
      <c r="D35">
        <v>16.73</v>
      </c>
      <c r="E35">
        <v>0.68606900000000004</v>
      </c>
      <c r="F35">
        <v>102.07</v>
      </c>
      <c r="G35">
        <v>2</v>
      </c>
      <c r="H35">
        <v>75.08</v>
      </c>
    </row>
    <row r="36" spans="1:8">
      <c r="A36" s="1">
        <v>31</v>
      </c>
      <c r="B36" t="s">
        <v>2795</v>
      </c>
      <c r="C36">
        <v>259.56</v>
      </c>
      <c r="D36">
        <v>16.809999999999999</v>
      </c>
      <c r="E36">
        <v>0.96084599999999998</v>
      </c>
      <c r="F36">
        <v>207.17</v>
      </c>
      <c r="G36">
        <v>0</v>
      </c>
      <c r="H36">
        <v>72.569999999999993</v>
      </c>
    </row>
    <row r="37" spans="1:8">
      <c r="A37" s="1">
        <v>32</v>
      </c>
      <c r="B37" t="s">
        <v>2796</v>
      </c>
      <c r="C37">
        <v>138.19999999999999</v>
      </c>
      <c r="D37">
        <v>16.25</v>
      </c>
      <c r="E37">
        <v>0.93473399999999995</v>
      </c>
      <c r="F37">
        <v>101.68</v>
      </c>
      <c r="G37">
        <v>2</v>
      </c>
      <c r="H37">
        <v>28.45</v>
      </c>
    </row>
    <row r="38" spans="1:8">
      <c r="A38" s="1">
        <v>33</v>
      </c>
      <c r="B38" t="s">
        <v>2797</v>
      </c>
      <c r="C38">
        <v>376.86</v>
      </c>
      <c r="D38">
        <v>17.149999999999999</v>
      </c>
      <c r="E38">
        <v>0.99920399999999998</v>
      </c>
      <c r="F38">
        <v>366.22</v>
      </c>
      <c r="G38">
        <v>2</v>
      </c>
      <c r="H38">
        <v>103.62</v>
      </c>
    </row>
    <row r="39" spans="1:8">
      <c r="A39" s="1">
        <v>34</v>
      </c>
      <c r="B39" t="s">
        <v>2798</v>
      </c>
      <c r="C39">
        <v>91.64</v>
      </c>
      <c r="D39">
        <v>15.92</v>
      </c>
      <c r="E39">
        <v>0.98675400000000002</v>
      </c>
      <c r="F39">
        <v>81.02</v>
      </c>
      <c r="G39">
        <v>0</v>
      </c>
      <c r="H39">
        <v>19.37</v>
      </c>
    </row>
    <row r="40" spans="1:8">
      <c r="A40" s="1">
        <v>35</v>
      </c>
      <c r="B40" t="s">
        <v>2799</v>
      </c>
      <c r="C40">
        <v>254.32</v>
      </c>
      <c r="D40">
        <v>16.72</v>
      </c>
      <c r="E40">
        <v>0.83958299999999997</v>
      </c>
      <c r="F40">
        <v>143.16</v>
      </c>
      <c r="G40">
        <v>0</v>
      </c>
      <c r="H40">
        <v>53.97</v>
      </c>
    </row>
    <row r="41" spans="1:8">
      <c r="A41" s="1">
        <v>36</v>
      </c>
      <c r="B41" t="s">
        <v>2800</v>
      </c>
      <c r="C41">
        <v>352.65</v>
      </c>
      <c r="D41">
        <v>17.09</v>
      </c>
      <c r="E41">
        <v>0.99999899999999997</v>
      </c>
      <c r="F41">
        <v>352.36</v>
      </c>
      <c r="G41">
        <v>2</v>
      </c>
      <c r="H41">
        <v>139.4</v>
      </c>
    </row>
    <row r="42" spans="1:8">
      <c r="A42" s="1">
        <v>37</v>
      </c>
      <c r="B42" t="s">
        <v>2801</v>
      </c>
      <c r="C42">
        <v>256.74</v>
      </c>
      <c r="D42">
        <v>16.73</v>
      </c>
      <c r="E42">
        <v>0.83806400000000003</v>
      </c>
      <c r="F42">
        <v>143.88</v>
      </c>
      <c r="G42">
        <v>0</v>
      </c>
      <c r="H42">
        <v>53.97</v>
      </c>
    </row>
    <row r="43" spans="1:8">
      <c r="A43" s="1">
        <v>38</v>
      </c>
      <c r="B43" t="s">
        <v>2802</v>
      </c>
      <c r="C43">
        <v>178.71</v>
      </c>
      <c r="D43">
        <v>16.489999999999998</v>
      </c>
      <c r="E43">
        <v>0.96270699999999998</v>
      </c>
      <c r="F43">
        <v>143.54</v>
      </c>
      <c r="G43">
        <v>0</v>
      </c>
      <c r="H43">
        <v>55.89</v>
      </c>
    </row>
    <row r="44" spans="1:8">
      <c r="A44" s="1">
        <v>39</v>
      </c>
      <c r="B44" t="s">
        <v>2803</v>
      </c>
      <c r="C44">
        <v>363.19</v>
      </c>
      <c r="D44">
        <v>17.12</v>
      </c>
      <c r="E44">
        <v>0.99478200000000006</v>
      </c>
      <c r="F44">
        <v>336.88</v>
      </c>
      <c r="G44">
        <v>0</v>
      </c>
      <c r="H44">
        <v>104.08</v>
      </c>
    </row>
    <row r="45" spans="1:8">
      <c r="A45" s="1">
        <v>40</v>
      </c>
      <c r="B45" t="s">
        <v>2804</v>
      </c>
      <c r="C45">
        <v>355.53</v>
      </c>
      <c r="D45">
        <v>17.03</v>
      </c>
      <c r="E45">
        <v>0.865263</v>
      </c>
      <c r="F45">
        <v>215.23</v>
      </c>
      <c r="G45">
        <v>0</v>
      </c>
      <c r="H45">
        <v>103.33</v>
      </c>
    </row>
    <row r="46" spans="1:8">
      <c r="A46" s="1">
        <v>41</v>
      </c>
      <c r="B46" t="s">
        <v>2805</v>
      </c>
      <c r="C46">
        <v>235.95</v>
      </c>
      <c r="D46">
        <v>16.5</v>
      </c>
      <c r="E46">
        <v>0.70021100000000003</v>
      </c>
      <c r="F46">
        <v>81.56</v>
      </c>
      <c r="G46">
        <v>0</v>
      </c>
      <c r="H46">
        <v>78.489999999999995</v>
      </c>
    </row>
    <row r="47" spans="1:8">
      <c r="A47" s="1">
        <v>42</v>
      </c>
      <c r="B47" t="s">
        <v>2806</v>
      </c>
      <c r="C47">
        <v>148.41999999999999</v>
      </c>
      <c r="D47">
        <v>16.239999999999998</v>
      </c>
      <c r="E47">
        <v>0.83148</v>
      </c>
      <c r="F47">
        <v>81.599999999999994</v>
      </c>
      <c r="G47">
        <v>0</v>
      </c>
      <c r="H47">
        <v>46.59</v>
      </c>
    </row>
    <row r="48" spans="1:8">
      <c r="A48" s="1">
        <v>43</v>
      </c>
      <c r="B48" t="s">
        <v>2807</v>
      </c>
      <c r="C48">
        <v>192.98</v>
      </c>
      <c r="D48">
        <v>16.39</v>
      </c>
      <c r="E48">
        <v>0.74999700000000002</v>
      </c>
      <c r="F48">
        <v>81.56</v>
      </c>
      <c r="G48">
        <v>2</v>
      </c>
      <c r="H48">
        <v>45.51</v>
      </c>
    </row>
    <row r="49" spans="1:8">
      <c r="A49" s="1">
        <v>44</v>
      </c>
      <c r="B49" t="s">
        <v>2808</v>
      </c>
      <c r="C49">
        <v>235.95</v>
      </c>
      <c r="D49">
        <v>16.5</v>
      </c>
      <c r="E49">
        <v>0.70021100000000003</v>
      </c>
      <c r="F49">
        <v>81.56</v>
      </c>
      <c r="G49">
        <v>0</v>
      </c>
      <c r="H49">
        <v>78.489999999999995</v>
      </c>
    </row>
    <row r="50" spans="1:8">
      <c r="A50" s="1">
        <v>45</v>
      </c>
      <c r="B50" t="s">
        <v>2809</v>
      </c>
      <c r="C50">
        <v>363</v>
      </c>
      <c r="D50">
        <v>17.12</v>
      </c>
      <c r="E50">
        <v>0.99500200000000005</v>
      </c>
      <c r="F50">
        <v>337.27</v>
      </c>
      <c r="G50">
        <v>2</v>
      </c>
      <c r="H50">
        <v>104.1</v>
      </c>
    </row>
    <row r="51" spans="1:8">
      <c r="A51" s="1">
        <v>46</v>
      </c>
      <c r="B51" t="s">
        <v>2810</v>
      </c>
      <c r="C51">
        <v>373.77</v>
      </c>
      <c r="D51">
        <v>17.059999999999999</v>
      </c>
      <c r="E51">
        <v>0.84877599999999997</v>
      </c>
      <c r="F51">
        <v>216</v>
      </c>
      <c r="G51">
        <v>0</v>
      </c>
      <c r="H51">
        <v>102.33</v>
      </c>
    </row>
    <row r="52" spans="1:8">
      <c r="A52" s="1">
        <v>47</v>
      </c>
      <c r="B52" t="s">
        <v>2811</v>
      </c>
      <c r="C52">
        <v>148.41999999999999</v>
      </c>
      <c r="D52">
        <v>16.239999999999998</v>
      </c>
      <c r="E52">
        <v>0.83148</v>
      </c>
      <c r="F52">
        <v>81.599999999999994</v>
      </c>
      <c r="G52">
        <v>0</v>
      </c>
      <c r="H52">
        <v>46.59</v>
      </c>
    </row>
    <row r="53" spans="1:8">
      <c r="A53" s="1">
        <v>48</v>
      </c>
      <c r="B53" t="s">
        <v>2812</v>
      </c>
      <c r="C53">
        <v>157.77000000000001</v>
      </c>
      <c r="D53">
        <v>16.399999999999999</v>
      </c>
      <c r="E53">
        <v>1</v>
      </c>
      <c r="F53">
        <v>157.71</v>
      </c>
      <c r="G53">
        <v>0</v>
      </c>
      <c r="H53">
        <v>37.840000000000003</v>
      </c>
    </row>
    <row r="54" spans="1:8">
      <c r="A54" s="1">
        <v>49</v>
      </c>
      <c r="B54" t="s">
        <v>2813</v>
      </c>
      <c r="C54">
        <v>388.3</v>
      </c>
      <c r="D54">
        <v>17.18</v>
      </c>
      <c r="E54">
        <v>0.99999700000000002</v>
      </c>
      <c r="F54">
        <v>387.69</v>
      </c>
      <c r="G54">
        <v>2</v>
      </c>
      <c r="H54">
        <v>137.41999999999999</v>
      </c>
    </row>
    <row r="55" spans="1:8">
      <c r="A55" s="1">
        <v>50</v>
      </c>
      <c r="B55" t="s">
        <v>2814</v>
      </c>
      <c r="C55">
        <v>291.67</v>
      </c>
      <c r="D55">
        <v>16.93</v>
      </c>
      <c r="E55">
        <v>0.99856900000000004</v>
      </c>
      <c r="F55">
        <v>280.63</v>
      </c>
      <c r="G55">
        <v>2</v>
      </c>
      <c r="H55">
        <v>71.95</v>
      </c>
    </row>
    <row r="56" spans="1:8">
      <c r="B56" s="1" t="s">
        <v>19</v>
      </c>
      <c r="C56" s="1">
        <f>AVERAGE(C6:C55)</f>
        <v>225.32300000000004</v>
      </c>
      <c r="D56" s="1" t="e">
        <f>AVERAGE(#REF!)</f>
        <v>#REF!</v>
      </c>
      <c r="E56" s="1" t="e">
        <f>AVERAGE(#REF!)</f>
        <v>#REF!</v>
      </c>
      <c r="F56" s="1" t="e">
        <f>AVERAGE(#REF!)</f>
        <v>#REF!</v>
      </c>
      <c r="H56" s="1" t="e">
        <f>AVERAGE(#REF!)</f>
        <v>#REF!</v>
      </c>
    </row>
    <row r="57" spans="1:8">
      <c r="B57" s="1" t="s">
        <v>20</v>
      </c>
      <c r="C57" s="1">
        <f>MIN(C5:C55)</f>
        <v>91.64</v>
      </c>
      <c r="D57" s="1">
        <f>MIN(D5:D55)</f>
        <v>15.92</v>
      </c>
      <c r="E57" s="1">
        <f>MIN(E5:E55)</f>
        <v>0.68606900000000004</v>
      </c>
      <c r="F57" s="1">
        <f>MIN(F5:F55)</f>
        <v>81.02</v>
      </c>
      <c r="H57" s="1">
        <f>MIN(H5:H55)</f>
        <v>19.34</v>
      </c>
    </row>
    <row r="58" spans="1:8">
      <c r="B58" s="1" t="s">
        <v>3</v>
      </c>
      <c r="C58" s="1" t="e">
        <f>STDEV(#REF!)</f>
        <v>#REF!</v>
      </c>
      <c r="D58" s="1" t="e">
        <f>STDEV(#REF!)</f>
        <v>#REF!</v>
      </c>
      <c r="E58" s="1" t="e">
        <f>STDEV(#REF!)</f>
        <v>#REF!</v>
      </c>
      <c r="F58" s="1" t="e">
        <f>STDEV(#REF!)</f>
        <v>#REF!</v>
      </c>
      <c r="H58" s="1" t="e">
        <f>STDEV(#REF!)</f>
        <v>#REF!</v>
      </c>
    </row>
    <row r="60" spans="1:8">
      <c r="H60" s="18" t="s">
        <v>1435</v>
      </c>
    </row>
    <row r="61" spans="1:8" ht="18">
      <c r="A61" s="18" t="s">
        <v>7</v>
      </c>
      <c r="B61" s="3" t="s">
        <v>8</v>
      </c>
      <c r="C61" s="18" t="s">
        <v>4</v>
      </c>
      <c r="D61" s="18" t="s">
        <v>322</v>
      </c>
      <c r="E61" s="18" t="s">
        <v>321</v>
      </c>
      <c r="F61" s="18" t="s">
        <v>324</v>
      </c>
      <c r="G61" s="18" t="s">
        <v>323</v>
      </c>
      <c r="H61" s="18" t="s">
        <v>1436</v>
      </c>
    </row>
    <row r="62" spans="1:8">
      <c r="A62" s="1">
        <v>1</v>
      </c>
      <c r="B62" t="s">
        <v>2915</v>
      </c>
      <c r="C62">
        <v>194.96</v>
      </c>
      <c r="D62">
        <v>41.19</v>
      </c>
      <c r="E62">
        <v>0.783362</v>
      </c>
      <c r="F62">
        <v>92.08</v>
      </c>
      <c r="G62">
        <v>0</v>
      </c>
      <c r="H62">
        <v>53.96</v>
      </c>
    </row>
    <row r="63" spans="1:8">
      <c r="A63" s="1">
        <v>2</v>
      </c>
      <c r="B63" t="s">
        <v>2916</v>
      </c>
      <c r="C63">
        <v>149.68</v>
      </c>
      <c r="D63">
        <v>40.61</v>
      </c>
      <c r="E63">
        <v>0.76937199999999994</v>
      </c>
      <c r="F63">
        <v>81.52</v>
      </c>
      <c r="G63">
        <v>2</v>
      </c>
      <c r="H63">
        <v>33.49</v>
      </c>
    </row>
    <row r="64" spans="1:8">
      <c r="A64" s="1">
        <v>3</v>
      </c>
      <c r="B64" t="s">
        <v>2917</v>
      </c>
      <c r="C64">
        <v>374.13</v>
      </c>
      <c r="D64">
        <v>42.75</v>
      </c>
      <c r="E64">
        <v>0.90615999999999997</v>
      </c>
      <c r="F64">
        <v>215.69</v>
      </c>
      <c r="G64">
        <v>2</v>
      </c>
      <c r="H64">
        <v>109.61</v>
      </c>
    </row>
    <row r="65" spans="1:8">
      <c r="A65" s="1">
        <v>4</v>
      </c>
      <c r="B65" t="s">
        <v>2918</v>
      </c>
      <c r="C65">
        <v>171.1</v>
      </c>
      <c r="D65">
        <v>41.1</v>
      </c>
      <c r="E65">
        <v>0.95110099999999997</v>
      </c>
      <c r="F65">
        <v>102.57</v>
      </c>
      <c r="G65">
        <v>8</v>
      </c>
      <c r="H65">
        <v>41.82</v>
      </c>
    </row>
    <row r="66" spans="1:8">
      <c r="A66" s="1">
        <v>5</v>
      </c>
      <c r="B66" t="s">
        <v>2919</v>
      </c>
      <c r="C66">
        <v>151.91999999999999</v>
      </c>
      <c r="D66">
        <v>40.729999999999997</v>
      </c>
      <c r="E66">
        <v>0.837592</v>
      </c>
      <c r="F66">
        <v>92.2</v>
      </c>
      <c r="G66">
        <v>2</v>
      </c>
      <c r="H66">
        <v>37.409999999999997</v>
      </c>
    </row>
    <row r="67" spans="1:8">
      <c r="A67" s="1">
        <v>6</v>
      </c>
      <c r="B67" t="s">
        <v>2920</v>
      </c>
      <c r="C67">
        <v>240.75</v>
      </c>
      <c r="D67">
        <v>41.51</v>
      </c>
      <c r="E67">
        <v>0.70930300000000002</v>
      </c>
      <c r="F67">
        <v>81.91</v>
      </c>
      <c r="G67">
        <v>8</v>
      </c>
      <c r="H67">
        <v>67.06</v>
      </c>
    </row>
    <row r="68" spans="1:8">
      <c r="A68" s="1">
        <v>7</v>
      </c>
      <c r="B68" t="s">
        <v>2921</v>
      </c>
      <c r="C68">
        <v>134.93</v>
      </c>
      <c r="D68">
        <v>40.340000000000003</v>
      </c>
      <c r="E68">
        <v>0.71398300000000003</v>
      </c>
      <c r="F68">
        <v>81.75</v>
      </c>
      <c r="G68">
        <v>2</v>
      </c>
      <c r="H68">
        <v>29.9</v>
      </c>
    </row>
    <row r="69" spans="1:8">
      <c r="A69" s="1">
        <v>8</v>
      </c>
      <c r="B69" t="s">
        <v>2922</v>
      </c>
      <c r="C69">
        <v>265.24</v>
      </c>
      <c r="D69">
        <v>41.73</v>
      </c>
      <c r="E69">
        <v>0.773648</v>
      </c>
      <c r="F69">
        <v>81.06</v>
      </c>
      <c r="G69">
        <v>8</v>
      </c>
      <c r="H69">
        <v>66.790000000000006</v>
      </c>
    </row>
    <row r="70" spans="1:8">
      <c r="A70" s="1">
        <v>9</v>
      </c>
      <c r="B70" t="s">
        <v>2923</v>
      </c>
      <c r="C70">
        <v>153.91</v>
      </c>
      <c r="D70">
        <v>40.57</v>
      </c>
      <c r="E70">
        <v>0.714476</v>
      </c>
      <c r="F70">
        <v>82.56</v>
      </c>
      <c r="G70">
        <v>4</v>
      </c>
      <c r="H70">
        <v>33.31</v>
      </c>
    </row>
    <row r="71" spans="1:8">
      <c r="A71" s="1">
        <v>10</v>
      </c>
      <c r="B71" t="s">
        <v>2924</v>
      </c>
      <c r="C71">
        <v>169.43</v>
      </c>
      <c r="D71">
        <v>40.79</v>
      </c>
      <c r="E71">
        <v>0.71668500000000002</v>
      </c>
      <c r="F71">
        <v>92.16</v>
      </c>
      <c r="G71">
        <v>4</v>
      </c>
      <c r="H71">
        <v>33.04</v>
      </c>
    </row>
    <row r="72" spans="1:8">
      <c r="A72" s="1">
        <v>11</v>
      </c>
      <c r="B72" t="s">
        <v>2925</v>
      </c>
      <c r="C72">
        <v>171.3</v>
      </c>
      <c r="D72">
        <v>40.97</v>
      </c>
      <c r="E72">
        <v>0.83465100000000003</v>
      </c>
      <c r="F72">
        <v>92.16</v>
      </c>
      <c r="G72">
        <v>6</v>
      </c>
      <c r="H72">
        <v>40.9</v>
      </c>
    </row>
    <row r="73" spans="1:8">
      <c r="A73" s="1">
        <v>12</v>
      </c>
      <c r="B73" t="s">
        <v>2926</v>
      </c>
      <c r="C73">
        <v>208.98</v>
      </c>
      <c r="D73">
        <v>41.25</v>
      </c>
      <c r="E73">
        <v>0.76051100000000005</v>
      </c>
      <c r="F73">
        <v>92.62</v>
      </c>
      <c r="G73">
        <v>4</v>
      </c>
      <c r="H73">
        <v>57.08</v>
      </c>
    </row>
    <row r="74" spans="1:8">
      <c r="A74" s="1">
        <v>13</v>
      </c>
      <c r="B74" t="s">
        <v>2927</v>
      </c>
      <c r="C74">
        <v>181.18</v>
      </c>
      <c r="D74">
        <v>41.09</v>
      </c>
      <c r="E74">
        <v>0.84757300000000002</v>
      </c>
      <c r="F74">
        <v>83.14</v>
      </c>
      <c r="G74">
        <v>4</v>
      </c>
      <c r="H74">
        <v>48.23</v>
      </c>
    </row>
    <row r="75" spans="1:8">
      <c r="A75" s="1">
        <v>14</v>
      </c>
      <c r="B75" t="s">
        <v>2928</v>
      </c>
      <c r="C75">
        <v>172.87</v>
      </c>
      <c r="D75">
        <v>40.92</v>
      </c>
      <c r="E75">
        <v>0.77137999999999995</v>
      </c>
      <c r="F75">
        <v>92.77</v>
      </c>
      <c r="G75">
        <v>8</v>
      </c>
      <c r="H75">
        <v>50.75</v>
      </c>
    </row>
    <row r="76" spans="1:8">
      <c r="A76" s="1">
        <v>15</v>
      </c>
      <c r="B76" t="s">
        <v>2929</v>
      </c>
      <c r="C76">
        <v>118.56</v>
      </c>
      <c r="D76">
        <v>40.32</v>
      </c>
      <c r="E76">
        <v>0.95542099999999996</v>
      </c>
      <c r="F76">
        <v>91.55</v>
      </c>
      <c r="G76">
        <v>2</v>
      </c>
      <c r="H76">
        <v>32.770000000000003</v>
      </c>
    </row>
    <row r="77" spans="1:8">
      <c r="A77" s="1">
        <v>16</v>
      </c>
      <c r="B77" t="s">
        <v>2930</v>
      </c>
      <c r="C77">
        <v>243.14</v>
      </c>
      <c r="D77">
        <v>41.17</v>
      </c>
      <c r="E77">
        <v>0.64227599999999996</v>
      </c>
      <c r="F77">
        <v>61.94</v>
      </c>
      <c r="G77">
        <v>6</v>
      </c>
      <c r="H77">
        <v>53.3</v>
      </c>
    </row>
    <row r="78" spans="1:8">
      <c r="A78" s="1">
        <v>17</v>
      </c>
      <c r="B78" t="s">
        <v>2931</v>
      </c>
      <c r="C78">
        <v>232.73</v>
      </c>
      <c r="D78">
        <v>41.42</v>
      </c>
      <c r="E78">
        <v>0.69346200000000002</v>
      </c>
      <c r="F78">
        <v>82.29</v>
      </c>
      <c r="G78">
        <v>2</v>
      </c>
      <c r="H78">
        <v>59.82</v>
      </c>
    </row>
    <row r="79" spans="1:8">
      <c r="A79" s="1">
        <v>18</v>
      </c>
      <c r="B79" t="s">
        <v>2932</v>
      </c>
      <c r="C79">
        <v>176.29</v>
      </c>
      <c r="D79">
        <v>40.869999999999997</v>
      </c>
      <c r="E79">
        <v>0.71589700000000001</v>
      </c>
      <c r="F79">
        <v>81.37</v>
      </c>
      <c r="G79">
        <v>8</v>
      </c>
      <c r="H79">
        <v>54.13</v>
      </c>
    </row>
    <row r="80" spans="1:8">
      <c r="A80" s="1">
        <v>19</v>
      </c>
      <c r="B80" t="s">
        <v>2933</v>
      </c>
      <c r="C80">
        <v>269.05</v>
      </c>
      <c r="D80">
        <v>42.04</v>
      </c>
      <c r="E80">
        <v>0.91293299999999999</v>
      </c>
      <c r="F80">
        <v>157.32</v>
      </c>
      <c r="G80">
        <v>0</v>
      </c>
      <c r="H80">
        <v>71.08</v>
      </c>
    </row>
    <row r="81" spans="1:8">
      <c r="A81" s="1">
        <v>20</v>
      </c>
      <c r="B81" t="s">
        <v>2934</v>
      </c>
      <c r="C81">
        <v>273.76</v>
      </c>
      <c r="D81">
        <v>42.15</v>
      </c>
      <c r="E81">
        <v>0.96323899999999996</v>
      </c>
      <c r="F81">
        <v>214.54</v>
      </c>
      <c r="G81">
        <v>8</v>
      </c>
      <c r="H81">
        <v>86.06</v>
      </c>
    </row>
    <row r="82" spans="1:8">
      <c r="A82" s="1">
        <v>21</v>
      </c>
      <c r="B82" t="s">
        <v>2935</v>
      </c>
      <c r="C82">
        <v>275.68</v>
      </c>
      <c r="D82">
        <v>42.01</v>
      </c>
      <c r="E82">
        <v>0.89643300000000004</v>
      </c>
      <c r="F82">
        <v>102.76</v>
      </c>
      <c r="G82">
        <v>0</v>
      </c>
      <c r="H82">
        <v>74.349999999999994</v>
      </c>
    </row>
    <row r="83" spans="1:8">
      <c r="A83" s="1">
        <v>22</v>
      </c>
      <c r="B83" t="s">
        <v>2936</v>
      </c>
      <c r="C83">
        <v>298.47000000000003</v>
      </c>
      <c r="D83">
        <v>42.14</v>
      </c>
      <c r="E83">
        <v>0.81677299999999997</v>
      </c>
      <c r="F83">
        <v>143.88</v>
      </c>
      <c r="G83">
        <v>6</v>
      </c>
      <c r="H83">
        <v>90.62</v>
      </c>
    </row>
    <row r="84" spans="1:8">
      <c r="A84" s="1">
        <v>23</v>
      </c>
      <c r="B84" t="s">
        <v>2937</v>
      </c>
      <c r="C84">
        <v>208.04</v>
      </c>
      <c r="D84">
        <v>41.19</v>
      </c>
      <c r="E84">
        <v>0.75043800000000005</v>
      </c>
      <c r="F84">
        <v>81.72</v>
      </c>
      <c r="G84">
        <v>0</v>
      </c>
      <c r="H84">
        <v>57.06</v>
      </c>
    </row>
    <row r="85" spans="1:8">
      <c r="A85" s="1">
        <v>24</v>
      </c>
      <c r="B85" t="s">
        <v>2938</v>
      </c>
      <c r="C85">
        <v>165.46</v>
      </c>
      <c r="D85">
        <v>40.97</v>
      </c>
      <c r="E85">
        <v>0.88171500000000003</v>
      </c>
      <c r="F85">
        <v>100.68</v>
      </c>
      <c r="G85">
        <v>6</v>
      </c>
      <c r="H85">
        <v>41.15</v>
      </c>
    </row>
    <row r="86" spans="1:8">
      <c r="A86" s="1">
        <v>25</v>
      </c>
      <c r="B86" t="s">
        <v>2939</v>
      </c>
      <c r="C86">
        <v>137.26</v>
      </c>
      <c r="D86">
        <v>40.590000000000003</v>
      </c>
      <c r="E86">
        <v>0.92821399999999998</v>
      </c>
      <c r="F86">
        <v>81.290000000000006</v>
      </c>
      <c r="G86">
        <v>6</v>
      </c>
      <c r="H86">
        <v>34.25</v>
      </c>
    </row>
    <row r="87" spans="1:8">
      <c r="A87" s="1">
        <v>26</v>
      </c>
      <c r="B87" t="s">
        <v>2940</v>
      </c>
      <c r="C87">
        <v>157.71</v>
      </c>
      <c r="D87">
        <v>40.89</v>
      </c>
      <c r="E87">
        <v>0.93049099999999996</v>
      </c>
      <c r="F87">
        <v>82.29</v>
      </c>
      <c r="G87">
        <v>6</v>
      </c>
      <c r="H87">
        <v>47.97</v>
      </c>
    </row>
    <row r="88" spans="1:8">
      <c r="A88" s="1">
        <v>27</v>
      </c>
      <c r="B88" t="s">
        <v>2941</v>
      </c>
      <c r="C88">
        <v>150.91999999999999</v>
      </c>
      <c r="D88">
        <v>39.97</v>
      </c>
      <c r="E88">
        <v>0.58409800000000001</v>
      </c>
      <c r="F88">
        <v>18.239999999999998</v>
      </c>
      <c r="G88">
        <v>8</v>
      </c>
      <c r="H88">
        <v>46.58</v>
      </c>
    </row>
    <row r="89" spans="1:8">
      <c r="A89" s="1">
        <v>28</v>
      </c>
      <c r="B89" t="s">
        <v>2942</v>
      </c>
      <c r="C89">
        <v>268.39999999999998</v>
      </c>
      <c r="D89">
        <v>41.57</v>
      </c>
      <c r="E89">
        <v>0.70945800000000003</v>
      </c>
      <c r="F89">
        <v>81.45</v>
      </c>
      <c r="G89">
        <v>6</v>
      </c>
      <c r="H89">
        <v>62.19</v>
      </c>
    </row>
    <row r="90" spans="1:8">
      <c r="A90" s="1">
        <v>29</v>
      </c>
      <c r="B90" t="s">
        <v>2943</v>
      </c>
      <c r="C90">
        <v>166.93</v>
      </c>
      <c r="D90">
        <v>40.549999999999997</v>
      </c>
      <c r="E90">
        <v>0.64602499999999996</v>
      </c>
      <c r="F90">
        <v>62.9</v>
      </c>
      <c r="G90">
        <v>0</v>
      </c>
      <c r="H90">
        <v>51.37</v>
      </c>
    </row>
    <row r="91" spans="1:8">
      <c r="A91" s="1">
        <v>30</v>
      </c>
      <c r="B91" t="s">
        <v>2944</v>
      </c>
      <c r="C91">
        <v>220.88</v>
      </c>
      <c r="D91">
        <v>41.57</v>
      </c>
      <c r="E91">
        <v>0.85850499999999996</v>
      </c>
      <c r="F91">
        <v>142.81</v>
      </c>
      <c r="G91">
        <v>6</v>
      </c>
      <c r="H91">
        <v>61.82</v>
      </c>
    </row>
    <row r="92" spans="1:8">
      <c r="A92" s="1">
        <v>31</v>
      </c>
      <c r="B92" t="s">
        <v>2945</v>
      </c>
      <c r="C92">
        <v>216.62</v>
      </c>
      <c r="D92">
        <v>41.46</v>
      </c>
      <c r="E92">
        <v>0.83501000000000003</v>
      </c>
      <c r="F92">
        <v>92.08</v>
      </c>
      <c r="G92">
        <v>4</v>
      </c>
      <c r="H92">
        <v>68.31</v>
      </c>
    </row>
    <row r="93" spans="1:8">
      <c r="A93" s="1">
        <v>32</v>
      </c>
      <c r="B93" t="s">
        <v>2946</v>
      </c>
      <c r="C93">
        <v>161.91</v>
      </c>
      <c r="D93">
        <v>40.840000000000003</v>
      </c>
      <c r="E93">
        <v>0.83332200000000001</v>
      </c>
      <c r="F93">
        <v>102.14</v>
      </c>
      <c r="G93">
        <v>8</v>
      </c>
      <c r="H93">
        <v>43.7</v>
      </c>
    </row>
    <row r="94" spans="1:8">
      <c r="A94" s="1">
        <v>33</v>
      </c>
      <c r="B94" t="s">
        <v>2947</v>
      </c>
      <c r="C94">
        <v>122.12</v>
      </c>
      <c r="D94">
        <v>40.32</v>
      </c>
      <c r="E94">
        <v>0.90342999999999996</v>
      </c>
      <c r="F94">
        <v>81.180000000000007</v>
      </c>
      <c r="G94">
        <v>2</v>
      </c>
      <c r="H94">
        <v>30.64</v>
      </c>
    </row>
    <row r="95" spans="1:8">
      <c r="A95" s="1">
        <v>34</v>
      </c>
      <c r="B95" t="s">
        <v>2948</v>
      </c>
      <c r="C95">
        <v>129.6</v>
      </c>
      <c r="D95">
        <v>40.450000000000003</v>
      </c>
      <c r="E95">
        <v>0.90601699999999996</v>
      </c>
      <c r="F95">
        <v>81.56</v>
      </c>
      <c r="G95">
        <v>4</v>
      </c>
      <c r="H95">
        <v>30.51</v>
      </c>
    </row>
    <row r="96" spans="1:8">
      <c r="A96" s="1">
        <v>35</v>
      </c>
      <c r="B96" t="s">
        <v>2949</v>
      </c>
      <c r="C96">
        <v>139.12</v>
      </c>
      <c r="D96">
        <v>40.58</v>
      </c>
      <c r="E96">
        <v>0.89201399999999997</v>
      </c>
      <c r="F96">
        <v>83.02</v>
      </c>
      <c r="G96">
        <v>8</v>
      </c>
      <c r="H96">
        <v>38.06</v>
      </c>
    </row>
    <row r="97" spans="1:8">
      <c r="A97" s="1">
        <v>36</v>
      </c>
      <c r="B97" t="s">
        <v>2950</v>
      </c>
      <c r="C97">
        <v>219.74</v>
      </c>
      <c r="D97">
        <v>41.61</v>
      </c>
      <c r="E97">
        <v>0.92249999999999999</v>
      </c>
      <c r="F97">
        <v>140.81</v>
      </c>
      <c r="G97">
        <v>4</v>
      </c>
      <c r="H97">
        <v>73.040000000000006</v>
      </c>
    </row>
    <row r="98" spans="1:8">
      <c r="A98" s="1">
        <v>37</v>
      </c>
      <c r="B98" t="s">
        <v>2951</v>
      </c>
      <c r="C98">
        <v>149.99</v>
      </c>
      <c r="D98">
        <v>40.68</v>
      </c>
      <c r="E98">
        <v>0.82349499999999998</v>
      </c>
      <c r="F98">
        <v>82.14</v>
      </c>
      <c r="G98">
        <v>6</v>
      </c>
      <c r="H98">
        <v>37.56</v>
      </c>
    </row>
    <row r="99" spans="1:8">
      <c r="A99" s="1">
        <v>38</v>
      </c>
      <c r="B99" t="s">
        <v>2952</v>
      </c>
      <c r="C99">
        <v>106.75</v>
      </c>
      <c r="D99">
        <v>40.090000000000003</v>
      </c>
      <c r="E99">
        <v>0.94606000000000001</v>
      </c>
      <c r="F99">
        <v>84.17</v>
      </c>
      <c r="G99">
        <v>4</v>
      </c>
      <c r="H99">
        <v>23.14</v>
      </c>
    </row>
    <row r="100" spans="1:8">
      <c r="A100" s="1">
        <v>39</v>
      </c>
      <c r="B100" t="s">
        <v>2953</v>
      </c>
      <c r="C100">
        <v>219.07</v>
      </c>
      <c r="D100">
        <v>41.53</v>
      </c>
      <c r="E100">
        <v>0.85432399999999997</v>
      </c>
      <c r="F100">
        <v>141.77000000000001</v>
      </c>
      <c r="G100">
        <v>0</v>
      </c>
      <c r="H100">
        <v>51.45</v>
      </c>
    </row>
    <row r="101" spans="1:8">
      <c r="A101" s="1">
        <v>40</v>
      </c>
      <c r="B101" t="s">
        <v>2954</v>
      </c>
      <c r="C101">
        <v>144.05000000000001</v>
      </c>
      <c r="D101">
        <v>40.72</v>
      </c>
      <c r="E101">
        <v>0.93039799999999995</v>
      </c>
      <c r="F101">
        <v>98.69</v>
      </c>
      <c r="G101">
        <v>4</v>
      </c>
      <c r="H101">
        <v>39.74</v>
      </c>
    </row>
    <row r="102" spans="1:8">
      <c r="A102" s="1">
        <v>41</v>
      </c>
      <c r="B102" t="s">
        <v>2955</v>
      </c>
      <c r="C102">
        <v>172.5</v>
      </c>
      <c r="D102">
        <v>41.11</v>
      </c>
      <c r="E102">
        <v>0.94900700000000004</v>
      </c>
      <c r="F102">
        <v>101.11</v>
      </c>
      <c r="G102">
        <v>2</v>
      </c>
      <c r="H102">
        <v>41.09</v>
      </c>
    </row>
    <row r="103" spans="1:8">
      <c r="A103" s="1">
        <v>42</v>
      </c>
      <c r="B103" t="s">
        <v>2956</v>
      </c>
      <c r="C103">
        <v>170.01</v>
      </c>
      <c r="D103">
        <v>40.770000000000003</v>
      </c>
      <c r="E103">
        <v>0.697218</v>
      </c>
      <c r="F103">
        <v>81.87</v>
      </c>
      <c r="G103">
        <v>8</v>
      </c>
      <c r="H103">
        <v>50.36</v>
      </c>
    </row>
    <row r="104" spans="1:8">
      <c r="A104" s="1">
        <v>43</v>
      </c>
      <c r="B104" t="s">
        <v>2957</v>
      </c>
      <c r="C104">
        <v>219.91</v>
      </c>
      <c r="D104">
        <v>41.59</v>
      </c>
      <c r="E104">
        <v>0.887351</v>
      </c>
      <c r="F104">
        <v>144.27000000000001</v>
      </c>
      <c r="G104">
        <v>2</v>
      </c>
      <c r="H104">
        <v>51.3</v>
      </c>
    </row>
    <row r="105" spans="1:8">
      <c r="A105" s="1">
        <v>44</v>
      </c>
      <c r="B105" t="s">
        <v>2958</v>
      </c>
      <c r="C105">
        <v>153.63</v>
      </c>
      <c r="D105">
        <v>40.770000000000003</v>
      </c>
      <c r="E105">
        <v>0.84495399999999998</v>
      </c>
      <c r="F105">
        <v>101.34</v>
      </c>
      <c r="G105">
        <v>2</v>
      </c>
      <c r="H105">
        <v>37.64</v>
      </c>
    </row>
    <row r="106" spans="1:8">
      <c r="A106" s="1">
        <v>45</v>
      </c>
      <c r="B106" t="s">
        <v>2959</v>
      </c>
      <c r="C106">
        <v>159.38</v>
      </c>
      <c r="D106">
        <v>40.950000000000003</v>
      </c>
      <c r="E106">
        <v>0.94723400000000002</v>
      </c>
      <c r="F106">
        <v>102.14</v>
      </c>
      <c r="G106">
        <v>8</v>
      </c>
      <c r="H106">
        <v>41.29</v>
      </c>
    </row>
    <row r="107" spans="1:8">
      <c r="A107" s="1">
        <v>46</v>
      </c>
      <c r="B107" t="s">
        <v>2960</v>
      </c>
      <c r="C107">
        <v>221.8</v>
      </c>
      <c r="D107">
        <v>39.78</v>
      </c>
      <c r="E107">
        <v>0.52212000000000003</v>
      </c>
      <c r="F107">
        <v>2.61</v>
      </c>
      <c r="G107">
        <v>0</v>
      </c>
      <c r="H107">
        <v>43.9</v>
      </c>
    </row>
    <row r="108" spans="1:8">
      <c r="A108" s="1">
        <v>47</v>
      </c>
      <c r="B108" t="s">
        <v>2961</v>
      </c>
      <c r="C108">
        <v>201.58</v>
      </c>
      <c r="D108">
        <v>40.94</v>
      </c>
      <c r="E108">
        <v>0.58893499999999999</v>
      </c>
      <c r="F108">
        <v>90.32</v>
      </c>
      <c r="G108">
        <v>6</v>
      </c>
      <c r="H108">
        <v>48.47</v>
      </c>
    </row>
    <row r="109" spans="1:8">
      <c r="A109" s="1">
        <v>48</v>
      </c>
      <c r="B109" t="s">
        <v>2962</v>
      </c>
      <c r="C109">
        <v>213.84</v>
      </c>
      <c r="D109">
        <v>41.55</v>
      </c>
      <c r="E109">
        <v>0.90910500000000005</v>
      </c>
      <c r="F109">
        <v>143.5</v>
      </c>
      <c r="G109">
        <v>0</v>
      </c>
      <c r="H109">
        <v>58.77</v>
      </c>
    </row>
    <row r="110" spans="1:8">
      <c r="A110" s="1">
        <v>49</v>
      </c>
      <c r="B110" t="s">
        <v>2963</v>
      </c>
      <c r="C110">
        <v>167.03</v>
      </c>
      <c r="D110">
        <v>40.53</v>
      </c>
      <c r="E110">
        <v>0.643787</v>
      </c>
      <c r="F110">
        <v>61.06</v>
      </c>
      <c r="G110">
        <v>4</v>
      </c>
      <c r="H110">
        <v>55.39</v>
      </c>
    </row>
    <row r="111" spans="1:8">
      <c r="A111" s="1">
        <v>50</v>
      </c>
      <c r="B111" t="s">
        <v>2964</v>
      </c>
      <c r="C111">
        <v>257.02999999999997</v>
      </c>
      <c r="D111">
        <v>41.84</v>
      </c>
      <c r="E111">
        <v>0.86444100000000001</v>
      </c>
      <c r="F111">
        <v>106.37</v>
      </c>
      <c r="G111">
        <v>0</v>
      </c>
      <c r="H111">
        <v>98.84</v>
      </c>
    </row>
    <row r="112" spans="1:8">
      <c r="B112" s="1" t="s">
        <v>19</v>
      </c>
      <c r="C112" s="1">
        <f>AVERAGE(C62:C111)</f>
        <v>192.98680000000002</v>
      </c>
      <c r="D112" s="1">
        <f t="shared" ref="D112:F112" si="0">AVERAGE(D62:D111)</f>
        <v>41.061599999999991</v>
      </c>
      <c r="E112" s="1">
        <f t="shared" si="0"/>
        <v>0.81351794000000011</v>
      </c>
      <c r="F112" s="1">
        <f t="shared" si="0"/>
        <v>97.467399999999998</v>
      </c>
      <c r="H112" s="1">
        <f t="shared" ref="H112" si="1">AVERAGE(H62:H111)</f>
        <v>51.821400000000004</v>
      </c>
    </row>
    <row r="113" spans="1:8">
      <c r="B113" s="1" t="s">
        <v>20</v>
      </c>
      <c r="C113" s="1">
        <f>MIN(C61:C111)</f>
        <v>106.75</v>
      </c>
      <c r="D113" s="1">
        <f t="shared" ref="D113:F113" si="2">MIN(D61:D111)</f>
        <v>39.78</v>
      </c>
      <c r="E113" s="1">
        <f t="shared" si="2"/>
        <v>0.52212000000000003</v>
      </c>
      <c r="F113" s="1">
        <f t="shared" si="2"/>
        <v>2.61</v>
      </c>
      <c r="H113" s="1">
        <f t="shared" ref="H113" si="3">MIN(H61:H111)</f>
        <v>23.14</v>
      </c>
    </row>
    <row r="114" spans="1:8">
      <c r="B114" s="1" t="s">
        <v>3</v>
      </c>
      <c r="C114" s="1">
        <f>STDEV(C62:C111)</f>
        <v>53.932204738155946</v>
      </c>
      <c r="D114" s="1">
        <f t="shared" ref="D114:E114" si="4">STDEV(D62:D111)</f>
        <v>0.61025374448126235</v>
      </c>
      <c r="E114" s="1">
        <f t="shared" si="4"/>
        <v>0.11256729936560446</v>
      </c>
      <c r="F114" s="1">
        <f>STDEV(F62:F111)</f>
        <v>37.11053180234773</v>
      </c>
      <c r="H114" s="1">
        <f>STDEV(H62:H111)</f>
        <v>18.238406550743502</v>
      </c>
    </row>
    <row r="116" spans="1:8">
      <c r="H116" s="18" t="s">
        <v>1435</v>
      </c>
    </row>
    <row r="117" spans="1:8" ht="18">
      <c r="A117" s="18" t="s">
        <v>7</v>
      </c>
      <c r="B117" s="3" t="s">
        <v>1</v>
      </c>
      <c r="C117" s="18" t="s">
        <v>4</v>
      </c>
      <c r="D117" s="18" t="s">
        <v>322</v>
      </c>
      <c r="E117" s="18" t="s">
        <v>321</v>
      </c>
      <c r="F117" s="18" t="s">
        <v>324</v>
      </c>
      <c r="G117" s="18" t="s">
        <v>323</v>
      </c>
      <c r="H117" s="18" t="s">
        <v>1436</v>
      </c>
    </row>
    <row r="118" spans="1:8">
      <c r="A118" s="1">
        <v>1</v>
      </c>
      <c r="B118" t="s">
        <v>2665</v>
      </c>
      <c r="C118">
        <v>192.41</v>
      </c>
      <c r="D118">
        <v>81.69</v>
      </c>
      <c r="E118">
        <v>0.70906000000000002</v>
      </c>
      <c r="F118">
        <v>41.32</v>
      </c>
      <c r="G118">
        <v>6</v>
      </c>
      <c r="H118">
        <v>48.29</v>
      </c>
    </row>
    <row r="119" spans="1:8">
      <c r="A119" s="1">
        <v>2</v>
      </c>
      <c r="B119" t="s">
        <v>2666</v>
      </c>
      <c r="C119">
        <v>142.58000000000001</v>
      </c>
      <c r="D119">
        <v>81.06</v>
      </c>
      <c r="E119">
        <v>0.77471400000000001</v>
      </c>
      <c r="F119">
        <v>70.31</v>
      </c>
      <c r="G119">
        <v>18</v>
      </c>
      <c r="H119">
        <v>39.85</v>
      </c>
    </row>
    <row r="120" spans="1:8">
      <c r="A120" s="1">
        <v>3</v>
      </c>
      <c r="B120" t="s">
        <v>2667</v>
      </c>
      <c r="C120">
        <v>168.47</v>
      </c>
      <c r="D120">
        <v>82</v>
      </c>
      <c r="E120">
        <v>0.89229700000000001</v>
      </c>
      <c r="F120">
        <v>92.31</v>
      </c>
      <c r="G120">
        <v>0</v>
      </c>
      <c r="H120">
        <v>44.15</v>
      </c>
    </row>
    <row r="121" spans="1:8">
      <c r="A121" s="1">
        <v>4</v>
      </c>
      <c r="B121" t="s">
        <v>2668</v>
      </c>
      <c r="C121">
        <v>123.91</v>
      </c>
      <c r="D121">
        <v>80.06</v>
      </c>
      <c r="E121">
        <v>0.61542699999999995</v>
      </c>
      <c r="F121">
        <v>52.88</v>
      </c>
      <c r="G121">
        <v>12</v>
      </c>
      <c r="H121">
        <v>39.229999999999997</v>
      </c>
    </row>
    <row r="122" spans="1:8">
      <c r="A122" s="1">
        <v>5</v>
      </c>
      <c r="B122" t="s">
        <v>2669</v>
      </c>
      <c r="C122">
        <v>176.32</v>
      </c>
      <c r="D122">
        <v>81.31</v>
      </c>
      <c r="E122">
        <v>0.81859999999999999</v>
      </c>
      <c r="F122">
        <v>8.6</v>
      </c>
      <c r="G122">
        <v>14</v>
      </c>
      <c r="H122">
        <v>49.61</v>
      </c>
    </row>
    <row r="123" spans="1:8">
      <c r="A123" s="1">
        <v>6</v>
      </c>
      <c r="B123" t="s">
        <v>2670</v>
      </c>
      <c r="C123">
        <v>199.1</v>
      </c>
      <c r="D123">
        <v>82.02</v>
      </c>
      <c r="E123">
        <v>0.66088400000000003</v>
      </c>
      <c r="F123">
        <v>81.75</v>
      </c>
      <c r="G123">
        <v>10</v>
      </c>
      <c r="H123">
        <v>52.8</v>
      </c>
    </row>
    <row r="124" spans="1:8">
      <c r="A124" s="1">
        <v>7</v>
      </c>
      <c r="B124" t="s">
        <v>2671</v>
      </c>
      <c r="C124">
        <v>154.99</v>
      </c>
      <c r="D124">
        <v>81.23</v>
      </c>
      <c r="E124">
        <v>0.71991499999999997</v>
      </c>
      <c r="F124">
        <v>77.61</v>
      </c>
      <c r="G124">
        <v>16</v>
      </c>
      <c r="H124">
        <v>50.29</v>
      </c>
    </row>
    <row r="125" spans="1:8">
      <c r="A125" s="1">
        <v>8</v>
      </c>
      <c r="B125" t="s">
        <v>2672</v>
      </c>
      <c r="C125">
        <v>112.67</v>
      </c>
      <c r="D125">
        <v>80.25</v>
      </c>
      <c r="E125">
        <v>0.87199499999999996</v>
      </c>
      <c r="F125">
        <v>68.77</v>
      </c>
      <c r="G125">
        <v>6</v>
      </c>
      <c r="H125">
        <v>32.5</v>
      </c>
    </row>
    <row r="126" spans="1:8">
      <c r="A126" s="1">
        <v>9</v>
      </c>
      <c r="B126" t="s">
        <v>2673</v>
      </c>
      <c r="C126">
        <v>154.65</v>
      </c>
      <c r="D126">
        <v>81.69</v>
      </c>
      <c r="E126">
        <v>0.92549599999999999</v>
      </c>
      <c r="F126">
        <v>80.290000000000006</v>
      </c>
      <c r="G126">
        <v>2</v>
      </c>
      <c r="H126">
        <v>42.71</v>
      </c>
    </row>
    <row r="127" spans="1:8">
      <c r="A127" s="1">
        <v>10</v>
      </c>
      <c r="B127" t="s">
        <v>2674</v>
      </c>
      <c r="C127">
        <v>137.61000000000001</v>
      </c>
      <c r="D127">
        <v>80.709999999999994</v>
      </c>
      <c r="E127">
        <v>0.70004299999999997</v>
      </c>
      <c r="F127">
        <v>59.56</v>
      </c>
      <c r="G127">
        <v>12</v>
      </c>
      <c r="H127">
        <v>30.78</v>
      </c>
    </row>
    <row r="128" spans="1:8">
      <c r="A128" s="1">
        <v>11</v>
      </c>
      <c r="B128" t="s">
        <v>2675</v>
      </c>
      <c r="C128">
        <v>176.83</v>
      </c>
      <c r="D128">
        <v>81.87</v>
      </c>
      <c r="E128">
        <v>0.77370399999999995</v>
      </c>
      <c r="F128">
        <v>81.98</v>
      </c>
      <c r="G128">
        <v>2</v>
      </c>
      <c r="H128">
        <v>51.09</v>
      </c>
    </row>
    <row r="129" spans="1:8">
      <c r="A129" s="1">
        <v>12</v>
      </c>
      <c r="B129" t="s">
        <v>2676</v>
      </c>
      <c r="C129">
        <v>178.3</v>
      </c>
      <c r="D129">
        <v>82.02</v>
      </c>
      <c r="E129">
        <v>0.82859899999999997</v>
      </c>
      <c r="F129">
        <v>89.47</v>
      </c>
      <c r="G129">
        <v>16</v>
      </c>
      <c r="H129">
        <v>44.36</v>
      </c>
    </row>
    <row r="130" spans="1:8">
      <c r="A130" s="1">
        <v>13</v>
      </c>
      <c r="B130" t="s">
        <v>2677</v>
      </c>
      <c r="C130">
        <v>131.12</v>
      </c>
      <c r="D130">
        <v>80.27</v>
      </c>
      <c r="E130">
        <v>0.65822899999999995</v>
      </c>
      <c r="F130">
        <v>52.57</v>
      </c>
      <c r="G130">
        <v>16</v>
      </c>
      <c r="H130">
        <v>32.99</v>
      </c>
    </row>
    <row r="131" spans="1:8">
      <c r="A131" s="1">
        <v>14</v>
      </c>
      <c r="B131" t="s">
        <v>2678</v>
      </c>
      <c r="C131">
        <v>154.41</v>
      </c>
      <c r="D131">
        <v>81.430000000000007</v>
      </c>
      <c r="E131">
        <v>0.77271699999999999</v>
      </c>
      <c r="F131">
        <v>82.33</v>
      </c>
      <c r="G131">
        <v>2</v>
      </c>
      <c r="H131">
        <v>40.35</v>
      </c>
    </row>
    <row r="132" spans="1:8">
      <c r="A132" s="1">
        <v>15</v>
      </c>
      <c r="B132" t="s">
        <v>2679</v>
      </c>
      <c r="C132">
        <v>139.58000000000001</v>
      </c>
      <c r="D132">
        <v>81.06</v>
      </c>
      <c r="E132">
        <v>0.83223499999999995</v>
      </c>
      <c r="F132">
        <v>82.33</v>
      </c>
      <c r="G132">
        <v>18</v>
      </c>
      <c r="H132">
        <v>35.700000000000003</v>
      </c>
    </row>
    <row r="133" spans="1:8">
      <c r="A133" s="1">
        <v>16</v>
      </c>
      <c r="B133" t="s">
        <v>2680</v>
      </c>
      <c r="C133">
        <v>121.87</v>
      </c>
      <c r="D133">
        <v>79.33</v>
      </c>
      <c r="E133">
        <v>0.60323599999999999</v>
      </c>
      <c r="F133">
        <v>8.14</v>
      </c>
      <c r="G133">
        <v>8</v>
      </c>
      <c r="H133">
        <v>35.39</v>
      </c>
    </row>
    <row r="134" spans="1:8">
      <c r="A134" s="1">
        <v>17</v>
      </c>
      <c r="B134" t="s">
        <v>2681</v>
      </c>
      <c r="C134">
        <v>123.16</v>
      </c>
      <c r="D134">
        <v>80.5</v>
      </c>
      <c r="E134">
        <v>0.84844399999999998</v>
      </c>
      <c r="F134">
        <v>60.1</v>
      </c>
      <c r="G134">
        <v>4</v>
      </c>
      <c r="H134">
        <v>28.94</v>
      </c>
    </row>
    <row r="135" spans="1:8">
      <c r="A135" s="1">
        <v>18</v>
      </c>
      <c r="B135" t="s">
        <v>2682</v>
      </c>
      <c r="C135">
        <v>182.31</v>
      </c>
      <c r="D135">
        <v>81.650000000000006</v>
      </c>
      <c r="E135">
        <v>0.77511099999999999</v>
      </c>
      <c r="F135">
        <v>19.350000000000001</v>
      </c>
      <c r="G135">
        <v>18</v>
      </c>
      <c r="H135">
        <v>51.9</v>
      </c>
    </row>
    <row r="136" spans="1:8">
      <c r="A136" s="1">
        <v>19</v>
      </c>
      <c r="B136" t="s">
        <v>2683</v>
      </c>
      <c r="C136">
        <v>201.61</v>
      </c>
      <c r="D136">
        <v>82.34</v>
      </c>
      <c r="E136">
        <v>0.71906000000000003</v>
      </c>
      <c r="F136">
        <v>93.54</v>
      </c>
      <c r="G136">
        <v>12</v>
      </c>
      <c r="H136">
        <v>54.59</v>
      </c>
    </row>
    <row r="137" spans="1:8">
      <c r="A137" s="1">
        <v>20</v>
      </c>
      <c r="B137" t="s">
        <v>2684</v>
      </c>
      <c r="C137">
        <v>149.1</v>
      </c>
      <c r="D137">
        <v>81.33</v>
      </c>
      <c r="E137">
        <v>0.82175699999999996</v>
      </c>
      <c r="F137">
        <v>82.6</v>
      </c>
      <c r="G137">
        <v>0</v>
      </c>
      <c r="H137">
        <v>38.04</v>
      </c>
    </row>
    <row r="138" spans="1:8">
      <c r="A138" s="1">
        <v>21</v>
      </c>
      <c r="B138" t="s">
        <v>2685</v>
      </c>
      <c r="C138">
        <v>164.82</v>
      </c>
      <c r="D138">
        <v>80.87</v>
      </c>
      <c r="E138">
        <v>0.68118400000000001</v>
      </c>
      <c r="F138">
        <v>20.66</v>
      </c>
      <c r="G138">
        <v>6</v>
      </c>
      <c r="H138">
        <v>43.81</v>
      </c>
    </row>
    <row r="139" spans="1:8">
      <c r="A139" s="1">
        <v>22</v>
      </c>
      <c r="B139" t="s">
        <v>2686</v>
      </c>
      <c r="C139">
        <v>193.14</v>
      </c>
      <c r="D139">
        <v>82.09</v>
      </c>
      <c r="E139">
        <v>0.71300799999999998</v>
      </c>
      <c r="F139">
        <v>89.63</v>
      </c>
      <c r="G139">
        <v>4</v>
      </c>
      <c r="H139">
        <v>49.43</v>
      </c>
    </row>
    <row r="140" spans="1:8">
      <c r="A140" s="1">
        <v>23</v>
      </c>
      <c r="B140" t="s">
        <v>2687</v>
      </c>
      <c r="C140">
        <v>167.81</v>
      </c>
      <c r="D140">
        <v>79.2</v>
      </c>
      <c r="E140">
        <v>0.49409599999999998</v>
      </c>
      <c r="F140">
        <v>3.49</v>
      </c>
      <c r="G140">
        <v>2</v>
      </c>
      <c r="H140">
        <v>43.71</v>
      </c>
    </row>
    <row r="141" spans="1:8">
      <c r="A141" s="1">
        <v>24</v>
      </c>
      <c r="B141" t="s">
        <v>2688</v>
      </c>
      <c r="C141">
        <v>142.36000000000001</v>
      </c>
      <c r="D141">
        <v>81.209999999999994</v>
      </c>
      <c r="E141">
        <v>0.87652300000000005</v>
      </c>
      <c r="F141">
        <v>76.260000000000005</v>
      </c>
      <c r="G141">
        <v>2</v>
      </c>
      <c r="H141">
        <v>37.18</v>
      </c>
    </row>
    <row r="142" spans="1:8">
      <c r="A142" s="1">
        <v>25</v>
      </c>
      <c r="B142" t="s">
        <v>2689</v>
      </c>
      <c r="C142">
        <v>142.75</v>
      </c>
      <c r="D142">
        <v>81.17</v>
      </c>
      <c r="E142">
        <v>0.842974</v>
      </c>
      <c r="F142">
        <v>81.56</v>
      </c>
      <c r="G142">
        <v>18</v>
      </c>
      <c r="H142">
        <v>34.06</v>
      </c>
    </row>
    <row r="143" spans="1:8">
      <c r="A143" s="1">
        <v>26</v>
      </c>
      <c r="B143" t="s">
        <v>2690</v>
      </c>
      <c r="C143">
        <v>134.44999999999999</v>
      </c>
      <c r="D143">
        <v>81.05</v>
      </c>
      <c r="E143">
        <v>0.90537999999999996</v>
      </c>
      <c r="F143">
        <v>81.180000000000007</v>
      </c>
      <c r="G143">
        <v>0</v>
      </c>
      <c r="H143">
        <v>34.14</v>
      </c>
    </row>
    <row r="144" spans="1:8">
      <c r="A144" s="1">
        <v>27</v>
      </c>
      <c r="B144" t="s">
        <v>2691</v>
      </c>
      <c r="C144">
        <v>126.34</v>
      </c>
      <c r="D144">
        <v>80.84</v>
      </c>
      <c r="E144">
        <v>0.92792799999999998</v>
      </c>
      <c r="F144">
        <v>71.42</v>
      </c>
      <c r="G144">
        <v>16</v>
      </c>
      <c r="H144">
        <v>32.01</v>
      </c>
    </row>
    <row r="145" spans="1:8">
      <c r="A145" s="1">
        <v>28</v>
      </c>
      <c r="B145" t="s">
        <v>2692</v>
      </c>
      <c r="C145">
        <v>118.19</v>
      </c>
      <c r="D145">
        <v>80.45</v>
      </c>
      <c r="E145">
        <v>0.89403900000000003</v>
      </c>
      <c r="F145">
        <v>64.59</v>
      </c>
      <c r="G145">
        <v>16</v>
      </c>
      <c r="H145">
        <v>27.68</v>
      </c>
    </row>
    <row r="146" spans="1:8">
      <c r="A146" s="1">
        <v>29</v>
      </c>
      <c r="B146" t="s">
        <v>2693</v>
      </c>
      <c r="C146">
        <v>188.54</v>
      </c>
      <c r="D146">
        <v>82.15</v>
      </c>
      <c r="E146">
        <v>0.79297799999999996</v>
      </c>
      <c r="F146">
        <v>66.89</v>
      </c>
      <c r="G146">
        <v>4</v>
      </c>
      <c r="H146">
        <v>51.38</v>
      </c>
    </row>
    <row r="147" spans="1:8">
      <c r="A147" s="1">
        <v>30</v>
      </c>
      <c r="B147" t="s">
        <v>2694</v>
      </c>
      <c r="C147">
        <v>142.9</v>
      </c>
      <c r="D147">
        <v>81.11</v>
      </c>
      <c r="E147">
        <v>0.79085099999999997</v>
      </c>
      <c r="F147">
        <v>82.68</v>
      </c>
      <c r="G147">
        <v>6</v>
      </c>
      <c r="H147">
        <v>33.58</v>
      </c>
    </row>
    <row r="148" spans="1:8">
      <c r="A148" s="1">
        <v>31</v>
      </c>
      <c r="B148" t="s">
        <v>2695</v>
      </c>
      <c r="C148">
        <v>162.02000000000001</v>
      </c>
      <c r="D148">
        <v>81.67</v>
      </c>
      <c r="E148">
        <v>0.83811800000000003</v>
      </c>
      <c r="F148">
        <v>82.83</v>
      </c>
      <c r="G148">
        <v>0</v>
      </c>
      <c r="H148">
        <v>42.41</v>
      </c>
    </row>
    <row r="149" spans="1:8">
      <c r="A149" s="1">
        <v>32</v>
      </c>
      <c r="B149" t="s">
        <v>2696</v>
      </c>
      <c r="C149">
        <v>201.33</v>
      </c>
      <c r="D149">
        <v>82.19</v>
      </c>
      <c r="E149">
        <v>0.69427399999999995</v>
      </c>
      <c r="F149">
        <v>80.989999999999995</v>
      </c>
      <c r="G149">
        <v>18</v>
      </c>
      <c r="H149">
        <v>50.17</v>
      </c>
    </row>
    <row r="150" spans="1:8">
      <c r="A150" s="1">
        <v>33</v>
      </c>
      <c r="B150" t="s">
        <v>2697</v>
      </c>
      <c r="C150">
        <v>153.5</v>
      </c>
      <c r="D150">
        <v>81.040000000000006</v>
      </c>
      <c r="E150">
        <v>0.83960900000000005</v>
      </c>
      <c r="F150">
        <v>16.440000000000001</v>
      </c>
      <c r="G150">
        <v>8</v>
      </c>
      <c r="H150">
        <v>45.83</v>
      </c>
    </row>
    <row r="151" spans="1:8">
      <c r="A151" s="1">
        <v>34</v>
      </c>
      <c r="B151" t="s">
        <v>2698</v>
      </c>
      <c r="C151">
        <v>177.59</v>
      </c>
      <c r="D151">
        <v>80.64</v>
      </c>
      <c r="E151">
        <v>0.693577</v>
      </c>
      <c r="F151">
        <v>4.68</v>
      </c>
      <c r="G151">
        <v>16</v>
      </c>
      <c r="H151">
        <v>43.9</v>
      </c>
    </row>
    <row r="152" spans="1:8">
      <c r="A152" s="1">
        <v>35</v>
      </c>
      <c r="B152" t="s">
        <v>2699</v>
      </c>
      <c r="C152">
        <v>192.05</v>
      </c>
      <c r="D152">
        <v>82.24</v>
      </c>
      <c r="E152">
        <v>0.77068700000000001</v>
      </c>
      <c r="F152">
        <v>67.16</v>
      </c>
      <c r="G152">
        <v>4</v>
      </c>
      <c r="H152">
        <v>52.51</v>
      </c>
    </row>
    <row r="153" spans="1:8">
      <c r="A153" s="1">
        <v>36</v>
      </c>
      <c r="B153" t="s">
        <v>2700</v>
      </c>
      <c r="C153">
        <v>138.12</v>
      </c>
      <c r="D153">
        <v>80.38</v>
      </c>
      <c r="E153">
        <v>0.63888</v>
      </c>
      <c r="F153">
        <v>36.86</v>
      </c>
      <c r="G153">
        <v>12</v>
      </c>
      <c r="H153">
        <v>36.770000000000003</v>
      </c>
    </row>
    <row r="154" spans="1:8">
      <c r="A154" s="1">
        <v>37</v>
      </c>
      <c r="B154" t="s">
        <v>2701</v>
      </c>
      <c r="C154">
        <v>127.62</v>
      </c>
      <c r="D154">
        <v>80.16</v>
      </c>
      <c r="E154">
        <v>0.63226800000000005</v>
      </c>
      <c r="F154">
        <v>45.66</v>
      </c>
      <c r="G154">
        <v>8</v>
      </c>
      <c r="H154">
        <v>37.18</v>
      </c>
    </row>
    <row r="155" spans="1:8">
      <c r="A155" s="1">
        <v>38</v>
      </c>
      <c r="B155" t="s">
        <v>2702</v>
      </c>
      <c r="C155">
        <v>160.72</v>
      </c>
      <c r="D155">
        <v>81.599999999999994</v>
      </c>
      <c r="E155">
        <v>0.83304299999999998</v>
      </c>
      <c r="F155">
        <v>77.91</v>
      </c>
      <c r="G155">
        <v>8</v>
      </c>
      <c r="H155">
        <v>42.51</v>
      </c>
    </row>
    <row r="156" spans="1:8">
      <c r="A156" s="1">
        <v>39</v>
      </c>
      <c r="B156" t="s">
        <v>2703</v>
      </c>
      <c r="C156">
        <v>145.80000000000001</v>
      </c>
      <c r="D156">
        <v>81.349999999999994</v>
      </c>
      <c r="E156">
        <v>0.88890999999999998</v>
      </c>
      <c r="F156">
        <v>82.21</v>
      </c>
      <c r="G156">
        <v>2</v>
      </c>
      <c r="H156">
        <v>41.18</v>
      </c>
    </row>
    <row r="157" spans="1:8">
      <c r="A157" s="1">
        <v>40</v>
      </c>
      <c r="B157" t="s">
        <v>2704</v>
      </c>
      <c r="C157">
        <v>144.01</v>
      </c>
      <c r="D157">
        <v>81.38</v>
      </c>
      <c r="E157">
        <v>0.92428200000000005</v>
      </c>
      <c r="F157">
        <v>81.48</v>
      </c>
      <c r="G157">
        <v>0</v>
      </c>
      <c r="H157">
        <v>38.76</v>
      </c>
    </row>
    <row r="158" spans="1:8">
      <c r="A158" s="1">
        <v>41</v>
      </c>
      <c r="B158" t="s">
        <v>2705</v>
      </c>
      <c r="C158">
        <v>118.46</v>
      </c>
      <c r="D158">
        <v>80.41</v>
      </c>
      <c r="E158">
        <v>0.85651299999999997</v>
      </c>
      <c r="F158">
        <v>62.48</v>
      </c>
      <c r="G158">
        <v>4</v>
      </c>
      <c r="H158">
        <v>31.67</v>
      </c>
    </row>
    <row r="159" spans="1:8">
      <c r="A159" s="1">
        <v>42</v>
      </c>
      <c r="B159" t="s">
        <v>2706</v>
      </c>
      <c r="C159">
        <v>207.66</v>
      </c>
      <c r="D159">
        <v>82.13</v>
      </c>
      <c r="E159">
        <v>0.66556400000000004</v>
      </c>
      <c r="F159">
        <v>78.680000000000007</v>
      </c>
      <c r="G159">
        <v>8</v>
      </c>
      <c r="H159">
        <v>59.89</v>
      </c>
    </row>
    <row r="160" spans="1:8">
      <c r="A160" s="1">
        <v>43</v>
      </c>
      <c r="B160" t="s">
        <v>2707</v>
      </c>
      <c r="C160">
        <v>162.72</v>
      </c>
      <c r="D160">
        <v>81.27</v>
      </c>
      <c r="E160">
        <v>0.72057400000000005</v>
      </c>
      <c r="F160">
        <v>60.52</v>
      </c>
      <c r="G160">
        <v>10</v>
      </c>
      <c r="H160">
        <v>40.57</v>
      </c>
    </row>
    <row r="161" spans="1:8">
      <c r="A161" s="1">
        <v>44</v>
      </c>
      <c r="B161" t="s">
        <v>2708</v>
      </c>
      <c r="C161">
        <v>148.18</v>
      </c>
      <c r="D161">
        <v>80.75</v>
      </c>
      <c r="E161">
        <v>0.61307900000000004</v>
      </c>
      <c r="F161">
        <v>71.540000000000006</v>
      </c>
      <c r="G161">
        <v>8</v>
      </c>
      <c r="H161">
        <v>42.94</v>
      </c>
    </row>
    <row r="162" spans="1:8">
      <c r="A162" s="1">
        <v>45</v>
      </c>
      <c r="B162" t="s">
        <v>2709</v>
      </c>
      <c r="C162">
        <v>183.35</v>
      </c>
      <c r="D162">
        <v>82.12</v>
      </c>
      <c r="E162">
        <v>0.73857600000000001</v>
      </c>
      <c r="F162">
        <v>101.61</v>
      </c>
      <c r="G162">
        <v>0</v>
      </c>
      <c r="H162">
        <v>46.93</v>
      </c>
    </row>
    <row r="163" spans="1:8">
      <c r="A163" s="1">
        <v>46</v>
      </c>
      <c r="B163" t="s">
        <v>2710</v>
      </c>
      <c r="C163">
        <v>165.68</v>
      </c>
      <c r="D163">
        <v>81.41</v>
      </c>
      <c r="E163">
        <v>0.781501</v>
      </c>
      <c r="F163">
        <v>24.88</v>
      </c>
      <c r="G163">
        <v>12</v>
      </c>
      <c r="H163">
        <v>46.69</v>
      </c>
    </row>
    <row r="164" spans="1:8">
      <c r="A164" s="1">
        <v>47</v>
      </c>
      <c r="B164" t="s">
        <v>2711</v>
      </c>
      <c r="C164">
        <v>161.66</v>
      </c>
      <c r="D164">
        <v>81.650000000000006</v>
      </c>
      <c r="E164">
        <v>0.82230800000000004</v>
      </c>
      <c r="F164">
        <v>82.6</v>
      </c>
      <c r="G164">
        <v>4</v>
      </c>
      <c r="H164">
        <v>40.840000000000003</v>
      </c>
    </row>
    <row r="165" spans="1:8">
      <c r="A165" s="1">
        <v>48</v>
      </c>
      <c r="B165" t="s">
        <v>2712</v>
      </c>
      <c r="C165">
        <v>182.06</v>
      </c>
      <c r="D165">
        <v>81.53</v>
      </c>
      <c r="E165">
        <v>0.80037499999999995</v>
      </c>
      <c r="F165">
        <v>13.13</v>
      </c>
      <c r="G165">
        <v>14</v>
      </c>
      <c r="H165">
        <v>46.29</v>
      </c>
    </row>
    <row r="166" spans="1:8">
      <c r="A166" s="1">
        <v>49</v>
      </c>
      <c r="B166" t="s">
        <v>2713</v>
      </c>
      <c r="C166">
        <v>119.04</v>
      </c>
      <c r="D166">
        <v>79.91</v>
      </c>
      <c r="E166">
        <v>0.79797399999999996</v>
      </c>
      <c r="F166">
        <v>14.4</v>
      </c>
      <c r="G166">
        <v>16</v>
      </c>
      <c r="H166">
        <v>31.79</v>
      </c>
    </row>
    <row r="167" spans="1:8">
      <c r="A167" s="1">
        <v>50</v>
      </c>
      <c r="B167" t="s">
        <v>2714</v>
      </c>
      <c r="C167">
        <v>173.24</v>
      </c>
      <c r="D167">
        <v>82.03</v>
      </c>
      <c r="E167">
        <v>0.84120399999999995</v>
      </c>
      <c r="F167">
        <v>81.599999999999994</v>
      </c>
      <c r="G167">
        <v>0</v>
      </c>
      <c r="H167">
        <v>44.47</v>
      </c>
    </row>
    <row r="168" spans="1:8">
      <c r="B168" s="1" t="s">
        <v>19</v>
      </c>
      <c r="C168" s="1">
        <f>AVERAGE(C118:C167)</f>
        <v>157.34220000000002</v>
      </c>
      <c r="D168" s="1" t="e">
        <f>AVERAGE(#REF!)</f>
        <v>#REF!</v>
      </c>
      <c r="E168" s="1" t="e">
        <f>AVERAGE(#REF!)</f>
        <v>#REF!</v>
      </c>
      <c r="F168" s="1" t="e">
        <f>AVERAGE(#REF!)</f>
        <v>#REF!</v>
      </c>
      <c r="H168" s="1" t="e">
        <f>AVERAGE(#REF!)</f>
        <v>#REF!</v>
      </c>
    </row>
    <row r="169" spans="1:8">
      <c r="B169" s="1" t="s">
        <v>20</v>
      </c>
      <c r="C169" s="1">
        <f>MIN(C117:C167)</f>
        <v>112.67</v>
      </c>
      <c r="D169" s="1">
        <f>MIN(D117:D167)</f>
        <v>79.2</v>
      </c>
      <c r="E169" s="1">
        <f>MIN(E117:E167)</f>
        <v>0.49409599999999998</v>
      </c>
      <c r="F169" s="1">
        <f>MIN(F117:F167)</f>
        <v>3.49</v>
      </c>
      <c r="H169" s="1">
        <f>MIN(H117:H167)</f>
        <v>27.68</v>
      </c>
    </row>
    <row r="170" spans="1:8">
      <c r="B170" s="1" t="s">
        <v>3</v>
      </c>
      <c r="C170" s="1" t="e">
        <f>STDEV(#REF!)</f>
        <v>#REF!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18" t="s">
        <v>1435</v>
      </c>
    </row>
    <row r="173" spans="1:8" ht="18">
      <c r="A173" s="18" t="s">
        <v>7</v>
      </c>
      <c r="B173" s="3" t="s">
        <v>9</v>
      </c>
      <c r="C173" s="18" t="s">
        <v>4</v>
      </c>
      <c r="D173" s="18" t="s">
        <v>322</v>
      </c>
      <c r="E173" s="18" t="s">
        <v>321</v>
      </c>
      <c r="F173" s="18" t="s">
        <v>324</v>
      </c>
      <c r="G173" s="18" t="s">
        <v>323</v>
      </c>
      <c r="H173" s="18" t="s">
        <v>1436</v>
      </c>
    </row>
    <row r="174" spans="1:8">
      <c r="A174" s="1">
        <v>1</v>
      </c>
      <c r="B174" t="s">
        <v>2715</v>
      </c>
      <c r="C174">
        <v>120.14</v>
      </c>
      <c r="D174">
        <v>160.15</v>
      </c>
      <c r="E174">
        <v>0.68181099999999994</v>
      </c>
      <c r="F174">
        <v>58.83</v>
      </c>
      <c r="G174">
        <v>6</v>
      </c>
      <c r="H174">
        <v>28.61</v>
      </c>
    </row>
    <row r="175" spans="1:8">
      <c r="A175" s="1">
        <v>2</v>
      </c>
      <c r="B175" t="s">
        <v>2716</v>
      </c>
      <c r="C175">
        <v>100.75</v>
      </c>
      <c r="D175">
        <v>158.74</v>
      </c>
      <c r="E175">
        <v>0.79804399999999998</v>
      </c>
      <c r="F175">
        <v>29.22</v>
      </c>
      <c r="G175">
        <v>28</v>
      </c>
      <c r="H175">
        <v>25.14</v>
      </c>
    </row>
    <row r="176" spans="1:8">
      <c r="A176" s="1">
        <v>3</v>
      </c>
      <c r="B176" t="s">
        <v>2717</v>
      </c>
      <c r="C176">
        <v>131.5</v>
      </c>
      <c r="D176">
        <v>160.44</v>
      </c>
      <c r="E176">
        <v>0.70334200000000002</v>
      </c>
      <c r="F176">
        <v>33.020000000000003</v>
      </c>
      <c r="G176">
        <v>22</v>
      </c>
      <c r="H176">
        <v>35.159999999999997</v>
      </c>
    </row>
    <row r="177" spans="1:8">
      <c r="A177" s="1">
        <v>4</v>
      </c>
      <c r="B177" t="s">
        <v>2718</v>
      </c>
      <c r="C177">
        <v>114.02</v>
      </c>
      <c r="D177">
        <v>158.72999999999999</v>
      </c>
      <c r="E177">
        <v>0.67490799999999995</v>
      </c>
      <c r="F177">
        <v>11.02</v>
      </c>
      <c r="G177">
        <v>26</v>
      </c>
      <c r="H177">
        <v>30.33</v>
      </c>
    </row>
    <row r="178" spans="1:8">
      <c r="A178" s="1">
        <v>5</v>
      </c>
      <c r="B178" t="s">
        <v>2719</v>
      </c>
      <c r="C178">
        <v>106.97</v>
      </c>
      <c r="D178">
        <v>158.65</v>
      </c>
      <c r="E178">
        <v>0.66341799999999995</v>
      </c>
      <c r="F178">
        <v>28.88</v>
      </c>
      <c r="G178">
        <v>22</v>
      </c>
      <c r="H178">
        <v>25.02</v>
      </c>
    </row>
    <row r="179" spans="1:8">
      <c r="A179" s="1">
        <v>6</v>
      </c>
      <c r="B179" t="s">
        <v>2720</v>
      </c>
      <c r="C179">
        <v>134.55000000000001</v>
      </c>
      <c r="D179">
        <v>160.55000000000001</v>
      </c>
      <c r="E179">
        <v>0.78236099999999997</v>
      </c>
      <c r="F179">
        <v>3.88</v>
      </c>
      <c r="G179">
        <v>8</v>
      </c>
      <c r="H179">
        <v>33.18</v>
      </c>
    </row>
    <row r="180" spans="1:8">
      <c r="A180" s="1">
        <v>7</v>
      </c>
      <c r="B180" t="s">
        <v>2721</v>
      </c>
      <c r="C180">
        <v>124.22</v>
      </c>
      <c r="D180">
        <v>160.27000000000001</v>
      </c>
      <c r="E180">
        <v>0.79716299999999995</v>
      </c>
      <c r="F180">
        <v>8.6</v>
      </c>
      <c r="G180">
        <v>2</v>
      </c>
      <c r="H180">
        <v>29.12</v>
      </c>
    </row>
    <row r="181" spans="1:8">
      <c r="A181" s="1">
        <v>8</v>
      </c>
      <c r="B181" t="s">
        <v>2722</v>
      </c>
      <c r="C181">
        <v>89.4</v>
      </c>
      <c r="D181">
        <v>157.49</v>
      </c>
      <c r="E181">
        <v>0.74959299999999995</v>
      </c>
      <c r="F181">
        <v>12.48</v>
      </c>
      <c r="G181">
        <v>18</v>
      </c>
      <c r="H181">
        <v>21.96</v>
      </c>
    </row>
    <row r="182" spans="1:8">
      <c r="A182" s="1">
        <v>9</v>
      </c>
      <c r="B182" t="s">
        <v>2723</v>
      </c>
      <c r="C182">
        <v>99.5</v>
      </c>
      <c r="D182">
        <v>159.41</v>
      </c>
      <c r="E182">
        <v>0.88263499999999995</v>
      </c>
      <c r="F182">
        <v>53.84</v>
      </c>
      <c r="G182">
        <v>34</v>
      </c>
      <c r="H182">
        <v>24.58</v>
      </c>
    </row>
    <row r="183" spans="1:8">
      <c r="A183" s="1">
        <v>10</v>
      </c>
      <c r="B183" t="s">
        <v>2724</v>
      </c>
      <c r="C183">
        <v>122.32</v>
      </c>
      <c r="D183">
        <v>160.81</v>
      </c>
      <c r="E183">
        <v>0.81344899999999998</v>
      </c>
      <c r="F183">
        <v>40.549999999999997</v>
      </c>
      <c r="G183">
        <v>30</v>
      </c>
      <c r="H183">
        <v>30.42</v>
      </c>
    </row>
    <row r="184" spans="1:8">
      <c r="A184" s="1">
        <v>11</v>
      </c>
      <c r="B184" t="s">
        <v>2725</v>
      </c>
      <c r="C184">
        <v>122.31</v>
      </c>
      <c r="D184">
        <v>158.61000000000001</v>
      </c>
      <c r="E184">
        <v>0.709843</v>
      </c>
      <c r="F184">
        <v>1.69</v>
      </c>
      <c r="G184">
        <v>18</v>
      </c>
      <c r="H184">
        <v>29.31</v>
      </c>
    </row>
    <row r="185" spans="1:8">
      <c r="A185" s="1">
        <v>12</v>
      </c>
      <c r="B185" t="s">
        <v>2726</v>
      </c>
      <c r="C185">
        <v>108.11</v>
      </c>
      <c r="D185">
        <v>159.93</v>
      </c>
      <c r="E185">
        <v>0.84901599999999999</v>
      </c>
      <c r="F185">
        <v>34.71</v>
      </c>
      <c r="G185">
        <v>8</v>
      </c>
      <c r="H185">
        <v>28.68</v>
      </c>
    </row>
    <row r="186" spans="1:8">
      <c r="A186" s="1">
        <v>13</v>
      </c>
      <c r="B186" t="s">
        <v>2727</v>
      </c>
      <c r="C186">
        <v>114.87</v>
      </c>
      <c r="D186">
        <v>158.52000000000001</v>
      </c>
      <c r="E186">
        <v>0.70816800000000002</v>
      </c>
      <c r="F186">
        <v>3.23</v>
      </c>
      <c r="G186">
        <v>4</v>
      </c>
      <c r="H186">
        <v>29.93</v>
      </c>
    </row>
    <row r="187" spans="1:8">
      <c r="A187" s="1">
        <v>14</v>
      </c>
      <c r="B187" t="s">
        <v>2728</v>
      </c>
      <c r="C187">
        <v>101.02</v>
      </c>
      <c r="D187">
        <v>158.75</v>
      </c>
      <c r="E187">
        <v>0.74070899999999995</v>
      </c>
      <c r="F187">
        <v>41.63</v>
      </c>
      <c r="G187">
        <v>16</v>
      </c>
      <c r="H187">
        <v>25.44</v>
      </c>
    </row>
    <row r="188" spans="1:8">
      <c r="A188" s="1">
        <v>15</v>
      </c>
      <c r="B188" t="s">
        <v>2729</v>
      </c>
      <c r="C188">
        <v>126.18</v>
      </c>
      <c r="D188">
        <v>159.94</v>
      </c>
      <c r="E188">
        <v>0.74431700000000001</v>
      </c>
      <c r="F188">
        <v>7.87</v>
      </c>
      <c r="G188">
        <v>20</v>
      </c>
      <c r="H188">
        <v>31.67</v>
      </c>
    </row>
    <row r="189" spans="1:8">
      <c r="A189" s="1">
        <v>16</v>
      </c>
      <c r="B189" t="s">
        <v>2730</v>
      </c>
      <c r="C189">
        <v>105.21</v>
      </c>
      <c r="D189">
        <v>159.69999999999999</v>
      </c>
      <c r="E189">
        <v>0.86944999999999995</v>
      </c>
      <c r="F189">
        <v>22.62</v>
      </c>
      <c r="G189">
        <v>18</v>
      </c>
      <c r="H189">
        <v>25.39</v>
      </c>
    </row>
    <row r="190" spans="1:8">
      <c r="A190" s="1">
        <v>17</v>
      </c>
      <c r="B190" t="s">
        <v>2731</v>
      </c>
      <c r="C190">
        <v>115.03</v>
      </c>
      <c r="D190">
        <v>160.16</v>
      </c>
      <c r="E190">
        <v>0.75775199999999998</v>
      </c>
      <c r="F190">
        <v>46.62</v>
      </c>
      <c r="G190">
        <v>32</v>
      </c>
      <c r="H190">
        <v>29.11</v>
      </c>
    </row>
    <row r="191" spans="1:8">
      <c r="A191" s="1">
        <v>18</v>
      </c>
      <c r="B191" t="s">
        <v>2732</v>
      </c>
      <c r="C191">
        <v>99.01</v>
      </c>
      <c r="D191">
        <v>158.86000000000001</v>
      </c>
      <c r="E191">
        <v>0.81618199999999996</v>
      </c>
      <c r="F191">
        <v>26.04</v>
      </c>
      <c r="G191">
        <v>32</v>
      </c>
      <c r="H191">
        <v>24.36</v>
      </c>
    </row>
    <row r="192" spans="1:8">
      <c r="A192" s="1">
        <v>19</v>
      </c>
      <c r="B192" t="s">
        <v>2733</v>
      </c>
      <c r="C192">
        <v>94.89</v>
      </c>
      <c r="D192">
        <v>157.38</v>
      </c>
      <c r="E192">
        <v>0.79172100000000001</v>
      </c>
      <c r="F192">
        <v>2.92</v>
      </c>
      <c r="G192">
        <v>20</v>
      </c>
      <c r="H192">
        <v>22.29</v>
      </c>
    </row>
    <row r="193" spans="1:8">
      <c r="A193" s="1">
        <v>20</v>
      </c>
      <c r="B193" t="s">
        <v>2734</v>
      </c>
      <c r="C193">
        <v>138.1</v>
      </c>
      <c r="D193">
        <v>160.16999999999999</v>
      </c>
      <c r="E193">
        <v>0.71263399999999999</v>
      </c>
      <c r="F193">
        <v>3.07</v>
      </c>
      <c r="G193">
        <v>24</v>
      </c>
      <c r="H193">
        <v>33.659999999999997</v>
      </c>
    </row>
    <row r="194" spans="1:8">
      <c r="A194" s="1">
        <v>21</v>
      </c>
      <c r="B194" t="s">
        <v>2735</v>
      </c>
      <c r="C194">
        <v>114.4</v>
      </c>
      <c r="D194">
        <v>160.49</v>
      </c>
      <c r="E194">
        <v>0.86226599999999998</v>
      </c>
      <c r="F194">
        <v>41.32</v>
      </c>
      <c r="G194">
        <v>18</v>
      </c>
      <c r="H194">
        <v>30.9</v>
      </c>
    </row>
    <row r="195" spans="1:8">
      <c r="A195" s="1">
        <v>22</v>
      </c>
      <c r="B195" t="s">
        <v>2736</v>
      </c>
      <c r="C195">
        <v>117.31</v>
      </c>
      <c r="D195">
        <v>160.29</v>
      </c>
      <c r="E195">
        <v>0.80716399999999999</v>
      </c>
      <c r="F195">
        <v>39.549999999999997</v>
      </c>
      <c r="G195">
        <v>6</v>
      </c>
      <c r="H195">
        <v>30.93</v>
      </c>
    </row>
    <row r="196" spans="1:8">
      <c r="A196" s="1">
        <v>23</v>
      </c>
      <c r="B196" t="s">
        <v>2737</v>
      </c>
      <c r="C196">
        <v>110.73</v>
      </c>
      <c r="D196">
        <v>159.02000000000001</v>
      </c>
      <c r="E196">
        <v>0.75973000000000002</v>
      </c>
      <c r="F196">
        <v>5.61</v>
      </c>
      <c r="G196">
        <v>12</v>
      </c>
      <c r="H196">
        <v>27.32</v>
      </c>
    </row>
    <row r="197" spans="1:8">
      <c r="A197" s="1">
        <v>24</v>
      </c>
      <c r="B197" t="s">
        <v>2738</v>
      </c>
      <c r="C197">
        <v>119.95</v>
      </c>
      <c r="D197">
        <v>161.06</v>
      </c>
      <c r="E197">
        <v>0.85187500000000005</v>
      </c>
      <c r="F197">
        <v>81.91</v>
      </c>
      <c r="G197">
        <v>0</v>
      </c>
      <c r="H197">
        <v>27.56</v>
      </c>
    </row>
    <row r="198" spans="1:8">
      <c r="A198" s="1">
        <v>25</v>
      </c>
      <c r="B198" t="s">
        <v>2739</v>
      </c>
      <c r="C198">
        <v>120.76</v>
      </c>
      <c r="D198">
        <v>157.78</v>
      </c>
      <c r="E198">
        <v>0.76249</v>
      </c>
      <c r="F198">
        <v>1.04</v>
      </c>
      <c r="G198">
        <v>28</v>
      </c>
      <c r="H198">
        <v>31.48</v>
      </c>
    </row>
    <row r="199" spans="1:8">
      <c r="A199" s="1">
        <v>26</v>
      </c>
      <c r="B199" t="s">
        <v>2740</v>
      </c>
      <c r="C199">
        <v>131.99</v>
      </c>
      <c r="D199">
        <v>160.88999999999999</v>
      </c>
      <c r="E199">
        <v>0.72050999999999998</v>
      </c>
      <c r="F199">
        <v>46.27</v>
      </c>
      <c r="G199">
        <v>24</v>
      </c>
      <c r="H199">
        <v>31.97</v>
      </c>
    </row>
    <row r="200" spans="1:8">
      <c r="A200" s="1">
        <v>27</v>
      </c>
      <c r="B200" t="s">
        <v>2741</v>
      </c>
      <c r="C200">
        <v>116.06</v>
      </c>
      <c r="D200">
        <v>158.06</v>
      </c>
      <c r="E200">
        <v>0.68382600000000004</v>
      </c>
      <c r="F200">
        <v>3.23</v>
      </c>
      <c r="G200">
        <v>4</v>
      </c>
      <c r="H200">
        <v>29.34</v>
      </c>
    </row>
    <row r="201" spans="1:8">
      <c r="A201" s="1">
        <v>28</v>
      </c>
      <c r="B201" t="s">
        <v>2742</v>
      </c>
      <c r="C201">
        <v>144.21</v>
      </c>
      <c r="D201">
        <v>160.5</v>
      </c>
      <c r="E201">
        <v>0.70847899999999997</v>
      </c>
      <c r="F201">
        <v>4.34</v>
      </c>
      <c r="G201">
        <v>4</v>
      </c>
      <c r="H201">
        <v>38.67</v>
      </c>
    </row>
    <row r="202" spans="1:8">
      <c r="A202" s="1">
        <v>29</v>
      </c>
      <c r="B202" t="s">
        <v>2743</v>
      </c>
      <c r="C202">
        <v>115.53</v>
      </c>
      <c r="D202">
        <v>160.01</v>
      </c>
      <c r="E202">
        <v>0.73882599999999998</v>
      </c>
      <c r="F202">
        <v>23.12</v>
      </c>
      <c r="G202">
        <v>32</v>
      </c>
      <c r="H202">
        <v>32.86</v>
      </c>
    </row>
    <row r="203" spans="1:8">
      <c r="A203" s="1">
        <v>30</v>
      </c>
      <c r="B203" t="s">
        <v>2744</v>
      </c>
      <c r="C203">
        <v>111.24</v>
      </c>
      <c r="D203">
        <v>157.26</v>
      </c>
      <c r="E203">
        <v>0.64591600000000005</v>
      </c>
      <c r="F203">
        <v>2.11</v>
      </c>
      <c r="G203">
        <v>16</v>
      </c>
      <c r="H203">
        <v>31.57</v>
      </c>
    </row>
    <row r="204" spans="1:8">
      <c r="A204" s="1">
        <v>31</v>
      </c>
      <c r="B204" t="s">
        <v>2745</v>
      </c>
      <c r="C204">
        <v>100.44</v>
      </c>
      <c r="D204">
        <v>159.11000000000001</v>
      </c>
      <c r="E204">
        <v>0.82258799999999999</v>
      </c>
      <c r="F204">
        <v>41.47</v>
      </c>
      <c r="G204">
        <v>18</v>
      </c>
      <c r="H204">
        <v>25.7</v>
      </c>
    </row>
    <row r="205" spans="1:8">
      <c r="A205" s="1">
        <v>32</v>
      </c>
      <c r="B205" t="s">
        <v>2746</v>
      </c>
      <c r="C205">
        <v>106.91</v>
      </c>
      <c r="D205">
        <v>159.29</v>
      </c>
      <c r="E205">
        <v>0.75375300000000001</v>
      </c>
      <c r="F205">
        <v>35.17</v>
      </c>
      <c r="G205">
        <v>32</v>
      </c>
      <c r="H205">
        <v>25.39</v>
      </c>
    </row>
    <row r="206" spans="1:8">
      <c r="A206" s="1">
        <v>33</v>
      </c>
      <c r="B206" t="s">
        <v>2747</v>
      </c>
      <c r="C206">
        <v>132.94</v>
      </c>
      <c r="D206">
        <v>160.41</v>
      </c>
      <c r="E206">
        <v>0.76429000000000002</v>
      </c>
      <c r="F206">
        <v>12.52</v>
      </c>
      <c r="G206">
        <v>24</v>
      </c>
      <c r="H206">
        <v>35.17</v>
      </c>
    </row>
    <row r="207" spans="1:8">
      <c r="A207" s="1">
        <v>34</v>
      </c>
      <c r="B207" t="s">
        <v>2748</v>
      </c>
      <c r="C207">
        <v>129.86000000000001</v>
      </c>
      <c r="D207">
        <v>159.97999999999999</v>
      </c>
      <c r="E207">
        <v>0.82951399999999997</v>
      </c>
      <c r="F207">
        <v>1.1499999999999999</v>
      </c>
      <c r="G207">
        <v>26</v>
      </c>
      <c r="H207">
        <v>32.49</v>
      </c>
    </row>
    <row r="208" spans="1:8">
      <c r="A208" s="1">
        <v>35</v>
      </c>
      <c r="B208" t="s">
        <v>2749</v>
      </c>
      <c r="C208">
        <v>110.3</v>
      </c>
      <c r="D208">
        <v>158.54</v>
      </c>
      <c r="E208">
        <v>0.63658899999999996</v>
      </c>
      <c r="F208">
        <v>16.2</v>
      </c>
      <c r="G208">
        <v>10</v>
      </c>
      <c r="H208">
        <v>30.07</v>
      </c>
    </row>
    <row r="209" spans="1:8">
      <c r="A209" s="1">
        <v>36</v>
      </c>
      <c r="B209" t="s">
        <v>2750</v>
      </c>
      <c r="C209">
        <v>135.05000000000001</v>
      </c>
      <c r="D209">
        <v>160.12</v>
      </c>
      <c r="E209">
        <v>0.80083800000000005</v>
      </c>
      <c r="F209">
        <v>4.1100000000000003</v>
      </c>
      <c r="G209">
        <v>2</v>
      </c>
      <c r="H209">
        <v>35.119999999999997</v>
      </c>
    </row>
    <row r="210" spans="1:8">
      <c r="A210" s="1">
        <v>37</v>
      </c>
      <c r="B210" t="s">
        <v>2751</v>
      </c>
      <c r="C210">
        <v>112.82</v>
      </c>
      <c r="D210">
        <v>160.26</v>
      </c>
      <c r="E210">
        <v>0.84820300000000004</v>
      </c>
      <c r="F210">
        <v>49.73</v>
      </c>
      <c r="G210">
        <v>24</v>
      </c>
      <c r="H210">
        <v>27.42</v>
      </c>
    </row>
    <row r="211" spans="1:8">
      <c r="A211" s="1">
        <v>38</v>
      </c>
      <c r="B211" t="s">
        <v>2752</v>
      </c>
      <c r="C211">
        <v>94.54</v>
      </c>
      <c r="D211">
        <v>157.99</v>
      </c>
      <c r="E211">
        <v>0.69209799999999999</v>
      </c>
      <c r="F211">
        <v>30.45</v>
      </c>
      <c r="G211">
        <v>6</v>
      </c>
      <c r="H211">
        <v>23.01</v>
      </c>
    </row>
    <row r="212" spans="1:8">
      <c r="A212" s="1">
        <v>39</v>
      </c>
      <c r="B212" t="s">
        <v>2753</v>
      </c>
      <c r="C212">
        <v>106.72</v>
      </c>
      <c r="D212">
        <v>159.52000000000001</v>
      </c>
      <c r="E212">
        <v>0.86714899999999995</v>
      </c>
      <c r="F212">
        <v>10.1</v>
      </c>
      <c r="G212">
        <v>12</v>
      </c>
      <c r="H212">
        <v>26.59</v>
      </c>
    </row>
    <row r="213" spans="1:8">
      <c r="A213" s="1">
        <v>40</v>
      </c>
      <c r="B213" t="s">
        <v>2754</v>
      </c>
      <c r="C213">
        <v>116.1</v>
      </c>
      <c r="D213">
        <v>159.54</v>
      </c>
      <c r="E213">
        <v>0.74062300000000003</v>
      </c>
      <c r="F213">
        <v>11.37</v>
      </c>
      <c r="G213">
        <v>8</v>
      </c>
      <c r="H213">
        <v>27.47</v>
      </c>
    </row>
    <row r="214" spans="1:8">
      <c r="A214" s="1">
        <v>41</v>
      </c>
      <c r="B214" t="s">
        <v>2755</v>
      </c>
      <c r="C214">
        <v>108.58</v>
      </c>
      <c r="D214">
        <v>158.22999999999999</v>
      </c>
      <c r="E214">
        <v>0.76773899999999995</v>
      </c>
      <c r="F214">
        <v>3.15</v>
      </c>
      <c r="G214">
        <v>4</v>
      </c>
      <c r="H214">
        <v>26.44</v>
      </c>
    </row>
    <row r="215" spans="1:8">
      <c r="A215" s="1">
        <v>42</v>
      </c>
      <c r="B215" t="s">
        <v>2756</v>
      </c>
      <c r="C215">
        <v>122.9</v>
      </c>
      <c r="D215">
        <v>160.72999999999999</v>
      </c>
      <c r="E215">
        <v>0.74432299999999996</v>
      </c>
      <c r="F215">
        <v>42.05</v>
      </c>
      <c r="G215">
        <v>6</v>
      </c>
      <c r="H215">
        <v>31.55</v>
      </c>
    </row>
    <row r="216" spans="1:8">
      <c r="A216" s="1">
        <v>43</v>
      </c>
      <c r="B216" t="s">
        <v>2757</v>
      </c>
      <c r="C216">
        <v>92.14</v>
      </c>
      <c r="D216">
        <v>157.06</v>
      </c>
      <c r="E216">
        <v>0.63405199999999995</v>
      </c>
      <c r="F216">
        <v>8.33</v>
      </c>
      <c r="G216">
        <v>22</v>
      </c>
      <c r="H216">
        <v>23.72</v>
      </c>
    </row>
    <row r="217" spans="1:8">
      <c r="A217" s="1">
        <v>44</v>
      </c>
      <c r="B217" t="s">
        <v>2758</v>
      </c>
      <c r="C217">
        <v>140.29</v>
      </c>
      <c r="D217">
        <v>160.78</v>
      </c>
      <c r="E217">
        <v>0.76260899999999998</v>
      </c>
      <c r="F217">
        <v>2.96</v>
      </c>
      <c r="G217">
        <v>34</v>
      </c>
      <c r="H217">
        <v>35.380000000000003</v>
      </c>
    </row>
    <row r="218" spans="1:8">
      <c r="A218" s="1">
        <v>45</v>
      </c>
      <c r="B218" t="s">
        <v>2759</v>
      </c>
      <c r="C218">
        <v>147.47999999999999</v>
      </c>
      <c r="D218">
        <v>161.05000000000001</v>
      </c>
      <c r="E218">
        <v>0.72566600000000003</v>
      </c>
      <c r="F218">
        <v>12.06</v>
      </c>
      <c r="G218">
        <v>24</v>
      </c>
      <c r="H218">
        <v>33.9</v>
      </c>
    </row>
    <row r="219" spans="1:8">
      <c r="A219" s="1">
        <v>46</v>
      </c>
      <c r="B219" t="s">
        <v>2760</v>
      </c>
      <c r="C219">
        <v>107.98</v>
      </c>
      <c r="D219">
        <v>156.56</v>
      </c>
      <c r="E219">
        <v>0.68714200000000003</v>
      </c>
      <c r="F219">
        <v>2.27</v>
      </c>
      <c r="G219">
        <v>32</v>
      </c>
      <c r="H219">
        <v>27.41</v>
      </c>
    </row>
    <row r="220" spans="1:8">
      <c r="A220" s="1">
        <v>47</v>
      </c>
      <c r="B220" t="s">
        <v>2761</v>
      </c>
      <c r="C220">
        <v>125.25</v>
      </c>
      <c r="D220">
        <v>160.37</v>
      </c>
      <c r="E220">
        <v>0.75224500000000005</v>
      </c>
      <c r="F220">
        <v>34.44</v>
      </c>
      <c r="G220">
        <v>18</v>
      </c>
      <c r="H220">
        <v>33.54</v>
      </c>
    </row>
    <row r="221" spans="1:8">
      <c r="A221" s="1">
        <v>48</v>
      </c>
      <c r="B221" t="s">
        <v>2762</v>
      </c>
      <c r="C221">
        <v>98.34</v>
      </c>
      <c r="D221">
        <v>158.08000000000001</v>
      </c>
      <c r="E221">
        <v>0.76141199999999998</v>
      </c>
      <c r="F221">
        <v>8.6</v>
      </c>
      <c r="G221">
        <v>34</v>
      </c>
      <c r="H221">
        <v>26.69</v>
      </c>
    </row>
    <row r="222" spans="1:8">
      <c r="A222" s="1">
        <v>49</v>
      </c>
      <c r="B222" t="s">
        <v>2763</v>
      </c>
      <c r="C222">
        <v>101.46</v>
      </c>
      <c r="D222">
        <v>157.68</v>
      </c>
      <c r="E222">
        <v>0.75510200000000005</v>
      </c>
      <c r="F222">
        <v>5.53</v>
      </c>
      <c r="G222">
        <v>0</v>
      </c>
      <c r="H222">
        <v>25.88</v>
      </c>
    </row>
    <row r="223" spans="1:8">
      <c r="A223" s="1">
        <v>50</v>
      </c>
      <c r="B223" t="s">
        <v>2764</v>
      </c>
      <c r="C223">
        <v>95.93</v>
      </c>
      <c r="D223">
        <v>158.29</v>
      </c>
      <c r="E223">
        <v>0.837287</v>
      </c>
      <c r="F223">
        <v>12.52</v>
      </c>
      <c r="G223">
        <v>2</v>
      </c>
      <c r="H223">
        <v>24.9</v>
      </c>
    </row>
    <row r="224" spans="1:8">
      <c r="B224" s="1" t="s">
        <v>19</v>
      </c>
      <c r="C224" s="1">
        <f>AVERAGE(C174:C223)</f>
        <v>115.12619999999998</v>
      </c>
      <c r="D224" s="1" t="e">
        <f>AVERAGE(#REF!)</f>
        <v>#REF!</v>
      </c>
      <c r="E224" s="1" t="e">
        <f>AVERAGE(#REF!)</f>
        <v>#REF!</v>
      </c>
      <c r="F224" s="1" t="e">
        <f>AVERAGE(#REF!)</f>
        <v>#REF!</v>
      </c>
      <c r="H224" s="1" t="e">
        <f>AVERAGE(#REF!)</f>
        <v>#REF!</v>
      </c>
    </row>
    <row r="225" spans="1:8">
      <c r="B225" s="1" t="s">
        <v>20</v>
      </c>
      <c r="C225" s="1">
        <f>MIN(C173:C223)</f>
        <v>89.4</v>
      </c>
      <c r="D225" s="1">
        <f>MIN(D173:D223)</f>
        <v>156.56</v>
      </c>
      <c r="E225" s="1">
        <f>MIN(E173:E223)</f>
        <v>0.63405199999999995</v>
      </c>
      <c r="F225" s="1">
        <f>MIN(F173:F223)</f>
        <v>1.04</v>
      </c>
      <c r="H225" s="1">
        <f>MIN(H173:H223)</f>
        <v>21.96</v>
      </c>
    </row>
    <row r="226" spans="1:8">
      <c r="B226" s="1" t="s">
        <v>3</v>
      </c>
      <c r="C226" s="1" t="e">
        <f>STDEV(#REF!)</f>
        <v>#REF!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18" t="s">
        <v>1435</v>
      </c>
    </row>
    <row r="229" spans="1:8" ht="18">
      <c r="A229" s="18" t="s">
        <v>7</v>
      </c>
      <c r="B229" s="3" t="s">
        <v>2</v>
      </c>
      <c r="C229" s="18" t="s">
        <v>4</v>
      </c>
      <c r="D229" s="18" t="s">
        <v>322</v>
      </c>
      <c r="E229" s="18" t="s">
        <v>321</v>
      </c>
      <c r="F229" s="18" t="s">
        <v>324</v>
      </c>
      <c r="G229" s="18" t="s">
        <v>323</v>
      </c>
      <c r="H229" s="18" t="s">
        <v>1436</v>
      </c>
    </row>
    <row r="230" spans="1:8">
      <c r="A230" s="1">
        <v>1</v>
      </c>
      <c r="B230" t="s">
        <v>2815</v>
      </c>
      <c r="C230">
        <v>96.78</v>
      </c>
      <c r="D230">
        <v>235.27</v>
      </c>
      <c r="E230">
        <v>0.80884100000000003</v>
      </c>
      <c r="F230">
        <v>1.19</v>
      </c>
      <c r="G230">
        <v>50</v>
      </c>
      <c r="H230">
        <v>23.22</v>
      </c>
    </row>
    <row r="231" spans="1:8">
      <c r="A231" s="1">
        <v>2</v>
      </c>
      <c r="B231" t="s">
        <v>2816</v>
      </c>
      <c r="C231">
        <v>97.54</v>
      </c>
      <c r="D231">
        <v>236.07</v>
      </c>
      <c r="E231">
        <v>0.80623999999999996</v>
      </c>
      <c r="F231">
        <v>1.96</v>
      </c>
      <c r="G231">
        <v>32</v>
      </c>
      <c r="H231">
        <v>22.85</v>
      </c>
    </row>
    <row r="232" spans="1:8">
      <c r="A232" s="1">
        <v>3</v>
      </c>
      <c r="B232" t="s">
        <v>2817</v>
      </c>
      <c r="C232">
        <v>101.57</v>
      </c>
      <c r="D232">
        <v>238.08</v>
      </c>
      <c r="E232">
        <v>0.73417900000000003</v>
      </c>
      <c r="F232">
        <v>30.91</v>
      </c>
      <c r="G232">
        <v>20</v>
      </c>
      <c r="H232">
        <v>24.6</v>
      </c>
    </row>
    <row r="233" spans="1:8">
      <c r="A233" s="1">
        <v>4</v>
      </c>
      <c r="B233" t="s">
        <v>2818</v>
      </c>
      <c r="C233">
        <v>94.82</v>
      </c>
      <c r="D233">
        <v>236.33</v>
      </c>
      <c r="E233">
        <v>0.79609799999999997</v>
      </c>
      <c r="F233">
        <v>4.22</v>
      </c>
      <c r="G233">
        <v>54</v>
      </c>
      <c r="H233">
        <v>22.4</v>
      </c>
    </row>
    <row r="234" spans="1:8">
      <c r="A234" s="1">
        <v>5</v>
      </c>
      <c r="B234" t="s">
        <v>2819</v>
      </c>
      <c r="C234">
        <v>93.93</v>
      </c>
      <c r="D234">
        <v>236.04</v>
      </c>
      <c r="E234">
        <v>0.81650199999999995</v>
      </c>
      <c r="F234">
        <v>2.92</v>
      </c>
      <c r="G234">
        <v>0</v>
      </c>
      <c r="H234">
        <v>22</v>
      </c>
    </row>
    <row r="235" spans="1:8">
      <c r="A235" s="1">
        <v>6</v>
      </c>
      <c r="B235" t="s">
        <v>2820</v>
      </c>
      <c r="C235">
        <v>80.86</v>
      </c>
      <c r="D235">
        <v>234.01</v>
      </c>
      <c r="E235">
        <v>0.76919400000000004</v>
      </c>
      <c r="F235">
        <v>3.07</v>
      </c>
      <c r="G235">
        <v>46</v>
      </c>
      <c r="H235">
        <v>19.2</v>
      </c>
    </row>
    <row r="236" spans="1:8">
      <c r="A236" s="1">
        <v>7</v>
      </c>
      <c r="B236" t="s">
        <v>2821</v>
      </c>
      <c r="C236">
        <v>99.18</v>
      </c>
      <c r="D236">
        <v>236.71</v>
      </c>
      <c r="E236">
        <v>0.72467700000000002</v>
      </c>
      <c r="F236">
        <v>8.76</v>
      </c>
      <c r="G236">
        <v>8</v>
      </c>
      <c r="H236">
        <v>24.92</v>
      </c>
    </row>
    <row r="237" spans="1:8">
      <c r="A237" s="1">
        <v>8</v>
      </c>
      <c r="B237" t="s">
        <v>2822</v>
      </c>
      <c r="C237">
        <v>97.97</v>
      </c>
      <c r="D237">
        <v>237.18</v>
      </c>
      <c r="E237">
        <v>0.77441099999999996</v>
      </c>
      <c r="F237">
        <v>14.21</v>
      </c>
      <c r="G237">
        <v>12</v>
      </c>
      <c r="H237">
        <v>23.3</v>
      </c>
    </row>
    <row r="238" spans="1:8">
      <c r="A238" s="1">
        <v>9</v>
      </c>
      <c r="B238" t="s">
        <v>2823</v>
      </c>
      <c r="C238">
        <v>98.65</v>
      </c>
      <c r="D238">
        <v>234.1</v>
      </c>
      <c r="E238">
        <v>0.75323799999999996</v>
      </c>
      <c r="F238">
        <v>1.08</v>
      </c>
      <c r="G238">
        <v>4</v>
      </c>
      <c r="H238">
        <v>22.95</v>
      </c>
    </row>
    <row r="239" spans="1:8">
      <c r="A239" s="1">
        <v>10</v>
      </c>
      <c r="B239" t="s">
        <v>2824</v>
      </c>
      <c r="C239">
        <v>88.92</v>
      </c>
      <c r="D239">
        <v>236.23</v>
      </c>
      <c r="E239">
        <v>0.74993799999999999</v>
      </c>
      <c r="F239">
        <v>8.06</v>
      </c>
      <c r="G239">
        <v>4</v>
      </c>
      <c r="H239">
        <v>20.82</v>
      </c>
    </row>
    <row r="240" spans="1:8">
      <c r="A240" s="1">
        <v>11</v>
      </c>
      <c r="B240" t="s">
        <v>2825</v>
      </c>
      <c r="C240">
        <v>98.74</v>
      </c>
      <c r="D240">
        <v>236.98</v>
      </c>
      <c r="E240">
        <v>0.66626799999999997</v>
      </c>
      <c r="F240">
        <v>7.91</v>
      </c>
      <c r="G240">
        <v>36</v>
      </c>
      <c r="H240">
        <v>24.19</v>
      </c>
    </row>
    <row r="241" spans="1:8">
      <c r="A241" s="1">
        <v>12</v>
      </c>
      <c r="B241" t="s">
        <v>2826</v>
      </c>
      <c r="C241">
        <v>106.37</v>
      </c>
      <c r="D241">
        <v>236.7</v>
      </c>
      <c r="E241">
        <v>0.65478700000000001</v>
      </c>
      <c r="F241">
        <v>5.07</v>
      </c>
      <c r="G241">
        <v>26</v>
      </c>
      <c r="H241">
        <v>26.25</v>
      </c>
    </row>
    <row r="242" spans="1:8">
      <c r="A242" s="1">
        <v>13</v>
      </c>
      <c r="B242" t="s">
        <v>2827</v>
      </c>
      <c r="C242">
        <v>87.91</v>
      </c>
      <c r="D242">
        <v>236.39</v>
      </c>
      <c r="E242">
        <v>0.83536500000000002</v>
      </c>
      <c r="F242">
        <v>4.6100000000000003</v>
      </c>
      <c r="G242">
        <v>4</v>
      </c>
      <c r="H242">
        <v>21.67</v>
      </c>
    </row>
    <row r="243" spans="1:8">
      <c r="A243" s="1">
        <v>14</v>
      </c>
      <c r="B243" t="s">
        <v>2828</v>
      </c>
      <c r="C243">
        <v>104.3</v>
      </c>
      <c r="D243">
        <v>237.88</v>
      </c>
      <c r="E243">
        <v>0.74970499999999995</v>
      </c>
      <c r="F243">
        <v>3.38</v>
      </c>
      <c r="G243">
        <v>6</v>
      </c>
      <c r="H243">
        <v>22.96</v>
      </c>
    </row>
    <row r="244" spans="1:8">
      <c r="A244" s="1">
        <v>15</v>
      </c>
      <c r="B244" t="s">
        <v>2829</v>
      </c>
      <c r="C244">
        <v>89.78</v>
      </c>
      <c r="D244">
        <v>235.43</v>
      </c>
      <c r="E244">
        <v>0.81083099999999997</v>
      </c>
      <c r="F244">
        <v>1.31</v>
      </c>
      <c r="G244">
        <v>34</v>
      </c>
      <c r="H244">
        <v>20.77</v>
      </c>
    </row>
    <row r="245" spans="1:8">
      <c r="A245" s="1">
        <v>16</v>
      </c>
      <c r="B245" t="s">
        <v>2830</v>
      </c>
      <c r="C245">
        <v>95.08</v>
      </c>
      <c r="D245">
        <v>237.02</v>
      </c>
      <c r="E245">
        <v>0.76209000000000005</v>
      </c>
      <c r="F245">
        <v>10.48</v>
      </c>
      <c r="G245">
        <v>0</v>
      </c>
      <c r="H245">
        <v>22.54</v>
      </c>
    </row>
    <row r="246" spans="1:8">
      <c r="A246" s="1">
        <v>17</v>
      </c>
      <c r="B246" t="s">
        <v>2831</v>
      </c>
      <c r="C246">
        <v>94.3</v>
      </c>
      <c r="D246">
        <v>236.23</v>
      </c>
      <c r="E246">
        <v>0.73824100000000004</v>
      </c>
      <c r="F246">
        <v>5.1100000000000003</v>
      </c>
      <c r="G246">
        <v>44</v>
      </c>
      <c r="H246">
        <v>23.46</v>
      </c>
    </row>
    <row r="247" spans="1:8">
      <c r="A247" s="1">
        <v>18</v>
      </c>
      <c r="B247" t="s">
        <v>2832</v>
      </c>
      <c r="C247">
        <v>100.47</v>
      </c>
      <c r="D247">
        <v>236.08</v>
      </c>
      <c r="E247">
        <v>0.78550200000000003</v>
      </c>
      <c r="F247">
        <v>1.77</v>
      </c>
      <c r="G247">
        <v>36</v>
      </c>
      <c r="H247">
        <v>23.58</v>
      </c>
    </row>
    <row r="248" spans="1:8">
      <c r="A248" s="1">
        <v>19</v>
      </c>
      <c r="B248" t="s">
        <v>2833</v>
      </c>
      <c r="C248">
        <v>111.7</v>
      </c>
      <c r="D248">
        <v>238.7</v>
      </c>
      <c r="E248">
        <v>0.71774400000000005</v>
      </c>
      <c r="F248">
        <v>12.94</v>
      </c>
      <c r="G248">
        <v>18</v>
      </c>
      <c r="H248">
        <v>27.18</v>
      </c>
    </row>
    <row r="249" spans="1:8">
      <c r="A249" s="1">
        <v>20</v>
      </c>
      <c r="B249" t="s">
        <v>2834</v>
      </c>
      <c r="C249">
        <v>96.24</v>
      </c>
      <c r="D249">
        <v>236.04</v>
      </c>
      <c r="E249">
        <v>0.73985500000000004</v>
      </c>
      <c r="F249">
        <v>3.57</v>
      </c>
      <c r="G249">
        <v>28</v>
      </c>
      <c r="H249">
        <v>22.73</v>
      </c>
    </row>
    <row r="250" spans="1:8">
      <c r="A250" s="1">
        <v>21</v>
      </c>
      <c r="B250" t="s">
        <v>2835</v>
      </c>
      <c r="C250">
        <v>92.94</v>
      </c>
      <c r="D250">
        <v>234.25</v>
      </c>
      <c r="E250">
        <v>0.62823200000000001</v>
      </c>
      <c r="F250">
        <v>2.04</v>
      </c>
      <c r="G250">
        <v>40</v>
      </c>
      <c r="H250">
        <v>22.54</v>
      </c>
    </row>
    <row r="251" spans="1:8">
      <c r="A251" s="1">
        <v>22</v>
      </c>
      <c r="B251" t="s">
        <v>2836</v>
      </c>
      <c r="C251">
        <v>106.12</v>
      </c>
      <c r="D251">
        <v>237.64</v>
      </c>
      <c r="E251">
        <v>0.57941900000000002</v>
      </c>
      <c r="F251">
        <v>15.82</v>
      </c>
      <c r="G251">
        <v>0</v>
      </c>
      <c r="H251">
        <v>24.67</v>
      </c>
    </row>
    <row r="252" spans="1:8">
      <c r="A252" s="1">
        <v>23</v>
      </c>
      <c r="B252" t="s">
        <v>2837</v>
      </c>
      <c r="C252">
        <v>99.65</v>
      </c>
      <c r="D252">
        <v>235.88</v>
      </c>
      <c r="E252">
        <v>0.69289100000000003</v>
      </c>
      <c r="F252">
        <v>4.92</v>
      </c>
      <c r="G252">
        <v>40</v>
      </c>
      <c r="H252">
        <v>24.77</v>
      </c>
    </row>
    <row r="253" spans="1:8">
      <c r="A253" s="1">
        <v>24</v>
      </c>
      <c r="B253" t="s">
        <v>2838</v>
      </c>
      <c r="C253">
        <v>79.69</v>
      </c>
      <c r="D253">
        <v>235.34</v>
      </c>
      <c r="E253">
        <v>0.79742599999999997</v>
      </c>
      <c r="F253">
        <v>21.43</v>
      </c>
      <c r="G253">
        <v>54</v>
      </c>
      <c r="H253">
        <v>20.5</v>
      </c>
    </row>
    <row r="254" spans="1:8">
      <c r="A254" s="1">
        <v>25</v>
      </c>
      <c r="B254" t="s">
        <v>2839</v>
      </c>
      <c r="C254">
        <v>99.45</v>
      </c>
      <c r="D254">
        <v>236.03</v>
      </c>
      <c r="E254">
        <v>0.66098699999999999</v>
      </c>
      <c r="F254">
        <v>6.22</v>
      </c>
      <c r="G254">
        <v>8</v>
      </c>
      <c r="H254">
        <v>26.34</v>
      </c>
    </row>
    <row r="255" spans="1:8">
      <c r="A255" s="1">
        <v>26</v>
      </c>
      <c r="B255" t="s">
        <v>2840</v>
      </c>
      <c r="C255">
        <v>100.87</v>
      </c>
      <c r="D255">
        <v>238.28</v>
      </c>
      <c r="E255">
        <v>0.82026500000000002</v>
      </c>
      <c r="F255">
        <v>12.36</v>
      </c>
      <c r="G255">
        <v>42</v>
      </c>
      <c r="H255">
        <v>23.49</v>
      </c>
    </row>
    <row r="256" spans="1:8">
      <c r="A256" s="1">
        <v>27</v>
      </c>
      <c r="B256" t="s">
        <v>2841</v>
      </c>
      <c r="C256">
        <v>86.21</v>
      </c>
      <c r="D256">
        <v>235.91</v>
      </c>
      <c r="E256">
        <v>0.881853</v>
      </c>
      <c r="F256">
        <v>0.84</v>
      </c>
      <c r="G256">
        <v>58</v>
      </c>
      <c r="H256">
        <v>19.8</v>
      </c>
    </row>
    <row r="257" spans="1:8">
      <c r="A257" s="1">
        <v>28</v>
      </c>
      <c r="B257" t="s">
        <v>2842</v>
      </c>
      <c r="C257">
        <v>90.16</v>
      </c>
      <c r="D257">
        <v>233.35</v>
      </c>
      <c r="E257">
        <v>0.67299799999999999</v>
      </c>
      <c r="F257">
        <v>1.27</v>
      </c>
      <c r="G257">
        <v>32</v>
      </c>
      <c r="H257">
        <v>23.27</v>
      </c>
    </row>
    <row r="258" spans="1:8">
      <c r="A258" s="1">
        <v>29</v>
      </c>
      <c r="B258" t="s">
        <v>2843</v>
      </c>
      <c r="C258">
        <v>105.14</v>
      </c>
      <c r="D258">
        <v>237.26</v>
      </c>
      <c r="E258">
        <v>0.70810600000000001</v>
      </c>
      <c r="F258">
        <v>3.76</v>
      </c>
      <c r="G258">
        <v>30</v>
      </c>
      <c r="H258">
        <v>24.27</v>
      </c>
    </row>
    <row r="259" spans="1:8">
      <c r="A259" s="1">
        <v>30</v>
      </c>
      <c r="B259" t="s">
        <v>2844</v>
      </c>
      <c r="C259">
        <v>116.56</v>
      </c>
      <c r="D259">
        <v>238.65</v>
      </c>
      <c r="E259">
        <v>0.68822799999999995</v>
      </c>
      <c r="F259">
        <v>5.57</v>
      </c>
      <c r="G259">
        <v>42</v>
      </c>
      <c r="H259">
        <v>27.97</v>
      </c>
    </row>
    <row r="260" spans="1:8">
      <c r="A260" s="1">
        <v>31</v>
      </c>
      <c r="B260" t="s">
        <v>2845</v>
      </c>
      <c r="C260">
        <v>97.71</v>
      </c>
      <c r="D260">
        <v>235.92</v>
      </c>
      <c r="E260">
        <v>0.78041700000000003</v>
      </c>
      <c r="F260">
        <v>3.19</v>
      </c>
      <c r="G260">
        <v>46</v>
      </c>
      <c r="H260">
        <v>24.65</v>
      </c>
    </row>
    <row r="261" spans="1:8">
      <c r="A261" s="1">
        <v>32</v>
      </c>
      <c r="B261" t="s">
        <v>2846</v>
      </c>
      <c r="C261">
        <v>96.81</v>
      </c>
      <c r="D261">
        <v>236.84</v>
      </c>
      <c r="E261">
        <v>0.778478</v>
      </c>
      <c r="F261">
        <v>7.45</v>
      </c>
      <c r="G261">
        <v>26</v>
      </c>
      <c r="H261">
        <v>23.85</v>
      </c>
    </row>
    <row r="262" spans="1:8">
      <c r="A262" s="1">
        <v>33</v>
      </c>
      <c r="B262" t="s">
        <v>2847</v>
      </c>
      <c r="C262">
        <v>99.99</v>
      </c>
      <c r="D262">
        <v>235.03</v>
      </c>
      <c r="E262">
        <v>0.67222099999999996</v>
      </c>
      <c r="F262">
        <v>2.04</v>
      </c>
      <c r="G262">
        <v>10</v>
      </c>
      <c r="H262">
        <v>24.4</v>
      </c>
    </row>
    <row r="263" spans="1:8">
      <c r="A263" s="1">
        <v>34</v>
      </c>
      <c r="B263" t="s">
        <v>2848</v>
      </c>
      <c r="C263">
        <v>94.02</v>
      </c>
      <c r="D263">
        <v>236.7</v>
      </c>
      <c r="E263">
        <v>0.72676700000000005</v>
      </c>
      <c r="F263">
        <v>20.350000000000001</v>
      </c>
      <c r="G263">
        <v>56</v>
      </c>
      <c r="H263">
        <v>22.55</v>
      </c>
    </row>
    <row r="264" spans="1:8">
      <c r="A264" s="1">
        <v>35</v>
      </c>
      <c r="B264" t="s">
        <v>2849</v>
      </c>
      <c r="C264">
        <v>102.39</v>
      </c>
      <c r="D264">
        <v>237.14</v>
      </c>
      <c r="E264">
        <v>0.80409399999999998</v>
      </c>
      <c r="F264">
        <v>1.73</v>
      </c>
      <c r="G264">
        <v>0</v>
      </c>
      <c r="H264">
        <v>24.64</v>
      </c>
    </row>
    <row r="265" spans="1:8">
      <c r="A265" s="1">
        <v>36</v>
      </c>
      <c r="B265" t="s">
        <v>2850</v>
      </c>
      <c r="C265">
        <v>85.07</v>
      </c>
      <c r="D265">
        <v>235.33</v>
      </c>
      <c r="E265">
        <v>0.83539200000000002</v>
      </c>
      <c r="F265">
        <v>3.23</v>
      </c>
      <c r="G265">
        <v>42</v>
      </c>
      <c r="H265">
        <v>20.66</v>
      </c>
    </row>
    <row r="266" spans="1:8">
      <c r="A266" s="1">
        <v>37</v>
      </c>
      <c r="B266" t="s">
        <v>2851</v>
      </c>
      <c r="C266">
        <v>97.32</v>
      </c>
      <c r="D266">
        <v>237.84</v>
      </c>
      <c r="E266">
        <v>0.82472800000000002</v>
      </c>
      <c r="F266">
        <v>15.74</v>
      </c>
      <c r="G266">
        <v>4</v>
      </c>
      <c r="H266">
        <v>22.69</v>
      </c>
    </row>
    <row r="267" spans="1:8">
      <c r="A267" s="1">
        <v>38</v>
      </c>
      <c r="B267" t="s">
        <v>2852</v>
      </c>
      <c r="C267">
        <v>107.22</v>
      </c>
      <c r="D267">
        <v>238.31</v>
      </c>
      <c r="E267">
        <v>0.81244000000000005</v>
      </c>
      <c r="F267">
        <v>2.19</v>
      </c>
      <c r="G267">
        <v>16</v>
      </c>
      <c r="H267">
        <v>24.24</v>
      </c>
    </row>
    <row r="268" spans="1:8">
      <c r="A268" s="1">
        <v>39</v>
      </c>
      <c r="B268" t="s">
        <v>2853</v>
      </c>
      <c r="C268">
        <v>89.84</v>
      </c>
      <c r="D268">
        <v>235.48</v>
      </c>
      <c r="E268">
        <v>0.767401</v>
      </c>
      <c r="F268">
        <v>5.57</v>
      </c>
      <c r="G268">
        <v>38</v>
      </c>
      <c r="H268">
        <v>23.89</v>
      </c>
    </row>
    <row r="269" spans="1:8">
      <c r="A269" s="1">
        <v>40</v>
      </c>
      <c r="B269" t="s">
        <v>2854</v>
      </c>
      <c r="C269">
        <v>93.55</v>
      </c>
      <c r="D269">
        <v>236.31</v>
      </c>
      <c r="E269">
        <v>0.73247600000000002</v>
      </c>
      <c r="F269">
        <v>4.38</v>
      </c>
      <c r="G269">
        <v>34</v>
      </c>
      <c r="H269">
        <v>22.57</v>
      </c>
    </row>
    <row r="270" spans="1:8">
      <c r="A270" s="1">
        <v>41</v>
      </c>
      <c r="B270" t="s">
        <v>2855</v>
      </c>
      <c r="C270">
        <v>108.26</v>
      </c>
      <c r="D270">
        <v>237.44</v>
      </c>
      <c r="E270">
        <v>0.63908500000000001</v>
      </c>
      <c r="F270">
        <v>12.94</v>
      </c>
      <c r="G270">
        <v>18</v>
      </c>
      <c r="H270">
        <v>24.03</v>
      </c>
    </row>
    <row r="271" spans="1:8">
      <c r="A271" s="1">
        <v>42</v>
      </c>
      <c r="B271" t="s">
        <v>2856</v>
      </c>
      <c r="C271">
        <v>101.94</v>
      </c>
      <c r="D271">
        <v>235.64</v>
      </c>
      <c r="E271">
        <v>0.65651700000000002</v>
      </c>
      <c r="F271">
        <v>5.53</v>
      </c>
      <c r="G271">
        <v>48</v>
      </c>
      <c r="H271">
        <v>25.07</v>
      </c>
    </row>
    <row r="272" spans="1:8">
      <c r="A272" s="1">
        <v>43</v>
      </c>
      <c r="B272" t="s">
        <v>2857</v>
      </c>
      <c r="C272">
        <v>97.94</v>
      </c>
      <c r="D272">
        <v>237.34</v>
      </c>
      <c r="E272">
        <v>0.82881499999999997</v>
      </c>
      <c r="F272">
        <v>3.46</v>
      </c>
      <c r="G272">
        <v>34</v>
      </c>
      <c r="H272">
        <v>22.96</v>
      </c>
    </row>
    <row r="273" spans="1:8">
      <c r="A273" s="1">
        <v>44</v>
      </c>
      <c r="B273" t="s">
        <v>2858</v>
      </c>
      <c r="C273">
        <v>88.15</v>
      </c>
      <c r="D273" t="e">
        <f>-inf</f>
        <v>#NAME?</v>
      </c>
      <c r="E273">
        <v>0.73641599999999996</v>
      </c>
      <c r="F273">
        <v>0</v>
      </c>
      <c r="G273">
        <v>28</v>
      </c>
      <c r="H273">
        <v>21.82</v>
      </c>
    </row>
    <row r="274" spans="1:8">
      <c r="A274" s="1">
        <v>45</v>
      </c>
      <c r="B274" t="s">
        <v>2859</v>
      </c>
      <c r="C274">
        <v>101.48</v>
      </c>
      <c r="D274">
        <v>237.08</v>
      </c>
      <c r="E274">
        <v>0.67974999999999997</v>
      </c>
      <c r="F274">
        <v>8.68</v>
      </c>
      <c r="G274">
        <v>58</v>
      </c>
      <c r="H274">
        <v>23.75</v>
      </c>
    </row>
    <row r="275" spans="1:8">
      <c r="A275" s="1">
        <v>46</v>
      </c>
      <c r="B275" t="s">
        <v>2860</v>
      </c>
      <c r="C275">
        <v>106</v>
      </c>
      <c r="D275">
        <v>239.2</v>
      </c>
      <c r="E275">
        <v>0.84135300000000002</v>
      </c>
      <c r="F275">
        <v>20.2</v>
      </c>
      <c r="G275">
        <v>10</v>
      </c>
      <c r="H275">
        <v>24.38</v>
      </c>
    </row>
    <row r="276" spans="1:8">
      <c r="A276" s="1">
        <v>47</v>
      </c>
      <c r="B276" t="s">
        <v>2861</v>
      </c>
      <c r="C276">
        <v>108.79</v>
      </c>
      <c r="D276">
        <v>239.12</v>
      </c>
      <c r="E276">
        <v>0.81612099999999999</v>
      </c>
      <c r="F276">
        <v>3.8</v>
      </c>
      <c r="G276">
        <v>32</v>
      </c>
      <c r="H276">
        <v>25.35</v>
      </c>
    </row>
    <row r="277" spans="1:8">
      <c r="A277" s="1">
        <v>48</v>
      </c>
      <c r="B277" t="s">
        <v>2862</v>
      </c>
      <c r="C277">
        <v>89.8</v>
      </c>
      <c r="D277">
        <v>236.18</v>
      </c>
      <c r="E277">
        <v>0.77163099999999996</v>
      </c>
      <c r="F277">
        <v>9.02</v>
      </c>
      <c r="G277">
        <v>54</v>
      </c>
      <c r="H277">
        <v>21.04</v>
      </c>
    </row>
    <row r="278" spans="1:8">
      <c r="A278" s="1">
        <v>49</v>
      </c>
      <c r="B278" t="s">
        <v>2863</v>
      </c>
      <c r="C278">
        <v>79.47</v>
      </c>
      <c r="D278">
        <v>236.08</v>
      </c>
      <c r="E278">
        <v>0.86515299999999995</v>
      </c>
      <c r="F278">
        <v>36.6</v>
      </c>
      <c r="G278">
        <v>38</v>
      </c>
      <c r="H278">
        <v>18.399999999999999</v>
      </c>
    </row>
    <row r="279" spans="1:8">
      <c r="A279" s="1">
        <v>50</v>
      </c>
      <c r="B279" t="s">
        <v>2864</v>
      </c>
      <c r="C279">
        <v>98.45</v>
      </c>
      <c r="D279">
        <v>237.93</v>
      </c>
      <c r="E279">
        <v>0.81705499999999998</v>
      </c>
      <c r="F279">
        <v>15.32</v>
      </c>
      <c r="G279">
        <v>14</v>
      </c>
      <c r="H279">
        <v>24.97</v>
      </c>
    </row>
    <row r="280" spans="1:8">
      <c r="B280" s="1" t="s">
        <v>19</v>
      </c>
      <c r="C280" s="1">
        <f>AVERAGE(C230:C279)</f>
        <v>97.121999999999986</v>
      </c>
      <c r="D280" s="1" t="e">
        <f t="shared" ref="D280:F280" si="5">AVERAGE(D230:D279)</f>
        <v>#NAME?</v>
      </c>
      <c r="E280" s="1">
        <f t="shared" si="5"/>
        <v>0.75420841999999988</v>
      </c>
      <c r="F280" s="1">
        <f t="shared" si="5"/>
        <v>7.7635999999999976</v>
      </c>
      <c r="H280" s="1">
        <f t="shared" ref="H280" si="6">AVERAGE(H230:H279)</f>
        <v>23.302400000000002</v>
      </c>
    </row>
    <row r="281" spans="1:8">
      <c r="B281" s="1" t="s">
        <v>20</v>
      </c>
      <c r="C281" s="1">
        <f>MIN(C229:C279)</f>
        <v>79.47</v>
      </c>
      <c r="D281" s="1" t="e">
        <f t="shared" ref="D281:F281" si="7">MIN(D229:D279)</f>
        <v>#NAME?</v>
      </c>
      <c r="E281" s="1">
        <f t="shared" si="7"/>
        <v>0.57941900000000002</v>
      </c>
      <c r="F281" s="1">
        <f t="shared" si="7"/>
        <v>0</v>
      </c>
      <c r="H281" s="1">
        <f t="shared" ref="H281" si="8">MIN(H229:H279)</f>
        <v>18.399999999999999</v>
      </c>
    </row>
    <row r="282" spans="1:8">
      <c r="B282" s="1" t="s">
        <v>3</v>
      </c>
      <c r="C282" s="1">
        <f>STDEV(C230:C279)</f>
        <v>7.9743804058463086</v>
      </c>
      <c r="D282" s="1" t="e">
        <f t="shared" ref="D282:E282" si="9">STDEV(D230:D279)</f>
        <v>#NAME?</v>
      </c>
      <c r="E282" s="1">
        <f t="shared" si="9"/>
        <v>6.806940212576422E-2</v>
      </c>
      <c r="F282" s="1">
        <f>STDEV(F230:F279)</f>
        <v>7.7062121137986574</v>
      </c>
      <c r="H282" s="1">
        <f>STDEV(H230:H279)</f>
        <v>1.9156589530732751</v>
      </c>
    </row>
    <row r="284" spans="1:8">
      <c r="H284" s="18" t="s">
        <v>1435</v>
      </c>
    </row>
    <row r="285" spans="1:8" ht="18">
      <c r="A285" s="18" t="s">
        <v>7</v>
      </c>
      <c r="B285" s="3" t="s">
        <v>10</v>
      </c>
      <c r="C285" s="18" t="s">
        <v>4</v>
      </c>
      <c r="D285" s="18" t="s">
        <v>322</v>
      </c>
      <c r="E285" s="18" t="s">
        <v>321</v>
      </c>
      <c r="F285" s="18" t="s">
        <v>324</v>
      </c>
      <c r="G285" s="18" t="s">
        <v>323</v>
      </c>
      <c r="H285" s="18" t="s">
        <v>1436</v>
      </c>
    </row>
    <row r="286" spans="1:8">
      <c r="A286" s="1">
        <v>1</v>
      </c>
      <c r="B286" t="s">
        <v>2865</v>
      </c>
      <c r="C286">
        <v>80.510000000000005</v>
      </c>
      <c r="D286">
        <v>312.02</v>
      </c>
      <c r="E286">
        <v>0.73220300000000005</v>
      </c>
      <c r="F286">
        <v>3.72</v>
      </c>
      <c r="G286">
        <v>46</v>
      </c>
      <c r="H286">
        <v>18.100000000000001</v>
      </c>
    </row>
    <row r="287" spans="1:8">
      <c r="A287" s="1">
        <v>2</v>
      </c>
      <c r="B287" t="s">
        <v>2866</v>
      </c>
      <c r="C287">
        <v>87.79</v>
      </c>
      <c r="D287">
        <v>311.3</v>
      </c>
      <c r="E287">
        <v>0.67089299999999996</v>
      </c>
      <c r="F287">
        <v>2.5299999999999998</v>
      </c>
      <c r="G287">
        <v>20</v>
      </c>
      <c r="H287">
        <v>19.61</v>
      </c>
    </row>
    <row r="288" spans="1:8">
      <c r="A288" s="1">
        <v>3</v>
      </c>
      <c r="B288" t="s">
        <v>2867</v>
      </c>
      <c r="C288">
        <v>95.5</v>
      </c>
      <c r="D288">
        <v>314.25</v>
      </c>
      <c r="E288">
        <v>0.66936399999999996</v>
      </c>
      <c r="F288">
        <v>8.68</v>
      </c>
      <c r="G288">
        <v>14</v>
      </c>
      <c r="H288">
        <v>21.24</v>
      </c>
    </row>
    <row r="289" spans="1:8">
      <c r="A289" s="1">
        <v>4</v>
      </c>
      <c r="B289" t="s">
        <v>2868</v>
      </c>
      <c r="C289">
        <v>79.31</v>
      </c>
      <c r="D289">
        <v>310.95999999999998</v>
      </c>
      <c r="E289">
        <v>0.74853400000000003</v>
      </c>
      <c r="F289">
        <v>0.57999999999999996</v>
      </c>
      <c r="G289">
        <v>40</v>
      </c>
      <c r="H289">
        <v>18.62</v>
      </c>
    </row>
    <row r="290" spans="1:8">
      <c r="A290" s="1">
        <v>5</v>
      </c>
      <c r="B290" t="s">
        <v>2869</v>
      </c>
      <c r="C290">
        <v>79.77</v>
      </c>
      <c r="D290">
        <v>311.49</v>
      </c>
      <c r="E290">
        <v>0.71903899999999998</v>
      </c>
      <c r="F290">
        <v>3.07</v>
      </c>
      <c r="G290">
        <v>36</v>
      </c>
      <c r="H290">
        <v>17.98</v>
      </c>
    </row>
    <row r="291" spans="1:8">
      <c r="A291" s="1">
        <v>6</v>
      </c>
      <c r="B291" t="s">
        <v>2870</v>
      </c>
      <c r="C291">
        <v>83.21</v>
      </c>
      <c r="D291">
        <v>310.89</v>
      </c>
      <c r="E291">
        <v>0.72915700000000006</v>
      </c>
      <c r="F291">
        <v>1.69</v>
      </c>
      <c r="G291">
        <v>26</v>
      </c>
      <c r="H291">
        <v>19.420000000000002</v>
      </c>
    </row>
    <row r="292" spans="1:8">
      <c r="A292" s="1">
        <v>7</v>
      </c>
      <c r="B292" t="s">
        <v>2871</v>
      </c>
      <c r="C292">
        <v>80.67</v>
      </c>
      <c r="D292">
        <v>313.68</v>
      </c>
      <c r="E292">
        <v>0.79828699999999997</v>
      </c>
      <c r="F292">
        <v>11.1</v>
      </c>
      <c r="G292">
        <v>58</v>
      </c>
      <c r="H292">
        <v>18.07</v>
      </c>
    </row>
    <row r="293" spans="1:8">
      <c r="A293" s="1">
        <v>8</v>
      </c>
      <c r="B293" t="s">
        <v>2872</v>
      </c>
      <c r="C293">
        <v>82.82</v>
      </c>
      <c r="D293">
        <v>310.06</v>
      </c>
      <c r="E293">
        <v>0.63954900000000003</v>
      </c>
      <c r="F293">
        <v>3.15</v>
      </c>
      <c r="G293">
        <v>0</v>
      </c>
      <c r="H293">
        <v>19.690000000000001</v>
      </c>
    </row>
    <row r="294" spans="1:8">
      <c r="A294" s="1">
        <v>9</v>
      </c>
      <c r="B294" t="s">
        <v>2873</v>
      </c>
      <c r="C294">
        <v>80.86</v>
      </c>
      <c r="D294">
        <v>313.52999999999997</v>
      </c>
      <c r="E294">
        <v>0.83121599999999995</v>
      </c>
      <c r="F294">
        <v>2.42</v>
      </c>
      <c r="G294">
        <v>74</v>
      </c>
      <c r="H294">
        <v>18.84</v>
      </c>
    </row>
    <row r="295" spans="1:8">
      <c r="A295" s="1">
        <v>10</v>
      </c>
      <c r="B295" t="s">
        <v>2874</v>
      </c>
      <c r="C295">
        <v>77.84</v>
      </c>
      <c r="D295" t="e">
        <f>-inf</f>
        <v>#NAME?</v>
      </c>
      <c r="E295">
        <v>0.63415600000000005</v>
      </c>
      <c r="F295">
        <v>0</v>
      </c>
      <c r="G295">
        <v>52</v>
      </c>
      <c r="H295">
        <v>17.62</v>
      </c>
    </row>
    <row r="296" spans="1:8">
      <c r="A296" s="1">
        <v>11</v>
      </c>
      <c r="B296" t="s">
        <v>2875</v>
      </c>
      <c r="C296">
        <v>80.989999999999995</v>
      </c>
      <c r="D296">
        <v>312.36</v>
      </c>
      <c r="E296">
        <v>0.77072200000000002</v>
      </c>
      <c r="F296">
        <v>10.14</v>
      </c>
      <c r="G296">
        <v>76</v>
      </c>
      <c r="H296">
        <v>18.53</v>
      </c>
    </row>
    <row r="297" spans="1:8">
      <c r="A297" s="1">
        <v>12</v>
      </c>
      <c r="B297" t="s">
        <v>2876</v>
      </c>
      <c r="C297">
        <v>79.66</v>
      </c>
      <c r="D297">
        <v>313.73</v>
      </c>
      <c r="E297">
        <v>0.83604500000000004</v>
      </c>
      <c r="F297">
        <v>12.21</v>
      </c>
      <c r="G297">
        <v>8</v>
      </c>
      <c r="H297">
        <v>18.739999999999998</v>
      </c>
    </row>
    <row r="298" spans="1:8">
      <c r="A298" s="1">
        <v>13</v>
      </c>
      <c r="B298" t="s">
        <v>2877</v>
      </c>
      <c r="C298">
        <v>83.81</v>
      </c>
      <c r="D298">
        <v>312.11</v>
      </c>
      <c r="E298">
        <v>0.69501999999999997</v>
      </c>
      <c r="F298">
        <v>1.46</v>
      </c>
      <c r="G298">
        <v>74</v>
      </c>
      <c r="H298">
        <v>19.09</v>
      </c>
    </row>
    <row r="299" spans="1:8">
      <c r="A299" s="1">
        <v>14</v>
      </c>
      <c r="B299" t="s">
        <v>2878</v>
      </c>
      <c r="C299">
        <v>87.79</v>
      </c>
      <c r="D299">
        <v>313.22000000000003</v>
      </c>
      <c r="E299">
        <v>0.68312300000000004</v>
      </c>
      <c r="F299">
        <v>10.71</v>
      </c>
      <c r="G299">
        <v>4</v>
      </c>
      <c r="H299">
        <v>20.81</v>
      </c>
    </row>
    <row r="300" spans="1:8">
      <c r="A300" s="1">
        <v>15</v>
      </c>
      <c r="B300" t="s">
        <v>2879</v>
      </c>
      <c r="C300">
        <v>86.56</v>
      </c>
      <c r="D300">
        <v>311.43</v>
      </c>
      <c r="E300">
        <v>0.74909999999999999</v>
      </c>
      <c r="F300">
        <v>1.84</v>
      </c>
      <c r="G300">
        <v>36</v>
      </c>
      <c r="H300">
        <v>21.29</v>
      </c>
    </row>
    <row r="301" spans="1:8">
      <c r="A301" s="1">
        <v>16</v>
      </c>
      <c r="B301" t="s">
        <v>2880</v>
      </c>
      <c r="C301">
        <v>81.31</v>
      </c>
      <c r="D301">
        <v>313.12</v>
      </c>
      <c r="E301">
        <v>0.78619899999999998</v>
      </c>
      <c r="F301">
        <v>9.52</v>
      </c>
      <c r="G301">
        <v>18</v>
      </c>
      <c r="H301">
        <v>19.920000000000002</v>
      </c>
    </row>
    <row r="302" spans="1:8">
      <c r="A302" s="1">
        <v>17</v>
      </c>
      <c r="B302" t="s">
        <v>2881</v>
      </c>
      <c r="C302">
        <v>82.02</v>
      </c>
      <c r="D302">
        <v>311.02</v>
      </c>
      <c r="E302">
        <v>0.77403699999999998</v>
      </c>
      <c r="F302">
        <v>1.1499999999999999</v>
      </c>
      <c r="G302">
        <v>40</v>
      </c>
      <c r="H302">
        <v>19.45</v>
      </c>
    </row>
    <row r="303" spans="1:8">
      <c r="A303" s="1">
        <v>18</v>
      </c>
      <c r="B303" t="s">
        <v>2882</v>
      </c>
      <c r="C303">
        <v>77.34</v>
      </c>
      <c r="D303">
        <v>308.95999999999998</v>
      </c>
      <c r="E303">
        <v>0.711511</v>
      </c>
      <c r="F303">
        <v>0.46</v>
      </c>
      <c r="G303">
        <v>4</v>
      </c>
      <c r="H303">
        <v>18.25</v>
      </c>
    </row>
    <row r="304" spans="1:8">
      <c r="A304" s="1">
        <v>19</v>
      </c>
      <c r="B304" t="s">
        <v>2883</v>
      </c>
      <c r="C304">
        <v>80.540000000000006</v>
      </c>
      <c r="D304">
        <v>313.14999999999998</v>
      </c>
      <c r="E304">
        <v>0.75091200000000002</v>
      </c>
      <c r="F304">
        <v>14.48</v>
      </c>
      <c r="G304">
        <v>16</v>
      </c>
      <c r="H304">
        <v>19.16</v>
      </c>
    </row>
    <row r="305" spans="1:8">
      <c r="A305" s="1">
        <v>20</v>
      </c>
      <c r="B305" t="s">
        <v>2884</v>
      </c>
      <c r="C305">
        <v>82.35</v>
      </c>
      <c r="D305">
        <v>311.37</v>
      </c>
      <c r="E305">
        <v>0.64683800000000002</v>
      </c>
      <c r="F305">
        <v>6.37</v>
      </c>
      <c r="G305">
        <v>46</v>
      </c>
      <c r="H305">
        <v>19.309999999999999</v>
      </c>
    </row>
    <row r="306" spans="1:8">
      <c r="A306" s="1">
        <v>21</v>
      </c>
      <c r="B306" t="s">
        <v>2885</v>
      </c>
      <c r="C306">
        <v>69.790000000000006</v>
      </c>
      <c r="D306">
        <v>308.85000000000002</v>
      </c>
      <c r="E306">
        <v>0.81711500000000004</v>
      </c>
      <c r="F306">
        <v>0.15</v>
      </c>
      <c r="G306">
        <v>38</v>
      </c>
      <c r="H306">
        <v>15.28</v>
      </c>
    </row>
    <row r="307" spans="1:8">
      <c r="A307" s="1">
        <v>22</v>
      </c>
      <c r="B307" t="s">
        <v>2886</v>
      </c>
      <c r="C307">
        <v>92.45</v>
      </c>
      <c r="D307">
        <v>312.25</v>
      </c>
      <c r="E307">
        <v>0.62750300000000003</v>
      </c>
      <c r="F307">
        <v>1.8</v>
      </c>
      <c r="G307">
        <v>22</v>
      </c>
      <c r="H307">
        <v>21.46</v>
      </c>
    </row>
    <row r="308" spans="1:8">
      <c r="A308" s="1">
        <v>23</v>
      </c>
      <c r="B308" t="s">
        <v>2887</v>
      </c>
      <c r="C308">
        <v>84.27</v>
      </c>
      <c r="D308">
        <v>311.85000000000002</v>
      </c>
      <c r="E308">
        <v>0.71159099999999997</v>
      </c>
      <c r="F308">
        <v>3.61</v>
      </c>
      <c r="G308">
        <v>52</v>
      </c>
      <c r="H308">
        <v>20.02</v>
      </c>
    </row>
    <row r="309" spans="1:8">
      <c r="A309" s="1">
        <v>24</v>
      </c>
      <c r="B309" t="s">
        <v>2888</v>
      </c>
      <c r="C309">
        <v>83.8</v>
      </c>
      <c r="D309">
        <v>312.31</v>
      </c>
      <c r="E309">
        <v>0.75202599999999997</v>
      </c>
      <c r="F309">
        <v>1.46</v>
      </c>
      <c r="G309">
        <v>66</v>
      </c>
      <c r="H309">
        <v>19.079999999999998</v>
      </c>
    </row>
    <row r="310" spans="1:8">
      <c r="A310" s="1">
        <v>25</v>
      </c>
      <c r="B310" t="s">
        <v>2889</v>
      </c>
      <c r="C310">
        <v>92.84</v>
      </c>
      <c r="D310">
        <v>313.02999999999997</v>
      </c>
      <c r="E310">
        <v>0.70722399999999996</v>
      </c>
      <c r="F310">
        <v>0.77</v>
      </c>
      <c r="G310">
        <v>56</v>
      </c>
      <c r="H310">
        <v>23.16</v>
      </c>
    </row>
    <row r="311" spans="1:8">
      <c r="A311" s="1">
        <v>26</v>
      </c>
      <c r="B311" t="s">
        <v>2890</v>
      </c>
      <c r="C311">
        <v>88.31</v>
      </c>
      <c r="D311">
        <v>314.52999999999997</v>
      </c>
      <c r="E311">
        <v>0.74533700000000003</v>
      </c>
      <c r="F311">
        <v>9.3699999999999992</v>
      </c>
      <c r="G311">
        <v>2</v>
      </c>
      <c r="H311">
        <v>20.34</v>
      </c>
    </row>
    <row r="312" spans="1:8">
      <c r="A312" s="1">
        <v>27</v>
      </c>
      <c r="B312" t="s">
        <v>2891</v>
      </c>
      <c r="C312">
        <v>82.9</v>
      </c>
      <c r="D312">
        <v>310.3</v>
      </c>
      <c r="E312">
        <v>0.67437199999999997</v>
      </c>
      <c r="F312">
        <v>1.88</v>
      </c>
      <c r="G312">
        <v>40</v>
      </c>
      <c r="H312">
        <v>19.600000000000001</v>
      </c>
    </row>
    <row r="313" spans="1:8">
      <c r="A313" s="1">
        <v>28</v>
      </c>
      <c r="B313" t="s">
        <v>2892</v>
      </c>
      <c r="C313">
        <v>86.01</v>
      </c>
      <c r="D313">
        <v>312.16000000000003</v>
      </c>
      <c r="E313">
        <v>0.70416400000000001</v>
      </c>
      <c r="F313">
        <v>2.5</v>
      </c>
      <c r="G313">
        <v>40</v>
      </c>
      <c r="H313">
        <v>20.5</v>
      </c>
    </row>
    <row r="314" spans="1:8">
      <c r="A314" s="1">
        <v>29</v>
      </c>
      <c r="B314" t="s">
        <v>2893</v>
      </c>
      <c r="C314">
        <v>85.68</v>
      </c>
      <c r="D314">
        <v>312.47000000000003</v>
      </c>
      <c r="E314">
        <v>0.72246999999999995</v>
      </c>
      <c r="F314">
        <v>3.69</v>
      </c>
      <c r="G314">
        <v>40</v>
      </c>
      <c r="H314">
        <v>19.12</v>
      </c>
    </row>
    <row r="315" spans="1:8">
      <c r="A315" s="1">
        <v>30</v>
      </c>
      <c r="B315" t="s">
        <v>2894</v>
      </c>
      <c r="C315">
        <v>78.69</v>
      </c>
      <c r="D315">
        <v>311.07</v>
      </c>
      <c r="E315">
        <v>0.66518100000000002</v>
      </c>
      <c r="F315">
        <v>4.76</v>
      </c>
      <c r="G315">
        <v>66</v>
      </c>
      <c r="H315">
        <v>18.399999999999999</v>
      </c>
    </row>
    <row r="316" spans="1:8">
      <c r="A316" s="1">
        <v>31</v>
      </c>
      <c r="B316" t="s">
        <v>2895</v>
      </c>
      <c r="C316">
        <v>81.96</v>
      </c>
      <c r="D316">
        <v>312.75</v>
      </c>
      <c r="E316">
        <v>0.77933600000000003</v>
      </c>
      <c r="F316">
        <v>2.19</v>
      </c>
      <c r="G316">
        <v>32</v>
      </c>
      <c r="H316">
        <v>19.61</v>
      </c>
    </row>
    <row r="317" spans="1:8">
      <c r="A317" s="1">
        <v>32</v>
      </c>
      <c r="B317" t="s">
        <v>2896</v>
      </c>
      <c r="C317">
        <v>96.91</v>
      </c>
      <c r="D317">
        <v>313.07</v>
      </c>
      <c r="E317">
        <v>0.63681100000000002</v>
      </c>
      <c r="F317">
        <v>0.92</v>
      </c>
      <c r="G317">
        <v>58</v>
      </c>
      <c r="H317">
        <v>22.18</v>
      </c>
    </row>
    <row r="318" spans="1:8">
      <c r="A318" s="1">
        <v>33</v>
      </c>
      <c r="B318" t="s">
        <v>2897</v>
      </c>
      <c r="C318">
        <v>85.44</v>
      </c>
      <c r="D318">
        <v>309.75</v>
      </c>
      <c r="E318">
        <v>0.71393099999999998</v>
      </c>
      <c r="F318">
        <v>0.46</v>
      </c>
      <c r="G318">
        <v>40</v>
      </c>
      <c r="H318">
        <v>18.98</v>
      </c>
    </row>
    <row r="319" spans="1:8">
      <c r="A319" s="1">
        <v>34</v>
      </c>
      <c r="B319" t="s">
        <v>2898</v>
      </c>
      <c r="C319">
        <v>81.569999999999993</v>
      </c>
      <c r="D319">
        <v>313.07</v>
      </c>
      <c r="E319">
        <v>0.75017199999999995</v>
      </c>
      <c r="F319">
        <v>8.06</v>
      </c>
      <c r="G319">
        <v>14</v>
      </c>
      <c r="H319">
        <v>18.7</v>
      </c>
    </row>
    <row r="320" spans="1:8">
      <c r="A320" s="1">
        <v>35</v>
      </c>
      <c r="B320" t="s">
        <v>2899</v>
      </c>
      <c r="C320">
        <v>82.8</v>
      </c>
      <c r="D320">
        <v>310.73</v>
      </c>
      <c r="E320">
        <v>0.69184400000000001</v>
      </c>
      <c r="F320">
        <v>0.57999999999999996</v>
      </c>
      <c r="G320">
        <v>34</v>
      </c>
      <c r="H320">
        <v>19.12</v>
      </c>
    </row>
    <row r="321" spans="1:8">
      <c r="A321" s="1">
        <v>36</v>
      </c>
      <c r="B321" t="s">
        <v>2900</v>
      </c>
      <c r="C321">
        <v>88.03</v>
      </c>
      <c r="D321">
        <v>308.31</v>
      </c>
      <c r="E321">
        <v>0.59405600000000003</v>
      </c>
      <c r="F321">
        <v>0.12</v>
      </c>
      <c r="G321">
        <v>34</v>
      </c>
      <c r="H321">
        <v>21.22</v>
      </c>
    </row>
    <row r="322" spans="1:8">
      <c r="A322" s="1">
        <v>37</v>
      </c>
      <c r="B322" t="s">
        <v>2901</v>
      </c>
      <c r="C322">
        <v>86.54</v>
      </c>
      <c r="D322">
        <v>313.02</v>
      </c>
      <c r="E322">
        <v>0.71856200000000003</v>
      </c>
      <c r="F322">
        <v>6.6</v>
      </c>
      <c r="G322">
        <v>44</v>
      </c>
      <c r="H322">
        <v>20.2</v>
      </c>
    </row>
    <row r="323" spans="1:8">
      <c r="A323" s="1">
        <v>38</v>
      </c>
      <c r="B323" t="s">
        <v>2902</v>
      </c>
      <c r="C323">
        <v>80.069999999999993</v>
      </c>
      <c r="D323">
        <v>312.57</v>
      </c>
      <c r="E323">
        <v>0.80007200000000001</v>
      </c>
      <c r="F323">
        <v>2.61</v>
      </c>
      <c r="G323">
        <v>6</v>
      </c>
      <c r="H323">
        <v>18.899999999999999</v>
      </c>
    </row>
    <row r="324" spans="1:8">
      <c r="A324" s="1">
        <v>39</v>
      </c>
      <c r="B324" t="s">
        <v>2903</v>
      </c>
      <c r="C324">
        <v>85.7</v>
      </c>
      <c r="D324">
        <v>314.16000000000003</v>
      </c>
      <c r="E324">
        <v>0.72428499999999996</v>
      </c>
      <c r="F324">
        <v>4.84</v>
      </c>
      <c r="G324">
        <v>4</v>
      </c>
      <c r="H324">
        <v>19.97</v>
      </c>
    </row>
    <row r="325" spans="1:8">
      <c r="A325" s="1">
        <v>40</v>
      </c>
      <c r="B325" t="s">
        <v>2904</v>
      </c>
      <c r="C325">
        <v>78.55</v>
      </c>
      <c r="D325">
        <v>312.7</v>
      </c>
      <c r="E325">
        <v>0.77531000000000005</v>
      </c>
      <c r="F325">
        <v>10.18</v>
      </c>
      <c r="G325">
        <v>48</v>
      </c>
      <c r="H325">
        <v>18.89</v>
      </c>
    </row>
    <row r="326" spans="1:8">
      <c r="A326" s="1">
        <v>41</v>
      </c>
      <c r="B326" t="s">
        <v>2905</v>
      </c>
      <c r="C326">
        <v>81.7</v>
      </c>
      <c r="D326">
        <v>310.97000000000003</v>
      </c>
      <c r="E326">
        <v>0.60771399999999998</v>
      </c>
      <c r="F326">
        <v>2.65</v>
      </c>
      <c r="G326">
        <v>0</v>
      </c>
      <c r="H326">
        <v>18.489999999999998</v>
      </c>
    </row>
    <row r="327" spans="1:8">
      <c r="A327" s="1">
        <v>42</v>
      </c>
      <c r="B327" t="s">
        <v>2906</v>
      </c>
      <c r="C327">
        <v>75.83</v>
      </c>
      <c r="D327">
        <v>310.51</v>
      </c>
      <c r="E327">
        <v>0.72190100000000001</v>
      </c>
      <c r="F327">
        <v>1.31</v>
      </c>
      <c r="G327">
        <v>64</v>
      </c>
      <c r="H327">
        <v>17.739999999999998</v>
      </c>
    </row>
    <row r="328" spans="1:8">
      <c r="A328" s="1">
        <v>43</v>
      </c>
      <c r="B328" t="s">
        <v>2907</v>
      </c>
      <c r="C328">
        <v>76.81</v>
      </c>
      <c r="D328">
        <v>312.36</v>
      </c>
      <c r="E328">
        <v>0.78826300000000005</v>
      </c>
      <c r="F328">
        <v>12.17</v>
      </c>
      <c r="G328">
        <v>44</v>
      </c>
      <c r="H328">
        <v>17.23</v>
      </c>
    </row>
    <row r="329" spans="1:8">
      <c r="A329" s="1">
        <v>44</v>
      </c>
      <c r="B329" t="s">
        <v>2908</v>
      </c>
      <c r="C329">
        <v>76.34</v>
      </c>
      <c r="D329">
        <v>311.48</v>
      </c>
      <c r="E329">
        <v>0.77929599999999999</v>
      </c>
      <c r="F329">
        <v>4.1100000000000003</v>
      </c>
      <c r="G329">
        <v>76</v>
      </c>
      <c r="H329">
        <v>17.21</v>
      </c>
    </row>
    <row r="330" spans="1:8">
      <c r="A330" s="1">
        <v>45</v>
      </c>
      <c r="B330" t="s">
        <v>2909</v>
      </c>
      <c r="C330">
        <v>85.78</v>
      </c>
      <c r="D330">
        <v>312.11</v>
      </c>
      <c r="E330">
        <v>0.71287599999999995</v>
      </c>
      <c r="F330">
        <v>4.57</v>
      </c>
      <c r="G330">
        <v>32</v>
      </c>
      <c r="H330">
        <v>19.86</v>
      </c>
    </row>
    <row r="331" spans="1:8">
      <c r="A331" s="1">
        <v>46</v>
      </c>
      <c r="B331" t="s">
        <v>2910</v>
      </c>
      <c r="C331">
        <v>80.78</v>
      </c>
      <c r="D331">
        <v>313.56</v>
      </c>
      <c r="E331">
        <v>0.773447</v>
      </c>
      <c r="F331">
        <v>15.48</v>
      </c>
      <c r="G331">
        <v>60</v>
      </c>
      <c r="H331">
        <v>18.760000000000002</v>
      </c>
    </row>
    <row r="332" spans="1:8">
      <c r="A332" s="1">
        <v>47</v>
      </c>
      <c r="B332" t="s">
        <v>2911</v>
      </c>
      <c r="C332">
        <v>79.38</v>
      </c>
      <c r="D332">
        <v>311.49</v>
      </c>
      <c r="E332">
        <v>0.77329000000000003</v>
      </c>
      <c r="F332">
        <v>0.81</v>
      </c>
      <c r="G332">
        <v>22</v>
      </c>
      <c r="H332">
        <v>20.02</v>
      </c>
    </row>
    <row r="333" spans="1:8">
      <c r="A333" s="1">
        <v>48</v>
      </c>
      <c r="B333" t="s">
        <v>2912</v>
      </c>
      <c r="C333">
        <v>84.2</v>
      </c>
      <c r="D333">
        <v>313.68</v>
      </c>
      <c r="E333">
        <v>0.72823300000000002</v>
      </c>
      <c r="F333">
        <v>11.6</v>
      </c>
      <c r="G333">
        <v>32</v>
      </c>
      <c r="H333">
        <v>20</v>
      </c>
    </row>
    <row r="334" spans="1:8">
      <c r="A334" s="1">
        <v>49</v>
      </c>
      <c r="B334" t="s">
        <v>2913</v>
      </c>
      <c r="C334">
        <v>88.82</v>
      </c>
      <c r="D334">
        <v>310.5</v>
      </c>
      <c r="E334">
        <v>0.64859299999999998</v>
      </c>
      <c r="F334">
        <v>2.57</v>
      </c>
      <c r="G334">
        <v>28</v>
      </c>
      <c r="H334">
        <v>23.2</v>
      </c>
    </row>
    <row r="335" spans="1:8">
      <c r="A335" s="1">
        <v>50</v>
      </c>
      <c r="B335" t="s">
        <v>2914</v>
      </c>
      <c r="C335">
        <v>79.08</v>
      </c>
      <c r="D335">
        <v>313</v>
      </c>
      <c r="E335">
        <v>0.80588800000000005</v>
      </c>
      <c r="F335">
        <v>8.18</v>
      </c>
      <c r="G335">
        <v>66</v>
      </c>
      <c r="H335">
        <v>17.989999999999998</v>
      </c>
    </row>
    <row r="336" spans="1:8">
      <c r="B336" s="1" t="s">
        <v>19</v>
      </c>
      <c r="C336" s="1">
        <f>AVERAGE(C286:C335)</f>
        <v>83.033600000000021</v>
      </c>
      <c r="D336" s="1" t="e">
        <f>AVERAGE(#REF!)</f>
        <v>#REF!</v>
      </c>
      <c r="E336" s="1" t="e">
        <f>AVERAGE(#REF!)</f>
        <v>#REF!</v>
      </c>
      <c r="F336" s="1" t="e">
        <f>AVERAGE(#REF!)</f>
        <v>#REF!</v>
      </c>
      <c r="H336" s="1" t="e">
        <f>AVERAGE(#REF!)</f>
        <v>#REF!</v>
      </c>
    </row>
    <row r="337" spans="1:8">
      <c r="B337" s="1" t="s">
        <v>20</v>
      </c>
      <c r="C337" s="1">
        <f>MIN(C285:C335)</f>
        <v>69.790000000000006</v>
      </c>
      <c r="D337" s="1" t="e">
        <f>MIN(D285:D335)</f>
        <v>#NAME?</v>
      </c>
      <c r="E337" s="1">
        <f>MIN(E285:E335)</f>
        <v>0.59405600000000003</v>
      </c>
      <c r="F337" s="1">
        <f>MIN(F285:F335)</f>
        <v>0</v>
      </c>
      <c r="H337" s="1">
        <f>MIN(H285:H335)</f>
        <v>15.28</v>
      </c>
    </row>
    <row r="338" spans="1:8">
      <c r="B338" s="1" t="s">
        <v>3</v>
      </c>
      <c r="C338" s="1" t="e">
        <f>STDEV(#REF!)</f>
        <v>#REF!</v>
      </c>
      <c r="D338" s="1" t="e">
        <f>STDEV(#REF!)</f>
        <v>#REF!</v>
      </c>
      <c r="E338" s="1" t="e">
        <f>STDEV(#REF!)</f>
        <v>#REF!</v>
      </c>
      <c r="F338" s="1" t="e">
        <f>STDEV(#REF!)</f>
        <v>#REF!</v>
      </c>
      <c r="H338" s="1" t="e">
        <f>STDEV(#REF!)</f>
        <v>#REF!</v>
      </c>
    </row>
    <row r="340" spans="1:8">
      <c r="H340" s="18" t="s">
        <v>1435</v>
      </c>
    </row>
    <row r="341" spans="1:8" ht="18">
      <c r="A341" s="18" t="s">
        <v>7</v>
      </c>
      <c r="B341" s="3" t="s">
        <v>6</v>
      </c>
      <c r="C341" s="18" t="s">
        <v>4</v>
      </c>
      <c r="D341" s="18" t="s">
        <v>322</v>
      </c>
      <c r="E341" s="18" t="s">
        <v>321</v>
      </c>
      <c r="F341" s="18" t="s">
        <v>324</v>
      </c>
      <c r="G341" s="18" t="s">
        <v>323</v>
      </c>
      <c r="H341" s="18" t="s">
        <v>1436</v>
      </c>
    </row>
    <row r="342" spans="1:8">
      <c r="A342" s="1">
        <v>1</v>
      </c>
    </row>
    <row r="343" spans="1:8">
      <c r="A343" s="1">
        <v>2</v>
      </c>
    </row>
    <row r="344" spans="1:8">
      <c r="A344" s="1">
        <v>3</v>
      </c>
    </row>
    <row r="345" spans="1:8">
      <c r="A345" s="1">
        <v>4</v>
      </c>
    </row>
    <row r="346" spans="1:8">
      <c r="A346" s="1">
        <v>5</v>
      </c>
    </row>
    <row r="347" spans="1:8">
      <c r="A347" s="1">
        <v>6</v>
      </c>
    </row>
    <row r="348" spans="1:8">
      <c r="A348" s="1">
        <v>7</v>
      </c>
    </row>
    <row r="349" spans="1:8">
      <c r="A349" s="1">
        <v>8</v>
      </c>
    </row>
    <row r="350" spans="1:8">
      <c r="A350" s="1">
        <v>9</v>
      </c>
    </row>
    <row r="351" spans="1:8">
      <c r="A351" s="1">
        <v>10</v>
      </c>
    </row>
    <row r="352" spans="1:8">
      <c r="A352" s="1">
        <v>11</v>
      </c>
    </row>
    <row r="353" spans="1:1">
      <c r="A353" s="1">
        <v>12</v>
      </c>
    </row>
    <row r="354" spans="1:1">
      <c r="A354" s="1">
        <v>13</v>
      </c>
    </row>
    <row r="355" spans="1:1">
      <c r="A355" s="1">
        <v>14</v>
      </c>
    </row>
    <row r="356" spans="1:1">
      <c r="A356" s="1">
        <v>15</v>
      </c>
    </row>
    <row r="357" spans="1:1">
      <c r="A357" s="1">
        <v>16</v>
      </c>
    </row>
    <row r="358" spans="1:1">
      <c r="A358" s="1">
        <v>17</v>
      </c>
    </row>
    <row r="359" spans="1:1">
      <c r="A359" s="1">
        <v>18</v>
      </c>
    </row>
    <row r="360" spans="1:1">
      <c r="A360" s="1">
        <v>19</v>
      </c>
    </row>
    <row r="361" spans="1:1">
      <c r="A361" s="1">
        <v>20</v>
      </c>
    </row>
    <row r="362" spans="1:1">
      <c r="A362" s="1">
        <v>21</v>
      </c>
    </row>
    <row r="363" spans="1:1">
      <c r="A363" s="1">
        <v>22</v>
      </c>
    </row>
    <row r="364" spans="1:1">
      <c r="A364" s="1">
        <v>23</v>
      </c>
    </row>
    <row r="365" spans="1:1">
      <c r="A365" s="1">
        <v>24</v>
      </c>
    </row>
    <row r="366" spans="1:1">
      <c r="A366" s="1">
        <v>25</v>
      </c>
    </row>
    <row r="367" spans="1:1">
      <c r="A367" s="1">
        <v>26</v>
      </c>
    </row>
    <row r="368" spans="1:1">
      <c r="A368" s="1">
        <v>27</v>
      </c>
    </row>
    <row r="369" spans="1:1">
      <c r="A369" s="1">
        <v>28</v>
      </c>
    </row>
    <row r="370" spans="1:1">
      <c r="A370" s="1">
        <v>29</v>
      </c>
    </row>
    <row r="371" spans="1:1">
      <c r="A371" s="1">
        <v>30</v>
      </c>
    </row>
    <row r="372" spans="1:1">
      <c r="A372" s="1">
        <v>31</v>
      </c>
    </row>
    <row r="373" spans="1:1">
      <c r="A373" s="1">
        <v>32</v>
      </c>
    </row>
    <row r="374" spans="1:1">
      <c r="A374" s="1">
        <v>33</v>
      </c>
    </row>
    <row r="375" spans="1:1">
      <c r="A375" s="1">
        <v>34</v>
      </c>
    </row>
    <row r="376" spans="1:1">
      <c r="A376" s="1">
        <v>35</v>
      </c>
    </row>
    <row r="377" spans="1:1">
      <c r="A377" s="1">
        <v>36</v>
      </c>
    </row>
    <row r="378" spans="1:1">
      <c r="A378" s="1">
        <v>37</v>
      </c>
    </row>
    <row r="379" spans="1:1">
      <c r="A379" s="1">
        <v>38</v>
      </c>
    </row>
    <row r="380" spans="1:1">
      <c r="A380" s="1">
        <v>39</v>
      </c>
    </row>
    <row r="381" spans="1:1">
      <c r="A381" s="1">
        <v>40</v>
      </c>
    </row>
    <row r="382" spans="1:1">
      <c r="A382" s="1">
        <v>41</v>
      </c>
    </row>
    <row r="383" spans="1:1">
      <c r="A383" s="1">
        <v>42</v>
      </c>
    </row>
    <row r="384" spans="1:1">
      <c r="A384" s="1">
        <v>43</v>
      </c>
    </row>
    <row r="385" spans="1:8">
      <c r="A385" s="1">
        <v>44</v>
      </c>
    </row>
    <row r="386" spans="1:8">
      <c r="A386" s="1">
        <v>45</v>
      </c>
    </row>
    <row r="387" spans="1:8">
      <c r="A387" s="1">
        <v>46</v>
      </c>
    </row>
    <row r="388" spans="1:8">
      <c r="A388" s="1">
        <v>47</v>
      </c>
    </row>
    <row r="389" spans="1:8">
      <c r="A389" s="1">
        <v>48</v>
      </c>
    </row>
    <row r="390" spans="1:8">
      <c r="A390" s="1">
        <v>49</v>
      </c>
    </row>
    <row r="391" spans="1:8">
      <c r="A391" s="1">
        <v>50</v>
      </c>
    </row>
    <row r="392" spans="1:8">
      <c r="B392" s="1" t="s">
        <v>19</v>
      </c>
      <c r="C392" s="1" t="e">
        <f>AVERAGE(C342:C391)</f>
        <v>#DIV/0!</v>
      </c>
      <c r="D392" s="1" t="e">
        <f t="shared" ref="D392:F392" si="10">AVERAGE(D342:D391)</f>
        <v>#DIV/0!</v>
      </c>
      <c r="E392" s="1" t="e">
        <f t="shared" si="10"/>
        <v>#DIV/0!</v>
      </c>
      <c r="F392" s="1" t="e">
        <f t="shared" si="10"/>
        <v>#DIV/0!</v>
      </c>
      <c r="H392" s="1" t="e">
        <f t="shared" ref="H392" si="11">AVERAGE(H342:H391)</f>
        <v>#DIV/0!</v>
      </c>
    </row>
    <row r="393" spans="1:8">
      <c r="B393" s="1" t="s">
        <v>20</v>
      </c>
      <c r="C393" s="1">
        <f>MIN(C341:C391)</f>
        <v>0</v>
      </c>
      <c r="D393" s="1">
        <f t="shared" ref="D393:F393" si="12">MIN(D341:D391)</f>
        <v>0</v>
      </c>
      <c r="E393" s="1">
        <f t="shared" si="12"/>
        <v>0</v>
      </c>
      <c r="F393" s="1">
        <f t="shared" si="12"/>
        <v>0</v>
      </c>
      <c r="H393" s="1">
        <f t="shared" ref="H393" si="13">MIN(H341:H391)</f>
        <v>0</v>
      </c>
    </row>
    <row r="394" spans="1:8">
      <c r="B394" s="1" t="s">
        <v>3</v>
      </c>
      <c r="C394" s="1" t="e">
        <f>STDEV(C342:C391)</f>
        <v>#DIV/0!</v>
      </c>
      <c r="D394" s="1" t="e">
        <f t="shared" ref="D394:E394" si="14">STDEV(D342:D391)</f>
        <v>#DIV/0!</v>
      </c>
      <c r="E394" s="1" t="e">
        <f t="shared" si="14"/>
        <v>#DIV/0!</v>
      </c>
      <c r="F394" s="1" t="e">
        <f>STDEV(F342:F391)</f>
        <v>#DIV/0!</v>
      </c>
      <c r="H394" s="1" t="e">
        <f>STDEV(H342:H391)</f>
        <v>#DIV/0!</v>
      </c>
    </row>
    <row r="397" spans="1:8" ht="18">
      <c r="A397" s="18"/>
      <c r="B397" s="3"/>
      <c r="C397" s="18"/>
      <c r="D397" s="18"/>
      <c r="E397" s="18"/>
      <c r="F397" s="18"/>
      <c r="G397" s="18"/>
    </row>
    <row r="421" spans="2:4" ht="18">
      <c r="B421" s="3"/>
      <c r="C421" s="18"/>
      <c r="D421" s="18"/>
    </row>
    <row r="445" spans="2:4" ht="18">
      <c r="B445" s="3"/>
      <c r="C445" s="18"/>
      <c r="D445" s="18"/>
    </row>
  </sheetData>
  <mergeCells count="1">
    <mergeCell ref="B1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45"/>
  <sheetViews>
    <sheetView topLeftCell="A136" zoomScale="70" zoomScaleNormal="70" workbookViewId="0">
      <selection activeCell="B178" sqref="B178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2361</v>
      </c>
      <c r="C1" s="25"/>
      <c r="D1" s="25"/>
    </row>
    <row r="2" spans="1:8">
      <c r="B2" s="25"/>
      <c r="C2" s="25"/>
      <c r="D2" s="25"/>
    </row>
    <row r="4" spans="1:8">
      <c r="H4" s="18" t="s">
        <v>1435</v>
      </c>
    </row>
    <row r="5" spans="1:8" ht="18">
      <c r="A5" s="18" t="s">
        <v>7</v>
      </c>
      <c r="B5" s="3" t="s">
        <v>0</v>
      </c>
      <c r="C5" s="18" t="s">
        <v>4</v>
      </c>
      <c r="D5" s="18" t="s">
        <v>322</v>
      </c>
      <c r="E5" s="18" t="s">
        <v>321</v>
      </c>
      <c r="F5" s="18" t="s">
        <v>324</v>
      </c>
      <c r="G5" s="18" t="s">
        <v>323</v>
      </c>
      <c r="H5" s="18" t="s">
        <v>1436</v>
      </c>
    </row>
    <row r="6" spans="1:8">
      <c r="A6" s="1">
        <v>1</v>
      </c>
      <c r="B6" t="s">
        <v>3065</v>
      </c>
      <c r="C6">
        <v>92.22</v>
      </c>
      <c r="D6">
        <v>15.92</v>
      </c>
      <c r="E6">
        <v>0.98828199999999999</v>
      </c>
      <c r="F6">
        <v>82.18</v>
      </c>
      <c r="G6">
        <v>0</v>
      </c>
      <c r="H6">
        <v>19.37</v>
      </c>
    </row>
    <row r="7" spans="1:8">
      <c r="A7" s="1">
        <v>2</v>
      </c>
      <c r="B7" t="s">
        <v>3066</v>
      </c>
      <c r="C7">
        <v>109.44</v>
      </c>
      <c r="D7">
        <v>16.05</v>
      </c>
      <c r="E7">
        <v>0.94016299999999997</v>
      </c>
      <c r="F7">
        <v>81.83</v>
      </c>
      <c r="G7">
        <v>0</v>
      </c>
      <c r="H7">
        <v>27.81</v>
      </c>
    </row>
    <row r="8" spans="1:8">
      <c r="A8" s="1">
        <v>3</v>
      </c>
      <c r="B8" t="s">
        <v>3067</v>
      </c>
      <c r="C8">
        <v>137.30000000000001</v>
      </c>
      <c r="D8">
        <v>16.25</v>
      </c>
      <c r="E8">
        <v>0.94379999999999997</v>
      </c>
      <c r="F8">
        <v>103.8</v>
      </c>
      <c r="G8">
        <v>0</v>
      </c>
      <c r="H8">
        <v>29.33</v>
      </c>
    </row>
    <row r="9" spans="1:8">
      <c r="A9" s="1">
        <v>4</v>
      </c>
      <c r="B9" t="s">
        <v>3068</v>
      </c>
      <c r="C9">
        <v>155.19</v>
      </c>
      <c r="D9">
        <v>16.38</v>
      </c>
      <c r="E9">
        <v>0.99457399999999996</v>
      </c>
      <c r="F9">
        <v>143.72999999999999</v>
      </c>
      <c r="G9">
        <v>0</v>
      </c>
      <c r="H9">
        <v>33.369999999999997</v>
      </c>
    </row>
    <row r="10" spans="1:8">
      <c r="A10" s="1">
        <v>5</v>
      </c>
      <c r="B10" t="s">
        <v>3069</v>
      </c>
      <c r="C10">
        <v>108.73</v>
      </c>
      <c r="D10">
        <v>16.07</v>
      </c>
      <c r="E10">
        <v>0.99608600000000003</v>
      </c>
      <c r="F10">
        <v>101.91</v>
      </c>
      <c r="G10">
        <v>2</v>
      </c>
      <c r="H10">
        <v>22.7</v>
      </c>
    </row>
    <row r="11" spans="1:8">
      <c r="A11" s="1">
        <v>6</v>
      </c>
      <c r="B11" t="s">
        <v>3070</v>
      </c>
      <c r="C11">
        <v>139.99</v>
      </c>
      <c r="D11">
        <v>16.28</v>
      </c>
      <c r="E11">
        <v>0.97131299999999998</v>
      </c>
      <c r="F11">
        <v>115.93</v>
      </c>
      <c r="G11">
        <v>2</v>
      </c>
      <c r="H11">
        <v>36.57</v>
      </c>
    </row>
    <row r="12" spans="1:8">
      <c r="A12" s="1">
        <v>7</v>
      </c>
      <c r="B12" t="s">
        <v>3071</v>
      </c>
      <c r="C12">
        <v>121.67</v>
      </c>
      <c r="D12">
        <v>16.12</v>
      </c>
      <c r="E12">
        <v>0.90011399999999997</v>
      </c>
      <c r="F12">
        <v>81.14</v>
      </c>
      <c r="G12">
        <v>0</v>
      </c>
      <c r="H12">
        <v>26.52</v>
      </c>
    </row>
    <row r="13" spans="1:8">
      <c r="A13" s="1">
        <v>8</v>
      </c>
      <c r="B13" t="s">
        <v>3072</v>
      </c>
      <c r="C13">
        <v>124.8</v>
      </c>
      <c r="D13">
        <v>16.190000000000001</v>
      </c>
      <c r="E13">
        <v>0.99999199999999999</v>
      </c>
      <c r="F13">
        <v>124.45</v>
      </c>
      <c r="G13">
        <v>2</v>
      </c>
      <c r="H13">
        <v>31</v>
      </c>
    </row>
    <row r="14" spans="1:8">
      <c r="A14" s="1">
        <v>9</v>
      </c>
      <c r="B14" t="s">
        <v>3073</v>
      </c>
      <c r="C14">
        <v>102.7</v>
      </c>
      <c r="D14">
        <v>16.02</v>
      </c>
      <c r="E14">
        <v>0.99977099999999997</v>
      </c>
      <c r="F14">
        <v>101.15</v>
      </c>
      <c r="G14">
        <v>0</v>
      </c>
      <c r="H14">
        <v>22.8</v>
      </c>
    </row>
    <row r="15" spans="1:8">
      <c r="A15" s="1">
        <v>10</v>
      </c>
      <c r="B15" t="s">
        <v>3074</v>
      </c>
      <c r="C15">
        <v>96.42</v>
      </c>
      <c r="D15">
        <v>15.97</v>
      </c>
      <c r="E15">
        <v>0.99756699999999998</v>
      </c>
      <c r="F15">
        <v>91.66</v>
      </c>
      <c r="G15">
        <v>2</v>
      </c>
      <c r="H15">
        <v>19.39</v>
      </c>
    </row>
    <row r="16" spans="1:8">
      <c r="A16" s="1">
        <v>11</v>
      </c>
      <c r="B16" t="s">
        <v>3075</v>
      </c>
      <c r="C16">
        <v>103.49</v>
      </c>
      <c r="D16">
        <v>16.02</v>
      </c>
      <c r="E16">
        <v>0.98759799999999998</v>
      </c>
      <c r="F16">
        <v>91.89</v>
      </c>
      <c r="G16">
        <v>0</v>
      </c>
      <c r="H16">
        <v>22.69</v>
      </c>
    </row>
    <row r="17" spans="1:8">
      <c r="A17" s="1">
        <v>12</v>
      </c>
      <c r="B17" t="s">
        <v>3076</v>
      </c>
      <c r="C17">
        <v>107.81</v>
      </c>
      <c r="D17">
        <v>16.04</v>
      </c>
      <c r="E17">
        <v>0.94800499999999999</v>
      </c>
      <c r="F17">
        <v>82.56</v>
      </c>
      <c r="G17">
        <v>0</v>
      </c>
      <c r="H17">
        <v>22.43</v>
      </c>
    </row>
    <row r="18" spans="1:8">
      <c r="A18" s="1">
        <v>13</v>
      </c>
      <c r="B18" t="s">
        <v>3077</v>
      </c>
      <c r="C18">
        <v>149.34</v>
      </c>
      <c r="D18">
        <v>16.3</v>
      </c>
      <c r="E18">
        <v>0.90825800000000001</v>
      </c>
      <c r="F18">
        <v>101.88</v>
      </c>
      <c r="G18">
        <v>2</v>
      </c>
      <c r="H18">
        <v>31.55</v>
      </c>
    </row>
    <row r="19" spans="1:8">
      <c r="A19" s="1">
        <v>14</v>
      </c>
      <c r="B19" t="s">
        <v>3078</v>
      </c>
      <c r="C19">
        <v>151.55000000000001</v>
      </c>
      <c r="D19">
        <v>16.350000000000001</v>
      </c>
      <c r="E19">
        <v>0.985572</v>
      </c>
      <c r="F19">
        <v>133.21</v>
      </c>
      <c r="G19">
        <v>2</v>
      </c>
      <c r="H19">
        <v>40.98</v>
      </c>
    </row>
    <row r="20" spans="1:8">
      <c r="A20" s="1">
        <v>15</v>
      </c>
      <c r="B20" t="s">
        <v>3079</v>
      </c>
      <c r="C20">
        <v>116.22</v>
      </c>
      <c r="D20">
        <v>16.09</v>
      </c>
      <c r="E20">
        <v>0.91982900000000001</v>
      </c>
      <c r="F20">
        <v>81.91</v>
      </c>
      <c r="G20">
        <v>2</v>
      </c>
      <c r="H20">
        <v>32.869999999999997</v>
      </c>
    </row>
    <row r="21" spans="1:8">
      <c r="A21" s="1">
        <v>16</v>
      </c>
      <c r="B21" t="s">
        <v>3080</v>
      </c>
      <c r="C21">
        <v>115.56</v>
      </c>
      <c r="D21">
        <v>16.12</v>
      </c>
      <c r="E21">
        <v>0.99108099999999999</v>
      </c>
      <c r="F21">
        <v>104.6</v>
      </c>
      <c r="G21">
        <v>2</v>
      </c>
      <c r="H21">
        <v>30.76</v>
      </c>
    </row>
    <row r="22" spans="1:8">
      <c r="A22" s="1">
        <v>17</v>
      </c>
      <c r="B22" t="s">
        <v>3081</v>
      </c>
      <c r="C22">
        <v>93.68</v>
      </c>
      <c r="D22">
        <v>15.94</v>
      </c>
      <c r="E22">
        <v>0.98620699999999994</v>
      </c>
      <c r="F22">
        <v>82.6</v>
      </c>
      <c r="G22">
        <v>2</v>
      </c>
      <c r="H22">
        <v>22.81</v>
      </c>
    </row>
    <row r="23" spans="1:8">
      <c r="A23" s="1">
        <v>18</v>
      </c>
      <c r="B23" t="s">
        <v>3082</v>
      </c>
      <c r="C23">
        <v>102.39</v>
      </c>
      <c r="D23">
        <v>16.02</v>
      </c>
      <c r="E23">
        <v>0.99985100000000005</v>
      </c>
      <c r="F23">
        <v>101.15</v>
      </c>
      <c r="G23">
        <v>2</v>
      </c>
      <c r="H23">
        <v>22.73</v>
      </c>
    </row>
    <row r="24" spans="1:8">
      <c r="A24" s="1">
        <v>19</v>
      </c>
      <c r="B24" t="s">
        <v>3083</v>
      </c>
      <c r="C24">
        <v>118.41</v>
      </c>
      <c r="D24">
        <v>16.14</v>
      </c>
      <c r="E24">
        <v>0.97836800000000002</v>
      </c>
      <c r="F24">
        <v>100.8</v>
      </c>
      <c r="G24">
        <v>0</v>
      </c>
      <c r="H24">
        <v>34.1</v>
      </c>
    </row>
    <row r="25" spans="1:8">
      <c r="A25" s="1">
        <v>20</v>
      </c>
      <c r="B25" t="s">
        <v>3084</v>
      </c>
      <c r="C25">
        <v>124.26</v>
      </c>
      <c r="D25">
        <v>16.18</v>
      </c>
      <c r="E25">
        <v>0.97152499999999997</v>
      </c>
      <c r="F25">
        <v>102.99</v>
      </c>
      <c r="G25">
        <v>0</v>
      </c>
      <c r="H25">
        <v>26.95</v>
      </c>
    </row>
    <row r="26" spans="1:8">
      <c r="A26" s="1">
        <v>21</v>
      </c>
      <c r="B26" t="s">
        <v>3085</v>
      </c>
      <c r="C26">
        <v>156.88</v>
      </c>
      <c r="D26">
        <v>16.39</v>
      </c>
      <c r="E26">
        <v>0.99785299999999999</v>
      </c>
      <c r="F26">
        <v>149.61000000000001</v>
      </c>
      <c r="G26">
        <v>0</v>
      </c>
      <c r="H26">
        <v>46.89</v>
      </c>
    </row>
    <row r="27" spans="1:8">
      <c r="A27" s="1">
        <v>22</v>
      </c>
      <c r="B27" t="s">
        <v>3086</v>
      </c>
      <c r="C27">
        <v>96.86</v>
      </c>
      <c r="D27">
        <v>15.97</v>
      </c>
      <c r="E27">
        <v>0.99724800000000002</v>
      </c>
      <c r="F27">
        <v>91.78</v>
      </c>
      <c r="G27">
        <v>0</v>
      </c>
      <c r="H27">
        <v>19.34</v>
      </c>
    </row>
    <row r="28" spans="1:8">
      <c r="A28" s="1">
        <v>23</v>
      </c>
      <c r="B28" t="s">
        <v>3087</v>
      </c>
      <c r="C28">
        <v>136.03</v>
      </c>
      <c r="D28">
        <v>16.260000000000002</v>
      </c>
      <c r="E28">
        <v>0.99173</v>
      </c>
      <c r="F28">
        <v>123.61</v>
      </c>
      <c r="G28">
        <v>0</v>
      </c>
      <c r="H28">
        <v>36.159999999999997</v>
      </c>
    </row>
    <row r="29" spans="1:8">
      <c r="A29" s="1">
        <v>24</v>
      </c>
      <c r="B29" t="s">
        <v>3088</v>
      </c>
      <c r="C29">
        <v>123.55</v>
      </c>
      <c r="D29">
        <v>16.13</v>
      </c>
      <c r="E29">
        <v>0.89848600000000001</v>
      </c>
      <c r="F29">
        <v>82.02</v>
      </c>
      <c r="G29">
        <v>0</v>
      </c>
      <c r="H29">
        <v>26.14</v>
      </c>
    </row>
    <row r="30" spans="1:8">
      <c r="A30" s="1">
        <v>25</v>
      </c>
      <c r="B30" t="s">
        <v>3089</v>
      </c>
      <c r="C30">
        <v>132.16999999999999</v>
      </c>
      <c r="D30">
        <v>16.22</v>
      </c>
      <c r="E30">
        <v>0.955592</v>
      </c>
      <c r="F30">
        <v>103.68</v>
      </c>
      <c r="G30">
        <v>0</v>
      </c>
      <c r="H30">
        <v>29.83</v>
      </c>
    </row>
    <row r="31" spans="1:8">
      <c r="A31" s="1">
        <v>26</v>
      </c>
      <c r="B31" t="s">
        <v>3090</v>
      </c>
      <c r="C31">
        <v>133.56</v>
      </c>
      <c r="D31">
        <v>16.25</v>
      </c>
      <c r="E31">
        <v>0.99986799999999998</v>
      </c>
      <c r="F31">
        <v>132.02000000000001</v>
      </c>
      <c r="G31">
        <v>2</v>
      </c>
      <c r="H31">
        <v>37.18</v>
      </c>
    </row>
    <row r="32" spans="1:8">
      <c r="A32" s="1">
        <v>27</v>
      </c>
      <c r="B32" t="s">
        <v>3091</v>
      </c>
      <c r="C32">
        <v>126.78</v>
      </c>
      <c r="D32">
        <v>16.2</v>
      </c>
      <c r="E32">
        <v>0.99221199999999998</v>
      </c>
      <c r="F32">
        <v>115.55</v>
      </c>
      <c r="G32">
        <v>2</v>
      </c>
      <c r="H32">
        <v>36.14</v>
      </c>
    </row>
    <row r="33" spans="1:8">
      <c r="A33" s="1">
        <v>28</v>
      </c>
      <c r="B33" t="s">
        <v>3092</v>
      </c>
      <c r="C33">
        <v>130.75</v>
      </c>
      <c r="D33">
        <v>16.190000000000001</v>
      </c>
      <c r="E33">
        <v>0.91616699999999995</v>
      </c>
      <c r="F33">
        <v>91.2</v>
      </c>
      <c r="G33">
        <v>0</v>
      </c>
      <c r="H33">
        <v>32.17</v>
      </c>
    </row>
    <row r="34" spans="1:8">
      <c r="A34" s="1">
        <v>29</v>
      </c>
      <c r="B34" t="s">
        <v>3093</v>
      </c>
      <c r="C34">
        <v>126.72</v>
      </c>
      <c r="D34">
        <v>16.190000000000001</v>
      </c>
      <c r="E34">
        <v>0.97142300000000004</v>
      </c>
      <c r="F34">
        <v>104.99</v>
      </c>
      <c r="G34">
        <v>0</v>
      </c>
      <c r="H34">
        <v>36.15</v>
      </c>
    </row>
    <row r="35" spans="1:8">
      <c r="A35" s="1">
        <v>30</v>
      </c>
      <c r="B35" t="s">
        <v>3094</v>
      </c>
      <c r="C35">
        <v>150.62</v>
      </c>
      <c r="D35">
        <v>16.309999999999999</v>
      </c>
      <c r="E35">
        <v>0.90907800000000005</v>
      </c>
      <c r="F35">
        <v>102.99</v>
      </c>
      <c r="G35">
        <v>2</v>
      </c>
      <c r="H35">
        <v>30.55</v>
      </c>
    </row>
    <row r="36" spans="1:8">
      <c r="A36" s="1">
        <v>31</v>
      </c>
      <c r="B36" t="s">
        <v>3095</v>
      </c>
      <c r="C36">
        <v>140.18</v>
      </c>
      <c r="D36">
        <v>16.28</v>
      </c>
      <c r="E36">
        <v>0.96931599999999996</v>
      </c>
      <c r="F36">
        <v>115.24</v>
      </c>
      <c r="G36">
        <v>0</v>
      </c>
      <c r="H36">
        <v>35.11</v>
      </c>
    </row>
    <row r="37" spans="1:8">
      <c r="A37" s="1">
        <v>32</v>
      </c>
      <c r="B37" t="s">
        <v>3096</v>
      </c>
      <c r="C37">
        <v>114.85</v>
      </c>
      <c r="D37">
        <v>16.11</v>
      </c>
      <c r="E37">
        <v>0.98671900000000001</v>
      </c>
      <c r="F37">
        <v>101.53</v>
      </c>
      <c r="G37">
        <v>2</v>
      </c>
      <c r="H37">
        <v>22.58</v>
      </c>
    </row>
    <row r="38" spans="1:8">
      <c r="A38" s="1">
        <v>33</v>
      </c>
      <c r="B38" t="s">
        <v>3097</v>
      </c>
      <c r="C38">
        <v>166.83</v>
      </c>
      <c r="D38">
        <v>16.440000000000001</v>
      </c>
      <c r="E38">
        <v>0.99984300000000004</v>
      </c>
      <c r="F38">
        <v>164.74</v>
      </c>
      <c r="G38">
        <v>0</v>
      </c>
      <c r="H38">
        <v>39.909999999999997</v>
      </c>
    </row>
    <row r="39" spans="1:8">
      <c r="A39" s="1">
        <v>34</v>
      </c>
      <c r="B39" t="s">
        <v>3098</v>
      </c>
      <c r="C39">
        <v>92.22</v>
      </c>
      <c r="D39">
        <v>15.92</v>
      </c>
      <c r="E39">
        <v>0.98828199999999999</v>
      </c>
      <c r="F39">
        <v>82.18</v>
      </c>
      <c r="G39">
        <v>0</v>
      </c>
      <c r="H39">
        <v>19.37</v>
      </c>
    </row>
    <row r="40" spans="1:8">
      <c r="A40" s="1">
        <v>35</v>
      </c>
      <c r="B40" t="s">
        <v>3099</v>
      </c>
      <c r="C40">
        <v>137.30000000000001</v>
      </c>
      <c r="D40">
        <v>16.25</v>
      </c>
      <c r="E40">
        <v>0.94379999999999997</v>
      </c>
      <c r="F40">
        <v>103.8</v>
      </c>
      <c r="G40">
        <v>0</v>
      </c>
      <c r="H40">
        <v>29.33</v>
      </c>
    </row>
    <row r="41" spans="1:8">
      <c r="A41" s="1">
        <v>36</v>
      </c>
      <c r="B41" t="s">
        <v>3100</v>
      </c>
      <c r="C41">
        <v>147.99</v>
      </c>
      <c r="D41">
        <v>16.34</v>
      </c>
      <c r="E41">
        <v>0.99998100000000001</v>
      </c>
      <c r="F41">
        <v>147.34</v>
      </c>
      <c r="G41">
        <v>2</v>
      </c>
      <c r="H41">
        <v>46.04</v>
      </c>
    </row>
    <row r="42" spans="1:8">
      <c r="A42" s="1">
        <v>37</v>
      </c>
      <c r="B42" t="s">
        <v>3101</v>
      </c>
      <c r="C42">
        <v>135.78</v>
      </c>
      <c r="D42">
        <v>16.239999999999998</v>
      </c>
      <c r="E42">
        <v>0.95130599999999998</v>
      </c>
      <c r="F42">
        <v>105.06</v>
      </c>
      <c r="G42">
        <v>0</v>
      </c>
      <c r="H42">
        <v>29.2</v>
      </c>
    </row>
    <row r="43" spans="1:8">
      <c r="A43" s="1">
        <v>38</v>
      </c>
      <c r="B43" t="s">
        <v>3102</v>
      </c>
      <c r="C43">
        <v>115.18</v>
      </c>
      <c r="D43">
        <v>16.12</v>
      </c>
      <c r="E43">
        <v>0.99095900000000003</v>
      </c>
      <c r="F43">
        <v>104.18</v>
      </c>
      <c r="G43">
        <v>0</v>
      </c>
      <c r="H43">
        <v>30.93</v>
      </c>
    </row>
    <row r="44" spans="1:8">
      <c r="A44" s="1">
        <v>39</v>
      </c>
      <c r="B44" t="s">
        <v>3103</v>
      </c>
      <c r="C44">
        <v>159.26</v>
      </c>
      <c r="D44">
        <v>16.399999999999999</v>
      </c>
      <c r="E44">
        <v>0.99775999999999998</v>
      </c>
      <c r="F44">
        <v>151.72</v>
      </c>
      <c r="G44">
        <v>2</v>
      </c>
      <c r="H44">
        <v>39.380000000000003</v>
      </c>
    </row>
    <row r="45" spans="1:8">
      <c r="A45" s="1">
        <v>40</v>
      </c>
      <c r="B45" t="s">
        <v>3104</v>
      </c>
      <c r="C45">
        <v>161.34</v>
      </c>
      <c r="D45">
        <v>16.39</v>
      </c>
      <c r="E45">
        <v>0.95237899999999998</v>
      </c>
      <c r="F45">
        <v>125.26</v>
      </c>
      <c r="G45">
        <v>0</v>
      </c>
      <c r="H45">
        <v>39.5</v>
      </c>
    </row>
    <row r="46" spans="1:8">
      <c r="A46" s="1">
        <v>41</v>
      </c>
      <c r="B46" t="s">
        <v>3105</v>
      </c>
      <c r="C46">
        <v>122.11</v>
      </c>
      <c r="D46">
        <v>16.12</v>
      </c>
      <c r="E46">
        <v>0.90084799999999998</v>
      </c>
      <c r="F46">
        <v>81.599999999999994</v>
      </c>
      <c r="G46">
        <v>0</v>
      </c>
      <c r="H46">
        <v>33.1</v>
      </c>
    </row>
    <row r="47" spans="1:8">
      <c r="A47" s="1">
        <v>42</v>
      </c>
      <c r="B47" t="s">
        <v>3106</v>
      </c>
      <c r="C47">
        <v>102.82</v>
      </c>
      <c r="D47">
        <v>16.010000000000002</v>
      </c>
      <c r="E47">
        <v>0.95887500000000003</v>
      </c>
      <c r="F47">
        <v>81.52</v>
      </c>
      <c r="G47">
        <v>0</v>
      </c>
      <c r="H47">
        <v>27.32</v>
      </c>
    </row>
    <row r="48" spans="1:8">
      <c r="A48" s="1">
        <v>43</v>
      </c>
      <c r="B48" t="s">
        <v>3107</v>
      </c>
      <c r="C48">
        <v>119.85</v>
      </c>
      <c r="D48">
        <v>16.11</v>
      </c>
      <c r="E48">
        <v>0.90740200000000004</v>
      </c>
      <c r="F48">
        <v>81.56</v>
      </c>
      <c r="G48">
        <v>2</v>
      </c>
      <c r="H48">
        <v>26.55</v>
      </c>
    </row>
    <row r="49" spans="1:8">
      <c r="A49" s="1">
        <v>44</v>
      </c>
      <c r="B49" t="s">
        <v>3108</v>
      </c>
      <c r="C49">
        <v>125.93</v>
      </c>
      <c r="D49">
        <v>16.14</v>
      </c>
      <c r="E49">
        <v>0.89278199999999996</v>
      </c>
      <c r="F49">
        <v>82.29</v>
      </c>
      <c r="G49">
        <v>0</v>
      </c>
      <c r="H49">
        <v>32.229999999999997</v>
      </c>
    </row>
    <row r="50" spans="1:8">
      <c r="A50" s="1">
        <v>45</v>
      </c>
      <c r="B50" t="s">
        <v>3109</v>
      </c>
      <c r="C50">
        <v>157.56</v>
      </c>
      <c r="D50">
        <v>16.39</v>
      </c>
      <c r="E50">
        <v>0.99656199999999995</v>
      </c>
      <c r="F50">
        <v>148.30000000000001</v>
      </c>
      <c r="G50">
        <v>0</v>
      </c>
      <c r="H50">
        <v>38.97</v>
      </c>
    </row>
    <row r="51" spans="1:8">
      <c r="A51" s="1">
        <v>46</v>
      </c>
      <c r="B51" t="s">
        <v>3110</v>
      </c>
      <c r="C51">
        <v>157.41999999999999</v>
      </c>
      <c r="D51">
        <v>16.36</v>
      </c>
      <c r="E51">
        <v>0.92698899999999995</v>
      </c>
      <c r="F51">
        <v>113.24</v>
      </c>
      <c r="G51">
        <v>0</v>
      </c>
      <c r="H51">
        <v>38.729999999999997</v>
      </c>
    </row>
    <row r="52" spans="1:8">
      <c r="A52" s="1">
        <v>47</v>
      </c>
      <c r="B52" t="s">
        <v>3111</v>
      </c>
      <c r="C52">
        <v>102.82</v>
      </c>
      <c r="D52">
        <v>16.010000000000002</v>
      </c>
      <c r="E52">
        <v>0.95887500000000003</v>
      </c>
      <c r="F52">
        <v>81.52</v>
      </c>
      <c r="G52">
        <v>0</v>
      </c>
      <c r="H52">
        <v>27.32</v>
      </c>
    </row>
    <row r="53" spans="1:8">
      <c r="A53" s="1">
        <v>48</v>
      </c>
      <c r="B53" t="s">
        <v>3112</v>
      </c>
      <c r="C53">
        <v>124.3</v>
      </c>
      <c r="D53">
        <v>16.190000000000001</v>
      </c>
      <c r="E53">
        <v>0.99999000000000005</v>
      </c>
      <c r="F53">
        <v>123.92</v>
      </c>
      <c r="G53">
        <v>0</v>
      </c>
      <c r="H53">
        <v>26.53</v>
      </c>
    </row>
    <row r="54" spans="1:8">
      <c r="A54" s="1">
        <v>49</v>
      </c>
      <c r="B54" t="s">
        <v>3113</v>
      </c>
      <c r="C54">
        <v>177.33</v>
      </c>
      <c r="D54">
        <v>16.5</v>
      </c>
      <c r="E54">
        <v>0.99950300000000003</v>
      </c>
      <c r="F54">
        <v>173.38</v>
      </c>
      <c r="G54">
        <v>0</v>
      </c>
      <c r="H54">
        <v>46.57</v>
      </c>
    </row>
    <row r="55" spans="1:8">
      <c r="A55" s="1">
        <v>50</v>
      </c>
      <c r="B55" t="s">
        <v>3114</v>
      </c>
      <c r="C55">
        <v>154.71</v>
      </c>
      <c r="D55">
        <v>16.38</v>
      </c>
      <c r="E55">
        <v>0.99519299999999999</v>
      </c>
      <c r="F55">
        <v>143.96</v>
      </c>
      <c r="G55">
        <v>2</v>
      </c>
      <c r="H55">
        <v>34.119999999999997</v>
      </c>
    </row>
    <row r="56" spans="1:8">
      <c r="B56" s="1" t="s">
        <v>19</v>
      </c>
      <c r="C56" s="1">
        <f>AVERAGE(C6:C55)</f>
        <v>128.01740000000004</v>
      </c>
      <c r="D56" s="1" t="e">
        <f>AVERAGE(#REF!)</f>
        <v>#REF!</v>
      </c>
      <c r="E56" s="1" t="e">
        <f>AVERAGE(#REF!)</f>
        <v>#REF!</v>
      </c>
      <c r="F56" s="1" t="e">
        <f>AVERAGE(#REF!)</f>
        <v>#REF!</v>
      </c>
      <c r="H56" s="1" t="e">
        <f>AVERAGE(#REF!)</f>
        <v>#REF!</v>
      </c>
    </row>
    <row r="57" spans="1:8">
      <c r="B57" s="1" t="s">
        <v>20</v>
      </c>
      <c r="C57" s="1">
        <f>MIN(C5:C55)</f>
        <v>92.22</v>
      </c>
      <c r="D57" s="1">
        <f>MIN(D5:D55)</f>
        <v>15.92</v>
      </c>
      <c r="E57" s="1">
        <f>MIN(E5:E55)</f>
        <v>0.89278199999999996</v>
      </c>
      <c r="F57" s="1">
        <f>MIN(F5:F55)</f>
        <v>81.14</v>
      </c>
      <c r="H57" s="1">
        <f>MIN(H5:H55)</f>
        <v>19.34</v>
      </c>
    </row>
    <row r="58" spans="1:8">
      <c r="B58" s="1" t="s">
        <v>3</v>
      </c>
      <c r="C58" s="1" t="e">
        <f>STDEV(#REF!)</f>
        <v>#REF!</v>
      </c>
      <c r="D58" s="1" t="e">
        <f>STDEV(#REF!)</f>
        <v>#REF!</v>
      </c>
      <c r="E58" s="1" t="e">
        <f>STDEV(#REF!)</f>
        <v>#REF!</v>
      </c>
      <c r="F58" s="1" t="e">
        <f>STDEV(#REF!)</f>
        <v>#REF!</v>
      </c>
      <c r="H58" s="1" t="e">
        <f>STDEV(#REF!)</f>
        <v>#REF!</v>
      </c>
    </row>
    <row r="60" spans="1:8">
      <c r="H60" s="18" t="s">
        <v>1435</v>
      </c>
    </row>
    <row r="61" spans="1:8" ht="18">
      <c r="A61" s="18" t="s">
        <v>7</v>
      </c>
      <c r="B61" s="3" t="s">
        <v>8</v>
      </c>
      <c r="C61" s="18" t="s">
        <v>4</v>
      </c>
      <c r="D61" s="18" t="s">
        <v>322</v>
      </c>
      <c r="E61" s="18" t="s">
        <v>321</v>
      </c>
      <c r="F61" s="18" t="s">
        <v>324</v>
      </c>
      <c r="G61" s="18" t="s">
        <v>323</v>
      </c>
      <c r="H61" s="18" t="s">
        <v>1436</v>
      </c>
    </row>
    <row r="62" spans="1:8">
      <c r="A62" s="1">
        <v>1</v>
      </c>
      <c r="B62" t="s">
        <v>3215</v>
      </c>
      <c r="C62">
        <v>122.07</v>
      </c>
      <c r="D62">
        <v>40.39</v>
      </c>
      <c r="E62">
        <v>0.96041100000000001</v>
      </c>
      <c r="F62">
        <v>92.51</v>
      </c>
      <c r="G62">
        <v>0</v>
      </c>
      <c r="H62">
        <v>28.81</v>
      </c>
    </row>
    <row r="63" spans="1:8">
      <c r="A63" s="1">
        <v>2</v>
      </c>
      <c r="B63" t="s">
        <v>3216</v>
      </c>
      <c r="C63">
        <v>113.36</v>
      </c>
      <c r="D63">
        <v>40.21</v>
      </c>
      <c r="E63">
        <v>0.94423199999999996</v>
      </c>
      <c r="F63">
        <v>82.87</v>
      </c>
      <c r="G63">
        <v>2</v>
      </c>
      <c r="H63">
        <v>23.59</v>
      </c>
    </row>
    <row r="64" spans="1:8">
      <c r="A64" s="1">
        <v>3</v>
      </c>
      <c r="B64" t="s">
        <v>3217</v>
      </c>
      <c r="C64">
        <v>161.96</v>
      </c>
      <c r="D64">
        <v>41.01</v>
      </c>
      <c r="E64">
        <v>0.96966600000000003</v>
      </c>
      <c r="F64">
        <v>124.99</v>
      </c>
      <c r="G64">
        <v>2</v>
      </c>
      <c r="H64">
        <v>40.19</v>
      </c>
    </row>
    <row r="65" spans="1:8">
      <c r="A65" s="1">
        <v>4</v>
      </c>
      <c r="B65" t="s">
        <v>3218</v>
      </c>
      <c r="C65">
        <v>126.38</v>
      </c>
      <c r="D65">
        <v>40.5</v>
      </c>
      <c r="E65">
        <v>0.98995599999999995</v>
      </c>
      <c r="F65">
        <v>101.88</v>
      </c>
      <c r="G65">
        <v>8</v>
      </c>
      <c r="H65">
        <v>26.78</v>
      </c>
    </row>
    <row r="66" spans="1:8">
      <c r="A66" s="1">
        <v>5</v>
      </c>
      <c r="B66" t="s">
        <v>3219</v>
      </c>
      <c r="C66">
        <v>109.47</v>
      </c>
      <c r="D66">
        <v>40.17</v>
      </c>
      <c r="E66">
        <v>0.97370400000000001</v>
      </c>
      <c r="F66">
        <v>92.39</v>
      </c>
      <c r="G66">
        <v>2</v>
      </c>
      <c r="H66">
        <v>25.13</v>
      </c>
    </row>
    <row r="67" spans="1:8">
      <c r="A67" s="1">
        <v>6</v>
      </c>
      <c r="B67" t="s">
        <v>3220</v>
      </c>
      <c r="C67">
        <v>133.07</v>
      </c>
      <c r="D67">
        <v>40.53</v>
      </c>
      <c r="E67">
        <v>0.92139700000000002</v>
      </c>
      <c r="F67">
        <v>82.94</v>
      </c>
      <c r="G67">
        <v>8</v>
      </c>
      <c r="H67">
        <v>31.94</v>
      </c>
    </row>
    <row r="68" spans="1:8">
      <c r="A68" s="1">
        <v>7</v>
      </c>
      <c r="B68" t="s">
        <v>3221</v>
      </c>
      <c r="C68">
        <v>106.31</v>
      </c>
      <c r="D68">
        <v>40.06</v>
      </c>
      <c r="E68">
        <v>0.93042999999999998</v>
      </c>
      <c r="F68">
        <v>81.98</v>
      </c>
      <c r="G68">
        <v>2</v>
      </c>
      <c r="H68">
        <v>22.3</v>
      </c>
    </row>
    <row r="69" spans="1:8">
      <c r="A69" s="1">
        <v>8</v>
      </c>
      <c r="B69" t="s">
        <v>3222</v>
      </c>
      <c r="C69">
        <v>141.19999999999999</v>
      </c>
      <c r="D69">
        <v>40.64</v>
      </c>
      <c r="E69">
        <v>0.92112799999999995</v>
      </c>
      <c r="F69">
        <v>82.52</v>
      </c>
      <c r="G69">
        <v>8</v>
      </c>
      <c r="H69">
        <v>31.77</v>
      </c>
    </row>
    <row r="70" spans="1:8">
      <c r="A70" s="1">
        <v>9</v>
      </c>
      <c r="B70" t="s">
        <v>3223</v>
      </c>
      <c r="C70">
        <v>111.09</v>
      </c>
      <c r="D70">
        <v>40.14</v>
      </c>
      <c r="E70">
        <v>0.914821</v>
      </c>
      <c r="F70">
        <v>81.83</v>
      </c>
      <c r="G70">
        <v>4</v>
      </c>
      <c r="H70">
        <v>23.48</v>
      </c>
    </row>
    <row r="71" spans="1:8">
      <c r="A71" s="1">
        <v>10</v>
      </c>
      <c r="B71" t="s">
        <v>3224</v>
      </c>
      <c r="C71">
        <v>117.73</v>
      </c>
      <c r="D71">
        <v>40.29</v>
      </c>
      <c r="E71">
        <v>0.93886499999999995</v>
      </c>
      <c r="F71">
        <v>91.62</v>
      </c>
      <c r="G71">
        <v>0</v>
      </c>
      <c r="H71">
        <v>23.18</v>
      </c>
    </row>
    <row r="72" spans="1:8">
      <c r="A72" s="1">
        <v>11</v>
      </c>
      <c r="B72" t="s">
        <v>3225</v>
      </c>
      <c r="C72">
        <v>119.49</v>
      </c>
      <c r="D72">
        <v>40.340000000000003</v>
      </c>
      <c r="E72">
        <v>0.95846100000000001</v>
      </c>
      <c r="F72">
        <v>92.16</v>
      </c>
      <c r="G72">
        <v>6</v>
      </c>
      <c r="H72">
        <v>26.56</v>
      </c>
    </row>
    <row r="73" spans="1:8">
      <c r="A73" s="1">
        <v>12</v>
      </c>
      <c r="B73" t="s">
        <v>3226</v>
      </c>
      <c r="C73">
        <v>128.16</v>
      </c>
      <c r="D73">
        <v>40.47</v>
      </c>
      <c r="E73">
        <v>0.94276899999999997</v>
      </c>
      <c r="F73">
        <v>91.28</v>
      </c>
      <c r="G73">
        <v>4</v>
      </c>
      <c r="H73">
        <v>28.83</v>
      </c>
    </row>
    <row r="74" spans="1:8">
      <c r="A74" s="1">
        <v>13</v>
      </c>
      <c r="B74" t="s">
        <v>3227</v>
      </c>
      <c r="C74">
        <v>119.99</v>
      </c>
      <c r="D74">
        <v>40.340000000000003</v>
      </c>
      <c r="E74">
        <v>0.952399</v>
      </c>
      <c r="F74">
        <v>82.6</v>
      </c>
      <c r="G74">
        <v>4</v>
      </c>
      <c r="H74">
        <v>28.51</v>
      </c>
    </row>
    <row r="75" spans="1:8">
      <c r="A75" s="1">
        <v>14</v>
      </c>
      <c r="B75" t="s">
        <v>3228</v>
      </c>
      <c r="C75">
        <v>114.76</v>
      </c>
      <c r="D75">
        <v>40.270000000000003</v>
      </c>
      <c r="E75">
        <v>0.97487400000000002</v>
      </c>
      <c r="F75">
        <v>91.51</v>
      </c>
      <c r="G75">
        <v>8</v>
      </c>
      <c r="H75">
        <v>27.32</v>
      </c>
    </row>
    <row r="76" spans="1:8">
      <c r="A76" s="1">
        <v>15</v>
      </c>
      <c r="B76" t="s">
        <v>3229</v>
      </c>
      <c r="C76">
        <v>96.28</v>
      </c>
      <c r="D76">
        <v>39.909999999999997</v>
      </c>
      <c r="E76">
        <v>0.99593299999999996</v>
      </c>
      <c r="F76">
        <v>91.12</v>
      </c>
      <c r="G76">
        <v>2</v>
      </c>
      <c r="H76">
        <v>20.74</v>
      </c>
    </row>
    <row r="77" spans="1:8">
      <c r="A77" s="1">
        <v>16</v>
      </c>
      <c r="B77" t="s">
        <v>3230</v>
      </c>
      <c r="C77">
        <v>122.93</v>
      </c>
      <c r="D77">
        <v>40.14</v>
      </c>
      <c r="E77">
        <v>0.80794699999999997</v>
      </c>
      <c r="F77">
        <v>53.61</v>
      </c>
      <c r="G77">
        <v>6</v>
      </c>
      <c r="H77">
        <v>24.75</v>
      </c>
    </row>
    <row r="78" spans="1:8">
      <c r="A78" s="1">
        <v>17</v>
      </c>
      <c r="B78" t="s">
        <v>3231</v>
      </c>
      <c r="C78">
        <v>126.6</v>
      </c>
      <c r="D78">
        <v>40.42</v>
      </c>
      <c r="E78">
        <v>0.91178199999999998</v>
      </c>
      <c r="F78">
        <v>81.14</v>
      </c>
      <c r="G78">
        <v>2</v>
      </c>
      <c r="H78">
        <v>29.76</v>
      </c>
    </row>
    <row r="79" spans="1:8">
      <c r="A79" s="1">
        <v>18</v>
      </c>
      <c r="B79" t="s">
        <v>3232</v>
      </c>
      <c r="C79">
        <v>105.87</v>
      </c>
      <c r="D79">
        <v>40.04</v>
      </c>
      <c r="E79">
        <v>0.91136700000000004</v>
      </c>
      <c r="F79">
        <v>82.48</v>
      </c>
      <c r="G79">
        <v>8</v>
      </c>
      <c r="H79">
        <v>24.71</v>
      </c>
    </row>
    <row r="80" spans="1:8">
      <c r="A80" s="1">
        <v>19</v>
      </c>
      <c r="B80" t="s">
        <v>3233</v>
      </c>
      <c r="C80">
        <v>147.37</v>
      </c>
      <c r="D80">
        <v>40.83</v>
      </c>
      <c r="E80">
        <v>0.98807</v>
      </c>
      <c r="F80">
        <v>123.8</v>
      </c>
      <c r="G80">
        <v>0</v>
      </c>
      <c r="H80">
        <v>33.159999999999997</v>
      </c>
    </row>
    <row r="81" spans="1:8">
      <c r="A81" s="1">
        <v>20</v>
      </c>
      <c r="B81" t="s">
        <v>3234</v>
      </c>
      <c r="C81">
        <v>141.38999999999999</v>
      </c>
      <c r="D81">
        <v>40.74</v>
      </c>
      <c r="E81">
        <v>0.98956599999999995</v>
      </c>
      <c r="F81">
        <v>124.92</v>
      </c>
      <c r="G81">
        <v>8</v>
      </c>
      <c r="H81">
        <v>37.01</v>
      </c>
    </row>
    <row r="82" spans="1:8">
      <c r="A82" s="1">
        <v>21</v>
      </c>
      <c r="B82" t="s">
        <v>3235</v>
      </c>
      <c r="C82">
        <v>148.85</v>
      </c>
      <c r="D82">
        <v>40.83</v>
      </c>
      <c r="E82">
        <v>0.97026999999999997</v>
      </c>
      <c r="F82">
        <v>102.72</v>
      </c>
      <c r="G82">
        <v>0</v>
      </c>
      <c r="H82">
        <v>33.56</v>
      </c>
    </row>
    <row r="83" spans="1:8">
      <c r="A83" s="1">
        <v>22</v>
      </c>
      <c r="B83" t="s">
        <v>3236</v>
      </c>
      <c r="C83">
        <v>148.72</v>
      </c>
      <c r="D83">
        <v>40.799999999999997</v>
      </c>
      <c r="E83">
        <v>0.94379599999999997</v>
      </c>
      <c r="F83">
        <v>104.29</v>
      </c>
      <c r="G83">
        <v>6</v>
      </c>
      <c r="H83">
        <v>37.14</v>
      </c>
    </row>
    <row r="84" spans="1:8">
      <c r="A84" s="1">
        <v>23</v>
      </c>
      <c r="B84" t="s">
        <v>3237</v>
      </c>
      <c r="C84">
        <v>123.84</v>
      </c>
      <c r="D84">
        <v>40.39</v>
      </c>
      <c r="E84">
        <v>0.93695399999999995</v>
      </c>
      <c r="F84">
        <v>82.06</v>
      </c>
      <c r="G84">
        <v>0</v>
      </c>
      <c r="H84">
        <v>28.71</v>
      </c>
    </row>
    <row r="85" spans="1:8">
      <c r="A85" s="1">
        <v>24</v>
      </c>
      <c r="B85" t="s">
        <v>3238</v>
      </c>
      <c r="C85">
        <v>115.66</v>
      </c>
      <c r="D85">
        <v>40.29</v>
      </c>
      <c r="E85">
        <v>0.97313799999999995</v>
      </c>
      <c r="F85">
        <v>101.26</v>
      </c>
      <c r="G85">
        <v>6</v>
      </c>
      <c r="H85">
        <v>26.62</v>
      </c>
    </row>
    <row r="86" spans="1:8">
      <c r="A86" s="1">
        <v>25</v>
      </c>
      <c r="B86" t="s">
        <v>3239</v>
      </c>
      <c r="C86">
        <v>107</v>
      </c>
      <c r="D86">
        <v>40.11</v>
      </c>
      <c r="E86">
        <v>0.96948199999999995</v>
      </c>
      <c r="F86">
        <v>81.180000000000007</v>
      </c>
      <c r="G86">
        <v>6</v>
      </c>
      <c r="H86">
        <v>25.01</v>
      </c>
    </row>
    <row r="87" spans="1:8">
      <c r="A87" s="1">
        <v>26</v>
      </c>
      <c r="B87" t="s">
        <v>3240</v>
      </c>
      <c r="C87">
        <v>96.27</v>
      </c>
      <c r="D87">
        <v>39.869999999999997</v>
      </c>
      <c r="E87">
        <v>0.95456399999999997</v>
      </c>
      <c r="F87">
        <v>76.8</v>
      </c>
      <c r="G87">
        <v>0</v>
      </c>
      <c r="H87">
        <v>24.61</v>
      </c>
    </row>
    <row r="88" spans="1:8">
      <c r="A88" s="1">
        <v>27</v>
      </c>
      <c r="B88" t="s">
        <v>3241</v>
      </c>
      <c r="C88">
        <v>90.6</v>
      </c>
      <c r="D88">
        <v>38.549999999999997</v>
      </c>
      <c r="E88">
        <v>0.75040600000000002</v>
      </c>
      <c r="F88">
        <v>2.5299999999999998</v>
      </c>
      <c r="G88">
        <v>8</v>
      </c>
      <c r="H88">
        <v>23.7</v>
      </c>
    </row>
    <row r="89" spans="1:8">
      <c r="A89" s="1">
        <v>28</v>
      </c>
      <c r="B89" t="s">
        <v>3242</v>
      </c>
      <c r="C89">
        <v>137.16</v>
      </c>
      <c r="D89">
        <v>40.54</v>
      </c>
      <c r="E89">
        <v>0.88992000000000004</v>
      </c>
      <c r="F89">
        <v>81.83</v>
      </c>
      <c r="G89">
        <v>2</v>
      </c>
      <c r="H89">
        <v>29.44</v>
      </c>
    </row>
    <row r="90" spans="1:8">
      <c r="A90" s="1">
        <v>29</v>
      </c>
      <c r="B90" t="s">
        <v>3243</v>
      </c>
      <c r="C90">
        <v>109.19</v>
      </c>
      <c r="D90">
        <v>39.950000000000003</v>
      </c>
      <c r="E90">
        <v>0.82226900000000003</v>
      </c>
      <c r="F90">
        <v>56.26</v>
      </c>
      <c r="G90">
        <v>2</v>
      </c>
      <c r="H90">
        <v>25.33</v>
      </c>
    </row>
    <row r="91" spans="1:8">
      <c r="A91" s="1">
        <v>30</v>
      </c>
      <c r="B91" t="s">
        <v>3244</v>
      </c>
      <c r="C91">
        <v>120.24</v>
      </c>
      <c r="D91">
        <v>40.369999999999997</v>
      </c>
      <c r="E91">
        <v>0.974105</v>
      </c>
      <c r="F91">
        <v>94.66</v>
      </c>
      <c r="G91">
        <v>2</v>
      </c>
      <c r="H91">
        <v>28.57</v>
      </c>
    </row>
    <row r="92" spans="1:8">
      <c r="A92" s="1">
        <v>31</v>
      </c>
      <c r="B92" t="s">
        <v>3245</v>
      </c>
      <c r="C92">
        <v>131.12</v>
      </c>
      <c r="D92">
        <v>40.549999999999997</v>
      </c>
      <c r="E92">
        <v>0.96390600000000004</v>
      </c>
      <c r="F92">
        <v>91.28</v>
      </c>
      <c r="G92">
        <v>4</v>
      </c>
      <c r="H92">
        <v>32.58</v>
      </c>
    </row>
    <row r="93" spans="1:8">
      <c r="A93" s="1">
        <v>32</v>
      </c>
      <c r="B93" t="s">
        <v>3246</v>
      </c>
      <c r="C93">
        <v>99.82</v>
      </c>
      <c r="D93">
        <v>39.909999999999997</v>
      </c>
      <c r="E93">
        <v>0.92425000000000002</v>
      </c>
      <c r="F93">
        <v>69.27</v>
      </c>
      <c r="G93">
        <v>2</v>
      </c>
      <c r="H93">
        <v>24.08</v>
      </c>
    </row>
    <row r="94" spans="1:8">
      <c r="A94" s="1">
        <v>33</v>
      </c>
      <c r="B94" t="s">
        <v>3247</v>
      </c>
      <c r="C94">
        <v>100.58</v>
      </c>
      <c r="D94">
        <v>39.97</v>
      </c>
      <c r="E94">
        <v>0.96522799999999997</v>
      </c>
      <c r="F94">
        <v>81.790000000000006</v>
      </c>
      <c r="G94">
        <v>2</v>
      </c>
      <c r="H94">
        <v>23.74</v>
      </c>
    </row>
    <row r="95" spans="1:8">
      <c r="A95" s="1">
        <v>34</v>
      </c>
      <c r="B95" t="s">
        <v>3248</v>
      </c>
      <c r="C95">
        <v>107.34</v>
      </c>
      <c r="D95">
        <v>40.119999999999997</v>
      </c>
      <c r="E95">
        <v>0.97031400000000001</v>
      </c>
      <c r="F95">
        <v>82.06</v>
      </c>
      <c r="G95">
        <v>4</v>
      </c>
      <c r="H95">
        <v>23.65</v>
      </c>
    </row>
    <row r="96" spans="1:8">
      <c r="A96" s="1">
        <v>35</v>
      </c>
      <c r="B96" t="s">
        <v>3249</v>
      </c>
      <c r="C96">
        <v>102.4</v>
      </c>
      <c r="D96">
        <v>40.03</v>
      </c>
      <c r="E96">
        <v>0.980271</v>
      </c>
      <c r="F96">
        <v>80.91</v>
      </c>
      <c r="G96">
        <v>8</v>
      </c>
      <c r="H96">
        <v>25.62</v>
      </c>
    </row>
    <row r="97" spans="1:8">
      <c r="A97" s="1">
        <v>36</v>
      </c>
      <c r="B97" t="s">
        <v>3250</v>
      </c>
      <c r="C97">
        <v>132.76</v>
      </c>
      <c r="D97">
        <v>40.590000000000003</v>
      </c>
      <c r="E97">
        <v>0.981298</v>
      </c>
      <c r="F97">
        <v>105.06</v>
      </c>
      <c r="G97">
        <v>4</v>
      </c>
      <c r="H97">
        <v>34.54</v>
      </c>
    </row>
    <row r="98" spans="1:8">
      <c r="A98" s="1">
        <v>37</v>
      </c>
      <c r="B98" t="s">
        <v>3251</v>
      </c>
      <c r="C98">
        <v>106.94</v>
      </c>
      <c r="D98">
        <v>40.11</v>
      </c>
      <c r="E98">
        <v>0.96319100000000002</v>
      </c>
      <c r="F98">
        <v>82.18</v>
      </c>
      <c r="G98">
        <v>6</v>
      </c>
      <c r="H98">
        <v>25.07</v>
      </c>
    </row>
    <row r="99" spans="1:8">
      <c r="A99" s="1">
        <v>38</v>
      </c>
      <c r="B99" t="s">
        <v>3252</v>
      </c>
      <c r="C99">
        <v>98.8</v>
      </c>
      <c r="D99">
        <v>39.96</v>
      </c>
      <c r="E99">
        <v>0.98694899999999997</v>
      </c>
      <c r="F99">
        <v>82.21</v>
      </c>
      <c r="G99">
        <v>4</v>
      </c>
      <c r="H99">
        <v>20.75</v>
      </c>
    </row>
    <row r="100" spans="1:8">
      <c r="A100" s="1">
        <v>39</v>
      </c>
      <c r="B100" t="s">
        <v>3253</v>
      </c>
      <c r="C100">
        <v>132.83000000000001</v>
      </c>
      <c r="D100">
        <v>40.590000000000003</v>
      </c>
      <c r="E100">
        <v>0.973302</v>
      </c>
      <c r="F100">
        <v>105.37</v>
      </c>
      <c r="G100">
        <v>0</v>
      </c>
      <c r="H100">
        <v>30.67</v>
      </c>
    </row>
    <row r="101" spans="1:8">
      <c r="A101" s="1">
        <v>40</v>
      </c>
      <c r="B101" t="s">
        <v>3254</v>
      </c>
      <c r="C101">
        <v>102.35</v>
      </c>
      <c r="D101">
        <v>40.020000000000003</v>
      </c>
      <c r="E101">
        <v>0.97511300000000001</v>
      </c>
      <c r="F101">
        <v>75.34</v>
      </c>
      <c r="G101">
        <v>4</v>
      </c>
      <c r="H101">
        <v>25.02</v>
      </c>
    </row>
    <row r="102" spans="1:8">
      <c r="A102" s="1">
        <v>41</v>
      </c>
      <c r="B102" t="s">
        <v>3255</v>
      </c>
      <c r="C102">
        <v>124.55</v>
      </c>
      <c r="D102">
        <v>40.46</v>
      </c>
      <c r="E102">
        <v>0.98813099999999998</v>
      </c>
      <c r="F102">
        <v>101.8</v>
      </c>
      <c r="G102">
        <v>2</v>
      </c>
      <c r="H102">
        <v>26.53</v>
      </c>
    </row>
    <row r="103" spans="1:8">
      <c r="A103" s="1">
        <v>42</v>
      </c>
      <c r="B103" t="s">
        <v>3256</v>
      </c>
      <c r="C103">
        <v>109.46</v>
      </c>
      <c r="D103">
        <v>40.130000000000003</v>
      </c>
      <c r="E103">
        <v>0.943774</v>
      </c>
      <c r="F103">
        <v>82.29</v>
      </c>
      <c r="G103">
        <v>8</v>
      </c>
      <c r="H103">
        <v>27.44</v>
      </c>
    </row>
    <row r="104" spans="1:8">
      <c r="A104" s="1">
        <v>43</v>
      </c>
      <c r="B104" t="s">
        <v>3257</v>
      </c>
      <c r="C104">
        <v>133.82</v>
      </c>
      <c r="D104">
        <v>40.61</v>
      </c>
      <c r="E104">
        <v>0.97841</v>
      </c>
      <c r="F104">
        <v>104.41</v>
      </c>
      <c r="G104">
        <v>2</v>
      </c>
      <c r="H104">
        <v>29.07</v>
      </c>
    </row>
    <row r="105" spans="1:8">
      <c r="A105" s="1">
        <v>44</v>
      </c>
      <c r="B105" t="s">
        <v>3258</v>
      </c>
      <c r="C105">
        <v>113.9</v>
      </c>
      <c r="D105">
        <v>40.26</v>
      </c>
      <c r="E105">
        <v>0.97622900000000001</v>
      </c>
      <c r="F105">
        <v>98.04</v>
      </c>
      <c r="G105">
        <v>6</v>
      </c>
      <c r="H105">
        <v>26.33</v>
      </c>
    </row>
    <row r="106" spans="1:8">
      <c r="A106" s="1">
        <v>45</v>
      </c>
      <c r="B106" t="s">
        <v>3259</v>
      </c>
      <c r="C106">
        <v>116.75</v>
      </c>
      <c r="D106">
        <v>40.33</v>
      </c>
      <c r="E106">
        <v>0.99138400000000004</v>
      </c>
      <c r="F106">
        <v>101.26</v>
      </c>
      <c r="G106">
        <v>8</v>
      </c>
      <c r="H106">
        <v>26.67</v>
      </c>
    </row>
    <row r="107" spans="1:8">
      <c r="A107" s="1">
        <v>46</v>
      </c>
      <c r="B107" t="s">
        <v>3260</v>
      </c>
      <c r="C107">
        <v>114.65</v>
      </c>
      <c r="D107">
        <v>39.94</v>
      </c>
      <c r="E107">
        <v>0.79525800000000002</v>
      </c>
      <c r="F107">
        <v>33.979999999999997</v>
      </c>
      <c r="G107">
        <v>0</v>
      </c>
      <c r="H107">
        <v>22.1</v>
      </c>
    </row>
    <row r="108" spans="1:8">
      <c r="A108" s="1">
        <v>47</v>
      </c>
      <c r="B108" t="s">
        <v>3261</v>
      </c>
      <c r="C108">
        <v>119.82</v>
      </c>
      <c r="D108">
        <v>40.26</v>
      </c>
      <c r="E108">
        <v>0.87986200000000003</v>
      </c>
      <c r="F108">
        <v>81.599999999999994</v>
      </c>
      <c r="G108">
        <v>6</v>
      </c>
      <c r="H108">
        <v>25.17</v>
      </c>
    </row>
    <row r="109" spans="1:8">
      <c r="A109" s="1">
        <v>48</v>
      </c>
      <c r="B109" t="s">
        <v>3262</v>
      </c>
      <c r="C109">
        <v>128.09</v>
      </c>
      <c r="D109">
        <v>40.51</v>
      </c>
      <c r="E109">
        <v>0.97627799999999998</v>
      </c>
      <c r="F109">
        <v>105.22</v>
      </c>
      <c r="G109">
        <v>0</v>
      </c>
      <c r="H109">
        <v>31.27</v>
      </c>
    </row>
    <row r="110" spans="1:8">
      <c r="A110" s="1">
        <v>49</v>
      </c>
      <c r="B110" t="s">
        <v>3263</v>
      </c>
      <c r="C110">
        <v>102.18</v>
      </c>
      <c r="D110">
        <v>39.82</v>
      </c>
      <c r="E110">
        <v>0.82691199999999998</v>
      </c>
      <c r="F110">
        <v>55.33</v>
      </c>
      <c r="G110">
        <v>8</v>
      </c>
      <c r="H110">
        <v>26.69</v>
      </c>
    </row>
    <row r="111" spans="1:8">
      <c r="A111" s="1">
        <v>50</v>
      </c>
      <c r="B111" t="s">
        <v>3264</v>
      </c>
      <c r="C111">
        <v>140.07</v>
      </c>
      <c r="D111">
        <v>40.69</v>
      </c>
      <c r="E111">
        <v>0.96412600000000004</v>
      </c>
      <c r="F111">
        <v>98.11</v>
      </c>
      <c r="G111">
        <v>0</v>
      </c>
      <c r="H111">
        <v>40.65</v>
      </c>
    </row>
    <row r="112" spans="1:8">
      <c r="B112" s="1" t="s">
        <v>19</v>
      </c>
      <c r="C112" s="1">
        <f>AVERAGE(C62:C111)</f>
        <v>119.62479999999996</v>
      </c>
      <c r="D112" s="1">
        <f t="shared" ref="D112:F112" si="0">AVERAGE(D62:D111)</f>
        <v>40.279999999999987</v>
      </c>
      <c r="E112" s="1">
        <f t="shared" si="0"/>
        <v>0.94173735999999986</v>
      </c>
      <c r="F112" s="1">
        <f t="shared" si="0"/>
        <v>86.625</v>
      </c>
      <c r="H112" s="1">
        <f t="shared" ref="H112" si="1">AVERAGE(H62:H111)</f>
        <v>27.777000000000008</v>
      </c>
    </row>
    <row r="113" spans="1:8">
      <c r="B113" s="1" t="s">
        <v>20</v>
      </c>
      <c r="C113" s="1">
        <f>MIN(C61:C111)</f>
        <v>90.6</v>
      </c>
      <c r="D113" s="1">
        <f t="shared" ref="D113:F113" si="2">MIN(D61:D111)</f>
        <v>38.549999999999997</v>
      </c>
      <c r="E113" s="1">
        <f t="shared" si="2"/>
        <v>0.75040600000000002</v>
      </c>
      <c r="F113" s="1">
        <f t="shared" si="2"/>
        <v>2.5299999999999998</v>
      </c>
      <c r="H113" s="1">
        <f t="shared" ref="H113" si="3">MIN(H61:H111)</f>
        <v>20.74</v>
      </c>
    </row>
    <row r="114" spans="1:8">
      <c r="B114" s="1" t="s">
        <v>3</v>
      </c>
      <c r="C114" s="1">
        <f>STDEV(C62:C111)</f>
        <v>15.960283773243418</v>
      </c>
      <c r="D114" s="1">
        <f t="shared" ref="D114:E114" si="4">STDEV(D62:D111)</f>
        <v>0.38123858296860896</v>
      </c>
      <c r="E114" s="1">
        <f t="shared" si="4"/>
        <v>5.5197040446676338E-2</v>
      </c>
      <c r="F114" s="1">
        <f>STDEV(F62:F111)</f>
        <v>20.907921089522816</v>
      </c>
      <c r="H114" s="1">
        <f>STDEV(H62:H111)</f>
        <v>4.6468234706459945</v>
      </c>
    </row>
    <row r="116" spans="1:8">
      <c r="H116" s="18" t="s">
        <v>1435</v>
      </c>
    </row>
    <row r="117" spans="1:8" ht="18">
      <c r="A117" s="18" t="s">
        <v>7</v>
      </c>
      <c r="B117" s="3" t="s">
        <v>1</v>
      </c>
      <c r="C117" s="18" t="s">
        <v>4</v>
      </c>
      <c r="D117" s="18" t="s">
        <v>322</v>
      </c>
      <c r="E117" s="18" t="s">
        <v>321</v>
      </c>
      <c r="F117" s="18" t="s">
        <v>324</v>
      </c>
      <c r="G117" s="18" t="s">
        <v>323</v>
      </c>
      <c r="H117" s="18" t="s">
        <v>1436</v>
      </c>
    </row>
    <row r="118" spans="1:8">
      <c r="A118" s="1">
        <v>1</v>
      </c>
      <c r="B118" t="s">
        <v>2965</v>
      </c>
      <c r="C118">
        <v>116.35</v>
      </c>
      <c r="D118">
        <v>80.2</v>
      </c>
      <c r="E118">
        <v>0.86211899999999997</v>
      </c>
      <c r="F118">
        <v>39.549999999999997</v>
      </c>
      <c r="G118">
        <v>6</v>
      </c>
      <c r="H118">
        <v>26.46</v>
      </c>
    </row>
    <row r="119" spans="1:8">
      <c r="A119" s="1">
        <v>2</v>
      </c>
      <c r="B119" t="s">
        <v>2966</v>
      </c>
      <c r="C119">
        <v>107.87</v>
      </c>
      <c r="D119">
        <v>80.25</v>
      </c>
      <c r="E119">
        <v>0.963924</v>
      </c>
      <c r="F119">
        <v>82.37</v>
      </c>
      <c r="G119">
        <v>18</v>
      </c>
      <c r="H119">
        <v>25.13</v>
      </c>
    </row>
    <row r="120" spans="1:8">
      <c r="A120" s="1">
        <v>3</v>
      </c>
      <c r="B120" t="s">
        <v>2967</v>
      </c>
      <c r="C120">
        <v>118.8</v>
      </c>
      <c r="D120">
        <v>80.680000000000007</v>
      </c>
      <c r="E120">
        <v>0.97126699999999999</v>
      </c>
      <c r="F120">
        <v>91.89</v>
      </c>
      <c r="G120">
        <v>0</v>
      </c>
      <c r="H120">
        <v>26.88</v>
      </c>
    </row>
    <row r="121" spans="1:8">
      <c r="A121" s="1">
        <v>4</v>
      </c>
      <c r="B121" t="s">
        <v>2968</v>
      </c>
      <c r="C121">
        <v>92.18</v>
      </c>
      <c r="D121">
        <v>79.41</v>
      </c>
      <c r="E121">
        <v>0.89692899999999998</v>
      </c>
      <c r="F121">
        <v>48.19</v>
      </c>
      <c r="G121">
        <v>12</v>
      </c>
      <c r="H121">
        <v>22.53</v>
      </c>
    </row>
    <row r="122" spans="1:8">
      <c r="A122" s="1">
        <v>5</v>
      </c>
      <c r="B122" t="s">
        <v>2969</v>
      </c>
      <c r="C122">
        <v>113.78</v>
      </c>
      <c r="D122">
        <v>80.47</v>
      </c>
      <c r="E122">
        <v>0.95923599999999998</v>
      </c>
      <c r="F122">
        <v>81.56</v>
      </c>
      <c r="G122">
        <v>14</v>
      </c>
      <c r="H122">
        <v>27.91</v>
      </c>
    </row>
    <row r="123" spans="1:8">
      <c r="A123" s="1">
        <v>6</v>
      </c>
      <c r="B123" t="s">
        <v>2970</v>
      </c>
      <c r="C123">
        <v>120.82</v>
      </c>
      <c r="D123">
        <v>80.59</v>
      </c>
      <c r="E123">
        <v>0.90009600000000001</v>
      </c>
      <c r="F123">
        <v>81.52</v>
      </c>
      <c r="G123">
        <v>8</v>
      </c>
      <c r="H123">
        <v>27.12</v>
      </c>
    </row>
    <row r="124" spans="1:8">
      <c r="A124" s="1">
        <v>7</v>
      </c>
      <c r="B124" t="s">
        <v>2971</v>
      </c>
      <c r="C124">
        <v>104.76</v>
      </c>
      <c r="D124">
        <v>79.94</v>
      </c>
      <c r="E124">
        <v>0.88834299999999999</v>
      </c>
      <c r="F124">
        <v>55.68</v>
      </c>
      <c r="G124">
        <v>16</v>
      </c>
      <c r="H124">
        <v>26.38</v>
      </c>
    </row>
    <row r="125" spans="1:8">
      <c r="A125" s="1">
        <v>8</v>
      </c>
      <c r="B125" t="s">
        <v>2972</v>
      </c>
      <c r="C125">
        <v>99.5</v>
      </c>
      <c r="D125">
        <v>79.900000000000006</v>
      </c>
      <c r="E125">
        <v>0.96514900000000003</v>
      </c>
      <c r="F125">
        <v>76.489999999999995</v>
      </c>
      <c r="G125">
        <v>6</v>
      </c>
      <c r="H125">
        <v>24.43</v>
      </c>
    </row>
    <row r="126" spans="1:8">
      <c r="A126" s="1">
        <v>9</v>
      </c>
      <c r="B126" t="s">
        <v>2973</v>
      </c>
      <c r="C126">
        <v>111.07</v>
      </c>
      <c r="D126">
        <v>80.319999999999993</v>
      </c>
      <c r="E126">
        <v>0.94991400000000004</v>
      </c>
      <c r="F126">
        <v>61.75</v>
      </c>
      <c r="G126">
        <v>2</v>
      </c>
      <c r="H126">
        <v>25.45</v>
      </c>
    </row>
    <row r="127" spans="1:8">
      <c r="A127" s="1">
        <v>10</v>
      </c>
      <c r="B127" t="s">
        <v>2974</v>
      </c>
      <c r="C127">
        <v>106.53</v>
      </c>
      <c r="D127">
        <v>80.150000000000006</v>
      </c>
      <c r="E127">
        <v>0.941778</v>
      </c>
      <c r="F127">
        <v>67.81</v>
      </c>
      <c r="G127">
        <v>12</v>
      </c>
      <c r="H127">
        <v>22.57</v>
      </c>
    </row>
    <row r="128" spans="1:8">
      <c r="A128" s="1">
        <v>11</v>
      </c>
      <c r="B128" t="s">
        <v>2975</v>
      </c>
      <c r="C128">
        <v>115.51</v>
      </c>
      <c r="D128">
        <v>80.5</v>
      </c>
      <c r="E128">
        <v>0.94149000000000005</v>
      </c>
      <c r="F128">
        <v>82.06</v>
      </c>
      <c r="G128">
        <v>2</v>
      </c>
      <c r="H128">
        <v>28.27</v>
      </c>
    </row>
    <row r="129" spans="1:8">
      <c r="A129" s="1">
        <v>12</v>
      </c>
      <c r="B129" t="s">
        <v>2976</v>
      </c>
      <c r="C129">
        <v>122.06</v>
      </c>
      <c r="D129">
        <v>80.77</v>
      </c>
      <c r="E129">
        <v>0.957507</v>
      </c>
      <c r="F129">
        <v>91.81</v>
      </c>
      <c r="G129">
        <v>4</v>
      </c>
      <c r="H129">
        <v>26.85</v>
      </c>
    </row>
    <row r="130" spans="1:8">
      <c r="A130" s="1">
        <v>13</v>
      </c>
      <c r="B130" t="s">
        <v>2977</v>
      </c>
      <c r="C130">
        <v>97.49</v>
      </c>
      <c r="D130">
        <v>79.62</v>
      </c>
      <c r="E130">
        <v>0.89859900000000004</v>
      </c>
      <c r="F130">
        <v>48.12</v>
      </c>
      <c r="G130">
        <v>2</v>
      </c>
      <c r="H130">
        <v>21.73</v>
      </c>
    </row>
    <row r="131" spans="1:8">
      <c r="A131" s="1">
        <v>14</v>
      </c>
      <c r="B131" t="s">
        <v>2978</v>
      </c>
      <c r="C131">
        <v>112.04</v>
      </c>
      <c r="D131">
        <v>80.42</v>
      </c>
      <c r="E131">
        <v>0.96286799999999995</v>
      </c>
      <c r="F131">
        <v>81.56</v>
      </c>
      <c r="G131">
        <v>2</v>
      </c>
      <c r="H131">
        <v>25.52</v>
      </c>
    </row>
    <row r="132" spans="1:8">
      <c r="A132" s="1">
        <v>15</v>
      </c>
      <c r="B132" t="s">
        <v>2979</v>
      </c>
      <c r="C132">
        <v>106.07</v>
      </c>
      <c r="D132">
        <v>80.17</v>
      </c>
      <c r="E132">
        <v>0.95924299999999996</v>
      </c>
      <c r="F132">
        <v>80.64</v>
      </c>
      <c r="G132">
        <v>18</v>
      </c>
      <c r="H132">
        <v>24.6</v>
      </c>
    </row>
    <row r="133" spans="1:8">
      <c r="A133" s="1">
        <v>16</v>
      </c>
      <c r="B133" t="s">
        <v>2980</v>
      </c>
      <c r="C133">
        <v>90.65</v>
      </c>
      <c r="D133">
        <v>79.209999999999994</v>
      </c>
      <c r="E133">
        <v>0.86185800000000001</v>
      </c>
      <c r="F133">
        <v>46.27</v>
      </c>
      <c r="G133">
        <v>8</v>
      </c>
      <c r="H133">
        <v>22.22</v>
      </c>
    </row>
    <row r="134" spans="1:8">
      <c r="A134" s="1">
        <v>17</v>
      </c>
      <c r="B134" t="s">
        <v>2981</v>
      </c>
      <c r="C134">
        <v>95.28</v>
      </c>
      <c r="D134">
        <v>79.510000000000005</v>
      </c>
      <c r="E134">
        <v>0.89897899999999997</v>
      </c>
      <c r="F134">
        <v>53.15</v>
      </c>
      <c r="G134">
        <v>12</v>
      </c>
      <c r="H134">
        <v>20.6</v>
      </c>
    </row>
    <row r="135" spans="1:8">
      <c r="A135" s="1">
        <v>18</v>
      </c>
      <c r="B135" t="s">
        <v>2982</v>
      </c>
      <c r="C135">
        <v>123.03</v>
      </c>
      <c r="D135">
        <v>80.849999999999994</v>
      </c>
      <c r="E135">
        <v>0.97586399999999995</v>
      </c>
      <c r="F135">
        <v>92.35</v>
      </c>
      <c r="G135">
        <v>4</v>
      </c>
      <c r="H135">
        <v>28.25</v>
      </c>
    </row>
    <row r="136" spans="1:8">
      <c r="A136" s="1">
        <v>19</v>
      </c>
      <c r="B136" t="s">
        <v>2983</v>
      </c>
      <c r="C136">
        <v>116.78</v>
      </c>
      <c r="D136">
        <v>80.44</v>
      </c>
      <c r="E136">
        <v>0.89591900000000002</v>
      </c>
      <c r="F136">
        <v>75.53</v>
      </c>
      <c r="G136">
        <v>8</v>
      </c>
      <c r="H136">
        <v>26.98</v>
      </c>
    </row>
    <row r="137" spans="1:8">
      <c r="A137" s="1">
        <v>20</v>
      </c>
      <c r="B137" t="s">
        <v>2984</v>
      </c>
      <c r="C137">
        <v>109.57</v>
      </c>
      <c r="D137">
        <v>80.28</v>
      </c>
      <c r="E137">
        <v>0.94452100000000005</v>
      </c>
      <c r="F137">
        <v>81.06</v>
      </c>
      <c r="G137">
        <v>18</v>
      </c>
      <c r="H137">
        <v>24.51</v>
      </c>
    </row>
    <row r="138" spans="1:8">
      <c r="A138" s="1">
        <v>21</v>
      </c>
      <c r="B138" t="s">
        <v>2985</v>
      </c>
      <c r="C138">
        <v>94.69</v>
      </c>
      <c r="D138">
        <v>79.5</v>
      </c>
      <c r="E138">
        <v>0.89736099999999996</v>
      </c>
      <c r="F138">
        <v>45.89</v>
      </c>
      <c r="G138">
        <v>18</v>
      </c>
      <c r="H138">
        <v>20.420000000000002</v>
      </c>
    </row>
    <row r="139" spans="1:8">
      <c r="A139" s="1">
        <v>22</v>
      </c>
      <c r="B139" t="s">
        <v>2986</v>
      </c>
      <c r="C139">
        <v>115.85</v>
      </c>
      <c r="D139">
        <v>80.37</v>
      </c>
      <c r="E139">
        <v>0.88775199999999999</v>
      </c>
      <c r="F139">
        <v>63.9</v>
      </c>
      <c r="G139">
        <v>2</v>
      </c>
      <c r="H139">
        <v>25.61</v>
      </c>
    </row>
    <row r="140" spans="1:8">
      <c r="A140" s="1">
        <v>23</v>
      </c>
      <c r="B140" t="s">
        <v>2987</v>
      </c>
      <c r="C140">
        <v>99.07</v>
      </c>
      <c r="D140">
        <v>79.16</v>
      </c>
      <c r="E140">
        <v>0.77521899999999999</v>
      </c>
      <c r="F140">
        <v>24.81</v>
      </c>
      <c r="G140">
        <v>0</v>
      </c>
      <c r="H140">
        <v>22.73</v>
      </c>
    </row>
    <row r="141" spans="1:8">
      <c r="A141" s="1">
        <v>24</v>
      </c>
      <c r="B141" t="s">
        <v>2988</v>
      </c>
      <c r="C141">
        <v>109.48</v>
      </c>
      <c r="D141">
        <v>80.33</v>
      </c>
      <c r="E141">
        <v>0.97125399999999995</v>
      </c>
      <c r="F141">
        <v>81.52</v>
      </c>
      <c r="G141">
        <v>8</v>
      </c>
      <c r="H141">
        <v>24.66</v>
      </c>
    </row>
    <row r="142" spans="1:8">
      <c r="A142" s="1">
        <v>25</v>
      </c>
      <c r="B142" t="s">
        <v>2989</v>
      </c>
      <c r="C142">
        <v>107.81</v>
      </c>
      <c r="D142">
        <v>80.239999999999995</v>
      </c>
      <c r="E142">
        <v>0.95926199999999995</v>
      </c>
      <c r="F142">
        <v>82.25</v>
      </c>
      <c r="G142">
        <v>18</v>
      </c>
      <c r="H142">
        <v>24.23</v>
      </c>
    </row>
    <row r="143" spans="1:8">
      <c r="A143" s="1">
        <v>26</v>
      </c>
      <c r="B143" t="s">
        <v>2990</v>
      </c>
      <c r="C143">
        <v>105.81</v>
      </c>
      <c r="D143">
        <v>80.180000000000007</v>
      </c>
      <c r="E143">
        <v>0.97012399999999999</v>
      </c>
      <c r="F143">
        <v>81.680000000000007</v>
      </c>
      <c r="G143">
        <v>14</v>
      </c>
      <c r="H143">
        <v>24.55</v>
      </c>
    </row>
    <row r="144" spans="1:8">
      <c r="A144" s="1">
        <v>27</v>
      </c>
      <c r="B144" t="s">
        <v>2991</v>
      </c>
      <c r="C144">
        <v>98.05</v>
      </c>
      <c r="D144">
        <v>79.790000000000006</v>
      </c>
      <c r="E144">
        <v>0.95025700000000002</v>
      </c>
      <c r="F144">
        <v>62.28</v>
      </c>
      <c r="G144">
        <v>16</v>
      </c>
      <c r="H144">
        <v>22.52</v>
      </c>
    </row>
    <row r="145" spans="1:8">
      <c r="A145" s="1">
        <v>28</v>
      </c>
      <c r="B145" t="s">
        <v>2992</v>
      </c>
      <c r="C145">
        <v>97.67</v>
      </c>
      <c r="D145">
        <v>79.75</v>
      </c>
      <c r="E145">
        <v>0.94245100000000004</v>
      </c>
      <c r="F145">
        <v>57.41</v>
      </c>
      <c r="G145">
        <v>16</v>
      </c>
      <c r="H145">
        <v>21.34</v>
      </c>
    </row>
    <row r="146" spans="1:8">
      <c r="A146" s="1">
        <v>29</v>
      </c>
      <c r="B146" t="s">
        <v>2993</v>
      </c>
      <c r="C146">
        <v>121.81</v>
      </c>
      <c r="D146">
        <v>80.69</v>
      </c>
      <c r="E146">
        <v>0.93996599999999997</v>
      </c>
      <c r="F146">
        <v>62.13</v>
      </c>
      <c r="G146">
        <v>4</v>
      </c>
      <c r="H146">
        <v>28.04</v>
      </c>
    </row>
    <row r="147" spans="1:8">
      <c r="A147" s="1">
        <v>30</v>
      </c>
      <c r="B147" t="s">
        <v>2994</v>
      </c>
      <c r="C147">
        <v>105.4</v>
      </c>
      <c r="D147">
        <v>80.099999999999994</v>
      </c>
      <c r="E147">
        <v>0.93901800000000002</v>
      </c>
      <c r="F147">
        <v>77.38</v>
      </c>
      <c r="G147">
        <v>4</v>
      </c>
      <c r="H147">
        <v>23.56</v>
      </c>
    </row>
    <row r="148" spans="1:8">
      <c r="A148" s="1">
        <v>31</v>
      </c>
      <c r="B148" t="s">
        <v>2995</v>
      </c>
      <c r="C148">
        <v>113.2</v>
      </c>
      <c r="D148">
        <v>80.459999999999994</v>
      </c>
      <c r="E148">
        <v>0.96595900000000001</v>
      </c>
      <c r="F148">
        <v>82.64</v>
      </c>
      <c r="G148">
        <v>2</v>
      </c>
      <c r="H148">
        <v>25.95</v>
      </c>
    </row>
    <row r="149" spans="1:8">
      <c r="A149" s="1">
        <v>32</v>
      </c>
      <c r="B149" t="s">
        <v>2996</v>
      </c>
      <c r="C149">
        <v>125.58</v>
      </c>
      <c r="D149">
        <v>80.81</v>
      </c>
      <c r="E149">
        <v>0.92007000000000005</v>
      </c>
      <c r="F149">
        <v>82.33</v>
      </c>
      <c r="G149">
        <v>18</v>
      </c>
      <c r="H149">
        <v>27.56</v>
      </c>
    </row>
    <row r="150" spans="1:8">
      <c r="A150" s="1">
        <v>33</v>
      </c>
      <c r="B150" t="s">
        <v>2997</v>
      </c>
      <c r="C150">
        <v>107.71</v>
      </c>
      <c r="D150">
        <v>80.069999999999993</v>
      </c>
      <c r="E150">
        <v>0.91818299999999997</v>
      </c>
      <c r="F150">
        <v>43.7</v>
      </c>
      <c r="G150">
        <v>8</v>
      </c>
      <c r="H150">
        <v>26.39</v>
      </c>
    </row>
    <row r="151" spans="1:8">
      <c r="A151" s="1">
        <v>34</v>
      </c>
      <c r="B151" t="s">
        <v>2998</v>
      </c>
      <c r="C151">
        <v>110.06</v>
      </c>
      <c r="D151">
        <v>78.67</v>
      </c>
      <c r="E151">
        <v>0.835839</v>
      </c>
      <c r="F151">
        <v>1.19</v>
      </c>
      <c r="G151">
        <v>16</v>
      </c>
      <c r="H151">
        <v>23.76</v>
      </c>
    </row>
    <row r="152" spans="1:8">
      <c r="A152" s="1">
        <v>35</v>
      </c>
      <c r="B152" t="s">
        <v>2999</v>
      </c>
      <c r="C152">
        <v>125.97</v>
      </c>
      <c r="D152">
        <v>80.87</v>
      </c>
      <c r="E152">
        <v>0.93766300000000002</v>
      </c>
      <c r="F152">
        <v>80.45</v>
      </c>
      <c r="G152">
        <v>4</v>
      </c>
      <c r="H152">
        <v>29.8</v>
      </c>
    </row>
    <row r="153" spans="1:8">
      <c r="A153" s="1">
        <v>36</v>
      </c>
      <c r="B153" t="s">
        <v>3000</v>
      </c>
      <c r="C153">
        <v>93.92</v>
      </c>
      <c r="D153">
        <v>79.510000000000005</v>
      </c>
      <c r="E153">
        <v>0.90571400000000002</v>
      </c>
      <c r="F153">
        <v>58.14</v>
      </c>
      <c r="G153">
        <v>6</v>
      </c>
      <c r="H153">
        <v>22.15</v>
      </c>
    </row>
    <row r="154" spans="1:8">
      <c r="A154" s="1">
        <v>37</v>
      </c>
      <c r="B154" t="s">
        <v>3001</v>
      </c>
      <c r="C154">
        <v>91.3</v>
      </c>
      <c r="D154">
        <v>79.31</v>
      </c>
      <c r="E154">
        <v>0.88394700000000004</v>
      </c>
      <c r="F154">
        <v>49.65</v>
      </c>
      <c r="G154">
        <v>8</v>
      </c>
      <c r="H154">
        <v>21.51</v>
      </c>
    </row>
    <row r="155" spans="1:8">
      <c r="A155" s="1">
        <v>38</v>
      </c>
      <c r="B155" t="s">
        <v>3002</v>
      </c>
      <c r="C155">
        <v>112.25</v>
      </c>
      <c r="D155">
        <v>80.37</v>
      </c>
      <c r="E155">
        <v>0.94303899999999996</v>
      </c>
      <c r="F155">
        <v>82.1</v>
      </c>
      <c r="G155">
        <v>4</v>
      </c>
      <c r="H155">
        <v>26.06</v>
      </c>
    </row>
    <row r="156" spans="1:8">
      <c r="A156" s="1">
        <v>39</v>
      </c>
      <c r="B156" t="s">
        <v>3003</v>
      </c>
      <c r="C156">
        <v>108.09</v>
      </c>
      <c r="D156">
        <v>80.27</v>
      </c>
      <c r="E156">
        <v>0.97194800000000003</v>
      </c>
      <c r="F156">
        <v>81.14</v>
      </c>
      <c r="G156">
        <v>10</v>
      </c>
      <c r="H156">
        <v>26.48</v>
      </c>
    </row>
    <row r="157" spans="1:8">
      <c r="A157" s="1">
        <v>40</v>
      </c>
      <c r="B157" t="s">
        <v>3004</v>
      </c>
      <c r="C157">
        <v>103.04</v>
      </c>
      <c r="D157">
        <v>80.08</v>
      </c>
      <c r="E157">
        <v>0.97726500000000005</v>
      </c>
      <c r="F157">
        <v>82.14</v>
      </c>
      <c r="G157">
        <v>0</v>
      </c>
      <c r="H157">
        <v>23.78</v>
      </c>
    </row>
    <row r="158" spans="1:8">
      <c r="A158" s="1">
        <v>41</v>
      </c>
      <c r="B158" t="s">
        <v>3005</v>
      </c>
      <c r="C158">
        <v>98.08</v>
      </c>
      <c r="D158">
        <v>79.8</v>
      </c>
      <c r="E158">
        <v>0.95147300000000001</v>
      </c>
      <c r="F158">
        <v>59.6</v>
      </c>
      <c r="G158">
        <v>4</v>
      </c>
      <c r="H158">
        <v>23.37</v>
      </c>
    </row>
    <row r="159" spans="1:8">
      <c r="A159" s="1">
        <v>42</v>
      </c>
      <c r="B159" t="s">
        <v>3006</v>
      </c>
      <c r="C159">
        <v>112.7</v>
      </c>
      <c r="D159">
        <v>80.209999999999994</v>
      </c>
      <c r="E159">
        <v>0.87904899999999997</v>
      </c>
      <c r="F159">
        <v>60.48</v>
      </c>
      <c r="G159">
        <v>18</v>
      </c>
      <c r="H159">
        <v>27.99</v>
      </c>
    </row>
    <row r="160" spans="1:8">
      <c r="A160" s="1">
        <v>43</v>
      </c>
      <c r="B160" t="s">
        <v>3007</v>
      </c>
      <c r="C160">
        <v>107.14</v>
      </c>
      <c r="D160">
        <v>79.98</v>
      </c>
      <c r="E160">
        <v>0.88090400000000002</v>
      </c>
      <c r="F160">
        <v>53.41</v>
      </c>
      <c r="G160">
        <v>0</v>
      </c>
      <c r="H160">
        <v>23.92</v>
      </c>
    </row>
    <row r="161" spans="1:8">
      <c r="A161" s="1">
        <v>44</v>
      </c>
      <c r="B161" t="s">
        <v>3008</v>
      </c>
      <c r="C161">
        <v>102.18</v>
      </c>
      <c r="D161">
        <v>79.94</v>
      </c>
      <c r="E161">
        <v>0.92361400000000005</v>
      </c>
      <c r="F161">
        <v>69.58</v>
      </c>
      <c r="G161">
        <v>8</v>
      </c>
      <c r="H161">
        <v>24.48</v>
      </c>
    </row>
    <row r="162" spans="1:8">
      <c r="A162" s="1">
        <v>45</v>
      </c>
      <c r="B162" t="s">
        <v>3009</v>
      </c>
      <c r="C162">
        <v>115.53</v>
      </c>
      <c r="D162">
        <v>80.44</v>
      </c>
      <c r="E162">
        <v>0.91844199999999998</v>
      </c>
      <c r="F162">
        <v>63.51</v>
      </c>
      <c r="G162">
        <v>2</v>
      </c>
      <c r="H162">
        <v>25.77</v>
      </c>
    </row>
    <row r="163" spans="1:8">
      <c r="A163" s="1">
        <v>46</v>
      </c>
      <c r="B163" t="s">
        <v>3010</v>
      </c>
      <c r="C163">
        <v>111.38</v>
      </c>
      <c r="D163">
        <v>80.37</v>
      </c>
      <c r="E163">
        <v>0.96116699999999999</v>
      </c>
      <c r="F163">
        <v>74.69</v>
      </c>
      <c r="G163">
        <v>12</v>
      </c>
      <c r="H163">
        <v>25.65</v>
      </c>
    </row>
    <row r="164" spans="1:8">
      <c r="A164" s="1">
        <v>47</v>
      </c>
      <c r="B164" t="s">
        <v>3011</v>
      </c>
      <c r="C164">
        <v>114.04</v>
      </c>
      <c r="D164">
        <v>80.48</v>
      </c>
      <c r="E164">
        <v>0.95838699999999999</v>
      </c>
      <c r="F164">
        <v>83.48</v>
      </c>
      <c r="G164">
        <v>4</v>
      </c>
      <c r="H164">
        <v>25.96</v>
      </c>
    </row>
    <row r="165" spans="1:8">
      <c r="A165" s="1">
        <v>48</v>
      </c>
      <c r="B165" t="s">
        <v>3012</v>
      </c>
      <c r="C165">
        <v>112.61</v>
      </c>
      <c r="D165">
        <v>80.34</v>
      </c>
      <c r="E165">
        <v>0.93090799999999996</v>
      </c>
      <c r="F165">
        <v>64.44</v>
      </c>
      <c r="G165">
        <v>14</v>
      </c>
      <c r="H165">
        <v>26.44</v>
      </c>
    </row>
    <row r="166" spans="1:8">
      <c r="A166" s="1">
        <v>49</v>
      </c>
      <c r="B166" t="s">
        <v>3013</v>
      </c>
      <c r="C166">
        <v>92.35</v>
      </c>
      <c r="D166">
        <v>78.52</v>
      </c>
      <c r="E166">
        <v>0.87577000000000005</v>
      </c>
      <c r="F166">
        <v>3.15</v>
      </c>
      <c r="G166">
        <v>16</v>
      </c>
      <c r="H166">
        <v>22.44</v>
      </c>
    </row>
    <row r="167" spans="1:8">
      <c r="A167" s="1">
        <v>50</v>
      </c>
      <c r="B167" t="s">
        <v>3014</v>
      </c>
      <c r="C167">
        <v>117.27</v>
      </c>
      <c r="D167">
        <v>80.599999999999994</v>
      </c>
      <c r="E167">
        <v>0.95860800000000002</v>
      </c>
      <c r="F167">
        <v>81.14</v>
      </c>
      <c r="G167">
        <v>0</v>
      </c>
      <c r="H167">
        <v>26.02</v>
      </c>
    </row>
    <row r="168" spans="1:8">
      <c r="B168" s="1" t="s">
        <v>19</v>
      </c>
      <c r="C168" s="1">
        <f>AVERAGE(C118:C167)</f>
        <v>108.20360000000002</v>
      </c>
      <c r="D168" s="1" t="e">
        <f>AVERAGE(#REF!)</f>
        <v>#REF!</v>
      </c>
      <c r="E168" s="1" t="e">
        <f>AVERAGE(#REF!)</f>
        <v>#REF!</v>
      </c>
      <c r="F168" s="1" t="e">
        <f>AVERAGE(#REF!)</f>
        <v>#REF!</v>
      </c>
      <c r="H168" s="1" t="e">
        <f>AVERAGE(#REF!)</f>
        <v>#REF!</v>
      </c>
    </row>
    <row r="169" spans="1:8">
      <c r="B169" s="1" t="s">
        <v>20</v>
      </c>
      <c r="C169" s="1">
        <f>MIN(C117:C167)</f>
        <v>90.65</v>
      </c>
      <c r="D169" s="1">
        <f>MIN(D117:D167)</f>
        <v>78.52</v>
      </c>
      <c r="E169" s="1">
        <f>MIN(E117:E167)</f>
        <v>0.77521899999999999</v>
      </c>
      <c r="F169" s="1">
        <f>MIN(F117:F167)</f>
        <v>1.19</v>
      </c>
      <c r="H169" s="1">
        <f>MIN(H117:H167)</f>
        <v>20.420000000000002</v>
      </c>
    </row>
    <row r="170" spans="1:8">
      <c r="B170" s="1" t="s">
        <v>3</v>
      </c>
      <c r="C170" s="1" t="e">
        <f>STDEV(#REF!)</f>
        <v>#REF!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18" t="s">
        <v>1435</v>
      </c>
    </row>
    <row r="173" spans="1:8" ht="18">
      <c r="A173" s="18" t="s">
        <v>7</v>
      </c>
      <c r="B173" s="3" t="s">
        <v>9</v>
      </c>
      <c r="C173" s="18" t="s">
        <v>4</v>
      </c>
      <c r="D173" s="18" t="s">
        <v>322</v>
      </c>
      <c r="E173" s="18" t="s">
        <v>321</v>
      </c>
      <c r="F173" s="18" t="s">
        <v>324</v>
      </c>
      <c r="G173" s="18" t="s">
        <v>323</v>
      </c>
      <c r="H173" s="18" t="s">
        <v>1436</v>
      </c>
    </row>
    <row r="174" spans="1:8">
      <c r="A174" s="1">
        <v>1</v>
      </c>
      <c r="B174" t="s">
        <v>3015</v>
      </c>
      <c r="C174">
        <v>93.97</v>
      </c>
      <c r="D174">
        <v>159.09</v>
      </c>
      <c r="E174">
        <v>0.91690700000000003</v>
      </c>
      <c r="F174">
        <v>52.68</v>
      </c>
      <c r="G174">
        <v>6</v>
      </c>
      <c r="H174">
        <v>20.59</v>
      </c>
    </row>
    <row r="175" spans="1:8">
      <c r="A175" s="1">
        <v>2</v>
      </c>
      <c r="B175" t="s">
        <v>3016</v>
      </c>
      <c r="C175">
        <v>83.01</v>
      </c>
      <c r="D175">
        <v>157.55000000000001</v>
      </c>
      <c r="E175">
        <v>0.87196899999999999</v>
      </c>
      <c r="F175">
        <v>28.19</v>
      </c>
      <c r="G175">
        <v>28</v>
      </c>
      <c r="H175">
        <v>18.84</v>
      </c>
    </row>
    <row r="176" spans="1:8">
      <c r="A176" s="1">
        <v>3</v>
      </c>
      <c r="B176" t="s">
        <v>3017</v>
      </c>
      <c r="C176">
        <v>92.11</v>
      </c>
      <c r="D176">
        <v>158.63999999999999</v>
      </c>
      <c r="E176">
        <v>0.87987099999999996</v>
      </c>
      <c r="F176">
        <v>43.55</v>
      </c>
      <c r="G176">
        <v>20</v>
      </c>
      <c r="H176">
        <v>21.47</v>
      </c>
    </row>
    <row r="177" spans="1:8">
      <c r="A177" s="1">
        <v>4</v>
      </c>
      <c r="B177" t="s">
        <v>3018</v>
      </c>
      <c r="C177">
        <v>84.34</v>
      </c>
      <c r="D177">
        <v>158.06</v>
      </c>
      <c r="E177">
        <v>0.911914</v>
      </c>
      <c r="F177">
        <v>41.36</v>
      </c>
      <c r="G177">
        <v>10</v>
      </c>
      <c r="H177">
        <v>19.11</v>
      </c>
    </row>
    <row r="178" spans="1:8">
      <c r="A178" s="1">
        <v>5</v>
      </c>
      <c r="B178" t="s">
        <v>3019</v>
      </c>
      <c r="C178">
        <v>83.73</v>
      </c>
      <c r="D178">
        <v>157.4</v>
      </c>
      <c r="E178">
        <v>0.81432000000000004</v>
      </c>
      <c r="F178">
        <v>28.03</v>
      </c>
      <c r="G178">
        <v>22</v>
      </c>
      <c r="H178">
        <v>18.5</v>
      </c>
    </row>
    <row r="179" spans="1:8">
      <c r="A179" s="1">
        <v>6</v>
      </c>
      <c r="B179" t="s">
        <v>3020</v>
      </c>
      <c r="C179">
        <v>100.26</v>
      </c>
      <c r="D179">
        <v>159.53</v>
      </c>
      <c r="E179">
        <v>0.91316200000000003</v>
      </c>
      <c r="F179">
        <v>42.47</v>
      </c>
      <c r="G179">
        <v>8</v>
      </c>
      <c r="H179">
        <v>22.48</v>
      </c>
    </row>
    <row r="180" spans="1:8">
      <c r="A180" s="1">
        <v>7</v>
      </c>
      <c r="B180" t="s">
        <v>3021</v>
      </c>
      <c r="C180">
        <v>93.45</v>
      </c>
      <c r="D180">
        <v>158.97999999999999</v>
      </c>
      <c r="E180">
        <v>0.91329199999999999</v>
      </c>
      <c r="F180">
        <v>46.85</v>
      </c>
      <c r="G180">
        <v>26</v>
      </c>
      <c r="H180">
        <v>20.54</v>
      </c>
    </row>
    <row r="181" spans="1:8">
      <c r="A181" s="1">
        <v>8</v>
      </c>
      <c r="B181" t="s">
        <v>3022</v>
      </c>
      <c r="C181">
        <v>79.78</v>
      </c>
      <c r="D181">
        <v>157.51</v>
      </c>
      <c r="E181">
        <v>0.89815999999999996</v>
      </c>
      <c r="F181">
        <v>42.28</v>
      </c>
      <c r="G181">
        <v>22</v>
      </c>
      <c r="H181">
        <v>17.55</v>
      </c>
    </row>
    <row r="182" spans="1:8">
      <c r="A182" s="1">
        <v>9</v>
      </c>
      <c r="B182" t="s">
        <v>3023</v>
      </c>
      <c r="C182">
        <v>83.73</v>
      </c>
      <c r="D182">
        <v>157.79</v>
      </c>
      <c r="E182">
        <v>0.89591600000000005</v>
      </c>
      <c r="F182">
        <v>19.809999999999999</v>
      </c>
      <c r="G182">
        <v>36</v>
      </c>
      <c r="H182">
        <v>18.95</v>
      </c>
    </row>
    <row r="183" spans="1:8">
      <c r="A183" s="1">
        <v>10</v>
      </c>
      <c r="B183" t="s">
        <v>3024</v>
      </c>
      <c r="C183">
        <v>98.41</v>
      </c>
      <c r="D183">
        <v>159.54</v>
      </c>
      <c r="E183">
        <v>0.938778</v>
      </c>
      <c r="F183">
        <v>46.5</v>
      </c>
      <c r="G183">
        <v>30</v>
      </c>
      <c r="H183">
        <v>21.96</v>
      </c>
    </row>
    <row r="184" spans="1:8">
      <c r="A184" s="1">
        <v>11</v>
      </c>
      <c r="B184" t="s">
        <v>3025</v>
      </c>
      <c r="C184">
        <v>94.31</v>
      </c>
      <c r="D184">
        <v>157.56</v>
      </c>
      <c r="E184">
        <v>0.85019599999999995</v>
      </c>
      <c r="F184">
        <v>1.92</v>
      </c>
      <c r="G184">
        <v>18</v>
      </c>
      <c r="H184">
        <v>20.48</v>
      </c>
    </row>
    <row r="185" spans="1:8">
      <c r="A185" s="1">
        <v>12</v>
      </c>
      <c r="B185" t="s">
        <v>3026</v>
      </c>
      <c r="C185">
        <v>86.54</v>
      </c>
      <c r="D185">
        <v>158.19999999999999</v>
      </c>
      <c r="E185">
        <v>0.90165200000000001</v>
      </c>
      <c r="F185">
        <v>36.67</v>
      </c>
      <c r="G185">
        <v>8</v>
      </c>
      <c r="H185">
        <v>20.41</v>
      </c>
    </row>
    <row r="186" spans="1:8">
      <c r="A186" s="1">
        <v>13</v>
      </c>
      <c r="B186" t="s">
        <v>3027</v>
      </c>
      <c r="C186">
        <v>94.22</v>
      </c>
      <c r="D186">
        <v>158.56</v>
      </c>
      <c r="E186">
        <v>0.89763000000000004</v>
      </c>
      <c r="F186">
        <v>9.9499999999999993</v>
      </c>
      <c r="G186">
        <v>4</v>
      </c>
      <c r="H186">
        <v>21.22</v>
      </c>
    </row>
    <row r="187" spans="1:8">
      <c r="A187" s="1">
        <v>14</v>
      </c>
      <c r="B187" t="s">
        <v>3028</v>
      </c>
      <c r="C187">
        <v>79.650000000000006</v>
      </c>
      <c r="D187">
        <v>157.22999999999999</v>
      </c>
      <c r="E187">
        <v>0.85482800000000003</v>
      </c>
      <c r="F187">
        <v>34.94</v>
      </c>
      <c r="G187">
        <v>32</v>
      </c>
      <c r="H187">
        <v>18.239999999999998</v>
      </c>
    </row>
    <row r="188" spans="1:8">
      <c r="A188" s="1">
        <v>15</v>
      </c>
      <c r="B188" t="s">
        <v>3029</v>
      </c>
      <c r="C188">
        <v>91.75</v>
      </c>
      <c r="D188">
        <v>157.63</v>
      </c>
      <c r="E188">
        <v>0.87921400000000005</v>
      </c>
      <c r="F188">
        <v>1.88</v>
      </c>
      <c r="G188">
        <v>34</v>
      </c>
      <c r="H188">
        <v>20.54</v>
      </c>
    </row>
    <row r="189" spans="1:8">
      <c r="A189" s="1">
        <v>16</v>
      </c>
      <c r="B189" t="s">
        <v>3030</v>
      </c>
      <c r="C189">
        <v>94.34</v>
      </c>
      <c r="D189">
        <v>158.63</v>
      </c>
      <c r="E189">
        <v>0.92856300000000003</v>
      </c>
      <c r="F189">
        <v>6.84</v>
      </c>
      <c r="G189">
        <v>18</v>
      </c>
      <c r="H189">
        <v>21.17</v>
      </c>
    </row>
    <row r="190" spans="1:8">
      <c r="A190" s="1">
        <v>17</v>
      </c>
      <c r="B190" t="s">
        <v>3031</v>
      </c>
      <c r="C190">
        <v>86.79</v>
      </c>
      <c r="D190">
        <v>158.21</v>
      </c>
      <c r="E190">
        <v>0.88681399999999999</v>
      </c>
      <c r="F190">
        <v>39.049999999999997</v>
      </c>
      <c r="G190">
        <v>30</v>
      </c>
      <c r="H190">
        <v>19.649999999999999</v>
      </c>
    </row>
    <row r="191" spans="1:8">
      <c r="A191" s="1">
        <v>18</v>
      </c>
      <c r="B191" t="s">
        <v>3032</v>
      </c>
      <c r="C191">
        <v>84.11</v>
      </c>
      <c r="D191">
        <v>158.1</v>
      </c>
      <c r="E191">
        <v>0.92260299999999995</v>
      </c>
      <c r="F191">
        <v>46.46</v>
      </c>
      <c r="G191">
        <v>24</v>
      </c>
      <c r="H191">
        <v>19.350000000000001</v>
      </c>
    </row>
    <row r="192" spans="1:8">
      <c r="A192" s="1">
        <v>19</v>
      </c>
      <c r="B192" t="s">
        <v>3033</v>
      </c>
      <c r="C192">
        <v>83.48</v>
      </c>
      <c r="D192">
        <v>156.76</v>
      </c>
      <c r="E192">
        <v>0.87331099999999995</v>
      </c>
      <c r="F192">
        <v>2.65</v>
      </c>
      <c r="G192">
        <v>20</v>
      </c>
      <c r="H192">
        <v>18.45</v>
      </c>
    </row>
    <row r="193" spans="1:8">
      <c r="A193" s="1">
        <v>20</v>
      </c>
      <c r="B193" t="s">
        <v>3034</v>
      </c>
      <c r="C193">
        <v>101.07</v>
      </c>
      <c r="D193">
        <v>159.43</v>
      </c>
      <c r="E193">
        <v>0.88729199999999997</v>
      </c>
      <c r="F193">
        <v>34.18</v>
      </c>
      <c r="G193">
        <v>24</v>
      </c>
      <c r="H193">
        <v>22.29</v>
      </c>
    </row>
    <row r="194" spans="1:8">
      <c r="A194" s="1">
        <v>21</v>
      </c>
      <c r="B194" t="s">
        <v>3035</v>
      </c>
      <c r="C194">
        <v>95.94</v>
      </c>
      <c r="D194">
        <v>159.43</v>
      </c>
      <c r="E194">
        <v>0.95823499999999995</v>
      </c>
      <c r="F194">
        <v>55.49</v>
      </c>
      <c r="G194">
        <v>14</v>
      </c>
      <c r="H194">
        <v>22.48</v>
      </c>
    </row>
    <row r="195" spans="1:8">
      <c r="A195" s="1">
        <v>22</v>
      </c>
      <c r="B195" t="s">
        <v>3036</v>
      </c>
      <c r="C195">
        <v>92.58</v>
      </c>
      <c r="D195">
        <v>158.94</v>
      </c>
      <c r="E195">
        <v>0.93147999999999997</v>
      </c>
      <c r="F195">
        <v>45.12</v>
      </c>
      <c r="G195">
        <v>10</v>
      </c>
      <c r="H195">
        <v>21.29</v>
      </c>
    </row>
    <row r="196" spans="1:8">
      <c r="A196" s="1">
        <v>23</v>
      </c>
      <c r="B196" t="s">
        <v>3037</v>
      </c>
      <c r="C196">
        <v>88.55</v>
      </c>
      <c r="D196">
        <v>158.38</v>
      </c>
      <c r="E196">
        <v>0.89202499999999996</v>
      </c>
      <c r="F196">
        <v>48.65</v>
      </c>
      <c r="G196">
        <v>24</v>
      </c>
      <c r="H196">
        <v>19.98</v>
      </c>
    </row>
    <row r="197" spans="1:8">
      <c r="A197" s="1">
        <v>24</v>
      </c>
      <c r="B197" t="s">
        <v>3038</v>
      </c>
      <c r="C197">
        <v>94.68</v>
      </c>
      <c r="D197">
        <v>159.29</v>
      </c>
      <c r="E197">
        <v>0.94502399999999998</v>
      </c>
      <c r="F197">
        <v>64.78</v>
      </c>
      <c r="G197">
        <v>34</v>
      </c>
      <c r="H197">
        <v>20.77</v>
      </c>
    </row>
    <row r="198" spans="1:8">
      <c r="A198" s="1">
        <v>25</v>
      </c>
      <c r="B198" t="s">
        <v>3039</v>
      </c>
      <c r="C198">
        <v>92.09</v>
      </c>
      <c r="D198">
        <v>157.02000000000001</v>
      </c>
      <c r="E198">
        <v>0.86158199999999996</v>
      </c>
      <c r="F198">
        <v>0.88</v>
      </c>
      <c r="G198">
        <v>28</v>
      </c>
      <c r="H198">
        <v>20.73</v>
      </c>
    </row>
    <row r="199" spans="1:8">
      <c r="A199" s="1">
        <v>26</v>
      </c>
      <c r="B199" t="s">
        <v>3040</v>
      </c>
      <c r="C199">
        <v>98.03</v>
      </c>
      <c r="D199">
        <v>159.22999999999999</v>
      </c>
      <c r="E199">
        <v>0.88723200000000002</v>
      </c>
      <c r="F199">
        <v>44.97</v>
      </c>
      <c r="G199">
        <v>24</v>
      </c>
      <c r="H199">
        <v>21.76</v>
      </c>
    </row>
    <row r="200" spans="1:8">
      <c r="A200" s="1">
        <v>27</v>
      </c>
      <c r="B200" t="s">
        <v>3041</v>
      </c>
      <c r="C200">
        <v>89.54</v>
      </c>
      <c r="D200">
        <v>156.74</v>
      </c>
      <c r="E200">
        <v>0.83769899999999997</v>
      </c>
      <c r="F200">
        <v>1.77</v>
      </c>
      <c r="G200">
        <v>4</v>
      </c>
      <c r="H200">
        <v>20.09</v>
      </c>
    </row>
    <row r="201" spans="1:8">
      <c r="A201" s="1">
        <v>28</v>
      </c>
      <c r="B201" t="s">
        <v>3042</v>
      </c>
      <c r="C201">
        <v>97.26</v>
      </c>
      <c r="D201">
        <v>159.19999999999999</v>
      </c>
      <c r="E201">
        <v>0.90155300000000005</v>
      </c>
      <c r="F201">
        <v>43.12</v>
      </c>
      <c r="G201">
        <v>18</v>
      </c>
      <c r="H201">
        <v>22.61</v>
      </c>
    </row>
    <row r="202" spans="1:8">
      <c r="A202" s="1">
        <v>29</v>
      </c>
      <c r="B202" t="s">
        <v>3043</v>
      </c>
      <c r="C202">
        <v>89.21</v>
      </c>
      <c r="D202">
        <v>158.44999999999999</v>
      </c>
      <c r="E202">
        <v>0.902111</v>
      </c>
      <c r="F202">
        <v>26.57</v>
      </c>
      <c r="G202">
        <v>24</v>
      </c>
      <c r="H202">
        <v>21.2</v>
      </c>
    </row>
    <row r="203" spans="1:8">
      <c r="A203" s="1">
        <v>30</v>
      </c>
      <c r="B203" t="s">
        <v>3044</v>
      </c>
      <c r="C203">
        <v>81.400000000000006</v>
      </c>
      <c r="D203">
        <v>155.93</v>
      </c>
      <c r="E203">
        <v>0.82072599999999996</v>
      </c>
      <c r="F203">
        <v>3.88</v>
      </c>
      <c r="G203">
        <v>16</v>
      </c>
      <c r="H203">
        <v>20.07</v>
      </c>
    </row>
    <row r="204" spans="1:8">
      <c r="A204" s="1">
        <v>31</v>
      </c>
      <c r="B204" t="s">
        <v>3045</v>
      </c>
      <c r="C204">
        <v>85.26</v>
      </c>
      <c r="D204">
        <v>157.88999999999999</v>
      </c>
      <c r="E204">
        <v>0.87558999999999998</v>
      </c>
      <c r="F204">
        <v>32.22</v>
      </c>
      <c r="G204">
        <v>18</v>
      </c>
      <c r="H204">
        <v>19.600000000000001</v>
      </c>
    </row>
    <row r="205" spans="1:8">
      <c r="A205" s="1">
        <v>32</v>
      </c>
      <c r="B205" t="s">
        <v>3046</v>
      </c>
      <c r="C205">
        <v>82.2</v>
      </c>
      <c r="D205">
        <v>157.49</v>
      </c>
      <c r="E205">
        <v>0.85723099999999997</v>
      </c>
      <c r="F205">
        <v>30.76</v>
      </c>
      <c r="G205">
        <v>26</v>
      </c>
      <c r="H205">
        <v>18.510000000000002</v>
      </c>
    </row>
    <row r="206" spans="1:8">
      <c r="A206" s="1">
        <v>33</v>
      </c>
      <c r="B206" t="s">
        <v>3047</v>
      </c>
      <c r="C206">
        <v>98.16</v>
      </c>
      <c r="D206">
        <v>159</v>
      </c>
      <c r="E206">
        <v>0.877606</v>
      </c>
      <c r="F206">
        <v>18.82</v>
      </c>
      <c r="G206">
        <v>34</v>
      </c>
      <c r="H206">
        <v>22.17</v>
      </c>
    </row>
    <row r="207" spans="1:8">
      <c r="A207" s="1">
        <v>34</v>
      </c>
      <c r="B207" t="s">
        <v>3048</v>
      </c>
      <c r="C207">
        <v>94.15</v>
      </c>
      <c r="D207">
        <v>158.74</v>
      </c>
      <c r="E207">
        <v>0.89070099999999996</v>
      </c>
      <c r="F207">
        <v>19.850000000000001</v>
      </c>
      <c r="G207">
        <v>26</v>
      </c>
      <c r="H207">
        <v>21.2</v>
      </c>
    </row>
    <row r="208" spans="1:8">
      <c r="A208" s="1">
        <v>35</v>
      </c>
      <c r="B208" t="s">
        <v>3049</v>
      </c>
      <c r="C208">
        <v>80.84</v>
      </c>
      <c r="D208">
        <v>156.75</v>
      </c>
      <c r="E208">
        <v>0.78708299999999998</v>
      </c>
      <c r="F208">
        <v>16.05</v>
      </c>
      <c r="G208">
        <v>10</v>
      </c>
      <c r="H208">
        <v>19.13</v>
      </c>
    </row>
    <row r="209" spans="1:8">
      <c r="A209" s="1">
        <v>36</v>
      </c>
      <c r="B209" t="s">
        <v>3050</v>
      </c>
      <c r="C209">
        <v>100.48</v>
      </c>
      <c r="D209">
        <v>159.4</v>
      </c>
      <c r="E209">
        <v>0.90913200000000005</v>
      </c>
      <c r="F209">
        <v>24.84</v>
      </c>
      <c r="G209">
        <v>2</v>
      </c>
      <c r="H209">
        <v>22.48</v>
      </c>
    </row>
    <row r="210" spans="1:8">
      <c r="A210" s="1">
        <v>37</v>
      </c>
      <c r="B210" t="s">
        <v>3051</v>
      </c>
      <c r="C210">
        <v>91.33</v>
      </c>
      <c r="D210">
        <v>158.6</v>
      </c>
      <c r="E210">
        <v>0.90418500000000002</v>
      </c>
      <c r="F210">
        <v>34.25</v>
      </c>
      <c r="G210">
        <v>24</v>
      </c>
      <c r="H210">
        <v>20.420000000000002</v>
      </c>
    </row>
    <row r="211" spans="1:8">
      <c r="A211" s="1">
        <v>38</v>
      </c>
      <c r="B211" t="s">
        <v>3052</v>
      </c>
      <c r="C211">
        <v>77.72</v>
      </c>
      <c r="D211">
        <v>156.01</v>
      </c>
      <c r="E211">
        <v>0.83260500000000004</v>
      </c>
      <c r="F211">
        <v>1.92</v>
      </c>
      <c r="G211">
        <v>6</v>
      </c>
      <c r="H211">
        <v>17.34</v>
      </c>
    </row>
    <row r="212" spans="1:8">
      <c r="A212" s="1">
        <v>39</v>
      </c>
      <c r="B212" t="s">
        <v>3053</v>
      </c>
      <c r="C212">
        <v>89.41</v>
      </c>
      <c r="D212">
        <v>158.6</v>
      </c>
      <c r="E212">
        <v>0.92389100000000002</v>
      </c>
      <c r="F212">
        <v>43.51</v>
      </c>
      <c r="G212">
        <v>12</v>
      </c>
      <c r="H212">
        <v>19.89</v>
      </c>
    </row>
    <row r="213" spans="1:8">
      <c r="A213" s="1">
        <v>40</v>
      </c>
      <c r="B213" t="s">
        <v>3054</v>
      </c>
      <c r="C213">
        <v>91.11</v>
      </c>
      <c r="D213">
        <v>158.38</v>
      </c>
      <c r="E213">
        <v>0.87804899999999997</v>
      </c>
      <c r="F213">
        <v>20.66</v>
      </c>
      <c r="G213">
        <v>4</v>
      </c>
      <c r="H213">
        <v>19.98</v>
      </c>
    </row>
    <row r="214" spans="1:8">
      <c r="A214" s="1">
        <v>41</v>
      </c>
      <c r="B214" t="s">
        <v>3055</v>
      </c>
      <c r="C214">
        <v>86.86</v>
      </c>
      <c r="D214">
        <v>158.32</v>
      </c>
      <c r="E214">
        <v>0.92161800000000005</v>
      </c>
      <c r="F214">
        <v>38.28</v>
      </c>
      <c r="G214">
        <v>14</v>
      </c>
      <c r="H214">
        <v>18.79</v>
      </c>
    </row>
    <row r="215" spans="1:8">
      <c r="A215" s="1">
        <v>42</v>
      </c>
      <c r="B215" t="s">
        <v>3056</v>
      </c>
      <c r="C215">
        <v>95.89</v>
      </c>
      <c r="D215">
        <v>159.28</v>
      </c>
      <c r="E215">
        <v>0.92733100000000002</v>
      </c>
      <c r="F215">
        <v>47.23</v>
      </c>
      <c r="G215">
        <v>16</v>
      </c>
      <c r="H215">
        <v>21.13</v>
      </c>
    </row>
    <row r="216" spans="1:8">
      <c r="A216" s="1">
        <v>43</v>
      </c>
      <c r="B216" t="s">
        <v>3057</v>
      </c>
      <c r="C216">
        <v>75.59</v>
      </c>
      <c r="D216">
        <v>156.88999999999999</v>
      </c>
      <c r="E216">
        <v>0.87923399999999996</v>
      </c>
      <c r="F216">
        <v>32.26</v>
      </c>
      <c r="G216">
        <v>22</v>
      </c>
      <c r="H216">
        <v>16.940000000000001</v>
      </c>
    </row>
    <row r="217" spans="1:8">
      <c r="A217" s="1">
        <v>44</v>
      </c>
      <c r="B217" t="s">
        <v>3058</v>
      </c>
      <c r="C217">
        <v>104.44</v>
      </c>
      <c r="D217">
        <v>158.63999999999999</v>
      </c>
      <c r="E217">
        <v>0.88375400000000004</v>
      </c>
      <c r="F217">
        <v>1.57</v>
      </c>
      <c r="G217">
        <v>34</v>
      </c>
      <c r="H217">
        <v>23.58</v>
      </c>
    </row>
    <row r="218" spans="1:8">
      <c r="A218" s="1">
        <v>45</v>
      </c>
      <c r="B218" t="s">
        <v>3059</v>
      </c>
      <c r="C218">
        <v>97.63</v>
      </c>
      <c r="D218">
        <v>158.83000000000001</v>
      </c>
      <c r="E218">
        <v>0.85905600000000004</v>
      </c>
      <c r="F218">
        <v>27.07</v>
      </c>
      <c r="G218">
        <v>4</v>
      </c>
      <c r="H218">
        <v>21.08</v>
      </c>
    </row>
    <row r="219" spans="1:8">
      <c r="A219" s="1">
        <v>46</v>
      </c>
      <c r="B219" t="s">
        <v>3060</v>
      </c>
      <c r="C219">
        <v>86.01</v>
      </c>
      <c r="D219">
        <v>155.81</v>
      </c>
      <c r="E219">
        <v>0.82128500000000004</v>
      </c>
      <c r="F219">
        <v>1.61</v>
      </c>
      <c r="G219">
        <v>32</v>
      </c>
      <c r="H219">
        <v>19.53</v>
      </c>
    </row>
    <row r="220" spans="1:8">
      <c r="A220" s="1">
        <v>47</v>
      </c>
      <c r="B220" t="s">
        <v>3061</v>
      </c>
      <c r="C220">
        <v>90.52</v>
      </c>
      <c r="D220">
        <v>158.29</v>
      </c>
      <c r="E220">
        <v>0.85963400000000001</v>
      </c>
      <c r="F220">
        <v>31.64</v>
      </c>
      <c r="G220">
        <v>20</v>
      </c>
      <c r="H220">
        <v>21.21</v>
      </c>
    </row>
    <row r="221" spans="1:8">
      <c r="A221" s="1">
        <v>48</v>
      </c>
      <c r="B221" t="s">
        <v>3062</v>
      </c>
      <c r="C221">
        <v>75.94</v>
      </c>
      <c r="D221">
        <v>156.82</v>
      </c>
      <c r="E221">
        <v>0.87753499999999995</v>
      </c>
      <c r="F221">
        <v>23</v>
      </c>
      <c r="G221">
        <v>32</v>
      </c>
      <c r="H221">
        <v>16.68</v>
      </c>
    </row>
    <row r="222" spans="1:8">
      <c r="A222" s="1">
        <v>49</v>
      </c>
      <c r="B222" t="s">
        <v>3063</v>
      </c>
      <c r="C222">
        <v>86.36</v>
      </c>
      <c r="D222">
        <v>157.97</v>
      </c>
      <c r="E222">
        <v>0.88597899999999996</v>
      </c>
      <c r="F222">
        <v>26.27</v>
      </c>
      <c r="G222">
        <v>0</v>
      </c>
      <c r="H222">
        <v>19.55</v>
      </c>
    </row>
    <row r="223" spans="1:8">
      <c r="A223" s="1">
        <v>50</v>
      </c>
      <c r="B223" t="s">
        <v>3064</v>
      </c>
      <c r="C223">
        <v>77.2</v>
      </c>
      <c r="D223">
        <v>156.33000000000001</v>
      </c>
      <c r="E223">
        <v>0.86441599999999996</v>
      </c>
      <c r="F223">
        <v>3.3</v>
      </c>
      <c r="G223">
        <v>2</v>
      </c>
      <c r="H223">
        <v>18.07</v>
      </c>
    </row>
    <row r="224" spans="1:8">
      <c r="B224" s="1" t="s">
        <v>19</v>
      </c>
      <c r="C224" s="1">
        <f>AVERAGE(C174:C223)</f>
        <v>89.508600000000001</v>
      </c>
      <c r="D224" s="1" t="e">
        <f>AVERAGE(#REF!)</f>
        <v>#REF!</v>
      </c>
      <c r="E224" s="1" t="e">
        <f>AVERAGE(#REF!)</f>
        <v>#REF!</v>
      </c>
      <c r="F224" s="1" t="e">
        <f>AVERAGE(#REF!)</f>
        <v>#REF!</v>
      </c>
      <c r="H224" s="1" t="e">
        <f>AVERAGE(#REF!)</f>
        <v>#REF!</v>
      </c>
    </row>
    <row r="225" spans="1:8">
      <c r="B225" s="1" t="s">
        <v>20</v>
      </c>
      <c r="C225" s="1">
        <f>MIN(C173:C223)</f>
        <v>75.59</v>
      </c>
      <c r="D225" s="1">
        <f>MIN(D173:D223)</f>
        <v>155.81</v>
      </c>
      <c r="E225" s="1">
        <f>MIN(E173:E223)</f>
        <v>0.78708299999999998</v>
      </c>
      <c r="F225" s="1">
        <f>MIN(F173:F223)</f>
        <v>0.88</v>
      </c>
      <c r="H225" s="1">
        <f>MIN(H173:H223)</f>
        <v>16.68</v>
      </c>
    </row>
    <row r="226" spans="1:8">
      <c r="B226" s="1" t="s">
        <v>3</v>
      </c>
      <c r="C226" s="1" t="e">
        <f>STDEV(#REF!)</f>
        <v>#REF!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18" t="s">
        <v>1435</v>
      </c>
    </row>
    <row r="229" spans="1:8" ht="18">
      <c r="A229" s="18" t="s">
        <v>7</v>
      </c>
      <c r="B229" s="3" t="s">
        <v>2</v>
      </c>
      <c r="C229" s="18" t="s">
        <v>4</v>
      </c>
      <c r="D229" s="18" t="s">
        <v>322</v>
      </c>
      <c r="E229" s="18" t="s">
        <v>321</v>
      </c>
      <c r="F229" s="18" t="s">
        <v>324</v>
      </c>
      <c r="G229" s="18" t="s">
        <v>323</v>
      </c>
      <c r="H229" s="18" t="s">
        <v>1436</v>
      </c>
    </row>
    <row r="230" spans="1:8">
      <c r="A230" s="1">
        <v>1</v>
      </c>
      <c r="B230" t="s">
        <v>3115</v>
      </c>
      <c r="C230">
        <v>81.73</v>
      </c>
      <c r="D230">
        <v>235.84</v>
      </c>
      <c r="E230">
        <v>0.88828600000000002</v>
      </c>
      <c r="F230">
        <v>4.68</v>
      </c>
      <c r="G230">
        <v>50</v>
      </c>
      <c r="H230">
        <v>18.23</v>
      </c>
    </row>
    <row r="231" spans="1:8">
      <c r="A231" s="1">
        <v>2</v>
      </c>
      <c r="B231" t="s">
        <v>3116</v>
      </c>
      <c r="C231">
        <v>82.28</v>
      </c>
      <c r="D231">
        <v>236.06</v>
      </c>
      <c r="E231">
        <v>0.89266900000000005</v>
      </c>
      <c r="F231">
        <v>5.3</v>
      </c>
      <c r="G231">
        <v>38</v>
      </c>
      <c r="H231">
        <v>18.28</v>
      </c>
    </row>
    <row r="232" spans="1:8">
      <c r="A232" s="1">
        <v>3</v>
      </c>
      <c r="B232" t="s">
        <v>3117</v>
      </c>
      <c r="C232">
        <v>81.99</v>
      </c>
      <c r="D232">
        <v>236.37</v>
      </c>
      <c r="E232">
        <v>0.86632799999999999</v>
      </c>
      <c r="F232">
        <v>37.25</v>
      </c>
      <c r="G232">
        <v>30</v>
      </c>
      <c r="H232">
        <v>18.22</v>
      </c>
    </row>
    <row r="233" spans="1:8">
      <c r="A233" s="1">
        <v>4</v>
      </c>
      <c r="B233" t="s">
        <v>3118</v>
      </c>
      <c r="C233">
        <v>79.06</v>
      </c>
      <c r="D233">
        <v>235.05</v>
      </c>
      <c r="E233">
        <v>0.88881900000000003</v>
      </c>
      <c r="F233">
        <v>1.57</v>
      </c>
      <c r="G233">
        <v>20</v>
      </c>
      <c r="H233">
        <v>17.440000000000001</v>
      </c>
    </row>
    <row r="234" spans="1:8">
      <c r="A234" s="1">
        <v>5</v>
      </c>
      <c r="B234" t="s">
        <v>3119</v>
      </c>
      <c r="C234">
        <v>82.69</v>
      </c>
      <c r="D234">
        <v>235.93</v>
      </c>
      <c r="E234">
        <v>0.89566500000000004</v>
      </c>
      <c r="F234">
        <v>4.1500000000000004</v>
      </c>
      <c r="G234">
        <v>58</v>
      </c>
      <c r="H234">
        <v>18.34</v>
      </c>
    </row>
    <row r="235" spans="1:8">
      <c r="A235" s="1">
        <v>6</v>
      </c>
      <c r="B235" t="s">
        <v>3120</v>
      </c>
      <c r="C235">
        <v>74.09</v>
      </c>
      <c r="D235">
        <v>233.03</v>
      </c>
      <c r="E235">
        <v>0.85309800000000002</v>
      </c>
      <c r="F235">
        <v>1.84</v>
      </c>
      <c r="G235">
        <v>8</v>
      </c>
      <c r="H235">
        <v>16.34</v>
      </c>
    </row>
    <row r="236" spans="1:8">
      <c r="A236" s="1">
        <v>7</v>
      </c>
      <c r="B236" t="s">
        <v>3121</v>
      </c>
      <c r="C236">
        <v>80.650000000000006</v>
      </c>
      <c r="D236">
        <v>236.15</v>
      </c>
      <c r="E236">
        <v>0.88902599999999998</v>
      </c>
      <c r="F236">
        <v>25.54</v>
      </c>
      <c r="G236">
        <v>16</v>
      </c>
      <c r="H236">
        <v>18.100000000000001</v>
      </c>
    </row>
    <row r="237" spans="1:8">
      <c r="A237" s="1">
        <v>8</v>
      </c>
      <c r="B237" t="s">
        <v>3122</v>
      </c>
      <c r="C237">
        <v>76.02</v>
      </c>
      <c r="D237">
        <v>232.22</v>
      </c>
      <c r="E237">
        <v>0.79136799999999996</v>
      </c>
      <c r="F237">
        <v>2.57</v>
      </c>
      <c r="G237">
        <v>54</v>
      </c>
      <c r="H237">
        <v>16.920000000000002</v>
      </c>
    </row>
    <row r="238" spans="1:8">
      <c r="A238" s="1">
        <v>9</v>
      </c>
      <c r="B238" t="s">
        <v>3123</v>
      </c>
      <c r="C238">
        <v>81.489999999999995</v>
      </c>
      <c r="D238">
        <v>231.78</v>
      </c>
      <c r="E238">
        <v>0.82186499999999996</v>
      </c>
      <c r="F238">
        <v>0.19</v>
      </c>
      <c r="G238">
        <v>30</v>
      </c>
      <c r="H238">
        <v>17.829999999999998</v>
      </c>
    </row>
    <row r="239" spans="1:8">
      <c r="A239" s="1">
        <v>10</v>
      </c>
      <c r="B239" t="s">
        <v>3124</v>
      </c>
      <c r="C239">
        <v>76.099999999999994</v>
      </c>
      <c r="D239">
        <v>233.93</v>
      </c>
      <c r="E239">
        <v>0.819295</v>
      </c>
      <c r="F239">
        <v>3.11</v>
      </c>
      <c r="G239">
        <v>28</v>
      </c>
      <c r="H239">
        <v>16.7</v>
      </c>
    </row>
    <row r="240" spans="1:8">
      <c r="A240" s="1">
        <v>11</v>
      </c>
      <c r="B240" t="s">
        <v>3125</v>
      </c>
      <c r="C240">
        <v>82.09</v>
      </c>
      <c r="D240">
        <v>236.18</v>
      </c>
      <c r="E240">
        <v>0.83932799999999996</v>
      </c>
      <c r="F240">
        <v>32.18</v>
      </c>
      <c r="G240">
        <v>44</v>
      </c>
      <c r="H240">
        <v>18.13</v>
      </c>
    </row>
    <row r="241" spans="1:8">
      <c r="A241" s="1">
        <v>12</v>
      </c>
      <c r="B241" t="s">
        <v>3126</v>
      </c>
      <c r="C241">
        <v>83.92</v>
      </c>
      <c r="D241">
        <v>235.71</v>
      </c>
      <c r="E241">
        <v>0.84388799999999997</v>
      </c>
      <c r="F241">
        <v>4.03</v>
      </c>
      <c r="G241">
        <v>58</v>
      </c>
      <c r="H241">
        <v>18.91</v>
      </c>
    </row>
    <row r="242" spans="1:8">
      <c r="A242" s="1">
        <v>13</v>
      </c>
      <c r="B242" t="s">
        <v>3127</v>
      </c>
      <c r="C242">
        <v>70.569999999999993</v>
      </c>
      <c r="D242">
        <v>233.01</v>
      </c>
      <c r="E242">
        <v>0.851248</v>
      </c>
      <c r="F242">
        <v>1.19</v>
      </c>
      <c r="G242">
        <v>4</v>
      </c>
      <c r="H242">
        <v>15.96</v>
      </c>
    </row>
    <row r="243" spans="1:8">
      <c r="A243" s="1">
        <v>14</v>
      </c>
      <c r="B243" t="s">
        <v>3128</v>
      </c>
      <c r="C243">
        <v>88.64</v>
      </c>
      <c r="D243">
        <v>236.25</v>
      </c>
      <c r="E243">
        <v>0.87508600000000003</v>
      </c>
      <c r="F243">
        <v>1.31</v>
      </c>
      <c r="G243">
        <v>6</v>
      </c>
      <c r="H243">
        <v>18.829999999999998</v>
      </c>
    </row>
    <row r="244" spans="1:8">
      <c r="A244" s="1">
        <v>15</v>
      </c>
      <c r="B244" t="s">
        <v>3129</v>
      </c>
      <c r="C244">
        <v>79.5</v>
      </c>
      <c r="D244">
        <v>234.07</v>
      </c>
      <c r="E244">
        <v>0.86873800000000001</v>
      </c>
      <c r="F244">
        <v>1.42</v>
      </c>
      <c r="G244">
        <v>34</v>
      </c>
      <c r="H244">
        <v>17.47</v>
      </c>
    </row>
    <row r="245" spans="1:8">
      <c r="A245" s="1">
        <v>16</v>
      </c>
      <c r="B245" t="s">
        <v>3130</v>
      </c>
      <c r="C245">
        <v>82.21</v>
      </c>
      <c r="D245">
        <v>236.2</v>
      </c>
      <c r="E245">
        <v>0.89183500000000004</v>
      </c>
      <c r="F245">
        <v>11.79</v>
      </c>
      <c r="G245">
        <v>2</v>
      </c>
      <c r="H245">
        <v>18.22</v>
      </c>
    </row>
    <row r="246" spans="1:8">
      <c r="A246" s="1">
        <v>17</v>
      </c>
      <c r="B246" t="s">
        <v>3131</v>
      </c>
      <c r="C246">
        <v>79.19</v>
      </c>
      <c r="D246">
        <v>235.32</v>
      </c>
      <c r="E246">
        <v>0.84925799999999996</v>
      </c>
      <c r="F246">
        <v>17.55</v>
      </c>
      <c r="G246">
        <v>32</v>
      </c>
      <c r="H246">
        <v>17.73</v>
      </c>
    </row>
    <row r="247" spans="1:8">
      <c r="A247" s="1">
        <v>18</v>
      </c>
      <c r="B247" t="s">
        <v>3132</v>
      </c>
      <c r="C247">
        <v>85.12</v>
      </c>
      <c r="D247">
        <v>235.48</v>
      </c>
      <c r="E247">
        <v>0.85681200000000002</v>
      </c>
      <c r="F247">
        <v>1.42</v>
      </c>
      <c r="G247">
        <v>36</v>
      </c>
      <c r="H247">
        <v>18.309999999999999</v>
      </c>
    </row>
    <row r="248" spans="1:8">
      <c r="A248" s="1">
        <v>19</v>
      </c>
      <c r="B248" t="s">
        <v>3133</v>
      </c>
      <c r="C248">
        <v>90.06</v>
      </c>
      <c r="D248">
        <v>236.12</v>
      </c>
      <c r="E248">
        <v>0.86753000000000002</v>
      </c>
      <c r="F248">
        <v>3.23</v>
      </c>
      <c r="G248">
        <v>18</v>
      </c>
      <c r="H248">
        <v>20.13</v>
      </c>
    </row>
    <row r="249" spans="1:8">
      <c r="A249" s="1">
        <v>20</v>
      </c>
      <c r="B249" t="s">
        <v>3134</v>
      </c>
      <c r="C249">
        <v>80.61</v>
      </c>
      <c r="D249">
        <v>235.34</v>
      </c>
      <c r="E249">
        <v>0.87402400000000002</v>
      </c>
      <c r="F249">
        <v>2.61</v>
      </c>
      <c r="G249">
        <v>28</v>
      </c>
      <c r="H249">
        <v>17.72</v>
      </c>
    </row>
    <row r="250" spans="1:8">
      <c r="A250" s="1">
        <v>21</v>
      </c>
      <c r="B250" t="s">
        <v>3135</v>
      </c>
      <c r="C250">
        <v>74.319999999999993</v>
      </c>
      <c r="D250">
        <v>231.81</v>
      </c>
      <c r="E250">
        <v>0.77624099999999996</v>
      </c>
      <c r="F250">
        <v>0.61</v>
      </c>
      <c r="G250">
        <v>40</v>
      </c>
      <c r="H250">
        <v>16.41</v>
      </c>
    </row>
    <row r="251" spans="1:8">
      <c r="A251" s="1">
        <v>22</v>
      </c>
      <c r="B251" t="s">
        <v>3136</v>
      </c>
      <c r="C251">
        <v>83.8</v>
      </c>
      <c r="D251">
        <v>235.64</v>
      </c>
      <c r="E251">
        <v>0.82267999999999997</v>
      </c>
      <c r="F251">
        <v>4.03</v>
      </c>
      <c r="G251">
        <v>0</v>
      </c>
      <c r="H251">
        <v>18.36</v>
      </c>
    </row>
    <row r="252" spans="1:8">
      <c r="A252" s="1">
        <v>23</v>
      </c>
      <c r="B252" t="s">
        <v>3137</v>
      </c>
      <c r="C252">
        <v>85.63</v>
      </c>
      <c r="D252">
        <v>234.34</v>
      </c>
      <c r="E252">
        <v>0.85262099999999996</v>
      </c>
      <c r="F252">
        <v>1.54</v>
      </c>
      <c r="G252">
        <v>40</v>
      </c>
      <c r="H252">
        <v>19.37</v>
      </c>
    </row>
    <row r="253" spans="1:8">
      <c r="A253" s="1">
        <v>24</v>
      </c>
      <c r="B253" t="s">
        <v>3138</v>
      </c>
      <c r="C253">
        <v>71.290000000000006</v>
      </c>
      <c r="D253">
        <v>234.28</v>
      </c>
      <c r="E253">
        <v>0.86458500000000005</v>
      </c>
      <c r="F253">
        <v>22.96</v>
      </c>
      <c r="G253">
        <v>58</v>
      </c>
      <c r="H253">
        <v>16.39</v>
      </c>
    </row>
    <row r="254" spans="1:8">
      <c r="A254" s="1">
        <v>25</v>
      </c>
      <c r="B254" t="s">
        <v>3139</v>
      </c>
      <c r="C254">
        <v>77.760000000000005</v>
      </c>
      <c r="D254">
        <v>234.63</v>
      </c>
      <c r="E254">
        <v>0.83896300000000001</v>
      </c>
      <c r="F254">
        <v>3.07</v>
      </c>
      <c r="G254">
        <v>58</v>
      </c>
      <c r="H254">
        <v>18.010000000000002</v>
      </c>
    </row>
    <row r="255" spans="1:8">
      <c r="A255" s="1">
        <v>26</v>
      </c>
      <c r="B255" t="s">
        <v>3140</v>
      </c>
      <c r="C255">
        <v>85.16</v>
      </c>
      <c r="D255">
        <v>237.16</v>
      </c>
      <c r="E255">
        <v>0.91389699999999996</v>
      </c>
      <c r="F255">
        <v>33.979999999999997</v>
      </c>
      <c r="G255">
        <v>58</v>
      </c>
      <c r="H255">
        <v>18.809999999999999</v>
      </c>
    </row>
    <row r="256" spans="1:8">
      <c r="A256" s="1">
        <v>27</v>
      </c>
      <c r="B256" t="s">
        <v>3141</v>
      </c>
      <c r="C256">
        <v>79.39</v>
      </c>
      <c r="D256">
        <v>234.97</v>
      </c>
      <c r="E256">
        <v>0.89641400000000004</v>
      </c>
      <c r="F256">
        <v>1</v>
      </c>
      <c r="G256">
        <v>58</v>
      </c>
      <c r="H256">
        <v>17.32</v>
      </c>
    </row>
    <row r="257" spans="1:8">
      <c r="A257" s="1">
        <v>28</v>
      </c>
      <c r="B257" t="s">
        <v>3142</v>
      </c>
      <c r="C257">
        <v>74.64</v>
      </c>
      <c r="D257">
        <v>231.98</v>
      </c>
      <c r="E257">
        <v>0.78561199999999998</v>
      </c>
      <c r="F257">
        <v>1.08</v>
      </c>
      <c r="G257">
        <v>32</v>
      </c>
      <c r="H257">
        <v>16.97</v>
      </c>
    </row>
    <row r="258" spans="1:8">
      <c r="A258" s="1">
        <v>29</v>
      </c>
      <c r="B258" t="s">
        <v>3143</v>
      </c>
      <c r="C258">
        <v>86.38</v>
      </c>
      <c r="D258">
        <v>235.73</v>
      </c>
      <c r="E258">
        <v>0.85298600000000002</v>
      </c>
      <c r="F258">
        <v>1.77</v>
      </c>
      <c r="G258">
        <v>16</v>
      </c>
      <c r="H258">
        <v>18.61</v>
      </c>
    </row>
    <row r="259" spans="1:8">
      <c r="A259" s="1">
        <v>30</v>
      </c>
      <c r="B259" t="s">
        <v>3144</v>
      </c>
      <c r="C259">
        <v>89.56</v>
      </c>
      <c r="D259">
        <v>237.54</v>
      </c>
      <c r="E259">
        <v>0.88061599999999995</v>
      </c>
      <c r="F259">
        <v>31.91</v>
      </c>
      <c r="G259">
        <v>42</v>
      </c>
      <c r="H259">
        <v>19.93</v>
      </c>
    </row>
    <row r="260" spans="1:8">
      <c r="A260" s="1">
        <v>31</v>
      </c>
      <c r="B260" t="s">
        <v>3145</v>
      </c>
      <c r="C260">
        <v>82.28</v>
      </c>
      <c r="D260">
        <v>236.32</v>
      </c>
      <c r="E260">
        <v>0.893899</v>
      </c>
      <c r="F260">
        <v>18.010000000000002</v>
      </c>
      <c r="G260">
        <v>8</v>
      </c>
      <c r="H260">
        <v>18.510000000000002</v>
      </c>
    </row>
    <row r="261" spans="1:8">
      <c r="A261" s="1">
        <v>32</v>
      </c>
      <c r="B261" t="s">
        <v>3146</v>
      </c>
      <c r="C261">
        <v>79.2</v>
      </c>
      <c r="D261">
        <v>234.92</v>
      </c>
      <c r="E261">
        <v>0.85333800000000004</v>
      </c>
      <c r="F261">
        <v>3.57</v>
      </c>
      <c r="G261">
        <v>48</v>
      </c>
      <c r="H261">
        <v>17.600000000000001</v>
      </c>
    </row>
    <row r="262" spans="1:8">
      <c r="A262" s="1">
        <v>33</v>
      </c>
      <c r="B262" t="s">
        <v>3147</v>
      </c>
      <c r="C262">
        <v>82.61</v>
      </c>
      <c r="D262">
        <v>234.32</v>
      </c>
      <c r="E262">
        <v>0.83071499999999998</v>
      </c>
      <c r="F262">
        <v>2</v>
      </c>
      <c r="G262">
        <v>48</v>
      </c>
      <c r="H262">
        <v>18.47</v>
      </c>
    </row>
    <row r="263" spans="1:8">
      <c r="A263" s="1">
        <v>34</v>
      </c>
      <c r="B263" t="s">
        <v>3148</v>
      </c>
      <c r="C263">
        <v>81.38</v>
      </c>
      <c r="D263">
        <v>235.84</v>
      </c>
      <c r="E263">
        <v>0.85297100000000003</v>
      </c>
      <c r="F263">
        <v>16.55</v>
      </c>
      <c r="G263">
        <v>56</v>
      </c>
      <c r="H263">
        <v>18.190000000000001</v>
      </c>
    </row>
    <row r="264" spans="1:8">
      <c r="A264" s="1">
        <v>35</v>
      </c>
      <c r="B264" t="s">
        <v>3149</v>
      </c>
      <c r="C264">
        <v>89.52</v>
      </c>
      <c r="D264">
        <v>236.78</v>
      </c>
      <c r="E264">
        <v>0.90053700000000003</v>
      </c>
      <c r="F264">
        <v>2.19</v>
      </c>
      <c r="G264">
        <v>0</v>
      </c>
      <c r="H264">
        <v>19.399999999999999</v>
      </c>
    </row>
    <row r="265" spans="1:8">
      <c r="A265" s="1">
        <v>36</v>
      </c>
      <c r="B265" t="s">
        <v>3150</v>
      </c>
      <c r="C265">
        <v>77.95</v>
      </c>
      <c r="D265">
        <v>234.94</v>
      </c>
      <c r="E265">
        <v>0.88746100000000006</v>
      </c>
      <c r="F265">
        <v>3.15</v>
      </c>
      <c r="G265">
        <v>46</v>
      </c>
      <c r="H265">
        <v>17.45</v>
      </c>
    </row>
    <row r="266" spans="1:8">
      <c r="A266" s="1">
        <v>37</v>
      </c>
      <c r="B266" t="s">
        <v>3151</v>
      </c>
      <c r="C266">
        <v>81.55</v>
      </c>
      <c r="D266">
        <v>235.72</v>
      </c>
      <c r="E266">
        <v>0.877969</v>
      </c>
      <c r="F266">
        <v>5.07</v>
      </c>
      <c r="G266">
        <v>8</v>
      </c>
      <c r="H266">
        <v>17.57</v>
      </c>
    </row>
    <row r="267" spans="1:8">
      <c r="A267" s="1">
        <v>38</v>
      </c>
      <c r="B267" t="s">
        <v>3152</v>
      </c>
      <c r="C267">
        <v>88.26</v>
      </c>
      <c r="D267">
        <v>235.97</v>
      </c>
      <c r="E267">
        <v>0.86461100000000002</v>
      </c>
      <c r="F267">
        <v>1.31</v>
      </c>
      <c r="G267">
        <v>16</v>
      </c>
      <c r="H267">
        <v>19.09</v>
      </c>
    </row>
    <row r="268" spans="1:8">
      <c r="A268" s="1">
        <v>39</v>
      </c>
      <c r="B268" t="s">
        <v>3153</v>
      </c>
      <c r="C268">
        <v>72.41</v>
      </c>
      <c r="D268">
        <v>234.68</v>
      </c>
      <c r="E268">
        <v>0.86313499999999999</v>
      </c>
      <c r="F268">
        <v>27.11</v>
      </c>
      <c r="G268">
        <v>48</v>
      </c>
      <c r="H268">
        <v>17.34</v>
      </c>
    </row>
    <row r="269" spans="1:8">
      <c r="A269" s="1">
        <v>40</v>
      </c>
      <c r="B269" t="s">
        <v>3154</v>
      </c>
      <c r="C269">
        <v>80.040000000000006</v>
      </c>
      <c r="D269">
        <v>235.21</v>
      </c>
      <c r="E269">
        <v>0.86611099999999996</v>
      </c>
      <c r="F269">
        <v>3.49</v>
      </c>
      <c r="G269">
        <v>34</v>
      </c>
      <c r="H269">
        <v>17.95</v>
      </c>
    </row>
    <row r="270" spans="1:8">
      <c r="A270" s="1">
        <v>41</v>
      </c>
      <c r="B270" t="s">
        <v>3155</v>
      </c>
      <c r="C270">
        <v>86.24</v>
      </c>
      <c r="D270">
        <v>235.33</v>
      </c>
      <c r="E270">
        <v>0.81142300000000001</v>
      </c>
      <c r="F270">
        <v>5.15</v>
      </c>
      <c r="G270">
        <v>18</v>
      </c>
      <c r="H270">
        <v>18.09</v>
      </c>
    </row>
    <row r="271" spans="1:8">
      <c r="A271" s="1">
        <v>42</v>
      </c>
      <c r="B271" t="s">
        <v>3156</v>
      </c>
      <c r="C271">
        <v>79.900000000000006</v>
      </c>
      <c r="D271">
        <v>234.52</v>
      </c>
      <c r="E271">
        <v>0.80490099999999998</v>
      </c>
      <c r="F271">
        <v>8.9499999999999993</v>
      </c>
      <c r="G271">
        <v>48</v>
      </c>
      <c r="H271">
        <v>17.55</v>
      </c>
    </row>
    <row r="272" spans="1:8">
      <c r="A272" s="1">
        <v>43</v>
      </c>
      <c r="B272" t="s">
        <v>3157</v>
      </c>
      <c r="C272">
        <v>81.569999999999993</v>
      </c>
      <c r="D272">
        <v>235.22</v>
      </c>
      <c r="E272">
        <v>0.87934599999999996</v>
      </c>
      <c r="F272">
        <v>2.38</v>
      </c>
      <c r="G272">
        <v>34</v>
      </c>
      <c r="H272">
        <v>17.73</v>
      </c>
    </row>
    <row r="273" spans="1:8">
      <c r="A273" s="1">
        <v>44</v>
      </c>
      <c r="B273" t="s">
        <v>3158</v>
      </c>
      <c r="C273">
        <v>76.03</v>
      </c>
      <c r="D273">
        <v>233.68</v>
      </c>
      <c r="E273">
        <v>0.83838199999999996</v>
      </c>
      <c r="F273">
        <v>1.34</v>
      </c>
      <c r="G273">
        <v>6</v>
      </c>
      <c r="H273">
        <v>17.45</v>
      </c>
    </row>
    <row r="274" spans="1:8">
      <c r="A274" s="1">
        <v>45</v>
      </c>
      <c r="B274" t="s">
        <v>3159</v>
      </c>
      <c r="C274">
        <v>76.91</v>
      </c>
      <c r="D274">
        <v>235.57</v>
      </c>
      <c r="E274">
        <v>0.86543400000000004</v>
      </c>
      <c r="F274">
        <v>29.34</v>
      </c>
      <c r="G274">
        <v>0</v>
      </c>
      <c r="H274">
        <v>16.64</v>
      </c>
    </row>
    <row r="275" spans="1:8">
      <c r="A275" s="1">
        <v>46</v>
      </c>
      <c r="B275" t="s">
        <v>3160</v>
      </c>
      <c r="C275">
        <v>90.27</v>
      </c>
      <c r="D275">
        <v>237.89</v>
      </c>
      <c r="E275">
        <v>0.92023100000000002</v>
      </c>
      <c r="F275">
        <v>25.73</v>
      </c>
      <c r="G275">
        <v>10</v>
      </c>
      <c r="H275">
        <v>19.62</v>
      </c>
    </row>
    <row r="276" spans="1:8">
      <c r="A276" s="1">
        <v>47</v>
      </c>
      <c r="B276" t="s">
        <v>3161</v>
      </c>
      <c r="C276">
        <v>89.63</v>
      </c>
      <c r="D276">
        <v>237.89</v>
      </c>
      <c r="E276">
        <v>0.912107</v>
      </c>
      <c r="F276">
        <v>42.28</v>
      </c>
      <c r="G276">
        <v>32</v>
      </c>
      <c r="H276">
        <v>19.37</v>
      </c>
    </row>
    <row r="277" spans="1:8">
      <c r="A277" s="1">
        <v>48</v>
      </c>
      <c r="B277" t="s">
        <v>3162</v>
      </c>
      <c r="C277">
        <v>79.39</v>
      </c>
      <c r="D277">
        <v>235.35</v>
      </c>
      <c r="E277">
        <v>0.84969099999999997</v>
      </c>
      <c r="F277">
        <v>6.57</v>
      </c>
      <c r="G277">
        <v>48</v>
      </c>
      <c r="H277">
        <v>17.62</v>
      </c>
    </row>
    <row r="278" spans="1:8">
      <c r="A278" s="1">
        <v>49</v>
      </c>
      <c r="B278" t="s">
        <v>3163</v>
      </c>
      <c r="C278">
        <v>73.319999999999993</v>
      </c>
      <c r="D278">
        <v>235.32</v>
      </c>
      <c r="E278">
        <v>0.90926499999999999</v>
      </c>
      <c r="F278">
        <v>46.27</v>
      </c>
      <c r="G278">
        <v>40</v>
      </c>
      <c r="H278">
        <v>16.02</v>
      </c>
    </row>
    <row r="279" spans="1:8">
      <c r="A279" s="1">
        <v>50</v>
      </c>
      <c r="B279" t="s">
        <v>3164</v>
      </c>
      <c r="C279">
        <v>80.19</v>
      </c>
      <c r="D279">
        <v>235.56</v>
      </c>
      <c r="E279">
        <v>0.87320699999999996</v>
      </c>
      <c r="F279">
        <v>6.34</v>
      </c>
      <c r="G279">
        <v>14</v>
      </c>
      <c r="H279">
        <v>18.309999999999999</v>
      </c>
    </row>
    <row r="280" spans="1:8">
      <c r="B280" s="1" t="s">
        <v>19</v>
      </c>
      <c r="C280" s="1">
        <f>AVERAGE(C230:C279)</f>
        <v>81.091800000000006</v>
      </c>
      <c r="D280" s="1">
        <f t="shared" ref="D280:F280" si="5">AVERAGE(D230:D279)</f>
        <v>235.18299999999991</v>
      </c>
      <c r="E280" s="1">
        <f t="shared" si="5"/>
        <v>0.86127029999999993</v>
      </c>
      <c r="F280" s="1">
        <f t="shared" si="5"/>
        <v>10.433600000000002</v>
      </c>
      <c r="H280" s="1">
        <f t="shared" ref="H280" si="6">AVERAGE(H230:H279)</f>
        <v>17.959200000000003</v>
      </c>
    </row>
    <row r="281" spans="1:8">
      <c r="B281" s="1" t="s">
        <v>20</v>
      </c>
      <c r="C281" s="1">
        <f>MIN(C229:C279)</f>
        <v>70.569999999999993</v>
      </c>
      <c r="D281" s="1">
        <f t="shared" ref="D281:F281" si="7">MIN(D229:D279)</f>
        <v>231.78</v>
      </c>
      <c r="E281" s="1">
        <f t="shared" si="7"/>
        <v>0.77624099999999996</v>
      </c>
      <c r="F281" s="1">
        <f t="shared" si="7"/>
        <v>0.19</v>
      </c>
      <c r="H281" s="1">
        <f t="shared" ref="H281" si="8">MIN(H229:H279)</f>
        <v>15.96</v>
      </c>
    </row>
    <row r="282" spans="1:8">
      <c r="B282" s="1" t="s">
        <v>3</v>
      </c>
      <c r="C282" s="1">
        <f>STDEV(C230:C279)</f>
        <v>5.0322955730651548</v>
      </c>
      <c r="D282" s="1">
        <f t="shared" ref="D282:E282" si="9">STDEV(D230:D279)</f>
        <v>1.4186171047310305</v>
      </c>
      <c r="E282" s="1">
        <f t="shared" si="9"/>
        <v>3.3341904226348619E-2</v>
      </c>
      <c r="F282" s="1">
        <f>STDEV(F230:F279)</f>
        <v>12.774580588985678</v>
      </c>
      <c r="H282" s="1">
        <f>STDEV(H230:H279)</f>
        <v>0.97140092397631683</v>
      </c>
    </row>
    <row r="284" spans="1:8">
      <c r="H284" s="18" t="s">
        <v>1435</v>
      </c>
    </row>
    <row r="285" spans="1:8" ht="18">
      <c r="A285" s="18" t="s">
        <v>7</v>
      </c>
      <c r="B285" s="3" t="s">
        <v>10</v>
      </c>
      <c r="C285" s="18" t="s">
        <v>4</v>
      </c>
      <c r="D285" s="18" t="s">
        <v>322</v>
      </c>
      <c r="E285" s="18" t="s">
        <v>321</v>
      </c>
      <c r="F285" s="18" t="s">
        <v>324</v>
      </c>
      <c r="G285" s="18" t="s">
        <v>323</v>
      </c>
      <c r="H285" s="18" t="s">
        <v>1436</v>
      </c>
    </row>
    <row r="286" spans="1:8">
      <c r="A286" s="1">
        <v>1</v>
      </c>
      <c r="B286" t="s">
        <v>3165</v>
      </c>
      <c r="C286">
        <v>72.319999999999993</v>
      </c>
      <c r="D286">
        <v>312.19</v>
      </c>
      <c r="E286">
        <v>0.83246500000000001</v>
      </c>
      <c r="F286">
        <v>15.32</v>
      </c>
      <c r="G286">
        <v>30</v>
      </c>
      <c r="H286">
        <v>15.43</v>
      </c>
    </row>
    <row r="287" spans="1:8">
      <c r="A287" s="1">
        <v>2</v>
      </c>
      <c r="B287" t="s">
        <v>3166</v>
      </c>
      <c r="C287">
        <v>78.8</v>
      </c>
      <c r="D287">
        <v>310.8</v>
      </c>
      <c r="E287">
        <v>0.84069000000000005</v>
      </c>
      <c r="F287">
        <v>0.77</v>
      </c>
      <c r="G287">
        <v>50</v>
      </c>
      <c r="H287">
        <v>17.03</v>
      </c>
    </row>
    <row r="288" spans="1:8">
      <c r="A288" s="1">
        <v>3</v>
      </c>
      <c r="B288" t="s">
        <v>3167</v>
      </c>
      <c r="C288">
        <v>76.47</v>
      </c>
      <c r="D288">
        <v>312.52999999999997</v>
      </c>
      <c r="E288">
        <v>0.79682500000000001</v>
      </c>
      <c r="F288">
        <v>19.350000000000001</v>
      </c>
      <c r="G288">
        <v>68</v>
      </c>
      <c r="H288">
        <v>16.34</v>
      </c>
    </row>
    <row r="289" spans="1:8">
      <c r="A289" s="1">
        <v>4</v>
      </c>
      <c r="B289" t="s">
        <v>3168</v>
      </c>
      <c r="C289">
        <v>72.72</v>
      </c>
      <c r="D289">
        <v>310.35000000000002</v>
      </c>
      <c r="E289">
        <v>0.84777499999999995</v>
      </c>
      <c r="F289">
        <v>0.12</v>
      </c>
      <c r="G289">
        <v>40</v>
      </c>
      <c r="H289">
        <v>15.94</v>
      </c>
    </row>
    <row r="290" spans="1:8">
      <c r="A290" s="1">
        <v>5</v>
      </c>
      <c r="B290" t="s">
        <v>3169</v>
      </c>
      <c r="C290">
        <v>70.81</v>
      </c>
      <c r="D290">
        <v>311.52999999999997</v>
      </c>
      <c r="E290">
        <v>0.83126100000000003</v>
      </c>
      <c r="F290">
        <v>12.79</v>
      </c>
      <c r="G290">
        <v>38</v>
      </c>
      <c r="H290">
        <v>15.2</v>
      </c>
    </row>
    <row r="291" spans="1:8">
      <c r="A291" s="1">
        <v>6</v>
      </c>
      <c r="B291" t="s">
        <v>3170</v>
      </c>
      <c r="C291">
        <v>73.44</v>
      </c>
      <c r="D291">
        <v>311.77</v>
      </c>
      <c r="E291">
        <v>0.82838000000000001</v>
      </c>
      <c r="F291">
        <v>2.2999999999999998</v>
      </c>
      <c r="G291">
        <v>26</v>
      </c>
      <c r="H291">
        <v>16.45</v>
      </c>
    </row>
    <row r="292" spans="1:8">
      <c r="A292" s="1">
        <v>7</v>
      </c>
      <c r="B292" t="s">
        <v>3171</v>
      </c>
      <c r="C292">
        <v>70.66</v>
      </c>
      <c r="D292">
        <v>312.16000000000003</v>
      </c>
      <c r="E292">
        <v>0.84172199999999997</v>
      </c>
      <c r="F292">
        <v>22.89</v>
      </c>
      <c r="G292">
        <v>12</v>
      </c>
      <c r="H292">
        <v>15.09</v>
      </c>
    </row>
    <row r="293" spans="1:8">
      <c r="A293" s="1">
        <v>8</v>
      </c>
      <c r="B293" t="s">
        <v>3172</v>
      </c>
      <c r="C293">
        <v>71.73</v>
      </c>
      <c r="D293">
        <v>311.05</v>
      </c>
      <c r="E293">
        <v>0.80909299999999995</v>
      </c>
      <c r="F293">
        <v>3.38</v>
      </c>
      <c r="G293">
        <v>0</v>
      </c>
      <c r="H293">
        <v>15.88</v>
      </c>
    </row>
    <row r="294" spans="1:8">
      <c r="A294" s="1">
        <v>9</v>
      </c>
      <c r="B294" t="s">
        <v>3173</v>
      </c>
      <c r="C294">
        <v>72.83</v>
      </c>
      <c r="D294">
        <v>312.29000000000002</v>
      </c>
      <c r="E294">
        <v>0.88775700000000002</v>
      </c>
      <c r="F294">
        <v>1.69</v>
      </c>
      <c r="G294">
        <v>74</v>
      </c>
      <c r="H294">
        <v>15.91</v>
      </c>
    </row>
    <row r="295" spans="1:8">
      <c r="A295" s="1">
        <v>10</v>
      </c>
      <c r="B295" t="s">
        <v>3174</v>
      </c>
      <c r="C295">
        <v>63.24</v>
      </c>
      <c r="D295">
        <v>306.32</v>
      </c>
      <c r="E295">
        <v>0.73917299999999997</v>
      </c>
      <c r="F295">
        <v>0.88</v>
      </c>
      <c r="G295">
        <v>52</v>
      </c>
      <c r="H295">
        <v>13.71</v>
      </c>
    </row>
    <row r="296" spans="1:8">
      <c r="A296" s="1">
        <v>11</v>
      </c>
      <c r="B296" t="s">
        <v>3175</v>
      </c>
      <c r="C296">
        <v>74.8</v>
      </c>
      <c r="D296">
        <v>313.14999999999998</v>
      </c>
      <c r="E296">
        <v>0.87022500000000003</v>
      </c>
      <c r="F296">
        <v>17.739999999999998</v>
      </c>
      <c r="G296">
        <v>8</v>
      </c>
      <c r="H296">
        <v>16.170000000000002</v>
      </c>
    </row>
    <row r="297" spans="1:8">
      <c r="A297" s="1">
        <v>12</v>
      </c>
      <c r="B297" t="s">
        <v>3176</v>
      </c>
      <c r="C297">
        <v>74.69</v>
      </c>
      <c r="D297">
        <v>313.45999999999998</v>
      </c>
      <c r="E297">
        <v>0.89411200000000002</v>
      </c>
      <c r="F297">
        <v>14.25</v>
      </c>
      <c r="G297">
        <v>8</v>
      </c>
      <c r="H297">
        <v>16.73</v>
      </c>
    </row>
    <row r="298" spans="1:8">
      <c r="A298" s="1">
        <v>13</v>
      </c>
      <c r="B298" t="s">
        <v>3177</v>
      </c>
      <c r="C298">
        <v>75.150000000000006</v>
      </c>
      <c r="D298">
        <v>311.22000000000003</v>
      </c>
      <c r="E298">
        <v>0.80542000000000002</v>
      </c>
      <c r="F298">
        <v>1.88</v>
      </c>
      <c r="G298">
        <v>74</v>
      </c>
      <c r="H298">
        <v>15.89</v>
      </c>
    </row>
    <row r="299" spans="1:8">
      <c r="A299" s="1">
        <v>14</v>
      </c>
      <c r="B299" t="s">
        <v>3178</v>
      </c>
      <c r="C299">
        <v>73.44</v>
      </c>
      <c r="D299">
        <v>312.5</v>
      </c>
      <c r="E299">
        <v>0.81493400000000005</v>
      </c>
      <c r="F299">
        <v>21.08</v>
      </c>
      <c r="G299">
        <v>60</v>
      </c>
      <c r="H299">
        <v>16.059999999999999</v>
      </c>
    </row>
    <row r="300" spans="1:8">
      <c r="A300" s="1">
        <v>15</v>
      </c>
      <c r="B300" t="s">
        <v>3179</v>
      </c>
      <c r="C300">
        <v>73.5</v>
      </c>
      <c r="D300">
        <v>311</v>
      </c>
      <c r="E300">
        <v>0.85124100000000003</v>
      </c>
      <c r="F300">
        <v>1.19</v>
      </c>
      <c r="G300">
        <v>36</v>
      </c>
      <c r="H300">
        <v>16.41</v>
      </c>
    </row>
    <row r="301" spans="1:8">
      <c r="A301" s="1">
        <v>16</v>
      </c>
      <c r="B301" t="s">
        <v>3180</v>
      </c>
      <c r="C301">
        <v>70.94</v>
      </c>
      <c r="D301">
        <v>311.61</v>
      </c>
      <c r="E301">
        <v>0.84994800000000004</v>
      </c>
      <c r="F301">
        <v>6.57</v>
      </c>
      <c r="G301">
        <v>18</v>
      </c>
      <c r="H301">
        <v>15.93</v>
      </c>
    </row>
    <row r="302" spans="1:8">
      <c r="A302" s="1">
        <v>17</v>
      </c>
      <c r="B302" t="s">
        <v>3181</v>
      </c>
      <c r="C302">
        <v>73.52</v>
      </c>
      <c r="D302">
        <v>309.3</v>
      </c>
      <c r="E302">
        <v>0.82619299999999996</v>
      </c>
      <c r="F302">
        <v>1.31</v>
      </c>
      <c r="G302">
        <v>40</v>
      </c>
      <c r="H302">
        <v>16.32</v>
      </c>
    </row>
    <row r="303" spans="1:8">
      <c r="A303" s="1">
        <v>18</v>
      </c>
      <c r="B303" t="s">
        <v>3182</v>
      </c>
      <c r="C303">
        <v>68.02</v>
      </c>
      <c r="D303">
        <v>308.13</v>
      </c>
      <c r="E303">
        <v>0.82972400000000002</v>
      </c>
      <c r="F303">
        <v>0.46</v>
      </c>
      <c r="G303">
        <v>4</v>
      </c>
      <c r="H303">
        <v>15.17</v>
      </c>
    </row>
    <row r="304" spans="1:8">
      <c r="A304" s="1">
        <v>19</v>
      </c>
      <c r="B304" t="s">
        <v>3183</v>
      </c>
      <c r="C304">
        <v>72.02</v>
      </c>
      <c r="D304">
        <v>312.02</v>
      </c>
      <c r="E304">
        <v>0.83495699999999995</v>
      </c>
      <c r="F304">
        <v>12.6</v>
      </c>
      <c r="G304">
        <v>16</v>
      </c>
      <c r="H304">
        <v>16.23</v>
      </c>
    </row>
    <row r="305" spans="1:8">
      <c r="A305" s="1">
        <v>20</v>
      </c>
      <c r="B305" t="s">
        <v>3184</v>
      </c>
      <c r="C305">
        <v>69.69</v>
      </c>
      <c r="D305">
        <v>311.39999999999998</v>
      </c>
      <c r="E305">
        <v>0.83019799999999999</v>
      </c>
      <c r="F305">
        <v>10.44</v>
      </c>
      <c r="G305">
        <v>68</v>
      </c>
      <c r="H305">
        <v>15.29</v>
      </c>
    </row>
    <row r="306" spans="1:8">
      <c r="A306" s="1">
        <v>21</v>
      </c>
      <c r="B306" t="s">
        <v>3185</v>
      </c>
      <c r="C306">
        <v>67.7</v>
      </c>
      <c r="D306">
        <v>308.12</v>
      </c>
      <c r="E306">
        <v>0.834982</v>
      </c>
      <c r="F306">
        <v>0.08</v>
      </c>
      <c r="G306">
        <v>38</v>
      </c>
      <c r="H306">
        <v>14.44</v>
      </c>
    </row>
    <row r="307" spans="1:8">
      <c r="A307" s="1">
        <v>22</v>
      </c>
      <c r="B307" t="s">
        <v>3186</v>
      </c>
      <c r="C307">
        <v>75.97</v>
      </c>
      <c r="D307">
        <v>308.95</v>
      </c>
      <c r="E307">
        <v>0.79098999999999997</v>
      </c>
      <c r="F307">
        <v>0.08</v>
      </c>
      <c r="G307">
        <v>22</v>
      </c>
      <c r="H307">
        <v>16.27</v>
      </c>
    </row>
    <row r="308" spans="1:8">
      <c r="A308" s="1">
        <v>23</v>
      </c>
      <c r="B308" t="s">
        <v>3187</v>
      </c>
      <c r="C308">
        <v>72.680000000000007</v>
      </c>
      <c r="D308">
        <v>311.45999999999998</v>
      </c>
      <c r="E308">
        <v>0.83790299999999995</v>
      </c>
      <c r="F308">
        <v>1.31</v>
      </c>
      <c r="G308">
        <v>52</v>
      </c>
      <c r="H308">
        <v>15.97</v>
      </c>
    </row>
    <row r="309" spans="1:8">
      <c r="A309" s="1">
        <v>24</v>
      </c>
      <c r="B309" t="s">
        <v>3188</v>
      </c>
      <c r="C309">
        <v>75.69</v>
      </c>
      <c r="D309">
        <v>311.41000000000003</v>
      </c>
      <c r="E309">
        <v>0.81958799999999998</v>
      </c>
      <c r="F309">
        <v>2.19</v>
      </c>
      <c r="G309">
        <v>66</v>
      </c>
      <c r="H309">
        <v>16.36</v>
      </c>
    </row>
    <row r="310" spans="1:8">
      <c r="A310" s="1">
        <v>25</v>
      </c>
      <c r="B310" t="s">
        <v>3189</v>
      </c>
      <c r="C310">
        <v>78.78</v>
      </c>
      <c r="D310">
        <v>314.32</v>
      </c>
      <c r="E310">
        <v>0.874224</v>
      </c>
      <c r="F310">
        <v>22.39</v>
      </c>
      <c r="G310">
        <v>4</v>
      </c>
      <c r="H310">
        <v>17.850000000000001</v>
      </c>
    </row>
    <row r="311" spans="1:8">
      <c r="A311" s="1">
        <v>26</v>
      </c>
      <c r="B311" t="s">
        <v>3190</v>
      </c>
      <c r="C311">
        <v>78.61</v>
      </c>
      <c r="D311">
        <v>314.35000000000002</v>
      </c>
      <c r="E311">
        <v>0.89583999999999997</v>
      </c>
      <c r="F311">
        <v>10.68</v>
      </c>
      <c r="G311">
        <v>68</v>
      </c>
      <c r="H311">
        <v>17.25</v>
      </c>
    </row>
    <row r="312" spans="1:8">
      <c r="A312" s="1">
        <v>27</v>
      </c>
      <c r="B312" t="s">
        <v>3191</v>
      </c>
      <c r="C312">
        <v>73.319999999999993</v>
      </c>
      <c r="D312">
        <v>310.86</v>
      </c>
      <c r="E312">
        <v>0.84717799999999999</v>
      </c>
      <c r="F312">
        <v>1.27</v>
      </c>
      <c r="G312">
        <v>40</v>
      </c>
      <c r="H312">
        <v>16.13</v>
      </c>
    </row>
    <row r="313" spans="1:8">
      <c r="A313" s="1">
        <v>28</v>
      </c>
      <c r="B313" t="s">
        <v>3192</v>
      </c>
      <c r="C313">
        <v>70.03</v>
      </c>
      <c r="D313">
        <v>309.69</v>
      </c>
      <c r="E313">
        <v>0.78583599999999998</v>
      </c>
      <c r="F313">
        <v>2.84</v>
      </c>
      <c r="G313">
        <v>54</v>
      </c>
      <c r="H313">
        <v>15.68</v>
      </c>
    </row>
    <row r="314" spans="1:8">
      <c r="A314" s="1">
        <v>29</v>
      </c>
      <c r="B314" t="s">
        <v>3193</v>
      </c>
      <c r="C314">
        <v>71.09</v>
      </c>
      <c r="D314">
        <v>307.67</v>
      </c>
      <c r="E314">
        <v>0.77405000000000002</v>
      </c>
      <c r="F314">
        <v>1.08</v>
      </c>
      <c r="G314">
        <v>40</v>
      </c>
      <c r="H314">
        <v>15.07</v>
      </c>
    </row>
    <row r="315" spans="1:8">
      <c r="A315" s="1">
        <v>30</v>
      </c>
      <c r="B315" t="s">
        <v>3194</v>
      </c>
      <c r="C315">
        <v>70.23</v>
      </c>
      <c r="D315">
        <v>310.62</v>
      </c>
      <c r="E315">
        <v>0.80784500000000004</v>
      </c>
      <c r="F315">
        <v>2.34</v>
      </c>
      <c r="G315">
        <v>66</v>
      </c>
      <c r="H315">
        <v>15.35</v>
      </c>
    </row>
    <row r="316" spans="1:8">
      <c r="A316" s="1">
        <v>31</v>
      </c>
      <c r="B316" t="s">
        <v>3195</v>
      </c>
      <c r="C316">
        <v>70.64</v>
      </c>
      <c r="D316">
        <v>311.31</v>
      </c>
      <c r="E316">
        <v>0.84062700000000001</v>
      </c>
      <c r="F316">
        <v>3</v>
      </c>
      <c r="G316">
        <v>16</v>
      </c>
      <c r="H316">
        <v>15.55</v>
      </c>
    </row>
    <row r="317" spans="1:8">
      <c r="A317" s="1">
        <v>32</v>
      </c>
      <c r="B317" t="s">
        <v>3196</v>
      </c>
      <c r="C317">
        <v>80.05</v>
      </c>
      <c r="D317">
        <v>311.58999999999997</v>
      </c>
      <c r="E317">
        <v>0.83828800000000003</v>
      </c>
      <c r="F317">
        <v>0.31</v>
      </c>
      <c r="G317">
        <v>58</v>
      </c>
      <c r="H317">
        <v>17.34</v>
      </c>
    </row>
    <row r="318" spans="1:8">
      <c r="A318" s="1">
        <v>33</v>
      </c>
      <c r="B318" t="s">
        <v>3197</v>
      </c>
      <c r="C318">
        <v>73.23</v>
      </c>
      <c r="D318">
        <v>308.52999999999997</v>
      </c>
      <c r="E318">
        <v>0.77575799999999995</v>
      </c>
      <c r="F318">
        <v>0.77</v>
      </c>
      <c r="G318">
        <v>10</v>
      </c>
      <c r="H318">
        <v>15.51</v>
      </c>
    </row>
    <row r="319" spans="1:8">
      <c r="A319" s="1">
        <v>34</v>
      </c>
      <c r="B319" t="s">
        <v>3198</v>
      </c>
      <c r="C319">
        <v>73.34</v>
      </c>
      <c r="D319">
        <v>312.13</v>
      </c>
      <c r="E319">
        <v>0.83419100000000002</v>
      </c>
      <c r="F319">
        <v>4.34</v>
      </c>
      <c r="G319">
        <v>38</v>
      </c>
      <c r="H319">
        <v>15.71</v>
      </c>
    </row>
    <row r="320" spans="1:8">
      <c r="A320" s="1">
        <v>35</v>
      </c>
      <c r="B320" t="s">
        <v>3199</v>
      </c>
      <c r="C320">
        <v>72.69</v>
      </c>
      <c r="D320">
        <v>310.47000000000003</v>
      </c>
      <c r="E320">
        <v>0.80734099999999998</v>
      </c>
      <c r="F320">
        <v>1.42</v>
      </c>
      <c r="G320">
        <v>34</v>
      </c>
      <c r="H320">
        <v>15.76</v>
      </c>
    </row>
    <row r="321" spans="1:8">
      <c r="A321" s="1">
        <v>36</v>
      </c>
      <c r="B321" t="s">
        <v>3200</v>
      </c>
      <c r="C321">
        <v>70.459999999999994</v>
      </c>
      <c r="D321">
        <v>305.45999999999998</v>
      </c>
      <c r="E321">
        <v>0.73679300000000003</v>
      </c>
      <c r="F321">
        <v>0.04</v>
      </c>
      <c r="G321">
        <v>34</v>
      </c>
      <c r="H321">
        <v>15.34</v>
      </c>
    </row>
    <row r="322" spans="1:8">
      <c r="A322" s="1">
        <v>37</v>
      </c>
      <c r="B322" t="s">
        <v>3201</v>
      </c>
      <c r="C322">
        <v>73.66</v>
      </c>
      <c r="D322">
        <v>309.24</v>
      </c>
      <c r="E322">
        <v>0.82357999999999998</v>
      </c>
      <c r="F322">
        <v>0.5</v>
      </c>
      <c r="G322">
        <v>44</v>
      </c>
      <c r="H322">
        <v>15.9</v>
      </c>
    </row>
    <row r="323" spans="1:8">
      <c r="A323" s="1">
        <v>38</v>
      </c>
      <c r="B323" t="s">
        <v>3202</v>
      </c>
      <c r="C323">
        <v>72.290000000000006</v>
      </c>
      <c r="D323">
        <v>311.33</v>
      </c>
      <c r="E323">
        <v>0.86003300000000005</v>
      </c>
      <c r="F323">
        <v>1.23</v>
      </c>
      <c r="G323">
        <v>6</v>
      </c>
      <c r="H323">
        <v>16.02</v>
      </c>
    </row>
    <row r="324" spans="1:8">
      <c r="A324" s="1">
        <v>39</v>
      </c>
      <c r="B324" t="s">
        <v>3203</v>
      </c>
      <c r="C324">
        <v>73.739999999999995</v>
      </c>
      <c r="D324">
        <v>313.39</v>
      </c>
      <c r="E324">
        <v>0.86878299999999997</v>
      </c>
      <c r="F324">
        <v>34.18</v>
      </c>
      <c r="G324">
        <v>24</v>
      </c>
      <c r="H324">
        <v>16.04</v>
      </c>
    </row>
    <row r="325" spans="1:8">
      <c r="A325" s="1">
        <v>40</v>
      </c>
      <c r="B325" t="s">
        <v>3204</v>
      </c>
      <c r="C325">
        <v>72.849999999999994</v>
      </c>
      <c r="D325">
        <v>312.39</v>
      </c>
      <c r="E325">
        <v>0.86177899999999996</v>
      </c>
      <c r="F325">
        <v>6.3</v>
      </c>
      <c r="G325">
        <v>48</v>
      </c>
      <c r="H325">
        <v>16.329999999999998</v>
      </c>
    </row>
    <row r="326" spans="1:8">
      <c r="A326" s="1">
        <v>41</v>
      </c>
      <c r="B326" t="s">
        <v>3205</v>
      </c>
      <c r="C326">
        <v>69.86</v>
      </c>
      <c r="D326">
        <v>310.23</v>
      </c>
      <c r="E326">
        <v>0.80313500000000004</v>
      </c>
      <c r="F326">
        <v>1.57</v>
      </c>
      <c r="G326">
        <v>0</v>
      </c>
      <c r="H326">
        <v>15.1</v>
      </c>
    </row>
    <row r="327" spans="1:8">
      <c r="A327" s="1">
        <v>42</v>
      </c>
      <c r="B327" t="s">
        <v>3206</v>
      </c>
      <c r="C327">
        <v>66.86</v>
      </c>
      <c r="D327">
        <v>310.08</v>
      </c>
      <c r="E327">
        <v>0.80303800000000003</v>
      </c>
      <c r="F327">
        <v>4.68</v>
      </c>
      <c r="G327">
        <v>20</v>
      </c>
      <c r="H327">
        <v>14.72</v>
      </c>
    </row>
    <row r="328" spans="1:8">
      <c r="A328" s="1">
        <v>43</v>
      </c>
      <c r="B328" t="s">
        <v>3207</v>
      </c>
      <c r="C328">
        <v>67.7</v>
      </c>
      <c r="D328">
        <v>311.11</v>
      </c>
      <c r="E328">
        <v>0.84776899999999999</v>
      </c>
      <c r="F328">
        <v>9.14</v>
      </c>
      <c r="G328">
        <v>38</v>
      </c>
      <c r="H328">
        <v>14.4</v>
      </c>
    </row>
    <row r="329" spans="1:8">
      <c r="A329" s="1">
        <v>44</v>
      </c>
      <c r="B329" t="s">
        <v>3208</v>
      </c>
      <c r="C329">
        <v>69.22</v>
      </c>
      <c r="D329">
        <v>310.76</v>
      </c>
      <c r="E329">
        <v>0.82893899999999998</v>
      </c>
      <c r="F329">
        <v>3.11</v>
      </c>
      <c r="G329">
        <v>2</v>
      </c>
      <c r="H329">
        <v>14.88</v>
      </c>
    </row>
    <row r="330" spans="1:8">
      <c r="A330" s="1">
        <v>45</v>
      </c>
      <c r="B330" t="s">
        <v>3209</v>
      </c>
      <c r="C330">
        <v>76.06</v>
      </c>
      <c r="D330">
        <v>309.22000000000003</v>
      </c>
      <c r="E330">
        <v>0.816716</v>
      </c>
      <c r="F330">
        <v>0.84</v>
      </c>
      <c r="G330">
        <v>32</v>
      </c>
      <c r="H330">
        <v>16.45</v>
      </c>
    </row>
    <row r="331" spans="1:8">
      <c r="A331" s="1">
        <v>46</v>
      </c>
      <c r="B331" t="s">
        <v>3210</v>
      </c>
      <c r="C331">
        <v>71.55</v>
      </c>
      <c r="D331">
        <v>311.79000000000002</v>
      </c>
      <c r="E331">
        <v>0.838669</v>
      </c>
      <c r="F331">
        <v>10.14</v>
      </c>
      <c r="G331">
        <v>12</v>
      </c>
      <c r="H331">
        <v>15.72</v>
      </c>
    </row>
    <row r="332" spans="1:8">
      <c r="A332" s="1">
        <v>47</v>
      </c>
      <c r="B332" t="s">
        <v>3211</v>
      </c>
      <c r="C332">
        <v>68.650000000000006</v>
      </c>
      <c r="D332">
        <v>310.61</v>
      </c>
      <c r="E332">
        <v>0.832789</v>
      </c>
      <c r="F332">
        <v>2.38</v>
      </c>
      <c r="G332">
        <v>22</v>
      </c>
      <c r="H332">
        <v>15.74</v>
      </c>
    </row>
    <row r="333" spans="1:8">
      <c r="A333" s="1">
        <v>48</v>
      </c>
      <c r="B333" t="s">
        <v>3212</v>
      </c>
      <c r="C333">
        <v>70.75</v>
      </c>
      <c r="D333">
        <v>312.74</v>
      </c>
      <c r="E333">
        <v>0.86863100000000004</v>
      </c>
      <c r="F333">
        <v>27.3</v>
      </c>
      <c r="G333">
        <v>32</v>
      </c>
      <c r="H333">
        <v>15.25</v>
      </c>
    </row>
    <row r="334" spans="1:8">
      <c r="A334" s="1">
        <v>49</v>
      </c>
      <c r="B334" t="s">
        <v>3213</v>
      </c>
      <c r="C334">
        <v>69.63</v>
      </c>
      <c r="D334">
        <v>310.64</v>
      </c>
      <c r="E334">
        <v>0.78375099999999998</v>
      </c>
      <c r="F334">
        <v>14.86</v>
      </c>
      <c r="G334">
        <v>42</v>
      </c>
      <c r="H334">
        <v>16.37</v>
      </c>
    </row>
    <row r="335" spans="1:8">
      <c r="A335" s="1">
        <v>50</v>
      </c>
      <c r="B335" t="s">
        <v>3214</v>
      </c>
      <c r="C335">
        <v>72.27</v>
      </c>
      <c r="D335">
        <v>312.58999999999997</v>
      </c>
      <c r="E335">
        <v>0.87056699999999998</v>
      </c>
      <c r="F335">
        <v>8.7899999999999991</v>
      </c>
      <c r="G335">
        <v>66</v>
      </c>
      <c r="H335">
        <v>15.78</v>
      </c>
    </row>
    <row r="336" spans="1:8">
      <c r="B336" s="1" t="s">
        <v>19</v>
      </c>
      <c r="C336" s="1">
        <f>AVERAGE(C286:C335)</f>
        <v>72.367800000000003</v>
      </c>
      <c r="D336" s="1" t="e">
        <f>AVERAGE(#REF!)</f>
        <v>#REF!</v>
      </c>
      <c r="E336" s="1" t="e">
        <f>AVERAGE(#REF!)</f>
        <v>#REF!</v>
      </c>
      <c r="F336" s="1" t="e">
        <f>AVERAGE(#REF!)</f>
        <v>#REF!</v>
      </c>
      <c r="H336" s="1" t="e">
        <f>AVERAGE(#REF!)</f>
        <v>#REF!</v>
      </c>
    </row>
    <row r="337" spans="1:8">
      <c r="B337" s="1" t="s">
        <v>20</v>
      </c>
      <c r="C337" s="1">
        <f>MIN(C285:C335)</f>
        <v>63.24</v>
      </c>
      <c r="D337" s="1">
        <f>MIN(D285:D335)</f>
        <v>305.45999999999998</v>
      </c>
      <c r="E337" s="1">
        <f>MIN(E285:E335)</f>
        <v>0.73679300000000003</v>
      </c>
      <c r="F337" s="1">
        <f>MIN(F285:F335)</f>
        <v>0.04</v>
      </c>
      <c r="H337" s="1">
        <f>MIN(H285:H335)</f>
        <v>13.71</v>
      </c>
    </row>
    <row r="338" spans="1:8">
      <c r="B338" s="1" t="s">
        <v>3</v>
      </c>
      <c r="C338" s="1" t="e">
        <f>STDEV(#REF!)</f>
        <v>#REF!</v>
      </c>
      <c r="D338" s="1" t="e">
        <f>STDEV(#REF!)</f>
        <v>#REF!</v>
      </c>
      <c r="E338" s="1" t="e">
        <f>STDEV(#REF!)</f>
        <v>#REF!</v>
      </c>
      <c r="F338" s="1" t="e">
        <f>STDEV(#REF!)</f>
        <v>#REF!</v>
      </c>
      <c r="H338" s="1" t="e">
        <f>STDEV(#REF!)</f>
        <v>#REF!</v>
      </c>
    </row>
    <row r="340" spans="1:8">
      <c r="H340" s="18" t="s">
        <v>1435</v>
      </c>
    </row>
    <row r="341" spans="1:8" ht="18">
      <c r="A341" s="18" t="s">
        <v>7</v>
      </c>
      <c r="B341" s="3" t="s">
        <v>6</v>
      </c>
      <c r="C341" s="18" t="s">
        <v>4</v>
      </c>
      <c r="D341" s="18" t="s">
        <v>322</v>
      </c>
      <c r="E341" s="18" t="s">
        <v>321</v>
      </c>
      <c r="F341" s="18" t="s">
        <v>324</v>
      </c>
      <c r="G341" s="18" t="s">
        <v>323</v>
      </c>
      <c r="H341" s="18" t="s">
        <v>1436</v>
      </c>
    </row>
    <row r="342" spans="1:8">
      <c r="A342" s="1">
        <v>1</v>
      </c>
    </row>
    <row r="343" spans="1:8">
      <c r="A343" s="1">
        <v>2</v>
      </c>
    </row>
    <row r="344" spans="1:8">
      <c r="A344" s="1">
        <v>3</v>
      </c>
    </row>
    <row r="345" spans="1:8">
      <c r="A345" s="1">
        <v>4</v>
      </c>
    </row>
    <row r="346" spans="1:8">
      <c r="A346" s="1">
        <v>5</v>
      </c>
    </row>
    <row r="347" spans="1:8">
      <c r="A347" s="1">
        <v>6</v>
      </c>
    </row>
    <row r="348" spans="1:8">
      <c r="A348" s="1">
        <v>7</v>
      </c>
    </row>
    <row r="349" spans="1:8">
      <c r="A349" s="1">
        <v>8</v>
      </c>
    </row>
    <row r="350" spans="1:8">
      <c r="A350" s="1">
        <v>9</v>
      </c>
    </row>
    <row r="351" spans="1:8">
      <c r="A351" s="1">
        <v>10</v>
      </c>
    </row>
    <row r="352" spans="1:8">
      <c r="A352" s="1">
        <v>11</v>
      </c>
    </row>
    <row r="353" spans="1:1">
      <c r="A353" s="1">
        <v>12</v>
      </c>
    </row>
    <row r="354" spans="1:1">
      <c r="A354" s="1">
        <v>13</v>
      </c>
    </row>
    <row r="355" spans="1:1">
      <c r="A355" s="1">
        <v>14</v>
      </c>
    </row>
    <row r="356" spans="1:1">
      <c r="A356" s="1">
        <v>15</v>
      </c>
    </row>
    <row r="357" spans="1:1">
      <c r="A357" s="1">
        <v>16</v>
      </c>
    </row>
    <row r="358" spans="1:1">
      <c r="A358" s="1">
        <v>17</v>
      </c>
    </row>
    <row r="359" spans="1:1">
      <c r="A359" s="1">
        <v>18</v>
      </c>
    </row>
    <row r="360" spans="1:1">
      <c r="A360" s="1">
        <v>19</v>
      </c>
    </row>
    <row r="361" spans="1:1">
      <c r="A361" s="1">
        <v>20</v>
      </c>
    </row>
    <row r="362" spans="1:1">
      <c r="A362" s="1">
        <v>21</v>
      </c>
    </row>
    <row r="363" spans="1:1">
      <c r="A363" s="1">
        <v>22</v>
      </c>
    </row>
    <row r="364" spans="1:1">
      <c r="A364" s="1">
        <v>23</v>
      </c>
    </row>
    <row r="365" spans="1:1">
      <c r="A365" s="1">
        <v>24</v>
      </c>
    </row>
    <row r="366" spans="1:1">
      <c r="A366" s="1">
        <v>25</v>
      </c>
    </row>
    <row r="367" spans="1:1">
      <c r="A367" s="1">
        <v>26</v>
      </c>
    </row>
    <row r="368" spans="1:1">
      <c r="A368" s="1">
        <v>27</v>
      </c>
    </row>
    <row r="369" spans="1:1">
      <c r="A369" s="1">
        <v>28</v>
      </c>
    </row>
    <row r="370" spans="1:1">
      <c r="A370" s="1">
        <v>29</v>
      </c>
    </row>
    <row r="371" spans="1:1">
      <c r="A371" s="1">
        <v>30</v>
      </c>
    </row>
    <row r="372" spans="1:1">
      <c r="A372" s="1">
        <v>31</v>
      </c>
    </row>
    <row r="373" spans="1:1">
      <c r="A373" s="1">
        <v>32</v>
      </c>
    </row>
    <row r="374" spans="1:1">
      <c r="A374" s="1">
        <v>33</v>
      </c>
    </row>
    <row r="375" spans="1:1">
      <c r="A375" s="1">
        <v>34</v>
      </c>
    </row>
    <row r="376" spans="1:1">
      <c r="A376" s="1">
        <v>35</v>
      </c>
    </row>
    <row r="377" spans="1:1">
      <c r="A377" s="1">
        <v>36</v>
      </c>
    </row>
    <row r="378" spans="1:1">
      <c r="A378" s="1">
        <v>37</v>
      </c>
    </row>
    <row r="379" spans="1:1">
      <c r="A379" s="1">
        <v>38</v>
      </c>
    </row>
    <row r="380" spans="1:1">
      <c r="A380" s="1">
        <v>39</v>
      </c>
    </row>
    <row r="381" spans="1:1">
      <c r="A381" s="1">
        <v>40</v>
      </c>
    </row>
    <row r="382" spans="1:1">
      <c r="A382" s="1">
        <v>41</v>
      </c>
    </row>
    <row r="383" spans="1:1">
      <c r="A383" s="1">
        <v>42</v>
      </c>
    </row>
    <row r="384" spans="1:1">
      <c r="A384" s="1">
        <v>43</v>
      </c>
    </row>
    <row r="385" spans="1:8">
      <c r="A385" s="1">
        <v>44</v>
      </c>
    </row>
    <row r="386" spans="1:8">
      <c r="A386" s="1">
        <v>45</v>
      </c>
    </row>
    <row r="387" spans="1:8">
      <c r="A387" s="1">
        <v>46</v>
      </c>
    </row>
    <row r="388" spans="1:8">
      <c r="A388" s="1">
        <v>47</v>
      </c>
    </row>
    <row r="389" spans="1:8">
      <c r="A389" s="1">
        <v>48</v>
      </c>
    </row>
    <row r="390" spans="1:8">
      <c r="A390" s="1">
        <v>49</v>
      </c>
    </row>
    <row r="391" spans="1:8">
      <c r="A391" s="1">
        <v>50</v>
      </c>
    </row>
    <row r="392" spans="1:8">
      <c r="B392" s="1" t="s">
        <v>19</v>
      </c>
      <c r="C392" s="1" t="e">
        <f>AVERAGE(C342:C391)</f>
        <v>#DIV/0!</v>
      </c>
      <c r="D392" s="1" t="e">
        <f t="shared" ref="D392:F392" si="10">AVERAGE(D342:D391)</f>
        <v>#DIV/0!</v>
      </c>
      <c r="E392" s="1" t="e">
        <f t="shared" si="10"/>
        <v>#DIV/0!</v>
      </c>
      <c r="F392" s="1" t="e">
        <f t="shared" si="10"/>
        <v>#DIV/0!</v>
      </c>
      <c r="H392" s="1" t="e">
        <f t="shared" ref="H392" si="11">AVERAGE(H342:H391)</f>
        <v>#DIV/0!</v>
      </c>
    </row>
    <row r="393" spans="1:8">
      <c r="B393" s="1" t="s">
        <v>20</v>
      </c>
      <c r="C393" s="1">
        <f>MIN(C341:C391)</f>
        <v>0</v>
      </c>
      <c r="D393" s="1">
        <f t="shared" ref="D393:F393" si="12">MIN(D341:D391)</f>
        <v>0</v>
      </c>
      <c r="E393" s="1">
        <f t="shared" si="12"/>
        <v>0</v>
      </c>
      <c r="F393" s="1">
        <f t="shared" si="12"/>
        <v>0</v>
      </c>
      <c r="H393" s="1">
        <f t="shared" ref="H393" si="13">MIN(H341:H391)</f>
        <v>0</v>
      </c>
    </row>
    <row r="394" spans="1:8">
      <c r="B394" s="1" t="s">
        <v>3</v>
      </c>
      <c r="C394" s="1" t="e">
        <f>STDEV(C342:C391)</f>
        <v>#DIV/0!</v>
      </c>
      <c r="D394" s="1" t="e">
        <f t="shared" ref="D394:E394" si="14">STDEV(D342:D391)</f>
        <v>#DIV/0!</v>
      </c>
      <c r="E394" s="1" t="e">
        <f t="shared" si="14"/>
        <v>#DIV/0!</v>
      </c>
      <c r="F394" s="1" t="e">
        <f>STDEV(F342:F391)</f>
        <v>#DIV/0!</v>
      </c>
      <c r="H394" s="1" t="e">
        <f>STDEV(H342:H391)</f>
        <v>#DIV/0!</v>
      </c>
    </row>
    <row r="397" spans="1:8" ht="18">
      <c r="A397" s="18"/>
      <c r="B397" s="3"/>
      <c r="C397" s="18"/>
      <c r="D397" s="18"/>
      <c r="E397" s="18"/>
      <c r="F397" s="18"/>
      <c r="G397" s="18"/>
    </row>
    <row r="421" spans="2:4" ht="18">
      <c r="B421" s="3"/>
      <c r="C421" s="18"/>
      <c r="D421" s="18"/>
    </row>
    <row r="445" spans="2:4" ht="18">
      <c r="B445" s="3"/>
      <c r="C445" s="18"/>
      <c r="D445" s="18"/>
    </row>
  </sheetData>
  <mergeCells count="1">
    <mergeCell ref="B1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H327"/>
  <sheetViews>
    <sheetView zoomScale="120" zoomScaleNormal="120" workbookViewId="0">
      <selection activeCell="E8" sqref="E8"/>
    </sheetView>
  </sheetViews>
  <sheetFormatPr defaultRowHeight="14.4"/>
  <cols>
    <col min="2" max="2" width="75.21875" bestFit="1" customWidth="1"/>
  </cols>
  <sheetData>
    <row r="1" spans="2:8">
      <c r="B1" t="s">
        <v>2104</v>
      </c>
      <c r="C1">
        <v>2</v>
      </c>
      <c r="D1">
        <v>5</v>
      </c>
      <c r="E1">
        <v>10</v>
      </c>
      <c r="F1">
        <v>20</v>
      </c>
      <c r="G1">
        <v>30</v>
      </c>
      <c r="H1">
        <v>40</v>
      </c>
    </row>
    <row r="2" spans="2:8">
      <c r="B2" t="s">
        <v>2105</v>
      </c>
    </row>
    <row r="3" spans="2:8">
      <c r="B3" t="s">
        <v>2358</v>
      </c>
    </row>
    <row r="4" spans="2:8">
      <c r="B4" t="s">
        <v>2362</v>
      </c>
    </row>
    <row r="5" spans="2:8">
      <c r="B5" t="s">
        <v>2363</v>
      </c>
    </row>
    <row r="6" spans="2:8">
      <c r="B6" t="s">
        <v>2364</v>
      </c>
    </row>
    <row r="7" spans="2:8">
      <c r="B7" t="s">
        <v>3265</v>
      </c>
    </row>
    <row r="8" spans="2:8">
      <c r="B8" t="s">
        <v>3267</v>
      </c>
    </row>
    <row r="9" spans="2:8" ht="15" customHeight="1">
      <c r="B9" t="s">
        <v>3266</v>
      </c>
    </row>
    <row r="28" spans="2:8">
      <c r="B28" t="s">
        <v>2106</v>
      </c>
      <c r="C28">
        <v>43.64</v>
      </c>
      <c r="D28">
        <v>74.62</v>
      </c>
      <c r="E28">
        <v>0.64931099999999997</v>
      </c>
      <c r="F28">
        <v>1.42</v>
      </c>
      <c r="G28">
        <v>12</v>
      </c>
      <c r="H28">
        <v>8.31</v>
      </c>
    </row>
    <row r="29" spans="2:8">
      <c r="B29" t="s">
        <v>2107</v>
      </c>
      <c r="C29">
        <v>45.01</v>
      </c>
      <c r="D29">
        <v>72.88</v>
      </c>
      <c r="E29">
        <v>0.59429900000000002</v>
      </c>
      <c r="F29">
        <v>0.88</v>
      </c>
      <c r="G29">
        <v>6</v>
      </c>
      <c r="H29">
        <v>8.56</v>
      </c>
    </row>
    <row r="30" spans="2:8">
      <c r="B30" t="s">
        <v>2108</v>
      </c>
      <c r="C30">
        <v>44.51</v>
      </c>
      <c r="D30">
        <v>72.150000000000006</v>
      </c>
      <c r="E30">
        <v>0.51718900000000001</v>
      </c>
      <c r="F30">
        <v>1.77</v>
      </c>
      <c r="G30">
        <v>2</v>
      </c>
      <c r="H30">
        <v>8.4700000000000006</v>
      </c>
    </row>
    <row r="31" spans="2:8">
      <c r="B31" t="s">
        <v>2109</v>
      </c>
      <c r="C31">
        <v>36.6</v>
      </c>
      <c r="D31">
        <v>75.209999999999994</v>
      </c>
      <c r="E31">
        <v>0.80068300000000003</v>
      </c>
      <c r="F31">
        <v>17.66</v>
      </c>
      <c r="G31">
        <v>18</v>
      </c>
      <c r="H31">
        <v>6.97</v>
      </c>
    </row>
    <row r="32" spans="2:8">
      <c r="B32" t="s">
        <v>2110</v>
      </c>
      <c r="C32">
        <v>42.88</v>
      </c>
      <c r="D32">
        <v>73.010000000000005</v>
      </c>
      <c r="E32">
        <v>0.4798</v>
      </c>
      <c r="F32">
        <v>5.8</v>
      </c>
      <c r="G32">
        <v>18</v>
      </c>
      <c r="H32">
        <v>8.17</v>
      </c>
    </row>
    <row r="33" spans="2:8">
      <c r="B33" t="s">
        <v>2111</v>
      </c>
      <c r="C33">
        <v>40.82</v>
      </c>
      <c r="D33">
        <v>73.569999999999993</v>
      </c>
      <c r="E33">
        <v>0.69744300000000004</v>
      </c>
      <c r="F33">
        <v>1</v>
      </c>
      <c r="G33">
        <v>18</v>
      </c>
      <c r="H33">
        <v>7.74</v>
      </c>
    </row>
    <row r="34" spans="2:8">
      <c r="B34" t="s">
        <v>2112</v>
      </c>
      <c r="C34">
        <v>53.45</v>
      </c>
      <c r="D34">
        <v>72.959999999999994</v>
      </c>
      <c r="E34">
        <v>0.56262599999999996</v>
      </c>
      <c r="F34">
        <v>2.0699999999999998</v>
      </c>
      <c r="G34">
        <v>0</v>
      </c>
      <c r="H34">
        <v>10.19</v>
      </c>
    </row>
    <row r="35" spans="2:8">
      <c r="B35" t="s">
        <v>2113</v>
      </c>
      <c r="C35">
        <v>40.74</v>
      </c>
      <c r="D35">
        <v>72.59</v>
      </c>
      <c r="E35">
        <v>0.57659000000000005</v>
      </c>
      <c r="F35">
        <v>1.38</v>
      </c>
      <c r="G35">
        <v>6</v>
      </c>
      <c r="H35">
        <v>7.71</v>
      </c>
    </row>
    <row r="36" spans="2:8">
      <c r="B36" t="s">
        <v>2114</v>
      </c>
      <c r="C36">
        <v>44.24</v>
      </c>
      <c r="D36">
        <v>68.599999999999994</v>
      </c>
      <c r="E36">
        <v>0.52452699999999997</v>
      </c>
      <c r="F36">
        <v>0.15</v>
      </c>
      <c r="G36">
        <v>0</v>
      </c>
      <c r="H36">
        <v>8.4</v>
      </c>
    </row>
    <row r="37" spans="2:8">
      <c r="B37" t="s">
        <v>2115</v>
      </c>
      <c r="C37">
        <v>43.23</v>
      </c>
      <c r="D37">
        <v>74.53</v>
      </c>
      <c r="E37">
        <v>0.75364399999999998</v>
      </c>
      <c r="F37">
        <v>0.5</v>
      </c>
      <c r="G37">
        <v>16</v>
      </c>
      <c r="H37">
        <v>8.2200000000000006</v>
      </c>
    </row>
    <row r="38" spans="2:8">
      <c r="B38" t="s">
        <v>2116</v>
      </c>
      <c r="C38">
        <v>34.76</v>
      </c>
      <c r="D38">
        <v>75.02</v>
      </c>
      <c r="E38">
        <v>0.86043599999999998</v>
      </c>
      <c r="F38">
        <v>16.170000000000002</v>
      </c>
      <c r="G38">
        <v>4</v>
      </c>
      <c r="H38">
        <v>6.62</v>
      </c>
    </row>
    <row r="39" spans="2:8">
      <c r="B39" t="s">
        <v>2117</v>
      </c>
      <c r="C39">
        <v>44.77</v>
      </c>
      <c r="D39">
        <v>75.78</v>
      </c>
      <c r="E39">
        <v>0.80312099999999997</v>
      </c>
      <c r="F39">
        <v>7.22</v>
      </c>
      <c r="G39">
        <v>12</v>
      </c>
      <c r="H39">
        <v>8.5299999999999994</v>
      </c>
    </row>
    <row r="40" spans="2:8">
      <c r="B40" t="s">
        <v>2118</v>
      </c>
      <c r="C40">
        <v>42.93</v>
      </c>
      <c r="D40">
        <v>74.37</v>
      </c>
      <c r="E40">
        <v>0.76643600000000001</v>
      </c>
      <c r="F40">
        <v>0.88</v>
      </c>
      <c r="G40">
        <v>14</v>
      </c>
      <c r="H40">
        <v>8.18</v>
      </c>
    </row>
    <row r="41" spans="2:8">
      <c r="B41" t="s">
        <v>2119</v>
      </c>
      <c r="C41">
        <v>30.71</v>
      </c>
      <c r="D41">
        <v>73.83</v>
      </c>
      <c r="E41">
        <v>0.74964600000000003</v>
      </c>
      <c r="F41">
        <v>4.3</v>
      </c>
      <c r="G41">
        <v>4</v>
      </c>
      <c r="H41">
        <v>5.86</v>
      </c>
    </row>
    <row r="42" spans="2:8">
      <c r="B42" t="s">
        <v>2120</v>
      </c>
      <c r="C42">
        <v>43.03</v>
      </c>
      <c r="D42">
        <v>71.42</v>
      </c>
      <c r="E42">
        <v>0.57961799999999997</v>
      </c>
      <c r="F42">
        <v>0.31</v>
      </c>
      <c r="G42">
        <v>4</v>
      </c>
      <c r="H42">
        <v>8.16</v>
      </c>
    </row>
    <row r="43" spans="2:8">
      <c r="B43" t="s">
        <v>2121</v>
      </c>
      <c r="C43">
        <v>43.66</v>
      </c>
      <c r="D43">
        <v>74.84</v>
      </c>
      <c r="E43">
        <v>0.622695</v>
      </c>
      <c r="F43">
        <v>2.69</v>
      </c>
      <c r="G43">
        <v>18</v>
      </c>
      <c r="H43">
        <v>8.31</v>
      </c>
    </row>
    <row r="44" spans="2:8">
      <c r="B44" t="s">
        <v>2122</v>
      </c>
      <c r="C44">
        <v>38.909999999999997</v>
      </c>
      <c r="D44">
        <v>75.7</v>
      </c>
      <c r="E44">
        <v>0.92720899999999995</v>
      </c>
      <c r="F44">
        <v>22</v>
      </c>
      <c r="G44">
        <v>12</v>
      </c>
      <c r="H44">
        <v>7.42</v>
      </c>
    </row>
    <row r="45" spans="2:8">
      <c r="B45" t="s">
        <v>2123</v>
      </c>
      <c r="C45">
        <v>31.23</v>
      </c>
      <c r="D45">
        <v>74.8</v>
      </c>
      <c r="E45">
        <v>0.93762599999999996</v>
      </c>
      <c r="F45">
        <v>21.89</v>
      </c>
      <c r="G45">
        <v>16</v>
      </c>
      <c r="H45">
        <v>5.96</v>
      </c>
    </row>
    <row r="46" spans="2:8">
      <c r="B46" t="s">
        <v>2124</v>
      </c>
      <c r="C46">
        <v>38.28</v>
      </c>
      <c r="D46">
        <v>74.400000000000006</v>
      </c>
      <c r="E46">
        <v>0.56867900000000005</v>
      </c>
      <c r="F46">
        <v>10.33</v>
      </c>
      <c r="G46">
        <v>14</v>
      </c>
      <c r="H46">
        <v>7.31</v>
      </c>
    </row>
    <row r="47" spans="2:8">
      <c r="B47" t="s">
        <v>2125</v>
      </c>
      <c r="C47">
        <v>35.89</v>
      </c>
      <c r="D47">
        <v>75.22</v>
      </c>
      <c r="E47">
        <v>0.865448</v>
      </c>
      <c r="F47">
        <v>16.93</v>
      </c>
      <c r="G47">
        <v>16</v>
      </c>
      <c r="H47">
        <v>6.84</v>
      </c>
    </row>
    <row r="48" spans="2:8">
      <c r="B48" t="s">
        <v>2126</v>
      </c>
      <c r="C48">
        <v>45.02</v>
      </c>
      <c r="D48">
        <v>74.239999999999995</v>
      </c>
      <c r="E48">
        <v>0.66572500000000001</v>
      </c>
      <c r="F48">
        <v>1.5</v>
      </c>
      <c r="G48">
        <v>16</v>
      </c>
      <c r="H48">
        <v>8.57</v>
      </c>
    </row>
    <row r="49" spans="2:8">
      <c r="B49" t="s">
        <v>2127</v>
      </c>
      <c r="C49">
        <v>36.86</v>
      </c>
      <c r="D49">
        <v>73.150000000000006</v>
      </c>
      <c r="E49">
        <v>0.61189300000000002</v>
      </c>
      <c r="F49">
        <v>0.5</v>
      </c>
      <c r="G49">
        <v>16</v>
      </c>
      <c r="H49">
        <v>7.05</v>
      </c>
    </row>
    <row r="50" spans="2:8">
      <c r="B50" t="s">
        <v>2128</v>
      </c>
      <c r="C50">
        <v>40.299999999999997</v>
      </c>
      <c r="D50">
        <v>72.83</v>
      </c>
      <c r="E50">
        <v>0.544933</v>
      </c>
      <c r="F50">
        <v>1.04</v>
      </c>
      <c r="G50">
        <v>18</v>
      </c>
      <c r="H50">
        <v>7.67</v>
      </c>
    </row>
    <row r="51" spans="2:8">
      <c r="B51" t="s">
        <v>2129</v>
      </c>
      <c r="C51">
        <v>45.8</v>
      </c>
      <c r="D51">
        <v>74.91</v>
      </c>
      <c r="E51">
        <v>0.70712799999999998</v>
      </c>
      <c r="F51">
        <v>1.19</v>
      </c>
      <c r="G51">
        <v>12</v>
      </c>
      <c r="H51">
        <v>8.7100000000000009</v>
      </c>
    </row>
    <row r="52" spans="2:8">
      <c r="B52" t="s">
        <v>2130</v>
      </c>
      <c r="C52">
        <v>44.53</v>
      </c>
      <c r="D52">
        <v>72.91</v>
      </c>
      <c r="E52">
        <v>0.55324499999999999</v>
      </c>
      <c r="F52">
        <v>1.1499999999999999</v>
      </c>
      <c r="G52">
        <v>12</v>
      </c>
      <c r="H52">
        <v>8.49</v>
      </c>
    </row>
    <row r="53" spans="2:8">
      <c r="B53" t="s">
        <v>2131</v>
      </c>
      <c r="C53">
        <v>43.98</v>
      </c>
      <c r="D53">
        <v>74.3</v>
      </c>
      <c r="E53">
        <v>0.69378200000000001</v>
      </c>
      <c r="F53">
        <v>2.19</v>
      </c>
      <c r="G53">
        <v>0</v>
      </c>
      <c r="H53">
        <v>8.36</v>
      </c>
    </row>
    <row r="54" spans="2:8">
      <c r="B54" t="s">
        <v>2132</v>
      </c>
      <c r="C54">
        <v>34.89</v>
      </c>
      <c r="D54">
        <v>73.78</v>
      </c>
      <c r="E54">
        <v>0.67401</v>
      </c>
      <c r="F54">
        <v>0.81</v>
      </c>
      <c r="G54">
        <v>14</v>
      </c>
      <c r="H54">
        <v>6.67</v>
      </c>
    </row>
    <row r="55" spans="2:8">
      <c r="B55" t="s">
        <v>2133</v>
      </c>
      <c r="C55">
        <v>45.76</v>
      </c>
      <c r="D55">
        <v>75.63</v>
      </c>
      <c r="E55">
        <v>0.72192000000000001</v>
      </c>
      <c r="F55">
        <v>7.26</v>
      </c>
      <c r="G55">
        <v>6</v>
      </c>
      <c r="H55">
        <v>8.75</v>
      </c>
    </row>
    <row r="56" spans="2:8">
      <c r="B56" t="s">
        <v>2134</v>
      </c>
      <c r="C56">
        <v>44.6</v>
      </c>
      <c r="D56">
        <v>70.959999999999994</v>
      </c>
      <c r="E56">
        <v>0.51244699999999999</v>
      </c>
      <c r="F56">
        <v>0.73</v>
      </c>
      <c r="G56">
        <v>8</v>
      </c>
      <c r="H56">
        <v>8.4700000000000006</v>
      </c>
    </row>
    <row r="57" spans="2:8">
      <c r="B57" t="s">
        <v>2135</v>
      </c>
      <c r="C57">
        <v>39.26</v>
      </c>
      <c r="D57">
        <v>73.790000000000006</v>
      </c>
      <c r="E57">
        <v>0.59766300000000006</v>
      </c>
      <c r="F57">
        <v>0.84</v>
      </c>
      <c r="G57">
        <v>12</v>
      </c>
      <c r="H57">
        <v>7.45</v>
      </c>
    </row>
    <row r="58" spans="2:8">
      <c r="B58" t="s">
        <v>2136</v>
      </c>
      <c r="C58">
        <v>45.75</v>
      </c>
      <c r="D58">
        <v>75.3</v>
      </c>
      <c r="E58">
        <v>0.77213699999999996</v>
      </c>
      <c r="F58">
        <v>1.84</v>
      </c>
      <c r="G58">
        <v>2</v>
      </c>
      <c r="H58">
        <v>8.75</v>
      </c>
    </row>
    <row r="59" spans="2:8">
      <c r="B59" t="s">
        <v>2137</v>
      </c>
      <c r="C59">
        <v>45.09</v>
      </c>
      <c r="D59">
        <v>75.69</v>
      </c>
      <c r="E59">
        <v>0.67946600000000001</v>
      </c>
      <c r="F59">
        <v>20.2</v>
      </c>
      <c r="G59">
        <v>18</v>
      </c>
      <c r="H59">
        <v>8.58</v>
      </c>
    </row>
    <row r="60" spans="2:8">
      <c r="B60" t="s">
        <v>2138</v>
      </c>
      <c r="C60">
        <v>43.82</v>
      </c>
      <c r="D60">
        <v>72.650000000000006</v>
      </c>
      <c r="E60">
        <v>0.54888599999999999</v>
      </c>
      <c r="F60">
        <v>1.8</v>
      </c>
      <c r="G60">
        <v>18</v>
      </c>
      <c r="H60">
        <v>8.3699999999999992</v>
      </c>
    </row>
    <row r="61" spans="2:8">
      <c r="B61" t="s">
        <v>2139</v>
      </c>
      <c r="C61">
        <v>45.8</v>
      </c>
      <c r="D61">
        <v>75.760000000000005</v>
      </c>
      <c r="E61">
        <v>0.65536700000000003</v>
      </c>
      <c r="F61">
        <v>19.43</v>
      </c>
      <c r="G61">
        <v>2</v>
      </c>
      <c r="H61">
        <v>8.67</v>
      </c>
    </row>
    <row r="62" spans="2:8">
      <c r="B62" t="s">
        <v>2140</v>
      </c>
      <c r="C62">
        <v>36.18</v>
      </c>
      <c r="D62">
        <v>74.540000000000006</v>
      </c>
      <c r="E62">
        <v>0.55399600000000004</v>
      </c>
      <c r="F62">
        <v>15.59</v>
      </c>
      <c r="G62">
        <v>4</v>
      </c>
      <c r="H62">
        <v>6.87</v>
      </c>
    </row>
    <row r="63" spans="2:8">
      <c r="B63" t="s">
        <v>2141</v>
      </c>
      <c r="C63">
        <v>40.97</v>
      </c>
      <c r="D63">
        <v>69.959999999999994</v>
      </c>
      <c r="E63">
        <v>0.48543500000000001</v>
      </c>
      <c r="F63">
        <v>0.54</v>
      </c>
      <c r="G63">
        <v>12</v>
      </c>
      <c r="H63">
        <v>7.79</v>
      </c>
    </row>
    <row r="64" spans="2:8">
      <c r="B64" t="s">
        <v>2142</v>
      </c>
      <c r="C64">
        <v>36.65</v>
      </c>
      <c r="D64">
        <v>75.31</v>
      </c>
      <c r="E64">
        <v>0.868954</v>
      </c>
      <c r="F64">
        <v>19.010000000000002</v>
      </c>
      <c r="G64">
        <v>12</v>
      </c>
      <c r="H64">
        <v>7</v>
      </c>
    </row>
    <row r="65" spans="2:8">
      <c r="B65" t="s">
        <v>2143</v>
      </c>
      <c r="C65">
        <v>47.79</v>
      </c>
      <c r="D65">
        <v>76.22</v>
      </c>
      <c r="E65">
        <v>0.77203500000000003</v>
      </c>
      <c r="F65">
        <v>17.86</v>
      </c>
      <c r="G65">
        <v>14</v>
      </c>
      <c r="H65">
        <v>9.08</v>
      </c>
    </row>
    <row r="66" spans="2:8">
      <c r="B66" t="s">
        <v>2144</v>
      </c>
      <c r="C66">
        <v>43.52</v>
      </c>
      <c r="D66">
        <v>74.540000000000006</v>
      </c>
      <c r="E66">
        <v>0.662659</v>
      </c>
      <c r="F66">
        <v>0.88</v>
      </c>
      <c r="G66">
        <v>0</v>
      </c>
      <c r="H66">
        <v>8.25</v>
      </c>
    </row>
    <row r="67" spans="2:8">
      <c r="B67" t="s">
        <v>2145</v>
      </c>
      <c r="C67">
        <v>45.1</v>
      </c>
      <c r="D67">
        <v>75.25</v>
      </c>
      <c r="E67">
        <v>0.67349999999999999</v>
      </c>
      <c r="F67">
        <v>7.95</v>
      </c>
      <c r="G67">
        <v>2</v>
      </c>
      <c r="H67">
        <v>8.6199999999999992</v>
      </c>
    </row>
    <row r="68" spans="2:8">
      <c r="B68" t="s">
        <v>2146</v>
      </c>
      <c r="C68">
        <v>44.64</v>
      </c>
      <c r="D68">
        <v>74.95</v>
      </c>
      <c r="E68">
        <v>0.677921</v>
      </c>
      <c r="F68">
        <v>1.31</v>
      </c>
      <c r="G68">
        <v>14</v>
      </c>
      <c r="H68">
        <v>8.5</v>
      </c>
    </row>
    <row r="69" spans="2:8">
      <c r="B69" t="s">
        <v>2147</v>
      </c>
      <c r="C69">
        <v>37.21</v>
      </c>
      <c r="D69">
        <v>75.430000000000007</v>
      </c>
      <c r="E69">
        <v>0.87549399999999999</v>
      </c>
      <c r="F69">
        <v>21.62</v>
      </c>
      <c r="G69">
        <v>12</v>
      </c>
      <c r="H69">
        <v>7.1</v>
      </c>
    </row>
    <row r="70" spans="2:8">
      <c r="B70" t="s">
        <v>2148</v>
      </c>
      <c r="C70">
        <v>38.4</v>
      </c>
      <c r="D70">
        <v>75.39</v>
      </c>
      <c r="E70">
        <v>0.86782000000000004</v>
      </c>
      <c r="F70">
        <v>15.36</v>
      </c>
      <c r="G70">
        <v>18</v>
      </c>
      <c r="H70">
        <v>7.31</v>
      </c>
    </row>
    <row r="71" spans="2:8">
      <c r="B71" t="s">
        <v>2149</v>
      </c>
      <c r="C71">
        <v>30.18</v>
      </c>
      <c r="D71">
        <v>65.78</v>
      </c>
      <c r="E71">
        <v>0.31458999999999998</v>
      </c>
      <c r="F71">
        <v>0.61</v>
      </c>
      <c r="G71">
        <v>16</v>
      </c>
      <c r="H71">
        <v>5.76</v>
      </c>
    </row>
    <row r="72" spans="2:8">
      <c r="B72" t="s">
        <v>2150</v>
      </c>
      <c r="C72">
        <v>45.57</v>
      </c>
      <c r="D72">
        <v>73.489999999999995</v>
      </c>
      <c r="E72">
        <v>0.58701499999999995</v>
      </c>
      <c r="F72">
        <v>2.04</v>
      </c>
      <c r="G72">
        <v>0</v>
      </c>
      <c r="H72">
        <v>8.67</v>
      </c>
    </row>
    <row r="73" spans="2:8">
      <c r="B73" t="s">
        <v>2151</v>
      </c>
      <c r="C73">
        <v>45.37</v>
      </c>
      <c r="D73">
        <v>72.33</v>
      </c>
      <c r="E73">
        <v>0.54339499999999996</v>
      </c>
      <c r="F73">
        <v>0.54</v>
      </c>
      <c r="G73">
        <v>6</v>
      </c>
      <c r="H73">
        <v>8.59</v>
      </c>
    </row>
    <row r="74" spans="2:8">
      <c r="B74" t="s">
        <v>2152</v>
      </c>
      <c r="C74">
        <v>36.450000000000003</v>
      </c>
      <c r="D74">
        <v>74.94</v>
      </c>
      <c r="E74">
        <v>0.77690899999999996</v>
      </c>
      <c r="F74">
        <v>8.83</v>
      </c>
      <c r="G74">
        <v>0</v>
      </c>
      <c r="H74">
        <v>6.96</v>
      </c>
    </row>
    <row r="75" spans="2:8">
      <c r="B75" t="s">
        <v>2153</v>
      </c>
      <c r="C75">
        <v>43.88</v>
      </c>
      <c r="D75">
        <v>72.55</v>
      </c>
      <c r="E75">
        <v>0.66485899999999998</v>
      </c>
      <c r="F75">
        <v>0.5</v>
      </c>
      <c r="G75">
        <v>2</v>
      </c>
      <c r="H75">
        <v>8.35</v>
      </c>
    </row>
    <row r="76" spans="2:8">
      <c r="B76" t="s">
        <v>2154</v>
      </c>
      <c r="C76">
        <v>43.91</v>
      </c>
      <c r="D76">
        <v>70.39</v>
      </c>
      <c r="E76">
        <v>0.46335999999999999</v>
      </c>
      <c r="F76">
        <v>0.5</v>
      </c>
      <c r="G76">
        <v>14</v>
      </c>
      <c r="H76">
        <v>8.35</v>
      </c>
    </row>
    <row r="77" spans="2:8">
      <c r="B77" t="s">
        <v>2155</v>
      </c>
      <c r="C77">
        <v>46.29</v>
      </c>
      <c r="D77">
        <v>76.290000000000006</v>
      </c>
      <c r="E77">
        <v>0.845966</v>
      </c>
      <c r="F77">
        <v>23.54</v>
      </c>
      <c r="G77">
        <v>8</v>
      </c>
      <c r="H77">
        <v>8.74</v>
      </c>
    </row>
    <row r="78" spans="2:8">
      <c r="B78" t="s">
        <v>2156</v>
      </c>
      <c r="C78">
        <v>24.88</v>
      </c>
      <c r="D78">
        <v>143.56</v>
      </c>
      <c r="E78">
        <v>0.49852400000000002</v>
      </c>
      <c r="F78">
        <v>2</v>
      </c>
      <c r="G78">
        <v>24</v>
      </c>
      <c r="H78">
        <v>4.72</v>
      </c>
    </row>
    <row r="79" spans="2:8">
      <c r="B79" t="s">
        <v>2157</v>
      </c>
      <c r="C79">
        <v>21.34</v>
      </c>
      <c r="D79">
        <v>143.12</v>
      </c>
      <c r="E79">
        <v>0.66163499999999997</v>
      </c>
      <c r="F79">
        <v>1.23</v>
      </c>
      <c r="G79">
        <v>4</v>
      </c>
      <c r="H79">
        <v>4.05</v>
      </c>
    </row>
    <row r="80" spans="2:8">
      <c r="B80" t="s">
        <v>2158</v>
      </c>
      <c r="C80">
        <v>22.49</v>
      </c>
      <c r="D80">
        <v>142.83000000000001</v>
      </c>
      <c r="E80">
        <v>0.79873099999999997</v>
      </c>
      <c r="F80">
        <v>0.42</v>
      </c>
      <c r="G80">
        <v>2</v>
      </c>
      <c r="H80">
        <v>4.2699999999999996</v>
      </c>
    </row>
    <row r="81" spans="2:8">
      <c r="B81" t="s">
        <v>2159</v>
      </c>
      <c r="C81">
        <v>25.16</v>
      </c>
      <c r="D81">
        <v>134.69999999999999</v>
      </c>
      <c r="E81">
        <v>0.38268999999999997</v>
      </c>
      <c r="F81">
        <v>0.04</v>
      </c>
      <c r="G81">
        <v>20</v>
      </c>
      <c r="H81">
        <v>4.8</v>
      </c>
    </row>
    <row r="82" spans="2:8">
      <c r="B82" t="s">
        <v>2160</v>
      </c>
      <c r="C82">
        <v>23.58</v>
      </c>
      <c r="D82">
        <v>144.52000000000001</v>
      </c>
      <c r="E82">
        <v>0.492315</v>
      </c>
      <c r="F82">
        <v>5.95</v>
      </c>
      <c r="G82">
        <v>20</v>
      </c>
      <c r="H82">
        <v>4.46</v>
      </c>
    </row>
    <row r="83" spans="2:8">
      <c r="B83" t="s">
        <v>2161</v>
      </c>
      <c r="C83">
        <v>25.05</v>
      </c>
      <c r="D83">
        <v>142.99</v>
      </c>
      <c r="E83">
        <v>0.50399700000000003</v>
      </c>
      <c r="F83">
        <v>2.2999999999999998</v>
      </c>
      <c r="G83">
        <v>20</v>
      </c>
      <c r="H83">
        <v>4.74</v>
      </c>
    </row>
    <row r="84" spans="2:8">
      <c r="B84" t="s">
        <v>2162</v>
      </c>
      <c r="C84">
        <v>23.14</v>
      </c>
      <c r="D84">
        <v>145.33000000000001</v>
      </c>
      <c r="E84">
        <v>0.65203299999999997</v>
      </c>
      <c r="F84">
        <v>5.61</v>
      </c>
      <c r="G84">
        <v>20</v>
      </c>
      <c r="H84">
        <v>4.41</v>
      </c>
    </row>
    <row r="85" spans="2:8">
      <c r="B85" t="s">
        <v>2163</v>
      </c>
      <c r="C85">
        <v>24.77</v>
      </c>
      <c r="D85">
        <v>143.38999999999999</v>
      </c>
      <c r="E85">
        <v>0.502359</v>
      </c>
      <c r="F85">
        <v>2.34</v>
      </c>
      <c r="G85">
        <v>24</v>
      </c>
      <c r="H85">
        <v>4.71</v>
      </c>
    </row>
    <row r="86" spans="2:8">
      <c r="B86" t="s">
        <v>2164</v>
      </c>
      <c r="C86">
        <v>23.68</v>
      </c>
      <c r="D86">
        <v>143.65</v>
      </c>
      <c r="E86">
        <v>0.55091999999999997</v>
      </c>
      <c r="F86">
        <v>4.22</v>
      </c>
      <c r="G86">
        <v>18</v>
      </c>
      <c r="H86">
        <v>4.5199999999999996</v>
      </c>
    </row>
    <row r="87" spans="2:8">
      <c r="B87" t="s">
        <v>2165</v>
      </c>
      <c r="C87">
        <v>23.64</v>
      </c>
      <c r="D87">
        <v>144.88999999999999</v>
      </c>
      <c r="E87">
        <v>0.50984700000000005</v>
      </c>
      <c r="F87">
        <v>5.76</v>
      </c>
      <c r="G87">
        <v>36</v>
      </c>
      <c r="H87">
        <v>4.49</v>
      </c>
    </row>
    <row r="88" spans="2:8">
      <c r="B88" t="s">
        <v>2166</v>
      </c>
      <c r="C88">
        <v>25.32</v>
      </c>
      <c r="D88">
        <v>132.6</v>
      </c>
      <c r="E88">
        <v>0.393229</v>
      </c>
      <c r="F88">
        <v>0.04</v>
      </c>
      <c r="G88">
        <v>30</v>
      </c>
      <c r="H88">
        <v>4.8099999999999996</v>
      </c>
    </row>
    <row r="89" spans="2:8">
      <c r="B89" t="s">
        <v>2167</v>
      </c>
      <c r="C89">
        <v>22.51</v>
      </c>
      <c r="D89">
        <v>145.13999999999999</v>
      </c>
      <c r="E89">
        <v>0.66308199999999995</v>
      </c>
      <c r="F89">
        <v>3.34</v>
      </c>
      <c r="G89">
        <v>6</v>
      </c>
      <c r="H89">
        <v>4.25</v>
      </c>
    </row>
    <row r="90" spans="2:8">
      <c r="B90" t="s">
        <v>2168</v>
      </c>
      <c r="C90">
        <v>22.11</v>
      </c>
      <c r="D90">
        <v>143.38999999999999</v>
      </c>
      <c r="E90">
        <v>0.581426</v>
      </c>
      <c r="F90">
        <v>0.73</v>
      </c>
      <c r="G90">
        <v>32</v>
      </c>
      <c r="H90">
        <v>4.21</v>
      </c>
    </row>
    <row r="91" spans="2:8">
      <c r="B91" t="s">
        <v>2169</v>
      </c>
      <c r="C91">
        <v>25.02</v>
      </c>
      <c r="D91">
        <v>140.28</v>
      </c>
      <c r="E91">
        <v>0.45028200000000002</v>
      </c>
      <c r="F91">
        <v>0.35</v>
      </c>
      <c r="G91">
        <v>22</v>
      </c>
      <c r="H91">
        <v>4.74</v>
      </c>
    </row>
    <row r="92" spans="2:8">
      <c r="B92" t="s">
        <v>2170</v>
      </c>
      <c r="C92">
        <v>22.31</v>
      </c>
      <c r="D92">
        <v>142.5</v>
      </c>
      <c r="E92">
        <v>0.59542600000000001</v>
      </c>
      <c r="F92">
        <v>1.08</v>
      </c>
      <c r="G92">
        <v>26</v>
      </c>
      <c r="H92">
        <v>4.26</v>
      </c>
    </row>
    <row r="93" spans="2:8">
      <c r="B93" t="s">
        <v>2171</v>
      </c>
      <c r="C93">
        <v>24.76</v>
      </c>
      <c r="D93">
        <v>145.03</v>
      </c>
      <c r="E93">
        <v>0.56967900000000005</v>
      </c>
      <c r="F93">
        <v>4.38</v>
      </c>
      <c r="G93">
        <v>8</v>
      </c>
      <c r="H93">
        <v>4.71</v>
      </c>
    </row>
    <row r="94" spans="2:8">
      <c r="B94" t="s">
        <v>2172</v>
      </c>
      <c r="C94">
        <v>22.88</v>
      </c>
      <c r="D94">
        <v>145.05000000000001</v>
      </c>
      <c r="E94">
        <v>0.78030299999999997</v>
      </c>
      <c r="F94">
        <v>0.42</v>
      </c>
      <c r="G94">
        <v>6</v>
      </c>
      <c r="H94">
        <v>4.37</v>
      </c>
    </row>
    <row r="95" spans="2:8">
      <c r="B95" t="s">
        <v>2173</v>
      </c>
      <c r="C95">
        <v>22.56</v>
      </c>
      <c r="D95">
        <v>139.4</v>
      </c>
      <c r="E95">
        <v>0.59174000000000004</v>
      </c>
      <c r="F95">
        <v>0.23</v>
      </c>
      <c r="G95">
        <v>24</v>
      </c>
      <c r="H95">
        <v>4.3</v>
      </c>
    </row>
    <row r="96" spans="2:8">
      <c r="B96" t="s">
        <v>2174</v>
      </c>
      <c r="C96">
        <v>22.08</v>
      </c>
      <c r="D96">
        <v>145.38999999999999</v>
      </c>
      <c r="E96">
        <v>0.73523899999999998</v>
      </c>
      <c r="F96">
        <v>5.18</v>
      </c>
      <c r="G96">
        <v>2</v>
      </c>
      <c r="H96">
        <v>4.1900000000000004</v>
      </c>
    </row>
    <row r="97" spans="2:8">
      <c r="B97" t="s">
        <v>2175</v>
      </c>
      <c r="C97">
        <v>23.84</v>
      </c>
      <c r="D97">
        <v>145.35</v>
      </c>
      <c r="E97">
        <v>0.64370000000000005</v>
      </c>
      <c r="F97">
        <v>7.1</v>
      </c>
      <c r="G97">
        <v>0</v>
      </c>
      <c r="H97">
        <v>4.55</v>
      </c>
    </row>
    <row r="98" spans="2:8">
      <c r="B98" t="s">
        <v>2176</v>
      </c>
      <c r="C98">
        <v>23.04</v>
      </c>
      <c r="D98">
        <v>145.77000000000001</v>
      </c>
      <c r="E98">
        <v>0.79131700000000005</v>
      </c>
      <c r="F98">
        <v>3.96</v>
      </c>
      <c r="G98">
        <v>24</v>
      </c>
      <c r="H98">
        <v>4.4000000000000004</v>
      </c>
    </row>
    <row r="99" spans="2:8">
      <c r="B99" t="s">
        <v>2177</v>
      </c>
      <c r="C99">
        <v>22.54</v>
      </c>
      <c r="D99">
        <v>143.51</v>
      </c>
      <c r="E99">
        <v>0.64453099999999997</v>
      </c>
      <c r="F99">
        <v>1.61</v>
      </c>
      <c r="G99">
        <v>4</v>
      </c>
      <c r="H99">
        <v>4.3</v>
      </c>
    </row>
    <row r="100" spans="2:8">
      <c r="B100" t="s">
        <v>2178</v>
      </c>
      <c r="C100">
        <v>22.68</v>
      </c>
      <c r="D100">
        <v>145.41</v>
      </c>
      <c r="E100">
        <v>0.80888199999999999</v>
      </c>
      <c r="F100">
        <v>1.38</v>
      </c>
      <c r="G100">
        <v>38</v>
      </c>
      <c r="H100">
        <v>4.32</v>
      </c>
    </row>
    <row r="101" spans="2:8">
      <c r="B101" t="s">
        <v>2179</v>
      </c>
      <c r="C101">
        <v>23.82</v>
      </c>
      <c r="D101">
        <v>143.55000000000001</v>
      </c>
      <c r="E101">
        <v>0.63418200000000002</v>
      </c>
      <c r="F101">
        <v>0.08</v>
      </c>
      <c r="G101">
        <v>38</v>
      </c>
      <c r="H101">
        <v>4.54</v>
      </c>
    </row>
    <row r="102" spans="2:8">
      <c r="B102" t="s">
        <v>2180</v>
      </c>
      <c r="C102">
        <v>22.58</v>
      </c>
      <c r="D102">
        <v>144.43</v>
      </c>
      <c r="E102">
        <v>0.71608000000000005</v>
      </c>
      <c r="F102">
        <v>2</v>
      </c>
      <c r="G102">
        <v>8</v>
      </c>
      <c r="H102">
        <v>4.3099999999999996</v>
      </c>
    </row>
    <row r="103" spans="2:8">
      <c r="B103" t="s">
        <v>2181</v>
      </c>
      <c r="C103">
        <v>25.41</v>
      </c>
      <c r="D103">
        <v>135.44</v>
      </c>
      <c r="E103">
        <v>0.38864700000000002</v>
      </c>
      <c r="F103">
        <v>0.08</v>
      </c>
      <c r="G103">
        <v>22</v>
      </c>
      <c r="H103">
        <v>4.8</v>
      </c>
    </row>
    <row r="104" spans="2:8">
      <c r="B104" t="s">
        <v>2182</v>
      </c>
      <c r="C104">
        <v>22.7</v>
      </c>
      <c r="D104">
        <v>145.16</v>
      </c>
      <c r="E104">
        <v>0.80365600000000004</v>
      </c>
      <c r="F104">
        <v>0.84</v>
      </c>
      <c r="G104">
        <v>0</v>
      </c>
      <c r="H104">
        <v>4.3099999999999996</v>
      </c>
    </row>
    <row r="105" spans="2:8">
      <c r="B105" t="s">
        <v>2183</v>
      </c>
      <c r="C105">
        <v>25.87</v>
      </c>
      <c r="D105">
        <v>136.66</v>
      </c>
      <c r="E105">
        <v>0.394565</v>
      </c>
      <c r="F105">
        <v>0.92</v>
      </c>
      <c r="G105">
        <v>14</v>
      </c>
      <c r="H105">
        <v>4.92</v>
      </c>
    </row>
    <row r="106" spans="2:8">
      <c r="B106" t="s">
        <v>2184</v>
      </c>
      <c r="C106">
        <v>22.34</v>
      </c>
      <c r="D106">
        <v>145.29</v>
      </c>
      <c r="E106">
        <v>0.73468699999999998</v>
      </c>
      <c r="F106">
        <v>5.53</v>
      </c>
      <c r="G106">
        <v>32</v>
      </c>
      <c r="H106">
        <v>4.26</v>
      </c>
    </row>
    <row r="107" spans="2:8">
      <c r="B107" t="s">
        <v>2185</v>
      </c>
      <c r="C107">
        <v>23.24</v>
      </c>
      <c r="D107">
        <v>142.38</v>
      </c>
      <c r="E107">
        <v>0.56952800000000003</v>
      </c>
      <c r="F107">
        <v>1.27</v>
      </c>
      <c r="G107">
        <v>10</v>
      </c>
      <c r="H107">
        <v>4.42</v>
      </c>
    </row>
    <row r="108" spans="2:8">
      <c r="B108" t="s">
        <v>2186</v>
      </c>
      <c r="C108">
        <v>21.93</v>
      </c>
      <c r="D108">
        <v>143.77000000000001</v>
      </c>
      <c r="E108">
        <v>0.62754200000000004</v>
      </c>
      <c r="F108">
        <v>1.65</v>
      </c>
      <c r="G108">
        <v>10</v>
      </c>
      <c r="H108">
        <v>4.1500000000000004</v>
      </c>
    </row>
    <row r="109" spans="2:8">
      <c r="B109" t="s">
        <v>2187</v>
      </c>
      <c r="C109">
        <v>22.46</v>
      </c>
      <c r="D109">
        <v>145.46</v>
      </c>
      <c r="E109">
        <v>0.77912700000000001</v>
      </c>
      <c r="F109">
        <v>2.92</v>
      </c>
      <c r="G109">
        <v>6</v>
      </c>
      <c r="H109">
        <v>4.29</v>
      </c>
    </row>
    <row r="110" spans="2:8">
      <c r="B110" t="s">
        <v>2188</v>
      </c>
      <c r="C110">
        <v>25.73</v>
      </c>
      <c r="D110">
        <v>139.66</v>
      </c>
      <c r="E110">
        <v>0.455536</v>
      </c>
      <c r="F110">
        <v>0.46</v>
      </c>
      <c r="G110">
        <v>2</v>
      </c>
      <c r="H110">
        <v>4.88</v>
      </c>
    </row>
    <row r="111" spans="2:8">
      <c r="B111" t="s">
        <v>2189</v>
      </c>
      <c r="C111">
        <v>22.96</v>
      </c>
      <c r="D111">
        <v>144.74</v>
      </c>
      <c r="E111">
        <v>0.62232799999999999</v>
      </c>
      <c r="F111">
        <v>3.34</v>
      </c>
      <c r="G111">
        <v>38</v>
      </c>
      <c r="H111">
        <v>4.4000000000000004</v>
      </c>
    </row>
    <row r="112" spans="2:8">
      <c r="B112" t="s">
        <v>2190</v>
      </c>
      <c r="C112">
        <v>22.52</v>
      </c>
      <c r="D112">
        <v>145.94</v>
      </c>
      <c r="E112">
        <v>0.84153800000000001</v>
      </c>
      <c r="F112">
        <v>4.45</v>
      </c>
      <c r="G112">
        <v>4</v>
      </c>
      <c r="H112">
        <v>4.29</v>
      </c>
    </row>
    <row r="113" spans="2:8">
      <c r="B113" t="s">
        <v>2191</v>
      </c>
      <c r="C113">
        <v>25.78</v>
      </c>
      <c r="D113">
        <v>145.03</v>
      </c>
      <c r="E113">
        <v>0.62649100000000002</v>
      </c>
      <c r="F113">
        <v>1.38</v>
      </c>
      <c r="G113">
        <v>6</v>
      </c>
      <c r="H113">
        <v>4.91</v>
      </c>
    </row>
    <row r="114" spans="2:8">
      <c r="B114" t="s">
        <v>2192</v>
      </c>
      <c r="C114">
        <v>24.72</v>
      </c>
      <c r="D114">
        <v>143.47999999999999</v>
      </c>
      <c r="E114">
        <v>0.56367800000000001</v>
      </c>
      <c r="F114">
        <v>1.54</v>
      </c>
      <c r="G114">
        <v>6</v>
      </c>
      <c r="H114">
        <v>4.71</v>
      </c>
    </row>
    <row r="115" spans="2:8">
      <c r="B115" t="s">
        <v>2193</v>
      </c>
      <c r="C115">
        <v>18.649999999999999</v>
      </c>
      <c r="D115">
        <v>143.55000000000001</v>
      </c>
      <c r="E115">
        <v>0.65270399999999995</v>
      </c>
      <c r="F115">
        <v>3.84</v>
      </c>
      <c r="G115">
        <v>20</v>
      </c>
      <c r="H115">
        <v>3.56</v>
      </c>
    </row>
    <row r="116" spans="2:8">
      <c r="B116" t="s">
        <v>2194</v>
      </c>
      <c r="C116">
        <v>22.75</v>
      </c>
      <c r="D116">
        <v>143.69</v>
      </c>
      <c r="E116">
        <v>0.70818599999999998</v>
      </c>
      <c r="F116">
        <v>1.38</v>
      </c>
      <c r="G116">
        <v>14</v>
      </c>
      <c r="H116">
        <v>4.33</v>
      </c>
    </row>
    <row r="117" spans="2:8">
      <c r="B117" t="s">
        <v>2195</v>
      </c>
      <c r="C117">
        <v>22</v>
      </c>
      <c r="D117">
        <v>140.74</v>
      </c>
      <c r="E117">
        <v>0.59734500000000001</v>
      </c>
      <c r="F117">
        <v>0.38</v>
      </c>
      <c r="G117">
        <v>34</v>
      </c>
      <c r="H117">
        <v>4.1900000000000004</v>
      </c>
    </row>
    <row r="118" spans="2:8">
      <c r="B118" t="s">
        <v>2196</v>
      </c>
      <c r="C118">
        <v>25.24</v>
      </c>
      <c r="D118">
        <v>137.76</v>
      </c>
      <c r="E118">
        <v>0.41769899999999999</v>
      </c>
      <c r="F118">
        <v>0.31</v>
      </c>
      <c r="G118">
        <v>10</v>
      </c>
      <c r="H118">
        <v>4.8</v>
      </c>
    </row>
    <row r="119" spans="2:8">
      <c r="B119" t="s">
        <v>2197</v>
      </c>
      <c r="C119">
        <v>24.79</v>
      </c>
      <c r="D119">
        <v>138.06</v>
      </c>
      <c r="E119">
        <v>0.35901</v>
      </c>
      <c r="F119">
        <v>0.88</v>
      </c>
      <c r="G119">
        <v>2</v>
      </c>
      <c r="H119">
        <v>4.7</v>
      </c>
    </row>
    <row r="120" spans="2:8">
      <c r="B120" t="s">
        <v>2198</v>
      </c>
      <c r="C120">
        <v>26.63</v>
      </c>
      <c r="D120">
        <v>138.29</v>
      </c>
      <c r="E120">
        <v>0.45352500000000001</v>
      </c>
      <c r="F120">
        <v>0.15</v>
      </c>
      <c r="G120">
        <v>2</v>
      </c>
      <c r="H120">
        <v>5.04</v>
      </c>
    </row>
    <row r="121" spans="2:8">
      <c r="B121" t="s">
        <v>2199</v>
      </c>
      <c r="C121">
        <v>22.86</v>
      </c>
      <c r="D121">
        <v>144.52000000000001</v>
      </c>
      <c r="E121">
        <v>0.61073299999999997</v>
      </c>
      <c r="F121">
        <v>4.42</v>
      </c>
      <c r="G121">
        <v>8</v>
      </c>
      <c r="H121">
        <v>4.38</v>
      </c>
    </row>
    <row r="122" spans="2:8">
      <c r="B122" t="s">
        <v>2200</v>
      </c>
      <c r="C122">
        <v>23.06</v>
      </c>
      <c r="D122">
        <v>144.68</v>
      </c>
      <c r="E122">
        <v>0.61099899999999996</v>
      </c>
      <c r="F122">
        <v>4.1500000000000004</v>
      </c>
      <c r="G122">
        <v>6</v>
      </c>
      <c r="H122">
        <v>4.3899999999999997</v>
      </c>
    </row>
    <row r="123" spans="2:8">
      <c r="B123" t="s">
        <v>2201</v>
      </c>
      <c r="C123">
        <v>26.92</v>
      </c>
      <c r="D123">
        <v>134.83000000000001</v>
      </c>
      <c r="E123">
        <v>0.41337699999999999</v>
      </c>
      <c r="F123">
        <v>0.23</v>
      </c>
      <c r="G123">
        <v>16</v>
      </c>
      <c r="H123">
        <v>5.0999999999999996</v>
      </c>
    </row>
    <row r="124" spans="2:8">
      <c r="B124" t="s">
        <v>2202</v>
      </c>
      <c r="C124">
        <v>23.34</v>
      </c>
      <c r="D124">
        <v>146.54</v>
      </c>
      <c r="E124">
        <v>0.85238800000000003</v>
      </c>
      <c r="F124">
        <v>9.41</v>
      </c>
      <c r="G124">
        <v>14</v>
      </c>
      <c r="H124">
        <v>4.42</v>
      </c>
    </row>
    <row r="125" spans="2:8">
      <c r="B125" t="s">
        <v>2203</v>
      </c>
      <c r="C125">
        <v>21.93</v>
      </c>
      <c r="D125">
        <v>136.05000000000001</v>
      </c>
      <c r="E125">
        <v>0.46978900000000001</v>
      </c>
      <c r="F125">
        <v>0.12</v>
      </c>
      <c r="G125">
        <v>30</v>
      </c>
      <c r="H125">
        <v>4.1900000000000004</v>
      </c>
    </row>
    <row r="126" spans="2:8">
      <c r="B126" t="s">
        <v>2204</v>
      </c>
      <c r="C126">
        <v>24.17</v>
      </c>
      <c r="D126">
        <v>145.88</v>
      </c>
      <c r="E126">
        <v>0.71593799999999996</v>
      </c>
      <c r="F126">
        <v>4.1500000000000004</v>
      </c>
      <c r="G126">
        <v>8</v>
      </c>
      <c r="H126">
        <v>4.59</v>
      </c>
    </row>
    <row r="127" spans="2:8">
      <c r="B127" t="s">
        <v>2205</v>
      </c>
      <c r="C127">
        <v>24.65</v>
      </c>
      <c r="D127">
        <v>141.24</v>
      </c>
      <c r="E127">
        <v>0.44056899999999999</v>
      </c>
      <c r="F127">
        <v>1</v>
      </c>
      <c r="G127">
        <v>32</v>
      </c>
      <c r="H127">
        <v>4.67</v>
      </c>
    </row>
    <row r="128" spans="2:8">
      <c r="B128" t="s">
        <v>1455</v>
      </c>
      <c r="C128">
        <v>102.28</v>
      </c>
      <c r="D128">
        <v>16.02</v>
      </c>
      <c r="E128">
        <v>0.99995199999999995</v>
      </c>
      <c r="F128">
        <v>101.57</v>
      </c>
      <c r="G128">
        <v>2</v>
      </c>
      <c r="H128">
        <v>19.309999999999999</v>
      </c>
    </row>
    <row r="129" spans="2:8">
      <c r="B129" t="s">
        <v>1458</v>
      </c>
      <c r="C129">
        <v>134.97999999999999</v>
      </c>
      <c r="D129">
        <v>16.23</v>
      </c>
      <c r="E129">
        <v>0.94413800000000003</v>
      </c>
      <c r="F129">
        <v>102.14</v>
      </c>
      <c r="G129">
        <v>0</v>
      </c>
      <c r="H129">
        <v>25.65</v>
      </c>
    </row>
    <row r="130" spans="2:8">
      <c r="B130" t="s">
        <v>1461</v>
      </c>
      <c r="C130">
        <v>152.16</v>
      </c>
      <c r="D130">
        <v>16.36</v>
      </c>
      <c r="E130">
        <v>0.98398600000000003</v>
      </c>
      <c r="F130">
        <v>132.75</v>
      </c>
      <c r="G130">
        <v>0</v>
      </c>
      <c r="H130">
        <v>29</v>
      </c>
    </row>
    <row r="131" spans="2:8">
      <c r="B131" t="s">
        <v>1464</v>
      </c>
      <c r="C131">
        <v>158.61000000000001</v>
      </c>
      <c r="D131">
        <v>16.399999999999999</v>
      </c>
      <c r="E131">
        <v>0.99910699999999997</v>
      </c>
      <c r="F131">
        <v>153.87</v>
      </c>
      <c r="G131">
        <v>2</v>
      </c>
      <c r="H131">
        <v>30.42</v>
      </c>
    </row>
    <row r="132" spans="2:8">
      <c r="B132" t="s">
        <v>1467</v>
      </c>
      <c r="C132">
        <v>59.79</v>
      </c>
      <c r="D132">
        <v>15.55</v>
      </c>
      <c r="E132">
        <v>0.99960400000000005</v>
      </c>
      <c r="F132">
        <v>58.6</v>
      </c>
      <c r="G132">
        <v>2</v>
      </c>
      <c r="H132">
        <v>11.37</v>
      </c>
    </row>
    <row r="133" spans="2:8">
      <c r="B133" t="s">
        <v>1470</v>
      </c>
      <c r="C133">
        <v>117.12</v>
      </c>
      <c r="D133">
        <v>16.13</v>
      </c>
      <c r="E133">
        <v>0.98479399999999995</v>
      </c>
      <c r="F133">
        <v>102.57</v>
      </c>
      <c r="G133">
        <v>0</v>
      </c>
      <c r="H133">
        <v>22.48</v>
      </c>
    </row>
    <row r="134" spans="2:8">
      <c r="B134" t="s">
        <v>1473</v>
      </c>
      <c r="C134">
        <v>117.64</v>
      </c>
      <c r="D134">
        <v>16.13</v>
      </c>
      <c r="E134">
        <v>0.97762099999999996</v>
      </c>
      <c r="F134">
        <v>99.84</v>
      </c>
      <c r="G134">
        <v>0</v>
      </c>
      <c r="H134">
        <v>22.51</v>
      </c>
    </row>
    <row r="135" spans="2:8">
      <c r="B135" t="s">
        <v>1476</v>
      </c>
      <c r="C135">
        <v>76.19</v>
      </c>
      <c r="D135">
        <v>15.76</v>
      </c>
      <c r="E135">
        <v>0.99992700000000001</v>
      </c>
      <c r="F135">
        <v>75.53</v>
      </c>
      <c r="G135">
        <v>0</v>
      </c>
      <c r="H135">
        <v>14.62</v>
      </c>
    </row>
    <row r="136" spans="2:8">
      <c r="B136" t="s">
        <v>1479</v>
      </c>
      <c r="C136">
        <v>57.77</v>
      </c>
      <c r="D136">
        <v>15.52</v>
      </c>
      <c r="E136">
        <v>0.99859200000000004</v>
      </c>
      <c r="F136">
        <v>55.6</v>
      </c>
      <c r="G136">
        <v>0</v>
      </c>
      <c r="H136">
        <v>11.09</v>
      </c>
    </row>
    <row r="137" spans="2:8">
      <c r="B137" t="s">
        <v>1482</v>
      </c>
      <c r="C137">
        <v>70.39</v>
      </c>
      <c r="D137">
        <v>15.69</v>
      </c>
      <c r="E137">
        <v>0.99832900000000002</v>
      </c>
      <c r="F137">
        <v>67.510000000000005</v>
      </c>
      <c r="G137">
        <v>0</v>
      </c>
      <c r="H137">
        <v>13.54</v>
      </c>
    </row>
    <row r="138" spans="2:8">
      <c r="B138" t="s">
        <v>1485</v>
      </c>
      <c r="C138">
        <v>102.05</v>
      </c>
      <c r="D138">
        <v>16.02</v>
      </c>
      <c r="E138">
        <v>1</v>
      </c>
      <c r="F138">
        <v>101.99</v>
      </c>
      <c r="G138">
        <v>2</v>
      </c>
      <c r="H138">
        <v>19.309999999999999</v>
      </c>
    </row>
    <row r="139" spans="2:8">
      <c r="B139" t="s">
        <v>1488</v>
      </c>
      <c r="C139">
        <v>117.35</v>
      </c>
      <c r="D139">
        <v>16.13</v>
      </c>
      <c r="E139">
        <v>0.98273999999999995</v>
      </c>
      <c r="F139">
        <v>101.8</v>
      </c>
      <c r="G139">
        <v>0</v>
      </c>
      <c r="H139">
        <v>22.34</v>
      </c>
    </row>
    <row r="140" spans="2:8">
      <c r="B140" t="s">
        <v>1491</v>
      </c>
      <c r="C140">
        <v>136.59</v>
      </c>
      <c r="D140">
        <v>16.239999999999998</v>
      </c>
      <c r="E140">
        <v>0.940334</v>
      </c>
      <c r="F140">
        <v>102.18</v>
      </c>
      <c r="G140">
        <v>2</v>
      </c>
      <c r="H140">
        <v>25.86</v>
      </c>
    </row>
    <row r="141" spans="2:8">
      <c r="B141" t="s">
        <v>1494</v>
      </c>
      <c r="C141">
        <v>118.04</v>
      </c>
      <c r="D141">
        <v>16.14</v>
      </c>
      <c r="E141">
        <v>0.98326800000000003</v>
      </c>
      <c r="F141">
        <v>102.64</v>
      </c>
      <c r="G141">
        <v>0</v>
      </c>
      <c r="H141">
        <v>22.53</v>
      </c>
    </row>
    <row r="142" spans="2:8">
      <c r="B142" t="s">
        <v>1497</v>
      </c>
      <c r="C142">
        <v>69.680000000000007</v>
      </c>
      <c r="D142">
        <v>15.69</v>
      </c>
      <c r="E142">
        <v>0.999996</v>
      </c>
      <c r="F142">
        <v>69.540000000000006</v>
      </c>
      <c r="G142">
        <v>0</v>
      </c>
      <c r="H142">
        <v>13.49</v>
      </c>
    </row>
    <row r="143" spans="2:8">
      <c r="B143" t="s">
        <v>1500</v>
      </c>
      <c r="C143">
        <v>152.43</v>
      </c>
      <c r="D143">
        <v>16.36</v>
      </c>
      <c r="E143">
        <v>0.98508099999999998</v>
      </c>
      <c r="F143">
        <v>133.66999999999999</v>
      </c>
      <c r="G143">
        <v>2</v>
      </c>
      <c r="H143">
        <v>28.95</v>
      </c>
    </row>
    <row r="144" spans="2:8">
      <c r="B144" t="s">
        <v>1503</v>
      </c>
      <c r="C144">
        <v>59.79</v>
      </c>
      <c r="D144">
        <v>15.55</v>
      </c>
      <c r="E144">
        <v>0.99960400000000005</v>
      </c>
      <c r="F144">
        <v>58.6</v>
      </c>
      <c r="G144">
        <v>2</v>
      </c>
      <c r="H144">
        <v>11.37</v>
      </c>
    </row>
    <row r="145" spans="2:8">
      <c r="B145" t="s">
        <v>1506</v>
      </c>
      <c r="C145">
        <v>116.76</v>
      </c>
      <c r="D145">
        <v>16.13</v>
      </c>
      <c r="E145">
        <v>0.98166799999999999</v>
      </c>
      <c r="F145">
        <v>100.8</v>
      </c>
      <c r="G145">
        <v>2</v>
      </c>
      <c r="H145">
        <v>22.35</v>
      </c>
    </row>
    <row r="146" spans="2:8">
      <c r="B146" t="s">
        <v>1509</v>
      </c>
      <c r="C146">
        <v>136.05000000000001</v>
      </c>
      <c r="D146">
        <v>16.239999999999998</v>
      </c>
      <c r="E146">
        <v>0.94064400000000004</v>
      </c>
      <c r="F146">
        <v>101.88</v>
      </c>
      <c r="G146">
        <v>0</v>
      </c>
      <c r="H146">
        <v>25.91</v>
      </c>
    </row>
    <row r="147" spans="2:8">
      <c r="B147" t="s">
        <v>1512</v>
      </c>
      <c r="C147">
        <v>65.97</v>
      </c>
      <c r="D147">
        <v>15.64</v>
      </c>
      <c r="E147">
        <v>0.99960800000000005</v>
      </c>
      <c r="F147">
        <v>64.67</v>
      </c>
      <c r="G147">
        <v>0</v>
      </c>
      <c r="H147">
        <v>12.48</v>
      </c>
    </row>
    <row r="148" spans="2:8">
      <c r="B148" t="s">
        <v>1515</v>
      </c>
      <c r="C148">
        <v>160.72</v>
      </c>
      <c r="D148">
        <v>16.41</v>
      </c>
      <c r="E148">
        <v>0.99937699999999996</v>
      </c>
      <c r="F148">
        <v>156.71</v>
      </c>
      <c r="G148">
        <v>0</v>
      </c>
      <c r="H148">
        <v>30.55</v>
      </c>
    </row>
    <row r="149" spans="2:8">
      <c r="B149" t="s">
        <v>1518</v>
      </c>
      <c r="C149">
        <v>102.28</v>
      </c>
      <c r="D149">
        <v>16.02</v>
      </c>
      <c r="E149">
        <v>0.99995199999999995</v>
      </c>
      <c r="F149">
        <v>101.57</v>
      </c>
      <c r="G149">
        <v>2</v>
      </c>
      <c r="H149">
        <v>19.309999999999999</v>
      </c>
    </row>
    <row r="150" spans="2:8">
      <c r="B150" t="s">
        <v>1521</v>
      </c>
      <c r="C150">
        <v>81.73</v>
      </c>
      <c r="D150">
        <v>15.82</v>
      </c>
      <c r="E150">
        <v>0.99864200000000003</v>
      </c>
      <c r="F150">
        <v>78.72</v>
      </c>
      <c r="G150">
        <v>0</v>
      </c>
      <c r="H150">
        <v>15.77</v>
      </c>
    </row>
    <row r="151" spans="2:8">
      <c r="B151" t="s">
        <v>1524</v>
      </c>
      <c r="C151">
        <v>117.64</v>
      </c>
      <c r="D151">
        <v>16.13</v>
      </c>
      <c r="E151">
        <v>0.97762099999999996</v>
      </c>
      <c r="F151">
        <v>99.84</v>
      </c>
      <c r="G151">
        <v>0</v>
      </c>
      <c r="H151">
        <v>22.51</v>
      </c>
    </row>
    <row r="152" spans="2:8">
      <c r="B152" t="s">
        <v>1527</v>
      </c>
      <c r="C152">
        <v>152.16</v>
      </c>
      <c r="D152">
        <v>16.36</v>
      </c>
      <c r="E152">
        <v>0.98398600000000003</v>
      </c>
      <c r="F152">
        <v>132.75</v>
      </c>
      <c r="G152">
        <v>0</v>
      </c>
      <c r="H152">
        <v>29</v>
      </c>
    </row>
    <row r="153" spans="2:8">
      <c r="B153" t="s">
        <v>1530</v>
      </c>
      <c r="C153">
        <v>118.14</v>
      </c>
      <c r="D153">
        <v>16.14</v>
      </c>
      <c r="E153">
        <v>0.98088299999999995</v>
      </c>
      <c r="F153">
        <v>101.64</v>
      </c>
      <c r="G153">
        <v>2</v>
      </c>
      <c r="H153">
        <v>22.46</v>
      </c>
    </row>
    <row r="154" spans="2:8">
      <c r="B154" t="s">
        <v>1533</v>
      </c>
      <c r="C154">
        <v>118.21</v>
      </c>
      <c r="D154">
        <v>16.14</v>
      </c>
      <c r="E154">
        <v>0.98487499999999994</v>
      </c>
      <c r="F154">
        <v>103.56</v>
      </c>
      <c r="G154">
        <v>2</v>
      </c>
      <c r="H154">
        <v>22.48</v>
      </c>
    </row>
    <row r="155" spans="2:8">
      <c r="B155" t="s">
        <v>1536</v>
      </c>
      <c r="C155">
        <v>136.03</v>
      </c>
      <c r="D155">
        <v>16.239999999999998</v>
      </c>
      <c r="E155">
        <v>0.94069100000000005</v>
      </c>
      <c r="F155">
        <v>101.88</v>
      </c>
      <c r="G155">
        <v>0</v>
      </c>
      <c r="H155">
        <v>25.91</v>
      </c>
    </row>
    <row r="156" spans="2:8">
      <c r="B156" t="s">
        <v>1539</v>
      </c>
      <c r="C156">
        <v>135.03</v>
      </c>
      <c r="D156">
        <v>16.260000000000002</v>
      </c>
      <c r="E156">
        <v>1</v>
      </c>
      <c r="F156">
        <v>134.97999999999999</v>
      </c>
      <c r="G156">
        <v>0</v>
      </c>
      <c r="H156">
        <v>25.76</v>
      </c>
    </row>
    <row r="157" spans="2:8">
      <c r="B157" t="s">
        <v>1542</v>
      </c>
      <c r="C157">
        <v>135.86000000000001</v>
      </c>
      <c r="D157">
        <v>16.239999999999998</v>
      </c>
      <c r="E157">
        <v>0.93972999999999995</v>
      </c>
      <c r="F157">
        <v>101.45</v>
      </c>
      <c r="G157">
        <v>2</v>
      </c>
      <c r="H157">
        <v>25.99</v>
      </c>
    </row>
    <row r="158" spans="2:8">
      <c r="B158" t="s">
        <v>1545</v>
      </c>
      <c r="C158">
        <v>165.64</v>
      </c>
      <c r="D158">
        <v>16.440000000000001</v>
      </c>
      <c r="E158">
        <v>0.99987899999999996</v>
      </c>
      <c r="F158">
        <v>163.81</v>
      </c>
      <c r="G158">
        <v>0</v>
      </c>
      <c r="H158">
        <v>31.57</v>
      </c>
    </row>
    <row r="159" spans="2:8">
      <c r="B159" t="s">
        <v>1548</v>
      </c>
      <c r="C159">
        <v>116.76</v>
      </c>
      <c r="D159">
        <v>16.13</v>
      </c>
      <c r="E159">
        <v>0.98166799999999999</v>
      </c>
      <c r="F159">
        <v>100.8</v>
      </c>
      <c r="G159">
        <v>2</v>
      </c>
      <c r="H159">
        <v>22.35</v>
      </c>
    </row>
    <row r="160" spans="2:8">
      <c r="B160" t="s">
        <v>1551</v>
      </c>
      <c r="C160">
        <v>92.97</v>
      </c>
      <c r="D160">
        <v>15.93</v>
      </c>
      <c r="E160">
        <v>0.98527200000000004</v>
      </c>
      <c r="F160">
        <v>81.599999999999994</v>
      </c>
      <c r="G160">
        <v>0</v>
      </c>
      <c r="H160">
        <v>17.920000000000002</v>
      </c>
    </row>
    <row r="161" spans="2:8">
      <c r="B161" t="s">
        <v>1554</v>
      </c>
      <c r="C161">
        <v>102.28</v>
      </c>
      <c r="D161">
        <v>16.02</v>
      </c>
      <c r="E161">
        <v>0.99995199999999995</v>
      </c>
      <c r="F161">
        <v>101.57</v>
      </c>
      <c r="G161">
        <v>2</v>
      </c>
      <c r="H161">
        <v>19.309999999999999</v>
      </c>
    </row>
    <row r="162" spans="2:8">
      <c r="B162" t="s">
        <v>1557</v>
      </c>
      <c r="C162">
        <v>117.73</v>
      </c>
      <c r="D162">
        <v>16.14</v>
      </c>
      <c r="E162">
        <v>0.98487100000000005</v>
      </c>
      <c r="F162">
        <v>103.14</v>
      </c>
      <c r="G162">
        <v>2</v>
      </c>
      <c r="H162">
        <v>22.37</v>
      </c>
    </row>
    <row r="163" spans="2:8">
      <c r="B163" t="s">
        <v>1560</v>
      </c>
      <c r="C163">
        <v>103.58</v>
      </c>
      <c r="D163">
        <v>16.03</v>
      </c>
      <c r="E163">
        <v>0.99923799999999996</v>
      </c>
      <c r="F163">
        <v>100.72</v>
      </c>
      <c r="G163">
        <v>2</v>
      </c>
      <c r="H163">
        <v>20.14</v>
      </c>
    </row>
    <row r="164" spans="2:8">
      <c r="B164" t="s">
        <v>1563</v>
      </c>
      <c r="C164">
        <v>79.599999999999994</v>
      </c>
      <c r="D164">
        <v>15.8</v>
      </c>
      <c r="E164">
        <v>0.99631899999999995</v>
      </c>
      <c r="F164">
        <v>74.760000000000005</v>
      </c>
      <c r="G164">
        <v>0</v>
      </c>
      <c r="H164">
        <v>15.03</v>
      </c>
    </row>
    <row r="165" spans="2:8">
      <c r="B165" t="s">
        <v>1566</v>
      </c>
      <c r="C165">
        <v>75.19</v>
      </c>
      <c r="D165">
        <v>15.75</v>
      </c>
      <c r="E165">
        <v>0.99865000000000004</v>
      </c>
      <c r="F165">
        <v>72.42</v>
      </c>
      <c r="G165">
        <v>0</v>
      </c>
      <c r="H165">
        <v>14.37</v>
      </c>
    </row>
    <row r="166" spans="2:8">
      <c r="B166" t="s">
        <v>1569</v>
      </c>
      <c r="C166">
        <v>125.68</v>
      </c>
      <c r="D166">
        <v>16.2</v>
      </c>
      <c r="E166">
        <v>0.99992700000000001</v>
      </c>
      <c r="F166">
        <v>124.61</v>
      </c>
      <c r="G166">
        <v>2</v>
      </c>
      <c r="H166">
        <v>24.08</v>
      </c>
    </row>
    <row r="167" spans="2:8">
      <c r="B167" t="s">
        <v>1572</v>
      </c>
      <c r="C167">
        <v>95.65</v>
      </c>
      <c r="D167">
        <v>15.95</v>
      </c>
      <c r="E167">
        <v>0.98096399999999995</v>
      </c>
      <c r="F167">
        <v>82.33</v>
      </c>
      <c r="G167">
        <v>0</v>
      </c>
      <c r="H167">
        <v>18.47</v>
      </c>
    </row>
    <row r="168" spans="2:8">
      <c r="B168" t="s">
        <v>1575</v>
      </c>
      <c r="C168">
        <v>117.85</v>
      </c>
      <c r="D168">
        <v>16.13</v>
      </c>
      <c r="E168">
        <v>0.980217</v>
      </c>
      <c r="F168">
        <v>101.11</v>
      </c>
      <c r="G168">
        <v>0</v>
      </c>
      <c r="H168">
        <v>22.41</v>
      </c>
    </row>
    <row r="169" spans="2:8">
      <c r="B169" t="s">
        <v>1578</v>
      </c>
      <c r="C169">
        <v>65.319999999999993</v>
      </c>
      <c r="D169">
        <v>15.63</v>
      </c>
      <c r="E169">
        <v>0.99999700000000002</v>
      </c>
      <c r="F169">
        <v>65.2</v>
      </c>
      <c r="G169">
        <v>0</v>
      </c>
      <c r="H169">
        <v>12.41</v>
      </c>
    </row>
    <row r="170" spans="2:8">
      <c r="B170" t="s">
        <v>1581</v>
      </c>
      <c r="C170">
        <v>136.22</v>
      </c>
      <c r="D170">
        <v>16.239999999999998</v>
      </c>
      <c r="E170">
        <v>0.93883300000000003</v>
      </c>
      <c r="F170">
        <v>101.45</v>
      </c>
      <c r="G170">
        <v>2</v>
      </c>
      <c r="H170">
        <v>25.91</v>
      </c>
    </row>
    <row r="171" spans="2:8">
      <c r="B171" t="s">
        <v>1584</v>
      </c>
      <c r="C171">
        <v>136.03</v>
      </c>
      <c r="D171">
        <v>16.239999999999998</v>
      </c>
      <c r="E171">
        <v>0.94069100000000005</v>
      </c>
      <c r="F171">
        <v>101.88</v>
      </c>
      <c r="G171">
        <v>0</v>
      </c>
      <c r="H171">
        <v>25.91</v>
      </c>
    </row>
    <row r="172" spans="2:8">
      <c r="B172" t="s">
        <v>1587</v>
      </c>
      <c r="C172">
        <v>117.73</v>
      </c>
      <c r="D172">
        <v>16.13</v>
      </c>
      <c r="E172">
        <v>0.98431800000000003</v>
      </c>
      <c r="F172">
        <v>102.87</v>
      </c>
      <c r="G172">
        <v>0</v>
      </c>
      <c r="H172">
        <v>22.47</v>
      </c>
    </row>
    <row r="173" spans="2:8">
      <c r="B173" t="s">
        <v>1590</v>
      </c>
      <c r="C173">
        <v>135.49</v>
      </c>
      <c r="D173">
        <v>16.239999999999998</v>
      </c>
      <c r="E173">
        <v>0.94496899999999995</v>
      </c>
      <c r="F173">
        <v>102.8</v>
      </c>
      <c r="G173">
        <v>2</v>
      </c>
      <c r="H173">
        <v>25.87</v>
      </c>
    </row>
    <row r="174" spans="2:8">
      <c r="B174" t="s">
        <v>1593</v>
      </c>
      <c r="C174">
        <v>65.319999999999993</v>
      </c>
      <c r="D174">
        <v>15.63</v>
      </c>
      <c r="E174">
        <v>0.99999700000000002</v>
      </c>
      <c r="F174">
        <v>65.2</v>
      </c>
      <c r="G174">
        <v>0</v>
      </c>
      <c r="H174">
        <v>12.41</v>
      </c>
    </row>
    <row r="175" spans="2:8">
      <c r="B175" t="s">
        <v>1596</v>
      </c>
      <c r="C175">
        <v>66.739999999999995</v>
      </c>
      <c r="D175">
        <v>15.65</v>
      </c>
      <c r="E175">
        <v>0.99766999999999995</v>
      </c>
      <c r="F175">
        <v>63.51</v>
      </c>
      <c r="G175">
        <v>0</v>
      </c>
      <c r="H175">
        <v>12.8</v>
      </c>
    </row>
    <row r="176" spans="2:8">
      <c r="B176" t="s">
        <v>1599</v>
      </c>
      <c r="C176">
        <v>136.69999999999999</v>
      </c>
      <c r="D176">
        <v>16.25</v>
      </c>
      <c r="E176">
        <v>0.944496</v>
      </c>
      <c r="F176">
        <v>103.56</v>
      </c>
      <c r="G176">
        <v>0</v>
      </c>
      <c r="H176">
        <v>25.98</v>
      </c>
    </row>
    <row r="177" spans="2:8">
      <c r="B177" t="s">
        <v>1602</v>
      </c>
      <c r="C177">
        <v>85.92</v>
      </c>
      <c r="D177">
        <v>15.87</v>
      </c>
      <c r="E177">
        <v>0.99968800000000002</v>
      </c>
      <c r="F177">
        <v>84.4</v>
      </c>
      <c r="G177">
        <v>2</v>
      </c>
      <c r="H177">
        <v>16.43</v>
      </c>
    </row>
    <row r="178" spans="2:8">
      <c r="B178" t="s">
        <v>2206</v>
      </c>
      <c r="C178">
        <v>17.32</v>
      </c>
      <c r="D178">
        <v>207.94</v>
      </c>
      <c r="E178">
        <v>0.451851</v>
      </c>
      <c r="F178">
        <v>0.19</v>
      </c>
      <c r="G178">
        <v>30</v>
      </c>
      <c r="H178">
        <v>3.29</v>
      </c>
    </row>
    <row r="179" spans="2:8">
      <c r="B179" t="s">
        <v>2207</v>
      </c>
      <c r="C179">
        <v>16.21</v>
      </c>
      <c r="D179">
        <v>211.29</v>
      </c>
      <c r="E179">
        <v>0.57823899999999995</v>
      </c>
      <c r="F179">
        <v>2.0699999999999998</v>
      </c>
      <c r="G179">
        <v>0</v>
      </c>
      <c r="H179">
        <v>3.09</v>
      </c>
    </row>
    <row r="180" spans="2:8">
      <c r="B180" t="s">
        <v>2208</v>
      </c>
      <c r="C180">
        <v>17.559999999999999</v>
      </c>
      <c r="D180">
        <v>209.32</v>
      </c>
      <c r="E180">
        <v>0.54831300000000005</v>
      </c>
      <c r="F180">
        <v>0.04</v>
      </c>
      <c r="G180">
        <v>44</v>
      </c>
      <c r="H180">
        <v>3.32</v>
      </c>
    </row>
    <row r="181" spans="2:8">
      <c r="B181" t="s">
        <v>2209</v>
      </c>
      <c r="C181">
        <v>19.010000000000002</v>
      </c>
      <c r="D181">
        <v>207.68</v>
      </c>
      <c r="E181">
        <v>0.383768</v>
      </c>
      <c r="F181">
        <v>0.42</v>
      </c>
      <c r="G181">
        <v>14</v>
      </c>
      <c r="H181">
        <v>3.61</v>
      </c>
    </row>
    <row r="182" spans="2:8">
      <c r="B182" t="s">
        <v>2210</v>
      </c>
      <c r="C182">
        <v>16.82</v>
      </c>
      <c r="D182">
        <v>210.79</v>
      </c>
      <c r="E182">
        <v>0.63956500000000005</v>
      </c>
      <c r="F182">
        <v>0.08</v>
      </c>
      <c r="G182">
        <v>8</v>
      </c>
      <c r="H182">
        <v>3.2</v>
      </c>
    </row>
    <row r="183" spans="2:8">
      <c r="B183" t="s">
        <v>2211</v>
      </c>
      <c r="C183">
        <v>15.21</v>
      </c>
      <c r="D183">
        <v>211.93</v>
      </c>
      <c r="E183">
        <v>0.62409700000000001</v>
      </c>
      <c r="F183">
        <v>3.8</v>
      </c>
      <c r="G183">
        <v>26</v>
      </c>
      <c r="H183">
        <v>2.89</v>
      </c>
    </row>
    <row r="184" spans="2:8">
      <c r="B184" t="s">
        <v>2212</v>
      </c>
      <c r="C184">
        <v>16.77</v>
      </c>
      <c r="D184">
        <v>210.64</v>
      </c>
      <c r="E184">
        <v>0.59732499999999999</v>
      </c>
      <c r="F184">
        <v>0.77</v>
      </c>
      <c r="G184">
        <v>38</v>
      </c>
      <c r="H184">
        <v>3.2</v>
      </c>
    </row>
    <row r="185" spans="2:8">
      <c r="B185" t="s">
        <v>2213</v>
      </c>
      <c r="C185">
        <v>17</v>
      </c>
      <c r="D185">
        <v>194.4</v>
      </c>
      <c r="E185">
        <v>0.25092700000000001</v>
      </c>
      <c r="F185">
        <v>0.04</v>
      </c>
      <c r="G185">
        <v>54</v>
      </c>
      <c r="H185">
        <v>3.23</v>
      </c>
    </row>
    <row r="186" spans="2:8">
      <c r="B186" t="s">
        <v>2214</v>
      </c>
      <c r="C186">
        <v>15.37</v>
      </c>
      <c r="D186">
        <v>213.72</v>
      </c>
      <c r="E186">
        <v>0.78008100000000002</v>
      </c>
      <c r="F186">
        <v>3.26</v>
      </c>
      <c r="G186">
        <v>28</v>
      </c>
      <c r="H186">
        <v>2.94</v>
      </c>
    </row>
    <row r="187" spans="2:8">
      <c r="B187" t="s">
        <v>2215</v>
      </c>
      <c r="C187">
        <v>17.239999999999998</v>
      </c>
      <c r="D187">
        <v>207.69</v>
      </c>
      <c r="E187">
        <v>0.45261299999999999</v>
      </c>
      <c r="F187">
        <v>0.65</v>
      </c>
      <c r="G187">
        <v>48</v>
      </c>
      <c r="H187">
        <v>3.27</v>
      </c>
    </row>
    <row r="188" spans="2:8">
      <c r="B188" t="s">
        <v>2216</v>
      </c>
      <c r="C188">
        <v>16.57</v>
      </c>
      <c r="D188">
        <v>211.12</v>
      </c>
      <c r="E188">
        <v>0.63226400000000005</v>
      </c>
      <c r="F188">
        <v>1.19</v>
      </c>
      <c r="G188">
        <v>8</v>
      </c>
      <c r="H188">
        <v>3.17</v>
      </c>
    </row>
    <row r="189" spans="2:8">
      <c r="B189" t="s">
        <v>2217</v>
      </c>
      <c r="C189">
        <v>17.22</v>
      </c>
      <c r="D189">
        <v>203.49</v>
      </c>
      <c r="E189">
        <v>0.41689300000000001</v>
      </c>
      <c r="F189">
        <v>0.27</v>
      </c>
      <c r="G189">
        <v>54</v>
      </c>
      <c r="H189">
        <v>3.27</v>
      </c>
    </row>
    <row r="190" spans="2:8">
      <c r="B190" t="s">
        <v>2218</v>
      </c>
      <c r="C190">
        <v>17.04</v>
      </c>
      <c r="D190">
        <v>212.29</v>
      </c>
      <c r="E190">
        <v>0.52998299999999998</v>
      </c>
      <c r="F190">
        <v>2.15</v>
      </c>
      <c r="G190">
        <v>18</v>
      </c>
      <c r="H190">
        <v>3.24</v>
      </c>
    </row>
    <row r="191" spans="2:8">
      <c r="B191" t="s">
        <v>2219</v>
      </c>
      <c r="C191">
        <v>16.04</v>
      </c>
      <c r="D191">
        <v>209.56</v>
      </c>
      <c r="E191">
        <v>0.609514</v>
      </c>
      <c r="F191">
        <v>0.5</v>
      </c>
      <c r="G191">
        <v>34</v>
      </c>
      <c r="H191">
        <v>3.06</v>
      </c>
    </row>
    <row r="192" spans="2:8">
      <c r="B192" t="s">
        <v>2220</v>
      </c>
      <c r="C192">
        <v>15.15</v>
      </c>
      <c r="D192">
        <v>211.7</v>
      </c>
      <c r="E192">
        <v>0.666022</v>
      </c>
      <c r="F192">
        <v>0.92</v>
      </c>
      <c r="G192">
        <v>12</v>
      </c>
      <c r="H192">
        <v>2.9</v>
      </c>
    </row>
    <row r="193" spans="2:8">
      <c r="B193" t="s">
        <v>2221</v>
      </c>
      <c r="C193">
        <v>16.5</v>
      </c>
      <c r="D193">
        <v>212.05</v>
      </c>
      <c r="E193">
        <v>0.63637500000000002</v>
      </c>
      <c r="F193">
        <v>0.92</v>
      </c>
      <c r="G193">
        <v>24</v>
      </c>
      <c r="H193">
        <v>3.15</v>
      </c>
    </row>
    <row r="194" spans="2:8">
      <c r="B194" t="s">
        <v>2222</v>
      </c>
      <c r="C194">
        <v>16.29</v>
      </c>
      <c r="D194">
        <v>210.96</v>
      </c>
      <c r="E194">
        <v>0.49332199999999998</v>
      </c>
      <c r="F194">
        <v>1.57</v>
      </c>
      <c r="G194">
        <v>16</v>
      </c>
      <c r="H194">
        <v>3.09</v>
      </c>
    </row>
    <row r="195" spans="2:8">
      <c r="B195" t="s">
        <v>2223</v>
      </c>
      <c r="C195">
        <v>17.07</v>
      </c>
      <c r="D195">
        <v>213.21</v>
      </c>
      <c r="E195">
        <v>0.71126599999999995</v>
      </c>
      <c r="F195">
        <v>0.73</v>
      </c>
      <c r="G195">
        <v>34</v>
      </c>
      <c r="H195">
        <v>3.24</v>
      </c>
    </row>
    <row r="196" spans="2:8">
      <c r="B196" t="s">
        <v>2224</v>
      </c>
      <c r="C196">
        <v>15.06</v>
      </c>
      <c r="D196">
        <v>211.91</v>
      </c>
      <c r="E196">
        <v>0.74819800000000003</v>
      </c>
      <c r="F196">
        <v>0.54</v>
      </c>
      <c r="G196">
        <v>30</v>
      </c>
      <c r="H196">
        <v>2.88</v>
      </c>
    </row>
    <row r="197" spans="2:8">
      <c r="B197" t="s">
        <v>2225</v>
      </c>
      <c r="C197">
        <v>17.12</v>
      </c>
      <c r="D197">
        <v>210.62</v>
      </c>
      <c r="E197">
        <v>0.49841200000000002</v>
      </c>
      <c r="F197">
        <v>1.42</v>
      </c>
      <c r="G197">
        <v>10</v>
      </c>
      <c r="H197">
        <v>3.24</v>
      </c>
    </row>
    <row r="198" spans="2:8">
      <c r="B198" t="s">
        <v>2226</v>
      </c>
      <c r="C198">
        <v>16.190000000000001</v>
      </c>
      <c r="D198">
        <v>210.85</v>
      </c>
      <c r="E198">
        <v>0.43255700000000002</v>
      </c>
      <c r="F198">
        <v>2.34</v>
      </c>
      <c r="G198">
        <v>50</v>
      </c>
      <c r="H198">
        <v>3.07</v>
      </c>
    </row>
    <row r="199" spans="2:8">
      <c r="B199" t="s">
        <v>2227</v>
      </c>
      <c r="C199">
        <v>15.78</v>
      </c>
      <c r="D199">
        <v>213.19</v>
      </c>
      <c r="E199">
        <v>0.76837599999999995</v>
      </c>
      <c r="F199">
        <v>0.81</v>
      </c>
      <c r="G199">
        <v>24</v>
      </c>
      <c r="H199">
        <v>3</v>
      </c>
    </row>
    <row r="200" spans="2:8">
      <c r="B200" t="s">
        <v>2228</v>
      </c>
      <c r="C200">
        <v>18.670000000000002</v>
      </c>
      <c r="D200" t="e">
        <f>-inf</f>
        <v>#NAME?</v>
      </c>
      <c r="E200">
        <v>0.57474999999999998</v>
      </c>
      <c r="F200">
        <v>0</v>
      </c>
      <c r="G200">
        <v>40</v>
      </c>
      <c r="H200">
        <v>3.54</v>
      </c>
    </row>
    <row r="201" spans="2:8">
      <c r="B201" t="s">
        <v>2229</v>
      </c>
      <c r="C201">
        <v>16.89</v>
      </c>
      <c r="D201">
        <v>195.16</v>
      </c>
      <c r="E201">
        <v>0.303004</v>
      </c>
      <c r="F201">
        <v>0.04</v>
      </c>
      <c r="G201">
        <v>34</v>
      </c>
      <c r="H201">
        <v>3.22</v>
      </c>
    </row>
    <row r="202" spans="2:8">
      <c r="B202" t="s">
        <v>2230</v>
      </c>
      <c r="C202">
        <v>17.37</v>
      </c>
      <c r="D202">
        <v>211.59</v>
      </c>
      <c r="E202">
        <v>0.59944600000000003</v>
      </c>
      <c r="F202">
        <v>0.31</v>
      </c>
      <c r="G202">
        <v>40</v>
      </c>
      <c r="H202">
        <v>3.3</v>
      </c>
    </row>
    <row r="203" spans="2:8">
      <c r="B203" t="s">
        <v>2231</v>
      </c>
      <c r="C203">
        <v>16.25</v>
      </c>
      <c r="D203">
        <v>212.03</v>
      </c>
      <c r="E203">
        <v>0.65044299999999999</v>
      </c>
      <c r="F203">
        <v>0.81</v>
      </c>
      <c r="G203">
        <v>28</v>
      </c>
      <c r="H203">
        <v>3.08</v>
      </c>
    </row>
    <row r="204" spans="2:8">
      <c r="B204" t="s">
        <v>2232</v>
      </c>
      <c r="C204">
        <v>17.3</v>
      </c>
      <c r="D204">
        <v>207.63</v>
      </c>
      <c r="E204">
        <v>0.37459500000000001</v>
      </c>
      <c r="F204">
        <v>0.73</v>
      </c>
      <c r="G204">
        <v>4</v>
      </c>
      <c r="H204">
        <v>3.29</v>
      </c>
    </row>
    <row r="205" spans="2:8">
      <c r="B205" t="s">
        <v>2233</v>
      </c>
      <c r="C205">
        <v>17.079999999999998</v>
      </c>
      <c r="D205">
        <v>209.44</v>
      </c>
      <c r="E205">
        <v>0.551091</v>
      </c>
      <c r="F205">
        <v>0.57999999999999996</v>
      </c>
      <c r="G205">
        <v>48</v>
      </c>
      <c r="H205">
        <v>3.26</v>
      </c>
    </row>
    <row r="206" spans="2:8">
      <c r="B206" t="s">
        <v>2234</v>
      </c>
      <c r="C206">
        <v>16.57</v>
      </c>
      <c r="D206">
        <v>213.62</v>
      </c>
      <c r="E206">
        <v>0.66180700000000003</v>
      </c>
      <c r="F206">
        <v>3.8</v>
      </c>
      <c r="G206">
        <v>18</v>
      </c>
      <c r="H206">
        <v>3.17</v>
      </c>
    </row>
    <row r="207" spans="2:8">
      <c r="B207" t="s">
        <v>2235</v>
      </c>
      <c r="C207">
        <v>16.3</v>
      </c>
      <c r="D207">
        <v>210.49</v>
      </c>
      <c r="E207">
        <v>0.56833800000000001</v>
      </c>
      <c r="F207">
        <v>1.38</v>
      </c>
      <c r="G207">
        <v>8</v>
      </c>
      <c r="H207">
        <v>3.11</v>
      </c>
    </row>
    <row r="208" spans="2:8">
      <c r="B208" t="s">
        <v>2236</v>
      </c>
      <c r="C208">
        <v>15.57</v>
      </c>
      <c r="D208">
        <v>213.41</v>
      </c>
      <c r="E208">
        <v>0.69416</v>
      </c>
      <c r="F208">
        <v>3.69</v>
      </c>
      <c r="G208">
        <v>12</v>
      </c>
      <c r="H208">
        <v>2.96</v>
      </c>
    </row>
    <row r="209" spans="2:8">
      <c r="B209" t="s">
        <v>2237</v>
      </c>
      <c r="C209">
        <v>17.57</v>
      </c>
      <c r="D209">
        <v>207.32</v>
      </c>
      <c r="E209">
        <v>0.49737500000000001</v>
      </c>
      <c r="F209">
        <v>0.61</v>
      </c>
      <c r="G209">
        <v>48</v>
      </c>
      <c r="H209">
        <v>3.33</v>
      </c>
    </row>
    <row r="210" spans="2:8">
      <c r="B210" t="s">
        <v>2238</v>
      </c>
      <c r="C210">
        <v>16.420000000000002</v>
      </c>
      <c r="D210">
        <v>211.81</v>
      </c>
      <c r="E210">
        <v>0.55829099999999998</v>
      </c>
      <c r="F210">
        <v>1.57</v>
      </c>
      <c r="G210">
        <v>54</v>
      </c>
      <c r="H210">
        <v>3.12</v>
      </c>
    </row>
    <row r="211" spans="2:8">
      <c r="B211" t="s">
        <v>2239</v>
      </c>
      <c r="C211">
        <v>15.64</v>
      </c>
      <c r="D211">
        <v>210.1</v>
      </c>
      <c r="E211">
        <v>0.59251900000000002</v>
      </c>
      <c r="F211">
        <v>1.31</v>
      </c>
      <c r="G211">
        <v>54</v>
      </c>
      <c r="H211">
        <v>2.98</v>
      </c>
    </row>
    <row r="212" spans="2:8">
      <c r="B212" t="s">
        <v>2240</v>
      </c>
      <c r="C212">
        <v>16.89</v>
      </c>
      <c r="D212">
        <v>212.45</v>
      </c>
      <c r="E212">
        <v>0.56715400000000005</v>
      </c>
      <c r="F212">
        <v>1.04</v>
      </c>
      <c r="G212">
        <v>24</v>
      </c>
      <c r="H212">
        <v>3.21</v>
      </c>
    </row>
    <row r="213" spans="2:8">
      <c r="B213" t="s">
        <v>2241</v>
      </c>
      <c r="C213">
        <v>17.309999999999999</v>
      </c>
      <c r="D213">
        <v>210.72</v>
      </c>
      <c r="E213">
        <v>0.53383199999999997</v>
      </c>
      <c r="F213">
        <v>1.65</v>
      </c>
      <c r="G213">
        <v>32</v>
      </c>
      <c r="H213">
        <v>3.29</v>
      </c>
    </row>
    <row r="214" spans="2:8">
      <c r="B214" t="s">
        <v>2242</v>
      </c>
      <c r="C214">
        <v>16.43</v>
      </c>
      <c r="D214">
        <v>213.96</v>
      </c>
      <c r="E214">
        <v>0.72024100000000002</v>
      </c>
      <c r="F214">
        <v>1.1499999999999999</v>
      </c>
      <c r="G214">
        <v>12</v>
      </c>
      <c r="H214">
        <v>3.13</v>
      </c>
    </row>
    <row r="215" spans="2:8">
      <c r="B215" t="s">
        <v>2243</v>
      </c>
      <c r="C215">
        <v>16.28</v>
      </c>
      <c r="D215">
        <v>213.05</v>
      </c>
      <c r="E215">
        <v>0.66252100000000003</v>
      </c>
      <c r="F215">
        <v>2.8</v>
      </c>
      <c r="G215">
        <v>52</v>
      </c>
      <c r="H215">
        <v>3.1</v>
      </c>
    </row>
    <row r="216" spans="2:8">
      <c r="B216" t="s">
        <v>2244</v>
      </c>
      <c r="C216">
        <v>16.47</v>
      </c>
      <c r="D216">
        <v>211.86</v>
      </c>
      <c r="E216">
        <v>0.63551000000000002</v>
      </c>
      <c r="F216">
        <v>1.42</v>
      </c>
      <c r="G216">
        <v>20</v>
      </c>
      <c r="H216">
        <v>3.14</v>
      </c>
    </row>
    <row r="217" spans="2:8">
      <c r="B217" t="s">
        <v>2245</v>
      </c>
      <c r="C217">
        <v>16.52</v>
      </c>
      <c r="D217">
        <v>211.26</v>
      </c>
      <c r="E217">
        <v>0.57054899999999997</v>
      </c>
      <c r="F217">
        <v>1.65</v>
      </c>
      <c r="G217">
        <v>52</v>
      </c>
      <c r="H217">
        <v>3.15</v>
      </c>
    </row>
    <row r="218" spans="2:8">
      <c r="B218" t="s">
        <v>2246</v>
      </c>
      <c r="C218">
        <v>15.63</v>
      </c>
      <c r="D218">
        <v>212.24</v>
      </c>
      <c r="E218">
        <v>0.60142499999999999</v>
      </c>
      <c r="F218">
        <v>3.23</v>
      </c>
      <c r="G218">
        <v>14</v>
      </c>
      <c r="H218">
        <v>2.98</v>
      </c>
    </row>
    <row r="219" spans="2:8">
      <c r="B219" t="s">
        <v>2247</v>
      </c>
      <c r="C219">
        <v>16.45</v>
      </c>
      <c r="D219">
        <v>201.81</v>
      </c>
      <c r="E219">
        <v>0.31417099999999998</v>
      </c>
      <c r="F219">
        <v>0.04</v>
      </c>
      <c r="G219">
        <v>48</v>
      </c>
      <c r="H219">
        <v>3.13</v>
      </c>
    </row>
    <row r="220" spans="2:8">
      <c r="B220" t="s">
        <v>2248</v>
      </c>
      <c r="C220">
        <v>15.68</v>
      </c>
      <c r="D220">
        <v>211.23</v>
      </c>
      <c r="E220">
        <v>0.67153399999999996</v>
      </c>
      <c r="F220">
        <v>0.27</v>
      </c>
      <c r="G220">
        <v>22</v>
      </c>
      <c r="H220">
        <v>2.96</v>
      </c>
    </row>
    <row r="221" spans="2:8">
      <c r="B221" t="s">
        <v>2249</v>
      </c>
      <c r="C221">
        <v>18.03</v>
      </c>
      <c r="D221">
        <v>211.82</v>
      </c>
      <c r="E221">
        <v>0.47466399999999997</v>
      </c>
      <c r="F221">
        <v>1.27</v>
      </c>
      <c r="G221">
        <v>10</v>
      </c>
      <c r="H221">
        <v>3.42</v>
      </c>
    </row>
    <row r="222" spans="2:8">
      <c r="B222" t="s">
        <v>2250</v>
      </c>
      <c r="C222">
        <v>19.309999999999999</v>
      </c>
      <c r="D222">
        <v>207.46</v>
      </c>
      <c r="E222">
        <v>0.38324599999999998</v>
      </c>
      <c r="F222">
        <v>1.04</v>
      </c>
      <c r="G222">
        <v>42</v>
      </c>
      <c r="H222">
        <v>3.65</v>
      </c>
    </row>
    <row r="223" spans="2:8">
      <c r="B223" t="s">
        <v>2251</v>
      </c>
      <c r="C223">
        <v>17.2</v>
      </c>
      <c r="D223">
        <v>212.25</v>
      </c>
      <c r="E223">
        <v>0.633525</v>
      </c>
      <c r="F223">
        <v>1.46</v>
      </c>
      <c r="G223">
        <v>40</v>
      </c>
      <c r="H223">
        <v>3.28</v>
      </c>
    </row>
    <row r="224" spans="2:8">
      <c r="B224" t="s">
        <v>2252</v>
      </c>
      <c r="C224">
        <v>19.41</v>
      </c>
      <c r="D224">
        <v>201.24</v>
      </c>
      <c r="E224">
        <v>0.26279400000000003</v>
      </c>
      <c r="F224">
        <v>0.27</v>
      </c>
      <c r="G224">
        <v>32</v>
      </c>
      <c r="H224">
        <v>3.7</v>
      </c>
    </row>
    <row r="225" spans="2:8">
      <c r="B225" t="s">
        <v>2253</v>
      </c>
      <c r="C225">
        <v>18.260000000000002</v>
      </c>
      <c r="D225">
        <v>208.68</v>
      </c>
      <c r="E225">
        <v>0.43541099999999999</v>
      </c>
      <c r="F225">
        <v>1</v>
      </c>
      <c r="G225">
        <v>20</v>
      </c>
      <c r="H225">
        <v>3.47</v>
      </c>
    </row>
    <row r="226" spans="2:8">
      <c r="B226" t="s">
        <v>2254</v>
      </c>
      <c r="C226">
        <v>14.99</v>
      </c>
      <c r="D226">
        <v>210.67</v>
      </c>
      <c r="E226">
        <v>0.58613199999999999</v>
      </c>
      <c r="F226">
        <v>1.08</v>
      </c>
      <c r="G226">
        <v>52</v>
      </c>
      <c r="H226">
        <v>2.86</v>
      </c>
    </row>
    <row r="227" spans="2:8">
      <c r="B227" t="s">
        <v>2255</v>
      </c>
      <c r="C227">
        <v>16.940000000000001</v>
      </c>
      <c r="D227">
        <v>212.28</v>
      </c>
      <c r="E227">
        <v>0.573465</v>
      </c>
      <c r="F227">
        <v>1.19</v>
      </c>
      <c r="G227">
        <v>26</v>
      </c>
      <c r="H227">
        <v>3.23</v>
      </c>
    </row>
    <row r="228" spans="2:8">
      <c r="B228" t="s">
        <v>2256</v>
      </c>
      <c r="C228">
        <v>12.8</v>
      </c>
      <c r="D228">
        <v>276.36</v>
      </c>
      <c r="E228">
        <v>0.57050999999999996</v>
      </c>
      <c r="F228">
        <v>0.92</v>
      </c>
      <c r="G228">
        <v>0</v>
      </c>
      <c r="H228">
        <v>2.44</v>
      </c>
    </row>
    <row r="229" spans="2:8">
      <c r="B229" t="s">
        <v>2257</v>
      </c>
      <c r="C229">
        <v>12.57</v>
      </c>
      <c r="D229">
        <v>279.33</v>
      </c>
      <c r="E229">
        <v>0.69020000000000004</v>
      </c>
      <c r="F229">
        <v>2.11</v>
      </c>
      <c r="G229">
        <v>18</v>
      </c>
      <c r="H229">
        <v>2.4</v>
      </c>
    </row>
    <row r="230" spans="2:8">
      <c r="B230" t="s">
        <v>2258</v>
      </c>
      <c r="C230">
        <v>13.29</v>
      </c>
      <c r="D230">
        <v>274.66000000000003</v>
      </c>
      <c r="E230">
        <v>0.50973999999999997</v>
      </c>
      <c r="F230">
        <v>0.61</v>
      </c>
      <c r="G230">
        <v>66</v>
      </c>
      <c r="H230">
        <v>2.52</v>
      </c>
    </row>
    <row r="231" spans="2:8">
      <c r="B231" t="s">
        <v>2259</v>
      </c>
      <c r="C231">
        <v>12.83</v>
      </c>
      <c r="D231">
        <v>275.79000000000002</v>
      </c>
      <c r="E231">
        <v>0.63355899999999998</v>
      </c>
      <c r="F231">
        <v>0.15</v>
      </c>
      <c r="G231">
        <v>6</v>
      </c>
      <c r="H231">
        <v>2.44</v>
      </c>
    </row>
    <row r="232" spans="2:8">
      <c r="B232" t="s">
        <v>2260</v>
      </c>
      <c r="C232">
        <v>12.6</v>
      </c>
      <c r="D232">
        <v>276.81</v>
      </c>
      <c r="E232">
        <v>0.55737899999999996</v>
      </c>
      <c r="F232">
        <v>0.65</v>
      </c>
      <c r="G232">
        <v>0</v>
      </c>
      <c r="H232">
        <v>2.4</v>
      </c>
    </row>
    <row r="233" spans="2:8">
      <c r="B233" t="s">
        <v>2261</v>
      </c>
      <c r="C233">
        <v>13.06</v>
      </c>
      <c r="D233">
        <v>275.25</v>
      </c>
      <c r="E233">
        <v>0.57541100000000001</v>
      </c>
      <c r="F233">
        <v>0.08</v>
      </c>
      <c r="G233">
        <v>46</v>
      </c>
      <c r="H233">
        <v>2.4900000000000002</v>
      </c>
    </row>
    <row r="234" spans="2:8">
      <c r="B234" t="s">
        <v>2262</v>
      </c>
      <c r="C234">
        <v>13.55</v>
      </c>
      <c r="D234">
        <v>277.76</v>
      </c>
      <c r="E234">
        <v>0.54273000000000005</v>
      </c>
      <c r="F234">
        <v>1.61</v>
      </c>
      <c r="G234">
        <v>66</v>
      </c>
      <c r="H234">
        <v>2.57</v>
      </c>
    </row>
    <row r="235" spans="2:8">
      <c r="B235" t="s">
        <v>2263</v>
      </c>
      <c r="C235">
        <v>12.42</v>
      </c>
      <c r="D235">
        <v>272.3</v>
      </c>
      <c r="E235">
        <v>0.54392300000000005</v>
      </c>
      <c r="F235">
        <v>0.23</v>
      </c>
      <c r="G235">
        <v>0</v>
      </c>
      <c r="H235">
        <v>2.37</v>
      </c>
    </row>
    <row r="236" spans="2:8">
      <c r="B236" t="s">
        <v>2264</v>
      </c>
      <c r="C236">
        <v>13.49</v>
      </c>
      <c r="D236">
        <v>277.55</v>
      </c>
      <c r="E236">
        <v>0.55153399999999997</v>
      </c>
      <c r="F236">
        <v>0.69</v>
      </c>
      <c r="G236">
        <v>58</v>
      </c>
      <c r="H236">
        <v>2.5499999999999998</v>
      </c>
    </row>
    <row r="237" spans="2:8">
      <c r="B237" t="s">
        <v>2265</v>
      </c>
      <c r="C237">
        <v>12.93</v>
      </c>
      <c r="D237">
        <v>277.55</v>
      </c>
      <c r="E237">
        <v>0.60495200000000005</v>
      </c>
      <c r="F237">
        <v>0.61</v>
      </c>
      <c r="G237">
        <v>20</v>
      </c>
      <c r="H237">
        <v>2.46</v>
      </c>
    </row>
    <row r="238" spans="2:8">
      <c r="B238" t="s">
        <v>2266</v>
      </c>
      <c r="C238">
        <v>12.58</v>
      </c>
      <c r="D238">
        <v>276.48</v>
      </c>
      <c r="E238">
        <v>0.59476399999999996</v>
      </c>
      <c r="F238">
        <v>0.57999999999999996</v>
      </c>
      <c r="G238">
        <v>66</v>
      </c>
      <c r="H238">
        <v>2.38</v>
      </c>
    </row>
    <row r="239" spans="2:8">
      <c r="B239" t="s">
        <v>2267</v>
      </c>
      <c r="C239">
        <v>12.43</v>
      </c>
      <c r="D239">
        <v>277.24</v>
      </c>
      <c r="E239">
        <v>0.61598900000000001</v>
      </c>
      <c r="F239">
        <v>1.08</v>
      </c>
      <c r="G239">
        <v>48</v>
      </c>
      <c r="H239">
        <v>2.37</v>
      </c>
    </row>
    <row r="240" spans="2:8">
      <c r="B240" t="s">
        <v>2268</v>
      </c>
      <c r="C240">
        <v>13.04</v>
      </c>
      <c r="D240">
        <v>275.95999999999998</v>
      </c>
      <c r="E240">
        <v>0.574241</v>
      </c>
      <c r="F240">
        <v>0.15</v>
      </c>
      <c r="G240">
        <v>70</v>
      </c>
      <c r="H240">
        <v>2.48</v>
      </c>
    </row>
    <row r="241" spans="2:8">
      <c r="B241" t="s">
        <v>2269</v>
      </c>
      <c r="C241">
        <v>13.25</v>
      </c>
      <c r="D241">
        <v>273.49</v>
      </c>
      <c r="E241">
        <v>0.37018000000000001</v>
      </c>
      <c r="F241">
        <v>0.81</v>
      </c>
      <c r="G241">
        <v>48</v>
      </c>
      <c r="H241">
        <v>2.52</v>
      </c>
    </row>
    <row r="242" spans="2:8">
      <c r="B242" t="s">
        <v>2270</v>
      </c>
      <c r="C242">
        <v>12.76</v>
      </c>
      <c r="D242">
        <v>271.61</v>
      </c>
      <c r="E242">
        <v>0.40834500000000001</v>
      </c>
      <c r="F242">
        <v>0.04</v>
      </c>
      <c r="G242">
        <v>44</v>
      </c>
      <c r="H242">
        <v>2.41</v>
      </c>
    </row>
    <row r="243" spans="2:8">
      <c r="B243" t="s">
        <v>2271</v>
      </c>
      <c r="C243">
        <v>12.62</v>
      </c>
      <c r="D243">
        <v>279.49</v>
      </c>
      <c r="E243">
        <v>0.65995300000000001</v>
      </c>
      <c r="F243">
        <v>1.61</v>
      </c>
      <c r="G243">
        <v>36</v>
      </c>
      <c r="H243">
        <v>2.41</v>
      </c>
    </row>
    <row r="244" spans="2:8">
      <c r="B244" t="s">
        <v>2272</v>
      </c>
      <c r="C244">
        <v>13.08</v>
      </c>
      <c r="D244">
        <v>276.39999999999998</v>
      </c>
      <c r="E244">
        <v>0.51639900000000005</v>
      </c>
      <c r="F244">
        <v>0.15</v>
      </c>
      <c r="G244">
        <v>34</v>
      </c>
      <c r="H244">
        <v>2.4900000000000002</v>
      </c>
    </row>
    <row r="245" spans="2:8">
      <c r="B245" t="s">
        <v>2273</v>
      </c>
      <c r="C245">
        <v>12.96</v>
      </c>
      <c r="D245">
        <v>272.07</v>
      </c>
      <c r="E245">
        <v>0.52342699999999998</v>
      </c>
      <c r="F245">
        <v>0.15</v>
      </c>
      <c r="G245">
        <v>60</v>
      </c>
      <c r="H245">
        <v>2.4500000000000002</v>
      </c>
    </row>
    <row r="246" spans="2:8">
      <c r="B246" t="s">
        <v>2274</v>
      </c>
      <c r="C246">
        <v>13.94</v>
      </c>
      <c r="D246">
        <v>274.94</v>
      </c>
      <c r="E246">
        <v>0.40218399999999999</v>
      </c>
      <c r="F246">
        <v>0.42</v>
      </c>
      <c r="G246">
        <v>14</v>
      </c>
      <c r="H246">
        <v>2.66</v>
      </c>
    </row>
    <row r="247" spans="2:8">
      <c r="B247" t="s">
        <v>2275</v>
      </c>
      <c r="C247">
        <v>12.49</v>
      </c>
      <c r="D247">
        <v>279.85000000000002</v>
      </c>
      <c r="E247">
        <v>0.73109199999999996</v>
      </c>
      <c r="F247">
        <v>0.46</v>
      </c>
      <c r="G247">
        <v>34</v>
      </c>
      <c r="H247">
        <v>2.37</v>
      </c>
    </row>
    <row r="248" spans="2:8">
      <c r="B248" t="s">
        <v>2276</v>
      </c>
      <c r="C248">
        <v>12.53</v>
      </c>
      <c r="D248">
        <v>278.60000000000002</v>
      </c>
      <c r="E248">
        <v>0.575461</v>
      </c>
      <c r="F248">
        <v>2.38</v>
      </c>
      <c r="G248">
        <v>78</v>
      </c>
      <c r="H248">
        <v>2.4</v>
      </c>
    </row>
    <row r="249" spans="2:8">
      <c r="B249" t="s">
        <v>2277</v>
      </c>
      <c r="C249">
        <v>13.29</v>
      </c>
      <c r="D249">
        <v>276.20999999999998</v>
      </c>
      <c r="E249">
        <v>0.398478</v>
      </c>
      <c r="F249">
        <v>1.38</v>
      </c>
      <c r="G249">
        <v>2</v>
      </c>
      <c r="H249">
        <v>2.52</v>
      </c>
    </row>
    <row r="250" spans="2:8">
      <c r="B250" t="s">
        <v>2278</v>
      </c>
      <c r="C250">
        <v>13.93</v>
      </c>
      <c r="D250">
        <v>275.87</v>
      </c>
      <c r="E250">
        <v>0.496284</v>
      </c>
      <c r="F250">
        <v>0.69</v>
      </c>
      <c r="G250">
        <v>4</v>
      </c>
      <c r="H250">
        <v>2.65</v>
      </c>
    </row>
    <row r="251" spans="2:8">
      <c r="B251" t="s">
        <v>2279</v>
      </c>
      <c r="C251">
        <v>12.97</v>
      </c>
      <c r="D251">
        <v>275.83999999999997</v>
      </c>
      <c r="E251">
        <v>0.59823899999999997</v>
      </c>
      <c r="F251">
        <v>0.23</v>
      </c>
      <c r="G251">
        <v>22</v>
      </c>
      <c r="H251">
        <v>2.4700000000000002</v>
      </c>
    </row>
    <row r="252" spans="2:8">
      <c r="B252" t="s">
        <v>2280</v>
      </c>
      <c r="C252">
        <v>11.48</v>
      </c>
      <c r="D252">
        <v>276.20999999999998</v>
      </c>
      <c r="E252">
        <v>0.61103099999999999</v>
      </c>
      <c r="F252">
        <v>1.31</v>
      </c>
      <c r="G252">
        <v>64</v>
      </c>
      <c r="H252">
        <v>2.1800000000000002</v>
      </c>
    </row>
    <row r="253" spans="2:8">
      <c r="B253" t="s">
        <v>2281</v>
      </c>
      <c r="C253">
        <v>12.98</v>
      </c>
      <c r="D253">
        <v>278.82</v>
      </c>
      <c r="E253">
        <v>0.60362499999999997</v>
      </c>
      <c r="F253">
        <v>1.08</v>
      </c>
      <c r="G253">
        <v>60</v>
      </c>
      <c r="H253">
        <v>2.4700000000000002</v>
      </c>
    </row>
    <row r="254" spans="2:8">
      <c r="B254" t="s">
        <v>2282</v>
      </c>
      <c r="C254">
        <v>13.5</v>
      </c>
      <c r="D254">
        <v>276.45999999999998</v>
      </c>
      <c r="E254">
        <v>0.54583199999999998</v>
      </c>
      <c r="F254">
        <v>0.69</v>
      </c>
      <c r="G254">
        <v>74</v>
      </c>
      <c r="H254">
        <v>2.57</v>
      </c>
    </row>
    <row r="255" spans="2:8">
      <c r="B255" t="s">
        <v>2283</v>
      </c>
      <c r="C255">
        <v>12.6</v>
      </c>
      <c r="D255">
        <v>274.26</v>
      </c>
      <c r="E255">
        <v>0.51860300000000004</v>
      </c>
      <c r="F255">
        <v>0.65</v>
      </c>
      <c r="G255">
        <v>34</v>
      </c>
      <c r="H255">
        <v>2.4</v>
      </c>
    </row>
    <row r="256" spans="2:8">
      <c r="B256" t="s">
        <v>2284</v>
      </c>
      <c r="C256">
        <v>13.62</v>
      </c>
      <c r="D256">
        <v>273.73</v>
      </c>
      <c r="E256">
        <v>0.41091</v>
      </c>
      <c r="F256">
        <v>0.12</v>
      </c>
      <c r="G256">
        <v>58</v>
      </c>
      <c r="H256">
        <v>2.59</v>
      </c>
    </row>
    <row r="257" spans="2:8">
      <c r="B257" t="s">
        <v>2285</v>
      </c>
      <c r="C257">
        <v>12.61</v>
      </c>
      <c r="D257">
        <v>274.45</v>
      </c>
      <c r="E257">
        <v>0.58572000000000002</v>
      </c>
      <c r="F257">
        <v>0.04</v>
      </c>
      <c r="G257">
        <v>4</v>
      </c>
      <c r="H257">
        <v>2.39</v>
      </c>
    </row>
    <row r="258" spans="2:8">
      <c r="B258" t="s">
        <v>2286</v>
      </c>
      <c r="C258">
        <v>12.92</v>
      </c>
      <c r="D258">
        <v>275.98</v>
      </c>
      <c r="E258">
        <v>0.577569</v>
      </c>
      <c r="F258">
        <v>0.27</v>
      </c>
      <c r="G258">
        <v>44</v>
      </c>
      <c r="H258">
        <v>2.46</v>
      </c>
    </row>
    <row r="259" spans="2:8">
      <c r="B259" t="s">
        <v>2287</v>
      </c>
      <c r="C259">
        <v>12.77</v>
      </c>
      <c r="D259">
        <v>280.55</v>
      </c>
      <c r="E259">
        <v>0.681755</v>
      </c>
      <c r="F259">
        <v>2.96</v>
      </c>
      <c r="G259">
        <v>2</v>
      </c>
      <c r="H259">
        <v>2.4300000000000002</v>
      </c>
    </row>
    <row r="260" spans="2:8">
      <c r="B260" t="s">
        <v>2288</v>
      </c>
      <c r="C260">
        <v>12.43</v>
      </c>
      <c r="D260" t="e">
        <f>-inf</f>
        <v>#NAME?</v>
      </c>
      <c r="E260">
        <v>0.59325600000000001</v>
      </c>
      <c r="F260">
        <v>0</v>
      </c>
      <c r="G260">
        <v>36</v>
      </c>
      <c r="H260">
        <v>2.36</v>
      </c>
    </row>
    <row r="261" spans="2:8">
      <c r="B261" t="s">
        <v>2289</v>
      </c>
      <c r="C261">
        <v>11.94</v>
      </c>
      <c r="D261">
        <v>275.5</v>
      </c>
      <c r="E261">
        <v>0.62321899999999997</v>
      </c>
      <c r="F261">
        <v>0.23</v>
      </c>
      <c r="G261">
        <v>2</v>
      </c>
      <c r="H261">
        <v>2.27</v>
      </c>
    </row>
    <row r="262" spans="2:8">
      <c r="B262" t="s">
        <v>2290</v>
      </c>
      <c r="C262">
        <v>12.71</v>
      </c>
      <c r="D262">
        <v>274.5</v>
      </c>
      <c r="E262">
        <v>0.45945000000000003</v>
      </c>
      <c r="F262">
        <v>1.1100000000000001</v>
      </c>
      <c r="G262">
        <v>40</v>
      </c>
      <c r="H262">
        <v>2.4</v>
      </c>
    </row>
    <row r="263" spans="2:8">
      <c r="B263" t="s">
        <v>2291</v>
      </c>
      <c r="C263">
        <v>13.29</v>
      </c>
      <c r="D263">
        <v>277.24</v>
      </c>
      <c r="E263">
        <v>0.51371999999999995</v>
      </c>
      <c r="F263">
        <v>1</v>
      </c>
      <c r="G263">
        <v>24</v>
      </c>
      <c r="H263">
        <v>2.52</v>
      </c>
    </row>
    <row r="264" spans="2:8">
      <c r="B264" t="s">
        <v>2292</v>
      </c>
      <c r="C264">
        <v>12.85</v>
      </c>
      <c r="D264">
        <v>277.64999999999998</v>
      </c>
      <c r="E264">
        <v>0.55726799999999999</v>
      </c>
      <c r="F264">
        <v>0.69</v>
      </c>
      <c r="G264">
        <v>10</v>
      </c>
      <c r="H264">
        <v>2.4300000000000002</v>
      </c>
    </row>
    <row r="265" spans="2:8">
      <c r="B265" t="s">
        <v>2293</v>
      </c>
      <c r="C265">
        <v>12.43</v>
      </c>
      <c r="D265">
        <v>274.86</v>
      </c>
      <c r="E265">
        <v>0.42895800000000001</v>
      </c>
      <c r="F265">
        <v>0.27</v>
      </c>
      <c r="G265">
        <v>62</v>
      </c>
      <c r="H265">
        <v>2.36</v>
      </c>
    </row>
    <row r="266" spans="2:8">
      <c r="B266" t="s">
        <v>2294</v>
      </c>
      <c r="C266">
        <v>12.98</v>
      </c>
      <c r="D266">
        <v>275.52</v>
      </c>
      <c r="E266">
        <v>0.483796</v>
      </c>
      <c r="F266">
        <v>0.61</v>
      </c>
      <c r="G266">
        <v>30</v>
      </c>
      <c r="H266">
        <v>2.48</v>
      </c>
    </row>
    <row r="267" spans="2:8">
      <c r="B267" t="s">
        <v>2295</v>
      </c>
      <c r="C267">
        <v>12.5</v>
      </c>
      <c r="D267">
        <v>278.52999999999997</v>
      </c>
      <c r="E267">
        <v>0.603634</v>
      </c>
      <c r="F267">
        <v>1.1499999999999999</v>
      </c>
      <c r="G267">
        <v>38</v>
      </c>
      <c r="H267">
        <v>2.38</v>
      </c>
    </row>
    <row r="268" spans="2:8">
      <c r="B268" t="s">
        <v>2296</v>
      </c>
      <c r="C268">
        <v>12.88</v>
      </c>
      <c r="D268">
        <v>280.33</v>
      </c>
      <c r="E268">
        <v>0.64111899999999999</v>
      </c>
      <c r="F268">
        <v>2.27</v>
      </c>
      <c r="G268">
        <v>14</v>
      </c>
      <c r="H268">
        <v>2.4500000000000002</v>
      </c>
    </row>
    <row r="269" spans="2:8">
      <c r="B269" t="s">
        <v>2297</v>
      </c>
      <c r="C269">
        <v>13.12</v>
      </c>
      <c r="D269">
        <v>273.56</v>
      </c>
      <c r="E269">
        <v>0.345439</v>
      </c>
      <c r="F269">
        <v>0.12</v>
      </c>
      <c r="G269">
        <v>16</v>
      </c>
      <c r="H269">
        <v>2.4900000000000002</v>
      </c>
    </row>
    <row r="270" spans="2:8">
      <c r="B270" t="s">
        <v>2298</v>
      </c>
      <c r="C270">
        <v>12.48</v>
      </c>
      <c r="D270">
        <v>276.64</v>
      </c>
      <c r="E270">
        <v>0.56735500000000005</v>
      </c>
      <c r="F270">
        <v>1.27</v>
      </c>
      <c r="G270">
        <v>66</v>
      </c>
      <c r="H270">
        <v>2.38</v>
      </c>
    </row>
    <row r="271" spans="2:8">
      <c r="B271" t="s">
        <v>2299</v>
      </c>
      <c r="C271">
        <v>14.02</v>
      </c>
      <c r="D271">
        <v>270.20999999999998</v>
      </c>
      <c r="E271">
        <v>0.361294</v>
      </c>
      <c r="F271">
        <v>0.27</v>
      </c>
      <c r="G271">
        <v>8</v>
      </c>
      <c r="H271">
        <v>2.66</v>
      </c>
    </row>
    <row r="272" spans="2:8">
      <c r="B272" t="s">
        <v>2300</v>
      </c>
      <c r="C272">
        <v>13.07</v>
      </c>
      <c r="D272">
        <v>275.70999999999998</v>
      </c>
      <c r="E272">
        <v>0.58834299999999995</v>
      </c>
      <c r="F272">
        <v>0.12</v>
      </c>
      <c r="G272">
        <v>10</v>
      </c>
      <c r="H272">
        <v>2.48</v>
      </c>
    </row>
    <row r="273" spans="2:8">
      <c r="B273" t="s">
        <v>2301</v>
      </c>
      <c r="C273">
        <v>12.88</v>
      </c>
      <c r="D273">
        <v>272.77999999999997</v>
      </c>
      <c r="E273">
        <v>0.59138900000000005</v>
      </c>
      <c r="F273">
        <v>0.08</v>
      </c>
      <c r="G273">
        <v>32</v>
      </c>
      <c r="H273">
        <v>2.44</v>
      </c>
    </row>
    <row r="274" spans="2:8">
      <c r="B274" t="s">
        <v>2302</v>
      </c>
      <c r="C274">
        <v>12.65</v>
      </c>
      <c r="D274">
        <v>278.62</v>
      </c>
      <c r="E274">
        <v>0.61696200000000001</v>
      </c>
      <c r="F274">
        <v>1.5</v>
      </c>
      <c r="G274">
        <v>64</v>
      </c>
      <c r="H274">
        <v>2.4</v>
      </c>
    </row>
    <row r="275" spans="2:8">
      <c r="B275" t="s">
        <v>2303</v>
      </c>
      <c r="C275">
        <v>12.46</v>
      </c>
      <c r="D275">
        <v>279.32</v>
      </c>
      <c r="E275">
        <v>0.67127499999999996</v>
      </c>
      <c r="F275">
        <v>1.1499999999999999</v>
      </c>
      <c r="G275">
        <v>28</v>
      </c>
      <c r="H275">
        <v>2.37</v>
      </c>
    </row>
    <row r="276" spans="2:8">
      <c r="B276" t="s">
        <v>2304</v>
      </c>
      <c r="C276">
        <v>13.28</v>
      </c>
      <c r="D276">
        <v>269.45</v>
      </c>
      <c r="E276">
        <v>0.49900600000000001</v>
      </c>
      <c r="F276">
        <v>0.04</v>
      </c>
      <c r="G276">
        <v>52</v>
      </c>
      <c r="H276">
        <v>2.54</v>
      </c>
    </row>
    <row r="277" spans="2:8">
      <c r="B277" t="s">
        <v>2305</v>
      </c>
      <c r="C277">
        <v>12.61</v>
      </c>
      <c r="D277">
        <v>277.51</v>
      </c>
      <c r="E277">
        <v>0.59311199999999997</v>
      </c>
      <c r="F277">
        <v>1.65</v>
      </c>
      <c r="G277">
        <v>4</v>
      </c>
      <c r="H277">
        <v>2.4</v>
      </c>
    </row>
    <row r="278" spans="2:8">
      <c r="B278" t="s">
        <v>2306</v>
      </c>
      <c r="C278">
        <v>74.06</v>
      </c>
      <c r="D278">
        <v>39.25</v>
      </c>
      <c r="E278">
        <v>0.89354699999999998</v>
      </c>
      <c r="F278">
        <v>57.75</v>
      </c>
      <c r="G278">
        <v>0</v>
      </c>
      <c r="H278">
        <v>14.15</v>
      </c>
    </row>
    <row r="279" spans="2:8">
      <c r="B279" t="s">
        <v>2307</v>
      </c>
      <c r="C279">
        <v>72.25</v>
      </c>
      <c r="D279">
        <v>39.14</v>
      </c>
      <c r="E279">
        <v>0.84045400000000003</v>
      </c>
      <c r="F279">
        <v>52.53</v>
      </c>
      <c r="G279">
        <v>8</v>
      </c>
      <c r="H279">
        <v>13.75</v>
      </c>
    </row>
    <row r="280" spans="2:8">
      <c r="B280" t="s">
        <v>2308</v>
      </c>
      <c r="C280">
        <v>76.45</v>
      </c>
      <c r="D280">
        <v>39.36</v>
      </c>
      <c r="E280">
        <v>0.94460900000000003</v>
      </c>
      <c r="F280">
        <v>61.75</v>
      </c>
      <c r="G280">
        <v>0</v>
      </c>
      <c r="H280">
        <v>14.61</v>
      </c>
    </row>
    <row r="281" spans="2:8">
      <c r="B281" t="s">
        <v>2309</v>
      </c>
      <c r="C281">
        <v>73.56</v>
      </c>
      <c r="D281">
        <v>37.840000000000003</v>
      </c>
      <c r="E281">
        <v>0.74003300000000005</v>
      </c>
      <c r="F281">
        <v>1.1499999999999999</v>
      </c>
      <c r="G281">
        <v>4</v>
      </c>
      <c r="H281">
        <v>14.02</v>
      </c>
    </row>
    <row r="282" spans="2:8">
      <c r="B282" t="s">
        <v>2310</v>
      </c>
      <c r="C282">
        <v>72.66</v>
      </c>
      <c r="D282">
        <v>39.159999999999997</v>
      </c>
      <c r="E282">
        <v>0.84700299999999995</v>
      </c>
      <c r="F282">
        <v>55.41</v>
      </c>
      <c r="G282">
        <v>0</v>
      </c>
      <c r="H282">
        <v>13.86</v>
      </c>
    </row>
    <row r="283" spans="2:8">
      <c r="B283" t="s">
        <v>2311</v>
      </c>
      <c r="C283">
        <v>72.959999999999994</v>
      </c>
      <c r="D283">
        <v>39.19</v>
      </c>
      <c r="E283">
        <v>0.89988100000000004</v>
      </c>
      <c r="F283">
        <v>45.62</v>
      </c>
      <c r="G283">
        <v>4</v>
      </c>
      <c r="H283">
        <v>13.83</v>
      </c>
    </row>
    <row r="284" spans="2:8">
      <c r="B284" t="s">
        <v>2312</v>
      </c>
      <c r="C284">
        <v>45.87</v>
      </c>
      <c r="D284">
        <v>38.229999999999997</v>
      </c>
      <c r="E284">
        <v>0.93725000000000003</v>
      </c>
      <c r="F284">
        <v>31.07</v>
      </c>
      <c r="G284">
        <v>8</v>
      </c>
      <c r="H284">
        <v>8.73</v>
      </c>
    </row>
    <row r="285" spans="2:8">
      <c r="B285" t="s">
        <v>2313</v>
      </c>
      <c r="C285">
        <v>71.94</v>
      </c>
      <c r="D285">
        <v>38.99</v>
      </c>
      <c r="E285">
        <v>0.77698400000000001</v>
      </c>
      <c r="F285">
        <v>38.9</v>
      </c>
      <c r="G285">
        <v>0</v>
      </c>
      <c r="H285">
        <v>13.76</v>
      </c>
    </row>
    <row r="286" spans="2:8">
      <c r="B286" t="s">
        <v>2314</v>
      </c>
      <c r="C286">
        <v>82.46</v>
      </c>
      <c r="D286">
        <v>39.479999999999997</v>
      </c>
      <c r="E286">
        <v>0.92704399999999998</v>
      </c>
      <c r="F286">
        <v>52.99</v>
      </c>
      <c r="G286">
        <v>0</v>
      </c>
      <c r="H286">
        <v>15.7</v>
      </c>
    </row>
    <row r="287" spans="2:8">
      <c r="B287" t="s">
        <v>2315</v>
      </c>
      <c r="C287">
        <v>51.76</v>
      </c>
      <c r="D287">
        <v>38.08</v>
      </c>
      <c r="E287">
        <v>0.61268900000000004</v>
      </c>
      <c r="F287">
        <v>27.03</v>
      </c>
      <c r="G287">
        <v>0</v>
      </c>
      <c r="H287">
        <v>9.86</v>
      </c>
    </row>
    <row r="288" spans="2:8">
      <c r="B288" t="s">
        <v>2316</v>
      </c>
      <c r="C288">
        <v>74.73</v>
      </c>
      <c r="D288">
        <v>39.229999999999997</v>
      </c>
      <c r="E288">
        <v>0.87765499999999996</v>
      </c>
      <c r="F288">
        <v>44.51</v>
      </c>
      <c r="G288">
        <v>6</v>
      </c>
      <c r="H288">
        <v>14.24</v>
      </c>
    </row>
    <row r="289" spans="2:8">
      <c r="B289" t="s">
        <v>2317</v>
      </c>
      <c r="C289">
        <v>68.08</v>
      </c>
      <c r="D289">
        <v>38.97</v>
      </c>
      <c r="E289">
        <v>0.85026299999999999</v>
      </c>
      <c r="F289">
        <v>37.56</v>
      </c>
      <c r="G289">
        <v>4</v>
      </c>
      <c r="H289">
        <v>12.89</v>
      </c>
    </row>
    <row r="290" spans="2:8">
      <c r="B290" t="s">
        <v>2318</v>
      </c>
      <c r="C290">
        <v>70.63</v>
      </c>
      <c r="D290">
        <v>38.9</v>
      </c>
      <c r="E290">
        <v>0.75900599999999996</v>
      </c>
      <c r="F290">
        <v>33.520000000000003</v>
      </c>
      <c r="G290">
        <v>6</v>
      </c>
      <c r="H290">
        <v>13.38</v>
      </c>
    </row>
    <row r="291" spans="2:8">
      <c r="B291" t="s">
        <v>2319</v>
      </c>
      <c r="C291">
        <v>74</v>
      </c>
      <c r="D291">
        <v>37.119999999999997</v>
      </c>
      <c r="E291">
        <v>0.58262400000000003</v>
      </c>
      <c r="F291">
        <v>2.76</v>
      </c>
      <c r="G291">
        <v>0</v>
      </c>
      <c r="H291">
        <v>14.07</v>
      </c>
    </row>
    <row r="292" spans="2:8">
      <c r="B292" t="s">
        <v>2320</v>
      </c>
      <c r="C292">
        <v>68.55</v>
      </c>
      <c r="D292">
        <v>39</v>
      </c>
      <c r="E292">
        <v>0.86831199999999997</v>
      </c>
      <c r="F292">
        <v>36.94</v>
      </c>
      <c r="G292">
        <v>0</v>
      </c>
      <c r="H292">
        <v>13.11</v>
      </c>
    </row>
    <row r="293" spans="2:8">
      <c r="B293" t="s">
        <v>2321</v>
      </c>
      <c r="C293">
        <v>75.56</v>
      </c>
      <c r="D293">
        <v>37.950000000000003</v>
      </c>
      <c r="E293">
        <v>0.65240500000000001</v>
      </c>
      <c r="F293">
        <v>1.8</v>
      </c>
      <c r="G293">
        <v>8</v>
      </c>
      <c r="H293">
        <v>14.35</v>
      </c>
    </row>
    <row r="294" spans="2:8">
      <c r="B294" t="s">
        <v>2322</v>
      </c>
      <c r="C294">
        <v>75.510000000000005</v>
      </c>
      <c r="D294">
        <v>38.32</v>
      </c>
      <c r="E294">
        <v>0.76603500000000002</v>
      </c>
      <c r="F294">
        <v>3.03</v>
      </c>
      <c r="G294">
        <v>2</v>
      </c>
      <c r="H294">
        <v>14.43</v>
      </c>
    </row>
    <row r="295" spans="2:8">
      <c r="B295" t="s">
        <v>2323</v>
      </c>
      <c r="C295">
        <v>60.76</v>
      </c>
      <c r="D295">
        <v>35.770000000000003</v>
      </c>
      <c r="E295">
        <v>0.60638899999999996</v>
      </c>
      <c r="F295">
        <v>0.54</v>
      </c>
      <c r="G295">
        <v>4</v>
      </c>
      <c r="H295">
        <v>11.56</v>
      </c>
    </row>
    <row r="296" spans="2:8">
      <c r="B296" t="s">
        <v>2324</v>
      </c>
      <c r="C296">
        <v>91.18</v>
      </c>
      <c r="D296">
        <v>37.65</v>
      </c>
      <c r="E296">
        <v>0.79196999999999995</v>
      </c>
      <c r="F296">
        <v>0.27</v>
      </c>
      <c r="G296">
        <v>0</v>
      </c>
      <c r="H296">
        <v>17.350000000000001</v>
      </c>
    </row>
    <row r="297" spans="2:8">
      <c r="B297" t="s">
        <v>2325</v>
      </c>
      <c r="C297">
        <v>76.87</v>
      </c>
      <c r="D297">
        <v>39.200000000000003</v>
      </c>
      <c r="E297">
        <v>0.81460200000000005</v>
      </c>
      <c r="F297">
        <v>38.32</v>
      </c>
      <c r="G297">
        <v>6</v>
      </c>
      <c r="H297">
        <v>14.7</v>
      </c>
    </row>
    <row r="298" spans="2:8">
      <c r="B298" t="s">
        <v>2326</v>
      </c>
      <c r="C298">
        <v>60.26</v>
      </c>
      <c r="D298">
        <v>38.81</v>
      </c>
      <c r="E298">
        <v>0.92245600000000005</v>
      </c>
      <c r="F298">
        <v>41.16</v>
      </c>
      <c r="G298">
        <v>2</v>
      </c>
      <c r="H298">
        <v>11.47</v>
      </c>
    </row>
    <row r="299" spans="2:8">
      <c r="B299" t="s">
        <v>2327</v>
      </c>
      <c r="C299">
        <v>81.37</v>
      </c>
      <c r="D299">
        <v>39.49</v>
      </c>
      <c r="E299">
        <v>0.94236600000000004</v>
      </c>
      <c r="F299">
        <v>59.1</v>
      </c>
      <c r="G299">
        <v>2</v>
      </c>
      <c r="H299">
        <v>15.5</v>
      </c>
    </row>
    <row r="300" spans="2:8">
      <c r="B300" t="s">
        <v>2328</v>
      </c>
      <c r="C300">
        <v>53.08</v>
      </c>
      <c r="D300">
        <v>38.14</v>
      </c>
      <c r="E300">
        <v>0.62883800000000001</v>
      </c>
      <c r="F300">
        <v>24.46</v>
      </c>
      <c r="G300">
        <v>2</v>
      </c>
      <c r="H300">
        <v>10.14</v>
      </c>
    </row>
    <row r="301" spans="2:8">
      <c r="B301" t="s">
        <v>2329</v>
      </c>
      <c r="C301">
        <v>67.25</v>
      </c>
      <c r="D301">
        <v>37.9</v>
      </c>
      <c r="E301">
        <v>0.77390000000000003</v>
      </c>
      <c r="F301">
        <v>1.77</v>
      </c>
      <c r="G301">
        <v>4</v>
      </c>
      <c r="H301">
        <v>12.81</v>
      </c>
    </row>
    <row r="302" spans="2:8">
      <c r="B302" t="s">
        <v>2330</v>
      </c>
      <c r="C302">
        <v>44.39</v>
      </c>
      <c r="D302">
        <v>38.130000000000003</v>
      </c>
      <c r="E302">
        <v>0.90596100000000002</v>
      </c>
      <c r="F302">
        <v>28.88</v>
      </c>
      <c r="G302">
        <v>8</v>
      </c>
      <c r="H302">
        <v>8.42</v>
      </c>
    </row>
    <row r="303" spans="2:8">
      <c r="B303" t="s">
        <v>2331</v>
      </c>
      <c r="C303">
        <v>72.59</v>
      </c>
      <c r="D303">
        <v>36.82</v>
      </c>
      <c r="E303">
        <v>0.60592000000000001</v>
      </c>
      <c r="F303">
        <v>1.84</v>
      </c>
      <c r="G303">
        <v>8</v>
      </c>
      <c r="H303">
        <v>13.9</v>
      </c>
    </row>
    <row r="304" spans="2:8">
      <c r="B304" t="s">
        <v>2332</v>
      </c>
      <c r="C304">
        <v>54.02</v>
      </c>
      <c r="D304">
        <v>38.229999999999997</v>
      </c>
      <c r="E304">
        <v>0.66015500000000005</v>
      </c>
      <c r="F304">
        <v>27.3</v>
      </c>
      <c r="G304">
        <v>2</v>
      </c>
      <c r="H304">
        <v>10.28</v>
      </c>
    </row>
    <row r="305" spans="2:8">
      <c r="B305" t="s">
        <v>2333</v>
      </c>
      <c r="C305">
        <v>64.819999999999993</v>
      </c>
      <c r="D305">
        <v>37.450000000000003</v>
      </c>
      <c r="E305">
        <v>0.75192000000000003</v>
      </c>
      <c r="F305">
        <v>0.77</v>
      </c>
      <c r="G305">
        <v>8</v>
      </c>
      <c r="H305">
        <v>12.31</v>
      </c>
    </row>
    <row r="306" spans="2:8">
      <c r="B306" t="s">
        <v>2334</v>
      </c>
      <c r="C306">
        <v>67.39</v>
      </c>
      <c r="D306">
        <v>39.07</v>
      </c>
      <c r="E306">
        <v>0.92642599999999997</v>
      </c>
      <c r="F306">
        <v>47.62</v>
      </c>
      <c r="G306">
        <v>2</v>
      </c>
      <c r="H306">
        <v>12.83</v>
      </c>
    </row>
    <row r="307" spans="2:8">
      <c r="B307" t="s">
        <v>2335</v>
      </c>
      <c r="C307">
        <v>33.03</v>
      </c>
      <c r="D307">
        <v>37.58</v>
      </c>
      <c r="E307">
        <v>0.98572300000000002</v>
      </c>
      <c r="F307">
        <v>27.99</v>
      </c>
      <c r="G307">
        <v>8</v>
      </c>
      <c r="H307">
        <v>6.32</v>
      </c>
    </row>
    <row r="308" spans="2:8">
      <c r="B308" t="s">
        <v>2336</v>
      </c>
      <c r="C308">
        <v>62.18</v>
      </c>
      <c r="D308">
        <v>38.4</v>
      </c>
      <c r="E308">
        <v>0.57179800000000003</v>
      </c>
      <c r="F308">
        <v>27.76</v>
      </c>
      <c r="G308">
        <v>4</v>
      </c>
      <c r="H308">
        <v>11.85</v>
      </c>
    </row>
    <row r="309" spans="2:8">
      <c r="B309" t="s">
        <v>2337</v>
      </c>
      <c r="C309">
        <v>81.150000000000006</v>
      </c>
      <c r="D309">
        <v>39.200000000000003</v>
      </c>
      <c r="E309">
        <v>0.73871600000000004</v>
      </c>
      <c r="F309">
        <v>42.59</v>
      </c>
      <c r="G309">
        <v>6</v>
      </c>
      <c r="H309">
        <v>15.47</v>
      </c>
    </row>
    <row r="310" spans="2:8">
      <c r="B310" t="s">
        <v>2338</v>
      </c>
      <c r="C310">
        <v>72.81</v>
      </c>
      <c r="D310">
        <v>39.03</v>
      </c>
      <c r="E310">
        <v>0.80598700000000001</v>
      </c>
      <c r="F310">
        <v>27.88</v>
      </c>
      <c r="G310">
        <v>2</v>
      </c>
      <c r="H310">
        <v>13.86</v>
      </c>
    </row>
    <row r="311" spans="2:8">
      <c r="B311" t="s">
        <v>2339</v>
      </c>
      <c r="C311">
        <v>71.89</v>
      </c>
      <c r="D311">
        <v>38.97</v>
      </c>
      <c r="E311">
        <v>0.77841700000000003</v>
      </c>
      <c r="F311">
        <v>32.26</v>
      </c>
      <c r="G311">
        <v>0</v>
      </c>
      <c r="H311">
        <v>13.7</v>
      </c>
    </row>
    <row r="312" spans="2:8">
      <c r="B312" t="s">
        <v>2340</v>
      </c>
      <c r="C312">
        <v>71.59</v>
      </c>
      <c r="D312">
        <v>39.11</v>
      </c>
      <c r="E312">
        <v>0.83427700000000005</v>
      </c>
      <c r="F312">
        <v>50.04</v>
      </c>
      <c r="G312">
        <v>4</v>
      </c>
      <c r="H312">
        <v>13.62</v>
      </c>
    </row>
    <row r="313" spans="2:8">
      <c r="B313" t="s">
        <v>2341</v>
      </c>
      <c r="C313">
        <v>78.77</v>
      </c>
      <c r="D313">
        <v>39.33</v>
      </c>
      <c r="E313">
        <v>0.87708900000000001</v>
      </c>
      <c r="F313">
        <v>43.43</v>
      </c>
      <c r="G313">
        <v>4</v>
      </c>
      <c r="H313">
        <v>15.03</v>
      </c>
    </row>
    <row r="314" spans="2:8">
      <c r="B314" t="s">
        <v>2342</v>
      </c>
      <c r="C314">
        <v>73.930000000000007</v>
      </c>
      <c r="D314">
        <v>37.03</v>
      </c>
      <c r="E314">
        <v>0.58024699999999996</v>
      </c>
      <c r="F314">
        <v>2.42</v>
      </c>
      <c r="G314">
        <v>6</v>
      </c>
      <c r="H314">
        <v>14.07</v>
      </c>
    </row>
    <row r="315" spans="2:8">
      <c r="B315" t="s">
        <v>2343</v>
      </c>
      <c r="C315">
        <v>67.55</v>
      </c>
      <c r="D315">
        <v>35.78</v>
      </c>
      <c r="E315">
        <v>0.59465999999999997</v>
      </c>
      <c r="F315">
        <v>0.46</v>
      </c>
      <c r="G315">
        <v>4</v>
      </c>
      <c r="H315">
        <v>12.76</v>
      </c>
    </row>
    <row r="316" spans="2:8">
      <c r="B316" t="s">
        <v>2344</v>
      </c>
      <c r="C316">
        <v>74.27</v>
      </c>
      <c r="D316">
        <v>39.200000000000003</v>
      </c>
      <c r="E316">
        <v>0.85345700000000002</v>
      </c>
      <c r="F316">
        <v>51.15</v>
      </c>
      <c r="G316">
        <v>2</v>
      </c>
      <c r="H316">
        <v>14.19</v>
      </c>
    </row>
    <row r="317" spans="2:8">
      <c r="B317" t="s">
        <v>2345</v>
      </c>
      <c r="C317">
        <v>50.39</v>
      </c>
      <c r="D317">
        <v>37.49</v>
      </c>
      <c r="E317">
        <v>0.69511999999999996</v>
      </c>
      <c r="F317">
        <v>3.34</v>
      </c>
      <c r="G317">
        <v>2</v>
      </c>
      <c r="H317">
        <v>9.56</v>
      </c>
    </row>
    <row r="318" spans="2:8">
      <c r="B318" t="s">
        <v>2346</v>
      </c>
      <c r="C318">
        <v>53.6</v>
      </c>
      <c r="D318">
        <v>38.159999999999997</v>
      </c>
      <c r="E318">
        <v>0.63696600000000003</v>
      </c>
      <c r="F318">
        <v>20.89</v>
      </c>
      <c r="G318">
        <v>6</v>
      </c>
      <c r="H318">
        <v>10.19</v>
      </c>
    </row>
    <row r="319" spans="2:8">
      <c r="B319" t="s">
        <v>2347</v>
      </c>
      <c r="C319">
        <v>61.09</v>
      </c>
      <c r="D319">
        <v>37.799999999999997</v>
      </c>
      <c r="E319">
        <v>0.73295500000000002</v>
      </c>
      <c r="F319">
        <v>2.42</v>
      </c>
      <c r="G319">
        <v>0</v>
      </c>
      <c r="H319">
        <v>11.57</v>
      </c>
    </row>
    <row r="320" spans="2:8">
      <c r="B320" t="s">
        <v>2348</v>
      </c>
      <c r="C320">
        <v>67.819999999999993</v>
      </c>
      <c r="D320">
        <v>38.869999999999997</v>
      </c>
      <c r="E320">
        <v>0.78261899999999995</v>
      </c>
      <c r="F320">
        <v>32.83</v>
      </c>
      <c r="G320">
        <v>0</v>
      </c>
      <c r="H320">
        <v>12.89</v>
      </c>
    </row>
    <row r="321" spans="2:8">
      <c r="B321" t="s">
        <v>2349</v>
      </c>
      <c r="C321">
        <v>61.03</v>
      </c>
      <c r="D321">
        <v>37.44</v>
      </c>
      <c r="E321">
        <v>0.72600200000000004</v>
      </c>
      <c r="F321">
        <v>1.04</v>
      </c>
      <c r="G321">
        <v>4</v>
      </c>
      <c r="H321">
        <v>11.57</v>
      </c>
    </row>
    <row r="322" spans="2:8">
      <c r="B322" t="s">
        <v>2350</v>
      </c>
      <c r="C322">
        <v>81.56</v>
      </c>
      <c r="D322">
        <v>37.22</v>
      </c>
      <c r="E322">
        <v>0.80059400000000003</v>
      </c>
      <c r="F322">
        <v>0.15</v>
      </c>
      <c r="G322">
        <v>6</v>
      </c>
      <c r="H322">
        <v>15.45</v>
      </c>
    </row>
    <row r="323" spans="2:8">
      <c r="B323" t="s">
        <v>2351</v>
      </c>
      <c r="C323">
        <v>57.43</v>
      </c>
      <c r="D323">
        <v>38.630000000000003</v>
      </c>
      <c r="E323">
        <v>0.850356</v>
      </c>
      <c r="F323">
        <v>37.25</v>
      </c>
      <c r="G323">
        <v>0</v>
      </c>
      <c r="H323">
        <v>10.95</v>
      </c>
    </row>
    <row r="324" spans="2:8">
      <c r="B324" t="s">
        <v>2352</v>
      </c>
      <c r="C324">
        <v>73.400000000000006</v>
      </c>
      <c r="D324">
        <v>38.130000000000003</v>
      </c>
      <c r="E324">
        <v>0.746112</v>
      </c>
      <c r="F324">
        <v>2.2999999999999998</v>
      </c>
      <c r="G324">
        <v>0</v>
      </c>
      <c r="H324">
        <v>14.07</v>
      </c>
    </row>
    <row r="325" spans="2:8">
      <c r="B325" t="s">
        <v>2353</v>
      </c>
      <c r="C325">
        <v>74.5</v>
      </c>
      <c r="D325">
        <v>35.299999999999997</v>
      </c>
      <c r="E325">
        <v>0.56711699999999998</v>
      </c>
      <c r="F325">
        <v>0.27</v>
      </c>
      <c r="G325">
        <v>0</v>
      </c>
      <c r="H325">
        <v>14.17</v>
      </c>
    </row>
    <row r="326" spans="2:8">
      <c r="B326" t="s">
        <v>2354</v>
      </c>
      <c r="C326">
        <v>68.94</v>
      </c>
      <c r="D326">
        <v>39.130000000000003</v>
      </c>
      <c r="E326">
        <v>0.93499100000000002</v>
      </c>
      <c r="F326">
        <v>52.95</v>
      </c>
      <c r="G326">
        <v>8</v>
      </c>
      <c r="H326">
        <v>13.07</v>
      </c>
    </row>
    <row r="327" spans="2:8">
      <c r="B327" t="s">
        <v>2355</v>
      </c>
      <c r="C327">
        <v>75.62</v>
      </c>
      <c r="D327">
        <v>37.92</v>
      </c>
      <c r="E327">
        <v>0.69362299999999999</v>
      </c>
      <c r="F327">
        <v>1.42</v>
      </c>
      <c r="G327">
        <v>0</v>
      </c>
      <c r="H327">
        <v>14.41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45"/>
  <sheetViews>
    <sheetView topLeftCell="A139" zoomScale="50" zoomScaleNormal="50" workbookViewId="0">
      <selection activeCell="O180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3268</v>
      </c>
      <c r="C1" s="25"/>
      <c r="D1" s="25"/>
    </row>
    <row r="2" spans="1:8">
      <c r="B2" s="25"/>
      <c r="C2" s="25"/>
      <c r="D2" s="25"/>
    </row>
    <row r="4" spans="1:8">
      <c r="H4" s="21" t="s">
        <v>1435</v>
      </c>
    </row>
    <row r="5" spans="1:8" ht="18">
      <c r="A5" s="21" t="s">
        <v>7</v>
      </c>
      <c r="B5" s="3" t="s">
        <v>0</v>
      </c>
      <c r="C5" s="21" t="s">
        <v>4</v>
      </c>
      <c r="D5" s="21" t="s">
        <v>322</v>
      </c>
      <c r="E5" s="21" t="s">
        <v>321</v>
      </c>
      <c r="F5" s="21" t="s">
        <v>324</v>
      </c>
      <c r="G5" s="21" t="s">
        <v>323</v>
      </c>
      <c r="H5" s="21" t="s">
        <v>1436</v>
      </c>
    </row>
    <row r="6" spans="1:8">
      <c r="A6" s="1">
        <v>1</v>
      </c>
      <c r="B6" t="s">
        <v>1453</v>
      </c>
      <c r="C6">
        <v>90.2</v>
      </c>
      <c r="D6">
        <v>15.91</v>
      </c>
      <c r="E6">
        <v>0.988622</v>
      </c>
      <c r="F6">
        <v>80.52</v>
      </c>
      <c r="G6">
        <v>0</v>
      </c>
      <c r="H6">
        <v>19.39</v>
      </c>
    </row>
    <row r="7" spans="1:8">
      <c r="A7" s="1">
        <v>2</v>
      </c>
      <c r="B7" t="s">
        <v>1456</v>
      </c>
      <c r="C7">
        <v>85.52</v>
      </c>
      <c r="D7">
        <v>15.86</v>
      </c>
      <c r="E7">
        <v>0.99665599999999999</v>
      </c>
      <c r="F7">
        <v>80.56</v>
      </c>
      <c r="G7">
        <v>0</v>
      </c>
      <c r="H7">
        <v>19.420000000000002</v>
      </c>
    </row>
    <row r="8" spans="1:8">
      <c r="A8" s="1">
        <v>3</v>
      </c>
      <c r="B8" t="s">
        <v>1459</v>
      </c>
      <c r="C8">
        <v>90.2</v>
      </c>
      <c r="D8">
        <v>15.91</v>
      </c>
      <c r="E8">
        <v>0.988622</v>
      </c>
      <c r="F8">
        <v>80.52</v>
      </c>
      <c r="G8">
        <v>0</v>
      </c>
      <c r="H8">
        <v>19.39</v>
      </c>
    </row>
    <row r="9" spans="1:8">
      <c r="A9" s="1">
        <v>4</v>
      </c>
      <c r="B9" t="s">
        <v>1462</v>
      </c>
      <c r="C9">
        <v>95.06</v>
      </c>
      <c r="D9">
        <v>15.96</v>
      </c>
      <c r="E9">
        <v>0.99775199999999997</v>
      </c>
      <c r="F9">
        <v>90.55</v>
      </c>
      <c r="G9">
        <v>0</v>
      </c>
      <c r="H9">
        <v>19.36</v>
      </c>
    </row>
    <row r="10" spans="1:8" s="19" customFormat="1">
      <c r="A10" s="19">
        <v>5</v>
      </c>
      <c r="B10" t="s">
        <v>1465</v>
      </c>
      <c r="C10">
        <v>95.06</v>
      </c>
      <c r="D10">
        <v>15.96</v>
      </c>
      <c r="E10">
        <v>0.99775199999999997</v>
      </c>
      <c r="F10">
        <v>90.55</v>
      </c>
      <c r="G10">
        <v>0</v>
      </c>
      <c r="H10">
        <v>19.36</v>
      </c>
    </row>
    <row r="11" spans="1:8">
      <c r="A11" s="1">
        <v>6</v>
      </c>
      <c r="B11" t="s">
        <v>1468</v>
      </c>
      <c r="C11">
        <v>90.62</v>
      </c>
      <c r="D11">
        <v>15.91</v>
      </c>
      <c r="E11">
        <v>0.99999400000000005</v>
      </c>
      <c r="F11">
        <v>90.39</v>
      </c>
      <c r="G11">
        <v>2</v>
      </c>
      <c r="H11">
        <v>19.39</v>
      </c>
    </row>
    <row r="12" spans="1:8">
      <c r="A12" s="1">
        <v>7</v>
      </c>
      <c r="B12" t="s">
        <v>1471</v>
      </c>
      <c r="C12">
        <v>90.2</v>
      </c>
      <c r="D12">
        <v>15.91</v>
      </c>
      <c r="E12">
        <v>0.988622</v>
      </c>
      <c r="F12">
        <v>80.52</v>
      </c>
      <c r="G12">
        <v>0</v>
      </c>
      <c r="H12">
        <v>19.39</v>
      </c>
    </row>
    <row r="13" spans="1:8">
      <c r="A13" s="1">
        <v>8</v>
      </c>
      <c r="B13" t="s">
        <v>1474</v>
      </c>
      <c r="C13">
        <v>90.2</v>
      </c>
      <c r="D13">
        <v>15.91</v>
      </c>
      <c r="E13">
        <v>0.988622</v>
      </c>
      <c r="F13">
        <v>80.52</v>
      </c>
      <c r="G13">
        <v>0</v>
      </c>
      <c r="H13">
        <v>19.39</v>
      </c>
    </row>
    <row r="14" spans="1:8">
      <c r="A14" s="1">
        <v>9</v>
      </c>
      <c r="B14" t="s">
        <v>1477</v>
      </c>
      <c r="C14">
        <v>89.82</v>
      </c>
      <c r="D14">
        <v>15.9</v>
      </c>
      <c r="E14">
        <v>0.98788699999999996</v>
      </c>
      <c r="F14">
        <v>79.87</v>
      </c>
      <c r="G14">
        <v>2</v>
      </c>
      <c r="H14">
        <v>19.39</v>
      </c>
    </row>
    <row r="15" spans="1:8">
      <c r="A15" s="1">
        <v>10</v>
      </c>
      <c r="B15" t="s">
        <v>1480</v>
      </c>
      <c r="C15">
        <v>95</v>
      </c>
      <c r="D15">
        <v>15.95</v>
      </c>
      <c r="E15">
        <v>0.997614</v>
      </c>
      <c r="F15">
        <v>90.36</v>
      </c>
      <c r="G15">
        <v>2</v>
      </c>
      <c r="H15">
        <v>19.350000000000001</v>
      </c>
    </row>
    <row r="16" spans="1:8">
      <c r="A16" s="1">
        <v>11</v>
      </c>
      <c r="B16" t="s">
        <v>1483</v>
      </c>
      <c r="C16">
        <v>90.62</v>
      </c>
      <c r="D16">
        <v>15.91</v>
      </c>
      <c r="E16">
        <v>0.99999400000000005</v>
      </c>
      <c r="F16">
        <v>90.39</v>
      </c>
      <c r="G16">
        <v>2</v>
      </c>
      <c r="H16">
        <v>19.39</v>
      </c>
    </row>
    <row r="17" spans="1:8">
      <c r="A17" s="1">
        <v>12</v>
      </c>
      <c r="B17" t="s">
        <v>1486</v>
      </c>
      <c r="C17">
        <v>90.2</v>
      </c>
      <c r="D17">
        <v>15.91</v>
      </c>
      <c r="E17">
        <v>0.988622</v>
      </c>
      <c r="F17">
        <v>80.52</v>
      </c>
      <c r="G17">
        <v>0</v>
      </c>
      <c r="H17">
        <v>19.39</v>
      </c>
    </row>
    <row r="18" spans="1:8">
      <c r="A18" s="1">
        <v>13</v>
      </c>
      <c r="B18" t="s">
        <v>1489</v>
      </c>
      <c r="C18">
        <v>100.07</v>
      </c>
      <c r="D18">
        <v>16</v>
      </c>
      <c r="E18">
        <v>0.99998500000000001</v>
      </c>
      <c r="F18">
        <v>99.69</v>
      </c>
      <c r="G18">
        <v>2</v>
      </c>
      <c r="H18">
        <v>19.32</v>
      </c>
    </row>
    <row r="19" spans="1:8">
      <c r="A19" s="1">
        <v>14</v>
      </c>
      <c r="B19" t="s">
        <v>1492</v>
      </c>
      <c r="C19">
        <v>90.82</v>
      </c>
      <c r="D19">
        <v>15.91</v>
      </c>
      <c r="E19">
        <v>0.99014000000000002</v>
      </c>
      <c r="F19">
        <v>81.75</v>
      </c>
      <c r="G19">
        <v>2</v>
      </c>
      <c r="H19">
        <v>19.39</v>
      </c>
    </row>
    <row r="20" spans="1:8">
      <c r="A20" s="1">
        <v>15</v>
      </c>
      <c r="B20" t="s">
        <v>1495</v>
      </c>
      <c r="C20">
        <v>81.099999999999994</v>
      </c>
      <c r="D20">
        <v>15.82</v>
      </c>
      <c r="E20">
        <v>0.99999400000000005</v>
      </c>
      <c r="F20">
        <v>80.91</v>
      </c>
      <c r="G20">
        <v>2</v>
      </c>
      <c r="H20">
        <v>19.45</v>
      </c>
    </row>
    <row r="21" spans="1:8">
      <c r="A21" s="1">
        <v>16</v>
      </c>
      <c r="B21" t="s">
        <v>1498</v>
      </c>
      <c r="C21">
        <v>81.099999999999994</v>
      </c>
      <c r="D21">
        <v>15.82</v>
      </c>
      <c r="E21">
        <v>0.99999400000000005</v>
      </c>
      <c r="F21">
        <v>80.91</v>
      </c>
      <c r="G21">
        <v>2</v>
      </c>
      <c r="H21">
        <v>19.45</v>
      </c>
    </row>
    <row r="22" spans="1:8">
      <c r="A22" s="1">
        <v>17</v>
      </c>
      <c r="B22" t="s">
        <v>1501</v>
      </c>
      <c r="C22">
        <v>81.099999999999994</v>
      </c>
      <c r="D22">
        <v>15.82</v>
      </c>
      <c r="E22">
        <v>0.99999400000000005</v>
      </c>
      <c r="F22">
        <v>80.91</v>
      </c>
      <c r="G22">
        <v>2</v>
      </c>
      <c r="H22">
        <v>19.45</v>
      </c>
    </row>
    <row r="23" spans="1:8">
      <c r="A23" s="1">
        <v>18</v>
      </c>
      <c r="B23" t="s">
        <v>1504</v>
      </c>
      <c r="C23">
        <v>90.2</v>
      </c>
      <c r="D23">
        <v>15.91</v>
      </c>
      <c r="E23">
        <v>0.988622</v>
      </c>
      <c r="F23">
        <v>80.52</v>
      </c>
      <c r="G23">
        <v>0</v>
      </c>
      <c r="H23">
        <v>19.39</v>
      </c>
    </row>
    <row r="24" spans="1:8">
      <c r="A24" s="1">
        <v>19</v>
      </c>
      <c r="B24" t="s">
        <v>1507</v>
      </c>
      <c r="C24">
        <v>90.82</v>
      </c>
      <c r="D24">
        <v>15.91</v>
      </c>
      <c r="E24">
        <v>0.99014000000000002</v>
      </c>
      <c r="F24">
        <v>81.75</v>
      </c>
      <c r="G24">
        <v>2</v>
      </c>
      <c r="H24">
        <v>19.39</v>
      </c>
    </row>
    <row r="25" spans="1:8">
      <c r="A25" s="1">
        <v>20</v>
      </c>
      <c r="B25" t="s">
        <v>1510</v>
      </c>
      <c r="C25">
        <v>95</v>
      </c>
      <c r="D25">
        <v>15.95</v>
      </c>
      <c r="E25">
        <v>0.997614</v>
      </c>
      <c r="F25">
        <v>90.36</v>
      </c>
      <c r="G25">
        <v>2</v>
      </c>
      <c r="H25">
        <v>19.350000000000001</v>
      </c>
    </row>
    <row r="26" spans="1:8">
      <c r="A26" s="1">
        <v>21</v>
      </c>
      <c r="B26" t="s">
        <v>1513</v>
      </c>
      <c r="C26">
        <v>85.52</v>
      </c>
      <c r="D26">
        <v>15.86</v>
      </c>
      <c r="E26">
        <v>0.99665599999999999</v>
      </c>
      <c r="F26">
        <v>80.56</v>
      </c>
      <c r="G26">
        <v>0</v>
      </c>
      <c r="H26">
        <v>19.420000000000002</v>
      </c>
    </row>
    <row r="27" spans="1:8">
      <c r="A27" s="1">
        <v>22</v>
      </c>
      <c r="B27" t="s">
        <v>1516</v>
      </c>
      <c r="C27">
        <v>95.06</v>
      </c>
      <c r="D27">
        <v>15.96</v>
      </c>
      <c r="E27">
        <v>0.99775199999999997</v>
      </c>
      <c r="F27">
        <v>90.55</v>
      </c>
      <c r="G27">
        <v>0</v>
      </c>
      <c r="H27">
        <v>19.36</v>
      </c>
    </row>
    <row r="28" spans="1:8">
      <c r="A28" s="1">
        <v>23</v>
      </c>
      <c r="B28" t="s">
        <v>1519</v>
      </c>
      <c r="C28">
        <v>89.82</v>
      </c>
      <c r="D28">
        <v>15.9</v>
      </c>
      <c r="E28">
        <v>0.98788699999999996</v>
      </c>
      <c r="F28">
        <v>79.87</v>
      </c>
      <c r="G28">
        <v>2</v>
      </c>
      <c r="H28">
        <v>19.39</v>
      </c>
    </row>
    <row r="29" spans="1:8">
      <c r="A29" s="1">
        <v>24</v>
      </c>
      <c r="B29" t="s">
        <v>1522</v>
      </c>
      <c r="C29">
        <v>90.2</v>
      </c>
      <c r="D29">
        <v>15.91</v>
      </c>
      <c r="E29">
        <v>0.988622</v>
      </c>
      <c r="F29">
        <v>80.52</v>
      </c>
      <c r="G29">
        <v>0</v>
      </c>
      <c r="H29">
        <v>19.39</v>
      </c>
    </row>
    <row r="30" spans="1:8">
      <c r="A30" s="1">
        <v>25</v>
      </c>
      <c r="B30" t="s">
        <v>1525</v>
      </c>
      <c r="C30">
        <v>90.2</v>
      </c>
      <c r="D30">
        <v>15.91</v>
      </c>
      <c r="E30">
        <v>0.988622</v>
      </c>
      <c r="F30">
        <v>80.52</v>
      </c>
      <c r="G30">
        <v>0</v>
      </c>
      <c r="H30">
        <v>19.39</v>
      </c>
    </row>
    <row r="31" spans="1:8">
      <c r="A31" s="1">
        <v>26</v>
      </c>
      <c r="B31" t="s">
        <v>1528</v>
      </c>
      <c r="C31">
        <v>90.2</v>
      </c>
      <c r="D31">
        <v>15.91</v>
      </c>
      <c r="E31">
        <v>0.988622</v>
      </c>
      <c r="F31">
        <v>80.52</v>
      </c>
      <c r="G31">
        <v>0</v>
      </c>
      <c r="H31">
        <v>19.39</v>
      </c>
    </row>
    <row r="32" spans="1:8">
      <c r="A32" s="1">
        <v>27</v>
      </c>
      <c r="B32" t="s">
        <v>1531</v>
      </c>
      <c r="C32">
        <v>85.52</v>
      </c>
      <c r="D32">
        <v>15.86</v>
      </c>
      <c r="E32">
        <v>0.99685900000000005</v>
      </c>
      <c r="F32">
        <v>80.72</v>
      </c>
      <c r="G32">
        <v>2</v>
      </c>
      <c r="H32">
        <v>19.420000000000002</v>
      </c>
    </row>
    <row r="33" spans="1:8">
      <c r="A33" s="1">
        <v>28</v>
      </c>
      <c r="B33" t="s">
        <v>1534</v>
      </c>
      <c r="C33">
        <v>90.62</v>
      </c>
      <c r="D33">
        <v>15.91</v>
      </c>
      <c r="E33">
        <v>0.99999400000000005</v>
      </c>
      <c r="F33">
        <v>90.39</v>
      </c>
      <c r="G33">
        <v>2</v>
      </c>
      <c r="H33">
        <v>19.39</v>
      </c>
    </row>
    <row r="34" spans="1:8">
      <c r="A34" s="1">
        <v>29</v>
      </c>
      <c r="B34" t="s">
        <v>1537</v>
      </c>
      <c r="C34">
        <v>81.099999999999994</v>
      </c>
      <c r="D34">
        <v>15.82</v>
      </c>
      <c r="E34">
        <v>0.99999400000000005</v>
      </c>
      <c r="F34">
        <v>80.91</v>
      </c>
      <c r="G34">
        <v>2</v>
      </c>
      <c r="H34">
        <v>19.45</v>
      </c>
    </row>
    <row r="35" spans="1:8">
      <c r="A35" s="1">
        <v>30</v>
      </c>
      <c r="B35" t="s">
        <v>1540</v>
      </c>
      <c r="C35">
        <v>100.07</v>
      </c>
      <c r="D35">
        <v>16</v>
      </c>
      <c r="E35">
        <v>0.99998500000000001</v>
      </c>
      <c r="F35">
        <v>99.69</v>
      </c>
      <c r="G35">
        <v>2</v>
      </c>
      <c r="H35">
        <v>19.32</v>
      </c>
    </row>
    <row r="36" spans="1:8">
      <c r="A36" s="1">
        <v>31</v>
      </c>
      <c r="B36" t="s">
        <v>1543</v>
      </c>
      <c r="C36">
        <v>90.2</v>
      </c>
      <c r="D36">
        <v>15.91</v>
      </c>
      <c r="E36">
        <v>0.988622</v>
      </c>
      <c r="F36">
        <v>80.52</v>
      </c>
      <c r="G36">
        <v>0</v>
      </c>
      <c r="H36">
        <v>19.39</v>
      </c>
    </row>
    <row r="37" spans="1:8">
      <c r="A37" s="1">
        <v>32</v>
      </c>
      <c r="B37" t="s">
        <v>1546</v>
      </c>
      <c r="C37">
        <v>100.07</v>
      </c>
      <c r="D37">
        <v>16</v>
      </c>
      <c r="E37">
        <v>0.99998500000000001</v>
      </c>
      <c r="F37">
        <v>99.69</v>
      </c>
      <c r="G37">
        <v>2</v>
      </c>
      <c r="H37">
        <v>19.32</v>
      </c>
    </row>
    <row r="38" spans="1:8">
      <c r="A38" s="1">
        <v>33</v>
      </c>
      <c r="B38" t="s">
        <v>1549</v>
      </c>
      <c r="C38">
        <v>94.75</v>
      </c>
      <c r="D38">
        <v>15.95</v>
      </c>
      <c r="E38">
        <v>0.99792599999999998</v>
      </c>
      <c r="F38">
        <v>90.43</v>
      </c>
      <c r="G38">
        <v>0</v>
      </c>
      <c r="H38">
        <v>19.350000000000001</v>
      </c>
    </row>
    <row r="39" spans="1:8">
      <c r="A39" s="1">
        <v>34</v>
      </c>
      <c r="B39" t="s">
        <v>1552</v>
      </c>
      <c r="C39">
        <v>90.2</v>
      </c>
      <c r="D39">
        <v>15.91</v>
      </c>
      <c r="E39">
        <v>0.988622</v>
      </c>
      <c r="F39">
        <v>80.52</v>
      </c>
      <c r="G39">
        <v>0</v>
      </c>
      <c r="H39">
        <v>19.39</v>
      </c>
    </row>
    <row r="40" spans="1:8">
      <c r="A40" s="1">
        <v>35</v>
      </c>
      <c r="B40" t="s">
        <v>1555</v>
      </c>
      <c r="C40">
        <v>90.2</v>
      </c>
      <c r="D40">
        <v>15.91</v>
      </c>
      <c r="E40">
        <v>0.988622</v>
      </c>
      <c r="F40">
        <v>80.52</v>
      </c>
      <c r="G40">
        <v>0</v>
      </c>
      <c r="H40">
        <v>19.39</v>
      </c>
    </row>
    <row r="41" spans="1:8">
      <c r="A41" s="1">
        <v>36</v>
      </c>
      <c r="B41" t="s">
        <v>1558</v>
      </c>
      <c r="C41">
        <v>81.099999999999994</v>
      </c>
      <c r="D41">
        <v>15.82</v>
      </c>
      <c r="E41">
        <v>0.99999400000000005</v>
      </c>
      <c r="F41">
        <v>80.91</v>
      </c>
      <c r="G41">
        <v>2</v>
      </c>
      <c r="H41">
        <v>19.45</v>
      </c>
    </row>
    <row r="42" spans="1:8">
      <c r="A42" s="1">
        <v>37</v>
      </c>
      <c r="B42" t="s">
        <v>1561</v>
      </c>
      <c r="C42">
        <v>90.2</v>
      </c>
      <c r="D42">
        <v>15.91</v>
      </c>
      <c r="E42">
        <v>0.988622</v>
      </c>
      <c r="F42">
        <v>80.52</v>
      </c>
      <c r="G42">
        <v>0</v>
      </c>
      <c r="H42">
        <v>19.39</v>
      </c>
    </row>
    <row r="43" spans="1:8">
      <c r="A43" s="1">
        <v>38</v>
      </c>
      <c r="B43" t="s">
        <v>1564</v>
      </c>
      <c r="C43">
        <v>80.91</v>
      </c>
      <c r="D43">
        <v>15.82</v>
      </c>
      <c r="E43">
        <v>1</v>
      </c>
      <c r="F43">
        <v>80.87</v>
      </c>
      <c r="G43">
        <v>0</v>
      </c>
      <c r="H43">
        <v>19.45</v>
      </c>
    </row>
    <row r="44" spans="1:8">
      <c r="A44" s="1">
        <v>39</v>
      </c>
      <c r="B44" t="s">
        <v>1567</v>
      </c>
      <c r="C44">
        <v>90.82</v>
      </c>
      <c r="D44">
        <v>15.91</v>
      </c>
      <c r="E44">
        <v>0.99014000000000002</v>
      </c>
      <c r="F44">
        <v>81.75</v>
      </c>
      <c r="G44">
        <v>2</v>
      </c>
      <c r="H44">
        <v>19.39</v>
      </c>
    </row>
    <row r="45" spans="1:8">
      <c r="A45" s="1">
        <v>40</v>
      </c>
      <c r="B45" t="s">
        <v>1570</v>
      </c>
      <c r="C45">
        <v>90.2</v>
      </c>
      <c r="D45">
        <v>15.91</v>
      </c>
      <c r="E45">
        <v>0.988622</v>
      </c>
      <c r="F45">
        <v>80.52</v>
      </c>
      <c r="G45">
        <v>0</v>
      </c>
      <c r="H45">
        <v>19.39</v>
      </c>
    </row>
    <row r="46" spans="1:8">
      <c r="A46" s="1">
        <v>41</v>
      </c>
      <c r="B46" t="s">
        <v>1573</v>
      </c>
      <c r="C46">
        <v>85.52</v>
      </c>
      <c r="D46">
        <v>15.86</v>
      </c>
      <c r="E46">
        <v>0.99665599999999999</v>
      </c>
      <c r="F46">
        <v>80.56</v>
      </c>
      <c r="G46">
        <v>0</v>
      </c>
      <c r="H46">
        <v>19.420000000000002</v>
      </c>
    </row>
    <row r="47" spans="1:8">
      <c r="A47" s="1">
        <v>42</v>
      </c>
      <c r="B47" t="s">
        <v>1576</v>
      </c>
      <c r="C47">
        <v>81.099999999999994</v>
      </c>
      <c r="D47">
        <v>15.82</v>
      </c>
      <c r="E47">
        <v>0.99999400000000005</v>
      </c>
      <c r="F47">
        <v>80.91</v>
      </c>
      <c r="G47">
        <v>2</v>
      </c>
      <c r="H47">
        <v>19.45</v>
      </c>
    </row>
    <row r="48" spans="1:8">
      <c r="A48" s="1">
        <v>43</v>
      </c>
      <c r="B48" t="s">
        <v>1579</v>
      </c>
      <c r="C48">
        <v>90.82</v>
      </c>
      <c r="D48">
        <v>15.91</v>
      </c>
      <c r="E48">
        <v>0.99014000000000002</v>
      </c>
      <c r="F48">
        <v>81.75</v>
      </c>
      <c r="G48">
        <v>2</v>
      </c>
      <c r="H48">
        <v>19.39</v>
      </c>
    </row>
    <row r="49" spans="1:10">
      <c r="A49" s="1">
        <v>44</v>
      </c>
      <c r="B49" t="s">
        <v>1582</v>
      </c>
      <c r="C49">
        <v>85.52</v>
      </c>
      <c r="D49">
        <v>15.86</v>
      </c>
      <c r="E49">
        <v>0.99665599999999999</v>
      </c>
      <c r="F49">
        <v>80.56</v>
      </c>
      <c r="G49">
        <v>0</v>
      </c>
      <c r="H49">
        <v>19.420000000000002</v>
      </c>
    </row>
    <row r="50" spans="1:10">
      <c r="A50" s="1">
        <v>45</v>
      </c>
      <c r="B50" t="s">
        <v>1585</v>
      </c>
      <c r="C50">
        <v>90.2</v>
      </c>
      <c r="D50">
        <v>15.91</v>
      </c>
      <c r="E50">
        <v>0.988622</v>
      </c>
      <c r="F50">
        <v>80.52</v>
      </c>
      <c r="G50">
        <v>0</v>
      </c>
      <c r="H50">
        <v>19.39</v>
      </c>
    </row>
    <row r="51" spans="1:10">
      <c r="A51" s="1">
        <v>46</v>
      </c>
      <c r="B51" t="s">
        <v>1588</v>
      </c>
      <c r="C51">
        <v>90.2</v>
      </c>
      <c r="D51">
        <v>15.91</v>
      </c>
      <c r="E51">
        <v>0.988622</v>
      </c>
      <c r="F51">
        <v>80.52</v>
      </c>
      <c r="G51">
        <v>0</v>
      </c>
      <c r="H51">
        <v>19.39</v>
      </c>
      <c r="J51" s="1">
        <v>0</v>
      </c>
    </row>
    <row r="52" spans="1:10">
      <c r="A52" s="1">
        <v>47</v>
      </c>
      <c r="B52" t="s">
        <v>1591</v>
      </c>
      <c r="C52">
        <v>81.099999999999994</v>
      </c>
      <c r="D52">
        <v>15.82</v>
      </c>
      <c r="E52">
        <v>0.99999400000000005</v>
      </c>
      <c r="F52">
        <v>80.91</v>
      </c>
      <c r="G52">
        <v>2</v>
      </c>
      <c r="H52">
        <v>19.45</v>
      </c>
    </row>
    <row r="53" spans="1:10">
      <c r="A53" s="1">
        <v>48</v>
      </c>
      <c r="B53" t="s">
        <v>1594</v>
      </c>
      <c r="C53">
        <v>99.63</v>
      </c>
      <c r="D53">
        <v>16</v>
      </c>
      <c r="E53">
        <v>0.99999800000000005</v>
      </c>
      <c r="F53">
        <v>99.49</v>
      </c>
      <c r="G53">
        <v>0</v>
      </c>
      <c r="H53">
        <v>19.32</v>
      </c>
    </row>
    <row r="54" spans="1:10">
      <c r="A54" s="1">
        <v>49</v>
      </c>
      <c r="B54" t="s">
        <v>1597</v>
      </c>
      <c r="C54">
        <v>95.06</v>
      </c>
      <c r="D54">
        <v>15.96</v>
      </c>
      <c r="E54">
        <v>0.99775199999999997</v>
      </c>
      <c r="F54">
        <v>90.55</v>
      </c>
      <c r="G54">
        <v>0</v>
      </c>
      <c r="H54">
        <v>19.36</v>
      </c>
    </row>
    <row r="55" spans="1:10">
      <c r="A55" s="1">
        <v>50</v>
      </c>
      <c r="B55" t="s">
        <v>1600</v>
      </c>
      <c r="C55">
        <v>95</v>
      </c>
      <c r="D55">
        <v>15.95</v>
      </c>
      <c r="E55">
        <v>0.997614</v>
      </c>
      <c r="F55">
        <v>90.36</v>
      </c>
      <c r="G55">
        <v>2</v>
      </c>
      <c r="H55">
        <v>19.350000000000001</v>
      </c>
    </row>
    <row r="56" spans="1:10">
      <c r="B56" s="1" t="s">
        <v>19</v>
      </c>
      <c r="C56" s="1">
        <f>AVERAGE(C6:C55)</f>
        <v>89.880399999999966</v>
      </c>
      <c r="D56" s="1">
        <f t="shared" ref="D56:H56" si="0">AVERAGE(D6:D55)</f>
        <v>15.904600000000002</v>
      </c>
      <c r="E56" s="1">
        <f t="shared" si="0"/>
        <v>0.99438875999999976</v>
      </c>
      <c r="F56" s="1">
        <f t="shared" si="0"/>
        <v>84.373999999999967</v>
      </c>
      <c r="H56" s="1">
        <f t="shared" si="0"/>
        <v>19.391400000000001</v>
      </c>
    </row>
    <row r="57" spans="1:10">
      <c r="B57" s="1" t="s">
        <v>20</v>
      </c>
      <c r="C57" s="1">
        <f>MIN(C5:C55)</f>
        <v>80.91</v>
      </c>
      <c r="D57" s="1">
        <f t="shared" ref="D57:H57" si="1">MIN(D5:D55)</f>
        <v>15.82</v>
      </c>
      <c r="E57" s="1">
        <f t="shared" si="1"/>
        <v>0.98788699999999996</v>
      </c>
      <c r="F57" s="1">
        <f t="shared" si="1"/>
        <v>79.87</v>
      </c>
      <c r="H57" s="1">
        <f t="shared" si="1"/>
        <v>19.32</v>
      </c>
    </row>
    <row r="58" spans="1:10">
      <c r="B58" s="1" t="s">
        <v>3</v>
      </c>
      <c r="C58" s="1">
        <f>STDEV(C6:C55)</f>
        <v>5.225938040980715</v>
      </c>
      <c r="D58" s="1">
        <f t="shared" ref="D58:E58" si="2">STDEV(D6:D55)</f>
        <v>5.0475696313843417E-2</v>
      </c>
      <c r="E58" s="1">
        <f t="shared" si="2"/>
        <v>5.1021406254270155E-3</v>
      </c>
      <c r="F58" s="1">
        <f>STDEV(F6:F55)</f>
        <v>6.0796267339776549</v>
      </c>
      <c r="H58" s="1">
        <f>STDEV(H6:H55)</f>
        <v>3.5800467446497695E-2</v>
      </c>
    </row>
    <row r="60" spans="1:10">
      <c r="H60" s="21" t="s">
        <v>1435</v>
      </c>
    </row>
    <row r="61" spans="1:10" ht="18">
      <c r="A61" s="21" t="s">
        <v>7</v>
      </c>
      <c r="B61" s="3" t="s">
        <v>8</v>
      </c>
      <c r="C61" s="21" t="s">
        <v>4</v>
      </c>
      <c r="D61" s="21" t="s">
        <v>322</v>
      </c>
      <c r="E61" s="21" t="s">
        <v>321</v>
      </c>
      <c r="F61" s="21" t="s">
        <v>324</v>
      </c>
      <c r="G61" s="21" t="s">
        <v>323</v>
      </c>
      <c r="H61" s="21" t="s">
        <v>1436</v>
      </c>
    </row>
    <row r="62" spans="1:10">
      <c r="A62" s="1">
        <v>1</v>
      </c>
      <c r="B62" t="s">
        <v>3372</v>
      </c>
      <c r="C62">
        <v>90.01</v>
      </c>
      <c r="D62">
        <v>39.770000000000003</v>
      </c>
      <c r="E62">
        <v>0.995869</v>
      </c>
      <c r="F62">
        <v>80.989999999999995</v>
      </c>
      <c r="G62">
        <v>2</v>
      </c>
      <c r="H62">
        <v>19.38</v>
      </c>
    </row>
    <row r="63" spans="1:10">
      <c r="A63" s="1">
        <v>2</v>
      </c>
      <c r="B63" t="s">
        <v>3373</v>
      </c>
      <c r="C63">
        <v>93.77</v>
      </c>
      <c r="D63">
        <v>39.85</v>
      </c>
      <c r="E63">
        <v>0.99461699999999997</v>
      </c>
      <c r="F63">
        <v>81.91</v>
      </c>
      <c r="G63">
        <v>2</v>
      </c>
      <c r="H63">
        <v>19.36</v>
      </c>
    </row>
    <row r="64" spans="1:10">
      <c r="A64" s="1">
        <v>3</v>
      </c>
      <c r="B64" t="s">
        <v>3374</v>
      </c>
      <c r="C64">
        <v>89.69</v>
      </c>
      <c r="D64">
        <v>39.75</v>
      </c>
      <c r="E64">
        <v>0.99145799999999995</v>
      </c>
      <c r="F64">
        <v>79.83</v>
      </c>
      <c r="G64">
        <v>6</v>
      </c>
      <c r="H64">
        <v>19.38</v>
      </c>
    </row>
    <row r="65" spans="1:8">
      <c r="A65" s="1">
        <v>4</v>
      </c>
      <c r="B65" t="s">
        <v>3375</v>
      </c>
      <c r="C65">
        <v>97.7</v>
      </c>
      <c r="D65">
        <v>39.950000000000003</v>
      </c>
      <c r="E65">
        <v>0.99853499999999995</v>
      </c>
      <c r="F65">
        <v>90.28</v>
      </c>
      <c r="G65">
        <v>2</v>
      </c>
      <c r="H65">
        <v>19.329999999999998</v>
      </c>
    </row>
    <row r="66" spans="1:8">
      <c r="A66" s="1">
        <v>5</v>
      </c>
      <c r="B66" t="s">
        <v>3376</v>
      </c>
      <c r="C66">
        <v>88.33</v>
      </c>
      <c r="D66">
        <v>39.72</v>
      </c>
      <c r="E66">
        <v>0.993618</v>
      </c>
      <c r="F66">
        <v>80.56</v>
      </c>
      <c r="G66">
        <v>4</v>
      </c>
      <c r="H66">
        <v>19.399999999999999</v>
      </c>
    </row>
    <row r="67" spans="1:8">
      <c r="A67" s="1">
        <v>6</v>
      </c>
      <c r="B67" t="s">
        <v>3377</v>
      </c>
      <c r="C67">
        <v>88.3</v>
      </c>
      <c r="D67">
        <v>39.72</v>
      </c>
      <c r="E67">
        <v>0.99345300000000003</v>
      </c>
      <c r="F67">
        <v>79.83</v>
      </c>
      <c r="G67">
        <v>2</v>
      </c>
      <c r="H67">
        <v>19.399999999999999</v>
      </c>
    </row>
    <row r="68" spans="1:8">
      <c r="A68" s="1">
        <v>7</v>
      </c>
      <c r="B68" t="s">
        <v>3378</v>
      </c>
      <c r="C68">
        <v>92.5</v>
      </c>
      <c r="D68">
        <v>39.82</v>
      </c>
      <c r="E68">
        <v>0.99392899999999995</v>
      </c>
      <c r="F68">
        <v>80.489999999999995</v>
      </c>
      <c r="G68">
        <v>2</v>
      </c>
      <c r="H68">
        <v>19.37</v>
      </c>
    </row>
    <row r="69" spans="1:8">
      <c r="A69" s="1">
        <v>8</v>
      </c>
      <c r="B69" t="s">
        <v>3379</v>
      </c>
      <c r="C69">
        <v>92.35</v>
      </c>
      <c r="D69">
        <v>39.81</v>
      </c>
      <c r="E69">
        <v>0.98902800000000002</v>
      </c>
      <c r="F69">
        <v>80.14</v>
      </c>
      <c r="G69">
        <v>8</v>
      </c>
      <c r="H69">
        <v>19.37</v>
      </c>
    </row>
    <row r="70" spans="1:8">
      <c r="A70" s="1">
        <v>9</v>
      </c>
      <c r="B70" t="s">
        <v>3380</v>
      </c>
      <c r="C70">
        <v>90.43</v>
      </c>
      <c r="D70">
        <v>39.770000000000003</v>
      </c>
      <c r="E70">
        <v>0.99087199999999998</v>
      </c>
      <c r="F70">
        <v>79.91</v>
      </c>
      <c r="G70">
        <v>4</v>
      </c>
      <c r="H70">
        <v>19.39</v>
      </c>
    </row>
    <row r="71" spans="1:8">
      <c r="A71" s="1">
        <v>10</v>
      </c>
      <c r="B71" t="s">
        <v>3381</v>
      </c>
      <c r="C71">
        <v>96.05</v>
      </c>
      <c r="D71">
        <v>39.909999999999997</v>
      </c>
      <c r="E71">
        <v>0.99754799999999999</v>
      </c>
      <c r="F71">
        <v>89.93</v>
      </c>
      <c r="G71">
        <v>4</v>
      </c>
      <c r="H71">
        <v>19.34</v>
      </c>
    </row>
    <row r="72" spans="1:8">
      <c r="A72" s="1">
        <v>11</v>
      </c>
      <c r="B72" t="s">
        <v>3382</v>
      </c>
      <c r="C72">
        <v>92.41</v>
      </c>
      <c r="D72">
        <v>39.82</v>
      </c>
      <c r="E72">
        <v>0.99392199999999997</v>
      </c>
      <c r="F72">
        <v>80.45</v>
      </c>
      <c r="G72">
        <v>0</v>
      </c>
      <c r="H72">
        <v>19.37</v>
      </c>
    </row>
    <row r="73" spans="1:8">
      <c r="A73" s="1">
        <v>12</v>
      </c>
      <c r="B73" t="s">
        <v>3383</v>
      </c>
      <c r="C73">
        <v>93.86</v>
      </c>
      <c r="D73">
        <v>39.86</v>
      </c>
      <c r="E73">
        <v>0.99770599999999998</v>
      </c>
      <c r="F73">
        <v>89.55</v>
      </c>
      <c r="G73">
        <v>4</v>
      </c>
      <c r="H73">
        <v>19.36</v>
      </c>
    </row>
    <row r="74" spans="1:8">
      <c r="A74" s="1">
        <v>13</v>
      </c>
      <c r="B74" t="s">
        <v>3384</v>
      </c>
      <c r="C74">
        <v>88.31</v>
      </c>
      <c r="D74">
        <v>39.72</v>
      </c>
      <c r="E74">
        <v>0.99357399999999996</v>
      </c>
      <c r="F74">
        <v>80.37</v>
      </c>
      <c r="G74">
        <v>8</v>
      </c>
      <c r="H74">
        <v>19.399999999999999</v>
      </c>
    </row>
    <row r="75" spans="1:8">
      <c r="A75" s="1">
        <v>14</v>
      </c>
      <c r="B75" t="s">
        <v>3385</v>
      </c>
      <c r="C75">
        <v>90.22</v>
      </c>
      <c r="D75">
        <v>39.770000000000003</v>
      </c>
      <c r="E75">
        <v>0.99609499999999995</v>
      </c>
      <c r="F75">
        <v>81.02</v>
      </c>
      <c r="G75">
        <v>6</v>
      </c>
      <c r="H75">
        <v>19.39</v>
      </c>
    </row>
    <row r="76" spans="1:8">
      <c r="A76" s="1">
        <v>15</v>
      </c>
      <c r="B76" t="s">
        <v>3386</v>
      </c>
      <c r="C76">
        <v>90.32</v>
      </c>
      <c r="D76">
        <v>39.770000000000003</v>
      </c>
      <c r="E76">
        <v>0.99521199999999999</v>
      </c>
      <c r="F76">
        <v>80.489999999999995</v>
      </c>
      <c r="G76">
        <v>8</v>
      </c>
      <c r="H76">
        <v>19.38</v>
      </c>
    </row>
    <row r="77" spans="1:8">
      <c r="A77" s="1">
        <v>16</v>
      </c>
      <c r="B77" t="s">
        <v>3387</v>
      </c>
      <c r="C77">
        <v>78.67</v>
      </c>
      <c r="D77">
        <v>39.340000000000003</v>
      </c>
      <c r="E77">
        <v>0.90107800000000005</v>
      </c>
      <c r="F77">
        <v>45.24</v>
      </c>
      <c r="G77">
        <v>2</v>
      </c>
      <c r="H77">
        <v>15.65</v>
      </c>
    </row>
    <row r="78" spans="1:8">
      <c r="A78" s="1">
        <v>17</v>
      </c>
      <c r="B78" t="s">
        <v>3388</v>
      </c>
      <c r="C78">
        <v>88.4</v>
      </c>
      <c r="D78">
        <v>39.72</v>
      </c>
      <c r="E78">
        <v>0.98994000000000004</v>
      </c>
      <c r="F78">
        <v>80.56</v>
      </c>
      <c r="G78">
        <v>6</v>
      </c>
      <c r="H78">
        <v>19.399999999999999</v>
      </c>
    </row>
    <row r="79" spans="1:8">
      <c r="A79" s="1">
        <v>18</v>
      </c>
      <c r="B79" t="s">
        <v>3389</v>
      </c>
      <c r="C79">
        <v>88.4</v>
      </c>
      <c r="D79">
        <v>39.729999999999997</v>
      </c>
      <c r="E79">
        <v>0.99429800000000002</v>
      </c>
      <c r="F79">
        <v>80.95</v>
      </c>
      <c r="G79">
        <v>4</v>
      </c>
      <c r="H79">
        <v>19.399999999999999</v>
      </c>
    </row>
    <row r="80" spans="1:8">
      <c r="A80" s="1">
        <v>19</v>
      </c>
      <c r="B80" t="s">
        <v>3390</v>
      </c>
      <c r="C80">
        <v>96.05</v>
      </c>
      <c r="D80">
        <v>39.9</v>
      </c>
      <c r="E80">
        <v>0.99353599999999997</v>
      </c>
      <c r="F80">
        <v>80.56</v>
      </c>
      <c r="G80">
        <v>8</v>
      </c>
      <c r="H80">
        <v>19.34</v>
      </c>
    </row>
    <row r="81" spans="1:8">
      <c r="A81" s="1">
        <v>20</v>
      </c>
      <c r="B81" t="s">
        <v>3391</v>
      </c>
      <c r="C81">
        <v>86.55</v>
      </c>
      <c r="D81">
        <v>39.68</v>
      </c>
      <c r="E81">
        <v>0.992143</v>
      </c>
      <c r="F81">
        <v>79.91</v>
      </c>
      <c r="G81">
        <v>4</v>
      </c>
      <c r="H81">
        <v>19.41</v>
      </c>
    </row>
    <row r="82" spans="1:8">
      <c r="A82" s="1">
        <v>21</v>
      </c>
      <c r="B82" t="s">
        <v>3392</v>
      </c>
      <c r="C82">
        <v>98.18</v>
      </c>
      <c r="D82">
        <v>39.96</v>
      </c>
      <c r="E82">
        <v>0.99855300000000002</v>
      </c>
      <c r="F82">
        <v>90.74</v>
      </c>
      <c r="G82">
        <v>6</v>
      </c>
      <c r="H82">
        <v>19.329999999999998</v>
      </c>
    </row>
    <row r="83" spans="1:8">
      <c r="A83" s="1">
        <v>22</v>
      </c>
      <c r="B83" t="s">
        <v>3393</v>
      </c>
      <c r="C83">
        <v>87.69</v>
      </c>
      <c r="D83">
        <v>39.71</v>
      </c>
      <c r="E83">
        <v>0.99335899999999999</v>
      </c>
      <c r="F83">
        <v>79.680000000000007</v>
      </c>
      <c r="G83">
        <v>6</v>
      </c>
      <c r="H83">
        <v>19.39</v>
      </c>
    </row>
    <row r="84" spans="1:8">
      <c r="A84" s="1">
        <v>23</v>
      </c>
      <c r="B84" t="s">
        <v>3394</v>
      </c>
      <c r="C84">
        <v>89.9</v>
      </c>
      <c r="D84">
        <v>39.76</v>
      </c>
      <c r="E84">
        <v>0.99213899999999999</v>
      </c>
      <c r="F84">
        <v>80.22</v>
      </c>
      <c r="G84">
        <v>0</v>
      </c>
      <c r="H84">
        <v>19.38</v>
      </c>
    </row>
    <row r="85" spans="1:8">
      <c r="A85" s="1">
        <v>24</v>
      </c>
      <c r="B85" t="s">
        <v>3395</v>
      </c>
      <c r="C85">
        <v>90.08</v>
      </c>
      <c r="D85">
        <v>39.76</v>
      </c>
      <c r="E85">
        <v>0.99136899999999994</v>
      </c>
      <c r="F85">
        <v>79.95</v>
      </c>
      <c r="G85">
        <v>2</v>
      </c>
      <c r="H85">
        <v>19.39</v>
      </c>
    </row>
    <row r="86" spans="1:8">
      <c r="A86" s="1">
        <v>25</v>
      </c>
      <c r="B86" t="s">
        <v>3396</v>
      </c>
      <c r="C86">
        <v>88.14</v>
      </c>
      <c r="D86">
        <v>39.71</v>
      </c>
      <c r="E86">
        <v>0.98816800000000005</v>
      </c>
      <c r="F86">
        <v>79.83</v>
      </c>
      <c r="G86">
        <v>0</v>
      </c>
      <c r="H86">
        <v>19.399999999999999</v>
      </c>
    </row>
    <row r="87" spans="1:8">
      <c r="A87" s="1">
        <v>26</v>
      </c>
      <c r="B87" t="s">
        <v>3397</v>
      </c>
      <c r="C87">
        <v>67.930000000000007</v>
      </c>
      <c r="D87">
        <v>39.06</v>
      </c>
      <c r="E87">
        <v>0.92303000000000002</v>
      </c>
      <c r="F87">
        <v>43.93</v>
      </c>
      <c r="G87">
        <v>8</v>
      </c>
      <c r="H87">
        <v>15.73</v>
      </c>
    </row>
    <row r="88" spans="1:8">
      <c r="A88" s="1">
        <v>27</v>
      </c>
      <c r="B88" t="s">
        <v>3398</v>
      </c>
      <c r="C88">
        <v>66.3</v>
      </c>
      <c r="D88">
        <v>37.479999999999997</v>
      </c>
      <c r="E88">
        <v>0.80124399999999996</v>
      </c>
      <c r="F88">
        <v>0.65</v>
      </c>
      <c r="G88">
        <v>8</v>
      </c>
      <c r="H88">
        <v>15.52</v>
      </c>
    </row>
    <row r="89" spans="1:8">
      <c r="A89" s="1">
        <v>28</v>
      </c>
      <c r="B89" t="s">
        <v>3399</v>
      </c>
      <c r="C89">
        <v>90.49</v>
      </c>
      <c r="D89">
        <v>39.770000000000003</v>
      </c>
      <c r="E89">
        <v>0.99175000000000002</v>
      </c>
      <c r="F89">
        <v>80.87</v>
      </c>
      <c r="G89">
        <v>2</v>
      </c>
      <c r="H89">
        <v>19.38</v>
      </c>
    </row>
    <row r="90" spans="1:8">
      <c r="A90" s="1">
        <v>29</v>
      </c>
      <c r="B90" t="s">
        <v>3400</v>
      </c>
      <c r="C90">
        <v>77.790000000000006</v>
      </c>
      <c r="D90">
        <v>39.35</v>
      </c>
      <c r="E90">
        <v>0.91867399999999999</v>
      </c>
      <c r="F90">
        <v>49.23</v>
      </c>
      <c r="G90">
        <v>2</v>
      </c>
      <c r="H90">
        <v>15.68</v>
      </c>
    </row>
    <row r="91" spans="1:8">
      <c r="A91" s="1">
        <v>30</v>
      </c>
      <c r="B91" t="s">
        <v>3401</v>
      </c>
      <c r="C91">
        <v>85.19</v>
      </c>
      <c r="D91">
        <v>39.630000000000003</v>
      </c>
      <c r="E91">
        <v>0.97761900000000002</v>
      </c>
      <c r="F91">
        <v>65.510000000000005</v>
      </c>
      <c r="G91">
        <v>2</v>
      </c>
      <c r="H91">
        <v>18.03</v>
      </c>
    </row>
    <row r="92" spans="1:8">
      <c r="A92" s="1">
        <v>31</v>
      </c>
      <c r="B92" t="s">
        <v>3402</v>
      </c>
      <c r="C92">
        <v>90.54</v>
      </c>
      <c r="D92">
        <v>39.78</v>
      </c>
      <c r="E92">
        <v>0.995008</v>
      </c>
      <c r="F92">
        <v>80.56</v>
      </c>
      <c r="G92">
        <v>8</v>
      </c>
      <c r="H92">
        <v>19.38</v>
      </c>
    </row>
    <row r="93" spans="1:8">
      <c r="A93" s="1">
        <v>32</v>
      </c>
      <c r="B93" t="s">
        <v>3403</v>
      </c>
      <c r="C93">
        <v>74.400000000000006</v>
      </c>
      <c r="D93">
        <v>39.270000000000003</v>
      </c>
      <c r="E93">
        <v>0.92855799999999999</v>
      </c>
      <c r="F93">
        <v>48.92</v>
      </c>
      <c r="G93">
        <v>2</v>
      </c>
      <c r="H93">
        <v>15.71</v>
      </c>
    </row>
    <row r="94" spans="1:8">
      <c r="A94" s="1">
        <v>33</v>
      </c>
      <c r="B94" t="s">
        <v>3404</v>
      </c>
      <c r="C94">
        <v>86.43</v>
      </c>
      <c r="D94">
        <v>39.68</v>
      </c>
      <c r="E94">
        <v>0.99248499999999995</v>
      </c>
      <c r="F94">
        <v>80.599999999999994</v>
      </c>
      <c r="G94">
        <v>2</v>
      </c>
      <c r="H94">
        <v>19.41</v>
      </c>
    </row>
    <row r="95" spans="1:8">
      <c r="A95" s="1">
        <v>34</v>
      </c>
      <c r="B95" t="s">
        <v>3405</v>
      </c>
      <c r="C95">
        <v>92.25</v>
      </c>
      <c r="D95">
        <v>39.81</v>
      </c>
      <c r="E95">
        <v>0.99059799999999998</v>
      </c>
      <c r="F95">
        <v>81.22</v>
      </c>
      <c r="G95">
        <v>4</v>
      </c>
      <c r="H95">
        <v>19.37</v>
      </c>
    </row>
    <row r="96" spans="1:8">
      <c r="A96" s="1">
        <v>35</v>
      </c>
      <c r="B96" t="s">
        <v>3406</v>
      </c>
      <c r="C96">
        <v>84.13</v>
      </c>
      <c r="D96">
        <v>39.619999999999997</v>
      </c>
      <c r="E96">
        <v>0.99700500000000003</v>
      </c>
      <c r="F96">
        <v>79.41</v>
      </c>
      <c r="G96">
        <v>6</v>
      </c>
      <c r="H96">
        <v>19.420000000000002</v>
      </c>
    </row>
    <row r="97" spans="1:8">
      <c r="A97" s="1">
        <v>36</v>
      </c>
      <c r="B97" t="s">
        <v>3407</v>
      </c>
      <c r="C97">
        <v>90.07</v>
      </c>
      <c r="D97">
        <v>39.76</v>
      </c>
      <c r="E97">
        <v>0.99082800000000004</v>
      </c>
      <c r="F97">
        <v>80.180000000000007</v>
      </c>
      <c r="G97">
        <v>4</v>
      </c>
      <c r="H97">
        <v>19.38</v>
      </c>
    </row>
    <row r="98" spans="1:8">
      <c r="A98" s="1">
        <v>37</v>
      </c>
      <c r="B98" t="s">
        <v>3408</v>
      </c>
      <c r="C98">
        <v>86.39</v>
      </c>
      <c r="D98">
        <v>39.67</v>
      </c>
      <c r="E98">
        <v>0.99224900000000005</v>
      </c>
      <c r="F98">
        <v>80.22</v>
      </c>
      <c r="G98">
        <v>0</v>
      </c>
      <c r="H98">
        <v>19.41</v>
      </c>
    </row>
    <row r="99" spans="1:8">
      <c r="A99" s="1">
        <v>38</v>
      </c>
      <c r="B99" t="s">
        <v>3409</v>
      </c>
      <c r="C99">
        <v>92.61</v>
      </c>
      <c r="D99">
        <v>39.83</v>
      </c>
      <c r="E99">
        <v>0.994004</v>
      </c>
      <c r="F99">
        <v>80.680000000000007</v>
      </c>
      <c r="G99">
        <v>4</v>
      </c>
      <c r="H99">
        <v>19.37</v>
      </c>
    </row>
    <row r="100" spans="1:8">
      <c r="A100" s="1">
        <v>39</v>
      </c>
      <c r="B100" t="s">
        <v>3410</v>
      </c>
      <c r="C100">
        <v>89.87</v>
      </c>
      <c r="D100">
        <v>39.76</v>
      </c>
      <c r="E100">
        <v>0.99012599999999995</v>
      </c>
      <c r="F100">
        <v>79.33</v>
      </c>
      <c r="G100">
        <v>0</v>
      </c>
      <c r="H100">
        <v>19.38</v>
      </c>
    </row>
    <row r="101" spans="1:8">
      <c r="A101" s="1">
        <v>40</v>
      </c>
      <c r="B101" t="s">
        <v>3411</v>
      </c>
      <c r="C101">
        <v>84.89</v>
      </c>
      <c r="D101">
        <v>39.64</v>
      </c>
      <c r="E101">
        <v>0.99213099999999999</v>
      </c>
      <c r="F101">
        <v>80.599999999999994</v>
      </c>
      <c r="G101">
        <v>0</v>
      </c>
      <c r="H101">
        <v>19.420000000000002</v>
      </c>
    </row>
    <row r="102" spans="1:8">
      <c r="A102" s="1">
        <v>41</v>
      </c>
      <c r="B102" t="s">
        <v>3412</v>
      </c>
      <c r="C102">
        <v>95.67</v>
      </c>
      <c r="D102">
        <v>39.9</v>
      </c>
      <c r="E102">
        <v>0.99751699999999999</v>
      </c>
      <c r="F102">
        <v>89.05</v>
      </c>
      <c r="G102">
        <v>8</v>
      </c>
      <c r="H102">
        <v>19.34</v>
      </c>
    </row>
    <row r="103" spans="1:8">
      <c r="A103" s="1">
        <v>42</v>
      </c>
      <c r="B103" t="s">
        <v>3413</v>
      </c>
      <c r="C103">
        <v>83.98</v>
      </c>
      <c r="D103">
        <v>39.61</v>
      </c>
      <c r="E103">
        <v>0.99196899999999999</v>
      </c>
      <c r="F103">
        <v>79.72</v>
      </c>
      <c r="G103">
        <v>8</v>
      </c>
      <c r="H103">
        <v>19.420000000000002</v>
      </c>
    </row>
    <row r="104" spans="1:8">
      <c r="A104" s="1">
        <v>43</v>
      </c>
      <c r="B104" t="s">
        <v>3414</v>
      </c>
      <c r="C104">
        <v>93.48</v>
      </c>
      <c r="D104">
        <v>39.85</v>
      </c>
      <c r="E104">
        <v>0.99450799999999995</v>
      </c>
      <c r="F104">
        <v>81.33</v>
      </c>
      <c r="G104">
        <v>2</v>
      </c>
      <c r="H104">
        <v>19.36</v>
      </c>
    </row>
    <row r="105" spans="1:8">
      <c r="A105" s="1">
        <v>44</v>
      </c>
      <c r="B105" t="s">
        <v>3415</v>
      </c>
      <c r="C105">
        <v>90.09</v>
      </c>
      <c r="D105">
        <v>39.76</v>
      </c>
      <c r="E105">
        <v>0.99118600000000001</v>
      </c>
      <c r="F105">
        <v>79.599999999999994</v>
      </c>
      <c r="G105">
        <v>6</v>
      </c>
      <c r="H105">
        <v>19.38</v>
      </c>
    </row>
    <row r="106" spans="1:8">
      <c r="A106" s="1">
        <v>45</v>
      </c>
      <c r="B106" t="s">
        <v>3416</v>
      </c>
      <c r="C106">
        <v>91.38</v>
      </c>
      <c r="D106">
        <v>39.79</v>
      </c>
      <c r="E106">
        <v>0.99008799999999997</v>
      </c>
      <c r="F106">
        <v>80.180000000000007</v>
      </c>
      <c r="G106">
        <v>0</v>
      </c>
      <c r="H106">
        <v>19.37</v>
      </c>
    </row>
    <row r="107" spans="1:8">
      <c r="A107" s="1">
        <v>46</v>
      </c>
      <c r="B107" t="s">
        <v>3417</v>
      </c>
      <c r="C107">
        <v>81.45</v>
      </c>
      <c r="D107">
        <v>39.44</v>
      </c>
      <c r="E107">
        <v>0.92552199999999996</v>
      </c>
      <c r="F107">
        <v>42.2</v>
      </c>
      <c r="G107">
        <v>0</v>
      </c>
      <c r="H107">
        <v>16.05</v>
      </c>
    </row>
    <row r="108" spans="1:8">
      <c r="A108" s="1">
        <v>47</v>
      </c>
      <c r="B108" t="s">
        <v>3418</v>
      </c>
      <c r="C108">
        <v>92.24</v>
      </c>
      <c r="D108">
        <v>39.81</v>
      </c>
      <c r="E108">
        <v>0.98985400000000001</v>
      </c>
      <c r="F108">
        <v>80.56</v>
      </c>
      <c r="G108">
        <v>2</v>
      </c>
      <c r="H108">
        <v>19.37</v>
      </c>
    </row>
    <row r="109" spans="1:8">
      <c r="A109" s="1">
        <v>48</v>
      </c>
      <c r="B109" t="s">
        <v>3419</v>
      </c>
      <c r="C109">
        <v>86.51</v>
      </c>
      <c r="D109">
        <v>39.68</v>
      </c>
      <c r="E109">
        <v>0.99299300000000001</v>
      </c>
      <c r="F109">
        <v>80.64</v>
      </c>
      <c r="G109">
        <v>0</v>
      </c>
      <c r="H109">
        <v>19.41</v>
      </c>
    </row>
    <row r="110" spans="1:8">
      <c r="A110" s="1">
        <v>49</v>
      </c>
      <c r="B110" t="s">
        <v>3420</v>
      </c>
      <c r="C110">
        <v>72.349999999999994</v>
      </c>
      <c r="D110">
        <v>39.21</v>
      </c>
      <c r="E110">
        <v>0.93260100000000001</v>
      </c>
      <c r="F110">
        <v>48.92</v>
      </c>
      <c r="G110">
        <v>4</v>
      </c>
      <c r="H110">
        <v>15.73</v>
      </c>
    </row>
    <row r="111" spans="1:8">
      <c r="A111" s="1">
        <v>50</v>
      </c>
      <c r="B111" t="s">
        <v>3421</v>
      </c>
      <c r="C111">
        <v>86.55</v>
      </c>
      <c r="D111">
        <v>39.68</v>
      </c>
      <c r="E111">
        <v>0.99273999999999996</v>
      </c>
      <c r="F111">
        <v>80.180000000000007</v>
      </c>
      <c r="G111">
        <v>0</v>
      </c>
      <c r="H111">
        <v>19.41</v>
      </c>
    </row>
    <row r="112" spans="1:8">
      <c r="B112" s="1" t="s">
        <v>19</v>
      </c>
      <c r="C112" s="1">
        <f>AVERAGE(C62:C111)</f>
        <v>87.985800000000012</v>
      </c>
      <c r="D112" s="1">
        <f t="shared" ref="D112:F112" si="3">AVERAGE(D62:D111)</f>
        <v>39.662399999999998</v>
      </c>
      <c r="E112" s="1">
        <f t="shared" si="3"/>
        <v>0.98048611999999991</v>
      </c>
      <c r="F112" s="1">
        <f t="shared" si="3"/>
        <v>75.353599999999958</v>
      </c>
      <c r="H112" s="1">
        <f t="shared" ref="H112" si="4">AVERAGE(H62:H111)</f>
        <v>18.842799999999993</v>
      </c>
    </row>
    <row r="113" spans="1:8">
      <c r="B113" s="1" t="s">
        <v>20</v>
      </c>
      <c r="C113" s="1">
        <f>MIN(C61:C111)</f>
        <v>66.3</v>
      </c>
      <c r="D113" s="1">
        <f t="shared" ref="D113:F113" si="5">MIN(D61:D111)</f>
        <v>37.479999999999997</v>
      </c>
      <c r="E113" s="1">
        <f t="shared" si="5"/>
        <v>0.80124399999999996</v>
      </c>
      <c r="F113" s="1">
        <f t="shared" si="5"/>
        <v>0.65</v>
      </c>
      <c r="H113" s="1">
        <f t="shared" ref="H113" si="6">MIN(H61:H111)</f>
        <v>15.52</v>
      </c>
    </row>
    <row r="114" spans="1:8">
      <c r="B114" s="1" t="s">
        <v>3</v>
      </c>
      <c r="C114" s="1">
        <f>STDEV(C62:C111)</f>
        <v>6.7998910825609427</v>
      </c>
      <c r="D114" s="1">
        <f t="shared" ref="D114:E114" si="7">STDEV(D62:D111)</f>
        <v>0.36439807790947182</v>
      </c>
      <c r="E114" s="1">
        <f t="shared" si="7"/>
        <v>3.5191404053412804E-2</v>
      </c>
      <c r="F114" s="1">
        <f>STDEV(F62:F111)</f>
        <v>16.132459832428072</v>
      </c>
      <c r="H114" s="1">
        <f>STDEV(H62:H111)</f>
        <v>1.2866854110228567</v>
      </c>
    </row>
    <row r="116" spans="1:8">
      <c r="H116" s="21" t="s">
        <v>1435</v>
      </c>
    </row>
    <row r="117" spans="1:8" ht="18">
      <c r="A117" s="21" t="s">
        <v>7</v>
      </c>
      <c r="B117" s="3" t="s">
        <v>1</v>
      </c>
      <c r="C117" s="21" t="s">
        <v>4</v>
      </c>
      <c r="D117" s="21" t="s">
        <v>322</v>
      </c>
      <c r="E117" s="21" t="s">
        <v>321</v>
      </c>
      <c r="F117" s="21" t="s">
        <v>324</v>
      </c>
      <c r="G117" s="21" t="s">
        <v>323</v>
      </c>
      <c r="H117" s="21" t="s">
        <v>1436</v>
      </c>
    </row>
    <row r="118" spans="1:8">
      <c r="A118" s="1">
        <v>1</v>
      </c>
      <c r="B118" t="s">
        <v>1603</v>
      </c>
      <c r="C118">
        <v>81.14</v>
      </c>
      <c r="D118">
        <v>78.92</v>
      </c>
      <c r="E118">
        <v>0.94274999999999998</v>
      </c>
      <c r="F118">
        <v>39.97</v>
      </c>
      <c r="G118">
        <v>6</v>
      </c>
      <c r="H118">
        <v>17.53</v>
      </c>
    </row>
    <row r="119" spans="1:8">
      <c r="A119" s="1">
        <v>2</v>
      </c>
      <c r="B119" t="s">
        <v>1604</v>
      </c>
      <c r="C119">
        <v>88.07</v>
      </c>
      <c r="D119">
        <v>79.430000000000007</v>
      </c>
      <c r="E119">
        <v>0.99132200000000004</v>
      </c>
      <c r="F119">
        <v>80.099999999999994</v>
      </c>
      <c r="G119">
        <v>4</v>
      </c>
      <c r="H119">
        <v>19.39</v>
      </c>
    </row>
    <row r="120" spans="1:8">
      <c r="A120" s="1">
        <v>3</v>
      </c>
      <c r="B120" t="s">
        <v>1605</v>
      </c>
      <c r="C120">
        <v>91.96</v>
      </c>
      <c r="D120">
        <v>79.62</v>
      </c>
      <c r="E120">
        <v>0.99392000000000003</v>
      </c>
      <c r="F120">
        <v>80.06</v>
      </c>
      <c r="G120">
        <v>16</v>
      </c>
      <c r="H120">
        <v>19.37</v>
      </c>
    </row>
    <row r="121" spans="1:8">
      <c r="A121" s="1">
        <v>4</v>
      </c>
      <c r="B121" t="s">
        <v>1606</v>
      </c>
      <c r="C121">
        <v>77.25</v>
      </c>
      <c r="D121">
        <v>78.72</v>
      </c>
      <c r="E121">
        <v>0.947519</v>
      </c>
      <c r="F121">
        <v>35.67</v>
      </c>
      <c r="G121">
        <v>12</v>
      </c>
      <c r="H121">
        <v>17.48</v>
      </c>
    </row>
    <row r="122" spans="1:8">
      <c r="A122" s="1">
        <v>5</v>
      </c>
      <c r="B122" t="s">
        <v>1607</v>
      </c>
      <c r="C122">
        <v>87.46</v>
      </c>
      <c r="D122">
        <v>79.400000000000006</v>
      </c>
      <c r="E122">
        <v>0.99310699999999996</v>
      </c>
      <c r="F122">
        <v>80.680000000000007</v>
      </c>
      <c r="G122">
        <v>10</v>
      </c>
      <c r="H122">
        <v>19.399999999999999</v>
      </c>
    </row>
    <row r="123" spans="1:8">
      <c r="A123" s="1">
        <v>6</v>
      </c>
      <c r="B123" t="s">
        <v>1608</v>
      </c>
      <c r="C123">
        <v>90.07</v>
      </c>
      <c r="D123">
        <v>79.53</v>
      </c>
      <c r="E123">
        <v>0.99118600000000001</v>
      </c>
      <c r="F123">
        <v>80.41</v>
      </c>
      <c r="G123">
        <v>10</v>
      </c>
      <c r="H123">
        <v>19.38</v>
      </c>
    </row>
    <row r="124" spans="1:8">
      <c r="A124" s="1">
        <v>7</v>
      </c>
      <c r="B124" t="s">
        <v>1609</v>
      </c>
      <c r="C124">
        <v>78.94</v>
      </c>
      <c r="D124">
        <v>78.81</v>
      </c>
      <c r="E124">
        <v>0.94386099999999995</v>
      </c>
      <c r="F124">
        <v>39.090000000000003</v>
      </c>
      <c r="G124">
        <v>16</v>
      </c>
      <c r="H124">
        <v>17.47</v>
      </c>
    </row>
    <row r="125" spans="1:8">
      <c r="A125" s="1">
        <v>8</v>
      </c>
      <c r="B125" t="s">
        <v>1610</v>
      </c>
      <c r="C125">
        <v>84.41</v>
      </c>
      <c r="D125">
        <v>79.25</v>
      </c>
      <c r="E125">
        <v>0.99415699999999996</v>
      </c>
      <c r="F125">
        <v>79.599999999999994</v>
      </c>
      <c r="G125">
        <v>12</v>
      </c>
      <c r="H125">
        <v>19.420000000000002</v>
      </c>
    </row>
    <row r="126" spans="1:8">
      <c r="A126" s="1">
        <v>9</v>
      </c>
      <c r="B126" t="s">
        <v>1611</v>
      </c>
      <c r="C126">
        <v>84.63</v>
      </c>
      <c r="D126">
        <v>79.14</v>
      </c>
      <c r="E126">
        <v>0.95395399999999997</v>
      </c>
      <c r="F126">
        <v>45.24</v>
      </c>
      <c r="G126">
        <v>2</v>
      </c>
      <c r="H126">
        <v>17.440000000000001</v>
      </c>
    </row>
    <row r="127" spans="1:8">
      <c r="A127" s="1">
        <v>10</v>
      </c>
      <c r="B127" t="s">
        <v>1612</v>
      </c>
      <c r="C127">
        <v>90.16</v>
      </c>
      <c r="D127">
        <v>79.48</v>
      </c>
      <c r="E127">
        <v>0.97462000000000004</v>
      </c>
      <c r="F127">
        <v>52.22</v>
      </c>
      <c r="G127">
        <v>12</v>
      </c>
      <c r="H127">
        <v>18.690000000000001</v>
      </c>
    </row>
    <row r="128" spans="1:8">
      <c r="A128" s="1">
        <v>11</v>
      </c>
      <c r="B128" t="s">
        <v>1613</v>
      </c>
      <c r="C128">
        <v>88.51</v>
      </c>
      <c r="D128">
        <v>79.459999999999994</v>
      </c>
      <c r="E128">
        <v>0.99374700000000005</v>
      </c>
      <c r="F128">
        <v>79.91</v>
      </c>
      <c r="G128">
        <v>2</v>
      </c>
      <c r="H128">
        <v>19.39</v>
      </c>
    </row>
    <row r="129" spans="1:8">
      <c r="A129" s="1">
        <v>12</v>
      </c>
      <c r="B129" t="s">
        <v>1614</v>
      </c>
      <c r="C129">
        <v>93.86</v>
      </c>
      <c r="D129">
        <v>79.72</v>
      </c>
      <c r="E129">
        <v>0.99560099999999996</v>
      </c>
      <c r="F129">
        <v>80.83</v>
      </c>
      <c r="G129">
        <v>18</v>
      </c>
      <c r="H129">
        <v>19.350000000000001</v>
      </c>
    </row>
    <row r="130" spans="1:8">
      <c r="A130" s="1">
        <v>13</v>
      </c>
      <c r="B130" t="s">
        <v>1615</v>
      </c>
      <c r="C130">
        <v>81.44</v>
      </c>
      <c r="D130">
        <v>78.92</v>
      </c>
      <c r="E130">
        <v>0.94027400000000005</v>
      </c>
      <c r="F130">
        <v>42.36</v>
      </c>
      <c r="G130">
        <v>0</v>
      </c>
      <c r="H130">
        <v>17.45</v>
      </c>
    </row>
    <row r="131" spans="1:8">
      <c r="A131" s="1">
        <v>14</v>
      </c>
      <c r="B131" t="s">
        <v>1616</v>
      </c>
      <c r="C131">
        <v>90.95</v>
      </c>
      <c r="D131">
        <v>79.569999999999993</v>
      </c>
      <c r="E131">
        <v>0.99257300000000004</v>
      </c>
      <c r="F131">
        <v>80.180000000000007</v>
      </c>
      <c r="G131">
        <v>0</v>
      </c>
      <c r="H131">
        <v>19.37</v>
      </c>
    </row>
    <row r="132" spans="1:8">
      <c r="A132" s="1">
        <v>15</v>
      </c>
      <c r="B132" t="s">
        <v>1617</v>
      </c>
      <c r="C132">
        <v>88.22</v>
      </c>
      <c r="D132">
        <v>79.44</v>
      </c>
      <c r="E132">
        <v>0.991676</v>
      </c>
      <c r="F132">
        <v>80.260000000000005</v>
      </c>
      <c r="G132">
        <v>6</v>
      </c>
      <c r="H132">
        <v>19.39</v>
      </c>
    </row>
    <row r="133" spans="1:8">
      <c r="A133" s="1">
        <v>16</v>
      </c>
      <c r="B133" t="s">
        <v>1618</v>
      </c>
      <c r="C133">
        <v>71.19</v>
      </c>
      <c r="D133">
        <v>78.37</v>
      </c>
      <c r="E133">
        <v>0.93850800000000001</v>
      </c>
      <c r="F133">
        <v>47.04</v>
      </c>
      <c r="G133">
        <v>8</v>
      </c>
      <c r="H133">
        <v>15.74</v>
      </c>
    </row>
    <row r="134" spans="1:8">
      <c r="A134" s="1">
        <v>17</v>
      </c>
      <c r="B134" t="s">
        <v>1619</v>
      </c>
      <c r="C134">
        <v>75.12</v>
      </c>
      <c r="D134">
        <v>78.52</v>
      </c>
      <c r="E134">
        <v>0.91174299999999997</v>
      </c>
      <c r="F134">
        <v>43.47</v>
      </c>
      <c r="G134">
        <v>14</v>
      </c>
      <c r="H134">
        <v>15.61</v>
      </c>
    </row>
    <row r="135" spans="1:8">
      <c r="A135" s="1">
        <v>18</v>
      </c>
      <c r="B135" t="s">
        <v>1620</v>
      </c>
      <c r="C135">
        <v>90.31</v>
      </c>
      <c r="D135">
        <v>79.540000000000006</v>
      </c>
      <c r="E135">
        <v>0.99133599999999999</v>
      </c>
      <c r="F135">
        <v>79.87</v>
      </c>
      <c r="G135">
        <v>16</v>
      </c>
      <c r="H135">
        <v>19.38</v>
      </c>
    </row>
    <row r="136" spans="1:8">
      <c r="A136" s="1">
        <v>19</v>
      </c>
      <c r="B136" t="s">
        <v>1621</v>
      </c>
      <c r="C136">
        <v>82.61</v>
      </c>
      <c r="D136">
        <v>79.02</v>
      </c>
      <c r="E136">
        <v>0.94684900000000005</v>
      </c>
      <c r="F136">
        <v>46.27</v>
      </c>
      <c r="G136">
        <v>8</v>
      </c>
      <c r="H136">
        <v>17.54</v>
      </c>
    </row>
    <row r="137" spans="1:8">
      <c r="A137" s="1">
        <v>20</v>
      </c>
      <c r="B137" t="s">
        <v>1622</v>
      </c>
      <c r="C137">
        <v>86.97</v>
      </c>
      <c r="D137">
        <v>79.319999999999993</v>
      </c>
      <c r="E137">
        <v>0.97114500000000004</v>
      </c>
      <c r="F137">
        <v>52.42</v>
      </c>
      <c r="G137">
        <v>14</v>
      </c>
      <c r="H137">
        <v>17.850000000000001</v>
      </c>
    </row>
    <row r="138" spans="1:8">
      <c r="A138" s="1">
        <v>21</v>
      </c>
      <c r="B138" t="s">
        <v>1623</v>
      </c>
      <c r="C138">
        <v>77.03</v>
      </c>
      <c r="D138">
        <v>78.599999999999994</v>
      </c>
      <c r="E138">
        <v>0.90577099999999999</v>
      </c>
      <c r="F138">
        <v>36.56</v>
      </c>
      <c r="G138">
        <v>18</v>
      </c>
      <c r="H138">
        <v>15.69</v>
      </c>
    </row>
    <row r="139" spans="1:8">
      <c r="A139" s="1">
        <v>22</v>
      </c>
      <c r="B139" t="s">
        <v>1624</v>
      </c>
      <c r="C139">
        <v>85.81</v>
      </c>
      <c r="D139">
        <v>79.209999999999994</v>
      </c>
      <c r="E139">
        <v>0.95567400000000002</v>
      </c>
      <c r="F139">
        <v>48.88</v>
      </c>
      <c r="G139">
        <v>6</v>
      </c>
      <c r="H139">
        <v>17.52</v>
      </c>
    </row>
    <row r="140" spans="1:8">
      <c r="A140" s="1">
        <v>23</v>
      </c>
      <c r="B140" t="s">
        <v>1625</v>
      </c>
      <c r="C140">
        <v>71.930000000000007</v>
      </c>
      <c r="D140">
        <v>78.09</v>
      </c>
      <c r="E140">
        <v>0.87356500000000004</v>
      </c>
      <c r="F140">
        <v>23.46</v>
      </c>
      <c r="G140">
        <v>2</v>
      </c>
      <c r="H140">
        <v>15.64</v>
      </c>
    </row>
    <row r="141" spans="1:8">
      <c r="A141" s="1">
        <v>24</v>
      </c>
      <c r="B141" t="s">
        <v>1626</v>
      </c>
      <c r="C141">
        <v>90.47</v>
      </c>
      <c r="D141">
        <v>79.55</v>
      </c>
      <c r="E141">
        <v>0.99112599999999995</v>
      </c>
      <c r="F141">
        <v>80.41</v>
      </c>
      <c r="G141">
        <v>0</v>
      </c>
      <c r="H141">
        <v>19.38</v>
      </c>
    </row>
    <row r="142" spans="1:8">
      <c r="A142" s="1">
        <v>25</v>
      </c>
      <c r="B142" t="s">
        <v>1627</v>
      </c>
      <c r="C142">
        <v>89.27</v>
      </c>
      <c r="D142">
        <v>79.489999999999995</v>
      </c>
      <c r="E142">
        <v>0.99262600000000001</v>
      </c>
      <c r="F142">
        <v>80.180000000000007</v>
      </c>
      <c r="G142">
        <v>18</v>
      </c>
      <c r="H142">
        <v>19.38</v>
      </c>
    </row>
    <row r="143" spans="1:8">
      <c r="A143" s="1">
        <v>26</v>
      </c>
      <c r="B143" t="s">
        <v>1628</v>
      </c>
      <c r="C143">
        <v>87.46</v>
      </c>
      <c r="D143">
        <v>79.400000000000006</v>
      </c>
      <c r="E143">
        <v>0.99258599999999997</v>
      </c>
      <c r="F143">
        <v>80.14</v>
      </c>
      <c r="G143">
        <v>16</v>
      </c>
      <c r="H143">
        <v>19.399999999999999</v>
      </c>
    </row>
    <row r="144" spans="1:8">
      <c r="A144" s="1">
        <v>27</v>
      </c>
      <c r="B144" t="s">
        <v>1629</v>
      </c>
      <c r="C144">
        <v>78.17</v>
      </c>
      <c r="D144">
        <v>78.77</v>
      </c>
      <c r="E144">
        <v>0.94153200000000004</v>
      </c>
      <c r="F144">
        <v>44.89</v>
      </c>
      <c r="G144">
        <v>10</v>
      </c>
      <c r="H144">
        <v>16.84</v>
      </c>
    </row>
    <row r="145" spans="1:8">
      <c r="A145" s="1">
        <v>28</v>
      </c>
      <c r="B145" t="s">
        <v>1630</v>
      </c>
      <c r="C145">
        <v>83.46</v>
      </c>
      <c r="D145">
        <v>79.09</v>
      </c>
      <c r="E145">
        <v>0.95371099999999998</v>
      </c>
      <c r="F145">
        <v>49.57</v>
      </c>
      <c r="G145">
        <v>4</v>
      </c>
      <c r="H145">
        <v>17.55</v>
      </c>
    </row>
    <row r="146" spans="1:8">
      <c r="A146" s="1">
        <v>29</v>
      </c>
      <c r="B146" t="s">
        <v>1631</v>
      </c>
      <c r="C146">
        <v>88.69</v>
      </c>
      <c r="D146">
        <v>79.400000000000006</v>
      </c>
      <c r="E146">
        <v>0.97385900000000003</v>
      </c>
      <c r="F146">
        <v>49.15</v>
      </c>
      <c r="G146">
        <v>4</v>
      </c>
      <c r="H146">
        <v>18.600000000000001</v>
      </c>
    </row>
    <row r="147" spans="1:8">
      <c r="A147" s="1">
        <v>30</v>
      </c>
      <c r="B147" t="s">
        <v>1632</v>
      </c>
      <c r="C147">
        <v>85.79</v>
      </c>
      <c r="D147">
        <v>79.3</v>
      </c>
      <c r="E147">
        <v>0.98624599999999996</v>
      </c>
      <c r="F147">
        <v>63.78</v>
      </c>
      <c r="G147">
        <v>4</v>
      </c>
      <c r="H147">
        <v>18.829999999999998</v>
      </c>
    </row>
    <row r="148" spans="1:8">
      <c r="A148" s="1">
        <v>31</v>
      </c>
      <c r="B148" t="s">
        <v>1633</v>
      </c>
      <c r="C148">
        <v>89.27</v>
      </c>
      <c r="D148">
        <v>79.5</v>
      </c>
      <c r="E148">
        <v>0.99490500000000004</v>
      </c>
      <c r="F148">
        <v>80.56</v>
      </c>
      <c r="G148">
        <v>12</v>
      </c>
      <c r="H148">
        <v>19.39</v>
      </c>
    </row>
    <row r="149" spans="1:8">
      <c r="A149" s="1">
        <v>32</v>
      </c>
      <c r="B149" t="s">
        <v>1634</v>
      </c>
      <c r="C149">
        <v>93.17</v>
      </c>
      <c r="D149">
        <v>79.67</v>
      </c>
      <c r="E149">
        <v>0.99165800000000004</v>
      </c>
      <c r="F149">
        <v>80.56</v>
      </c>
      <c r="G149">
        <v>14</v>
      </c>
      <c r="H149">
        <v>19.36</v>
      </c>
    </row>
    <row r="150" spans="1:8">
      <c r="A150" s="1">
        <v>33</v>
      </c>
      <c r="B150" t="s">
        <v>1635</v>
      </c>
      <c r="C150">
        <v>80.790000000000006</v>
      </c>
      <c r="D150">
        <v>78.94</v>
      </c>
      <c r="E150">
        <v>0.95116100000000003</v>
      </c>
      <c r="F150">
        <v>46.89</v>
      </c>
      <c r="G150">
        <v>16</v>
      </c>
      <c r="H150">
        <v>17.45</v>
      </c>
    </row>
    <row r="151" spans="1:8">
      <c r="A151" s="1">
        <v>34</v>
      </c>
      <c r="B151" t="s">
        <v>1636</v>
      </c>
      <c r="C151">
        <v>80.849999999999994</v>
      </c>
      <c r="D151">
        <v>77.73</v>
      </c>
      <c r="E151">
        <v>0.89298500000000003</v>
      </c>
      <c r="F151">
        <v>1.5</v>
      </c>
      <c r="G151">
        <v>16</v>
      </c>
      <c r="H151">
        <v>16.57</v>
      </c>
    </row>
    <row r="152" spans="1:8">
      <c r="A152" s="1">
        <v>35</v>
      </c>
      <c r="B152" t="s">
        <v>1637</v>
      </c>
      <c r="C152">
        <v>92.13</v>
      </c>
      <c r="D152">
        <v>79.63</v>
      </c>
      <c r="E152">
        <v>0.991784</v>
      </c>
      <c r="F152">
        <v>80.180000000000007</v>
      </c>
      <c r="G152">
        <v>6</v>
      </c>
      <c r="H152">
        <v>19.37</v>
      </c>
    </row>
    <row r="153" spans="1:8">
      <c r="A153" s="1">
        <v>36</v>
      </c>
      <c r="B153" t="s">
        <v>1638</v>
      </c>
      <c r="C153">
        <v>77.66</v>
      </c>
      <c r="D153">
        <v>78.78</v>
      </c>
      <c r="E153">
        <v>0.95475200000000005</v>
      </c>
      <c r="F153">
        <v>47.08</v>
      </c>
      <c r="G153">
        <v>4</v>
      </c>
      <c r="H153">
        <v>17.55</v>
      </c>
    </row>
    <row r="154" spans="1:8">
      <c r="A154" s="1">
        <v>37</v>
      </c>
      <c r="B154" t="s">
        <v>1639</v>
      </c>
      <c r="C154">
        <v>73.84</v>
      </c>
      <c r="D154">
        <v>78.52</v>
      </c>
      <c r="E154">
        <v>0.93508400000000003</v>
      </c>
      <c r="F154">
        <v>49.92</v>
      </c>
      <c r="G154">
        <v>8</v>
      </c>
      <c r="H154">
        <v>16.09</v>
      </c>
    </row>
    <row r="155" spans="1:8">
      <c r="A155" s="1">
        <v>38</v>
      </c>
      <c r="B155" t="s">
        <v>1640</v>
      </c>
      <c r="C155">
        <v>87.06</v>
      </c>
      <c r="D155">
        <v>79.38</v>
      </c>
      <c r="E155">
        <v>0.99052099999999998</v>
      </c>
      <c r="F155">
        <v>79.53</v>
      </c>
      <c r="G155">
        <v>0</v>
      </c>
      <c r="H155">
        <v>19.399999999999999</v>
      </c>
    </row>
    <row r="156" spans="1:8">
      <c r="A156" s="1">
        <v>39</v>
      </c>
      <c r="B156" t="s">
        <v>1641</v>
      </c>
      <c r="C156">
        <v>87.6</v>
      </c>
      <c r="D156">
        <v>79.41</v>
      </c>
      <c r="E156">
        <v>0.99304400000000004</v>
      </c>
      <c r="F156">
        <v>80.260000000000005</v>
      </c>
      <c r="G156">
        <v>10</v>
      </c>
      <c r="H156">
        <v>19.399999999999999</v>
      </c>
    </row>
    <row r="157" spans="1:8">
      <c r="A157" s="1">
        <v>40</v>
      </c>
      <c r="B157" t="s">
        <v>1642</v>
      </c>
      <c r="C157">
        <v>87.42</v>
      </c>
      <c r="D157">
        <v>79.400000000000006</v>
      </c>
      <c r="E157">
        <v>0.993205</v>
      </c>
      <c r="F157">
        <v>80.489999999999995</v>
      </c>
      <c r="G157">
        <v>4</v>
      </c>
      <c r="H157">
        <v>19.399999999999999</v>
      </c>
    </row>
    <row r="158" spans="1:8">
      <c r="A158" s="1">
        <v>41</v>
      </c>
      <c r="B158" t="s">
        <v>1643</v>
      </c>
      <c r="C158">
        <v>83.37</v>
      </c>
      <c r="D158">
        <v>79.16</v>
      </c>
      <c r="E158">
        <v>0.98184199999999999</v>
      </c>
      <c r="F158">
        <v>54.72</v>
      </c>
      <c r="G158">
        <v>4</v>
      </c>
      <c r="H158">
        <v>18.8</v>
      </c>
    </row>
    <row r="159" spans="1:8">
      <c r="A159" s="1">
        <v>42</v>
      </c>
      <c r="B159" t="s">
        <v>1644</v>
      </c>
      <c r="C159">
        <v>78.19</v>
      </c>
      <c r="D159">
        <v>78.819999999999993</v>
      </c>
      <c r="E159">
        <v>0.95686800000000005</v>
      </c>
      <c r="F159">
        <v>47.42</v>
      </c>
      <c r="G159">
        <v>2</v>
      </c>
      <c r="H159">
        <v>17.61</v>
      </c>
    </row>
    <row r="160" spans="1:8">
      <c r="A160" s="1">
        <v>43</v>
      </c>
      <c r="B160" t="s">
        <v>1645</v>
      </c>
      <c r="C160">
        <v>82.47</v>
      </c>
      <c r="D160">
        <v>79</v>
      </c>
      <c r="E160">
        <v>0.94377699999999998</v>
      </c>
      <c r="F160">
        <v>44.97</v>
      </c>
      <c r="G160">
        <v>0</v>
      </c>
      <c r="H160">
        <v>17.55</v>
      </c>
    </row>
    <row r="161" spans="1:8">
      <c r="A161" s="1">
        <v>44</v>
      </c>
      <c r="B161" t="s">
        <v>1646</v>
      </c>
      <c r="C161">
        <v>85.87</v>
      </c>
      <c r="D161">
        <v>79.31</v>
      </c>
      <c r="E161">
        <v>0.98822600000000005</v>
      </c>
      <c r="F161">
        <v>67.16</v>
      </c>
      <c r="G161">
        <v>8</v>
      </c>
      <c r="H161">
        <v>19.09</v>
      </c>
    </row>
    <row r="162" spans="1:8">
      <c r="A162" s="1">
        <v>45</v>
      </c>
      <c r="B162" t="s">
        <v>1647</v>
      </c>
      <c r="C162">
        <v>84.99</v>
      </c>
      <c r="D162">
        <v>79.09</v>
      </c>
      <c r="E162">
        <v>0.93662800000000002</v>
      </c>
      <c r="F162">
        <v>36.21</v>
      </c>
      <c r="G162">
        <v>2</v>
      </c>
      <c r="H162">
        <v>17.43</v>
      </c>
    </row>
    <row r="163" spans="1:8">
      <c r="A163" s="1">
        <v>46</v>
      </c>
      <c r="B163" t="s">
        <v>1648</v>
      </c>
      <c r="C163">
        <v>83.98</v>
      </c>
      <c r="D163">
        <v>79.11</v>
      </c>
      <c r="E163">
        <v>0.95194800000000002</v>
      </c>
      <c r="F163">
        <v>49.42</v>
      </c>
      <c r="G163">
        <v>10</v>
      </c>
      <c r="H163">
        <v>17.54</v>
      </c>
    </row>
    <row r="164" spans="1:8">
      <c r="A164" s="1">
        <v>47</v>
      </c>
      <c r="B164" t="s">
        <v>1649</v>
      </c>
      <c r="C164">
        <v>89.63</v>
      </c>
      <c r="D164">
        <v>79.510000000000005</v>
      </c>
      <c r="E164">
        <v>0.99238999999999999</v>
      </c>
      <c r="F164">
        <v>80.95</v>
      </c>
      <c r="G164">
        <v>16</v>
      </c>
      <c r="H164">
        <v>19.39</v>
      </c>
    </row>
    <row r="165" spans="1:8">
      <c r="A165" s="1">
        <v>48</v>
      </c>
      <c r="B165" t="s">
        <v>1650</v>
      </c>
      <c r="C165">
        <v>81.39</v>
      </c>
      <c r="D165">
        <v>78.989999999999995</v>
      </c>
      <c r="E165">
        <v>0.95846500000000001</v>
      </c>
      <c r="F165">
        <v>49.54</v>
      </c>
      <c r="G165">
        <v>14</v>
      </c>
      <c r="H165">
        <v>17.54</v>
      </c>
    </row>
    <row r="166" spans="1:8">
      <c r="A166" s="1">
        <v>49</v>
      </c>
      <c r="B166" t="s">
        <v>1651</v>
      </c>
      <c r="C166">
        <v>75.36</v>
      </c>
      <c r="D166">
        <v>77.56</v>
      </c>
      <c r="E166">
        <v>0.89897400000000005</v>
      </c>
      <c r="F166">
        <v>1.88</v>
      </c>
      <c r="G166">
        <v>16</v>
      </c>
      <c r="H166">
        <v>17.45</v>
      </c>
    </row>
    <row r="167" spans="1:8">
      <c r="A167" s="1">
        <v>50</v>
      </c>
      <c r="B167" t="s">
        <v>1652</v>
      </c>
      <c r="C167">
        <v>91.91</v>
      </c>
      <c r="D167">
        <v>79.62</v>
      </c>
      <c r="E167">
        <v>0.99296600000000002</v>
      </c>
      <c r="F167">
        <v>80.52</v>
      </c>
      <c r="G167">
        <v>16</v>
      </c>
      <c r="H167">
        <v>19.37</v>
      </c>
    </row>
    <row r="168" spans="1:8">
      <c r="B168" s="1" t="s">
        <v>19</v>
      </c>
      <c r="C168" s="1">
        <f>AVERAGE(C118:C167)</f>
        <v>84.565999999999988</v>
      </c>
      <c r="D168" s="1">
        <f t="shared" ref="D168:F168" si="8">AVERAGE(D118:D167)</f>
        <v>79.124200000000016</v>
      </c>
      <c r="E168" s="1">
        <f t="shared" si="8"/>
        <v>0.96515454000000023</v>
      </c>
      <c r="F168" s="1">
        <f t="shared" si="8"/>
        <v>58.848600000000005</v>
      </c>
      <c r="H168" s="1">
        <f t="shared" ref="H168" si="9">AVERAGE(H118:H167)</f>
        <v>18.224399999999996</v>
      </c>
    </row>
    <row r="169" spans="1:8">
      <c r="B169" s="1" t="s">
        <v>20</v>
      </c>
      <c r="C169" s="1">
        <f>MIN(C117:C167)</f>
        <v>71.19</v>
      </c>
      <c r="D169" s="1">
        <f>MIN(D117:D167)</f>
        <v>77.56</v>
      </c>
      <c r="E169" s="1">
        <f>MIN(E117:E167)</f>
        <v>0.87356500000000004</v>
      </c>
      <c r="F169" s="1">
        <f>MIN(F117:F167)</f>
        <v>1.5</v>
      </c>
      <c r="H169" s="1">
        <f>MIN(H117:H167)</f>
        <v>15.61</v>
      </c>
    </row>
    <row r="170" spans="1:8">
      <c r="B170" s="1" t="s">
        <v>3</v>
      </c>
      <c r="C170" s="1">
        <f>STDEV(C118:C167)</f>
        <v>5.7945748730330227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1" t="s">
        <v>1435</v>
      </c>
    </row>
    <row r="173" spans="1:8" ht="18">
      <c r="A173" s="21" t="s">
        <v>7</v>
      </c>
      <c r="B173" s="3" t="s">
        <v>9</v>
      </c>
      <c r="C173" s="21" t="s">
        <v>4</v>
      </c>
      <c r="D173" s="21" t="s">
        <v>322</v>
      </c>
      <c r="E173" s="21" t="s">
        <v>321</v>
      </c>
      <c r="F173" s="21" t="s">
        <v>324</v>
      </c>
      <c r="G173" s="21" t="s">
        <v>323</v>
      </c>
      <c r="H173" s="21" t="s">
        <v>1436</v>
      </c>
    </row>
    <row r="174" spans="1:8">
      <c r="A174" s="1">
        <v>1</v>
      </c>
      <c r="B174" t="s">
        <v>1653</v>
      </c>
      <c r="C174">
        <v>81.239999999999995</v>
      </c>
      <c r="D174">
        <v>157.94</v>
      </c>
      <c r="E174">
        <v>0.95291899999999996</v>
      </c>
      <c r="F174">
        <v>46.58</v>
      </c>
      <c r="G174">
        <v>8</v>
      </c>
      <c r="H174">
        <v>17.54</v>
      </c>
    </row>
    <row r="175" spans="1:8">
      <c r="A175" s="1">
        <v>2</v>
      </c>
      <c r="B175" t="s">
        <v>1654</v>
      </c>
      <c r="C175">
        <v>71.37</v>
      </c>
      <c r="D175">
        <v>156.43</v>
      </c>
      <c r="E175">
        <v>0.89815800000000001</v>
      </c>
      <c r="F175">
        <v>28.65</v>
      </c>
      <c r="G175">
        <v>28</v>
      </c>
      <c r="H175">
        <v>15.59</v>
      </c>
    </row>
    <row r="176" spans="1:8">
      <c r="A176" s="1">
        <v>3</v>
      </c>
      <c r="B176" t="s">
        <v>1655</v>
      </c>
      <c r="C176">
        <v>73.97</v>
      </c>
      <c r="D176">
        <v>157.03</v>
      </c>
      <c r="E176">
        <v>0.93537300000000001</v>
      </c>
      <c r="F176">
        <v>40.17</v>
      </c>
      <c r="G176">
        <v>20</v>
      </c>
      <c r="H176">
        <v>16.28</v>
      </c>
    </row>
    <row r="177" spans="1:8">
      <c r="A177" s="1">
        <v>4</v>
      </c>
      <c r="B177" t="s">
        <v>1656</v>
      </c>
      <c r="C177">
        <v>72.77</v>
      </c>
      <c r="D177">
        <v>156.81</v>
      </c>
      <c r="E177">
        <v>0.92088700000000001</v>
      </c>
      <c r="F177">
        <v>38.479999999999997</v>
      </c>
      <c r="G177">
        <v>10</v>
      </c>
      <c r="H177">
        <v>15.83</v>
      </c>
    </row>
    <row r="178" spans="1:8">
      <c r="A178" s="1">
        <v>5</v>
      </c>
      <c r="B178" t="s">
        <v>1657</v>
      </c>
      <c r="C178">
        <v>69.56</v>
      </c>
      <c r="D178">
        <v>156.16</v>
      </c>
      <c r="E178">
        <v>0.88469799999999998</v>
      </c>
      <c r="F178">
        <v>25.46</v>
      </c>
      <c r="G178">
        <v>22</v>
      </c>
      <c r="H178">
        <v>14.99</v>
      </c>
    </row>
    <row r="179" spans="1:8">
      <c r="A179" s="1">
        <v>6</v>
      </c>
      <c r="B179" t="s">
        <v>1658</v>
      </c>
      <c r="C179">
        <v>81.48</v>
      </c>
      <c r="D179">
        <v>157.93</v>
      </c>
      <c r="E179">
        <v>0.94839600000000002</v>
      </c>
      <c r="F179">
        <v>44.16</v>
      </c>
      <c r="G179">
        <v>0</v>
      </c>
      <c r="H179">
        <v>17.53</v>
      </c>
    </row>
    <row r="180" spans="1:8">
      <c r="A180" s="1">
        <v>7</v>
      </c>
      <c r="B180" t="s">
        <v>1659</v>
      </c>
      <c r="C180">
        <v>77.180000000000007</v>
      </c>
      <c r="D180">
        <v>157.41</v>
      </c>
      <c r="E180">
        <v>0.93609699999999996</v>
      </c>
      <c r="F180">
        <v>45.66</v>
      </c>
      <c r="G180">
        <v>26</v>
      </c>
      <c r="H180">
        <v>16.63</v>
      </c>
    </row>
    <row r="181" spans="1:8">
      <c r="A181" s="1">
        <v>8</v>
      </c>
      <c r="B181" t="s">
        <v>1660</v>
      </c>
      <c r="C181">
        <v>72.87</v>
      </c>
      <c r="D181">
        <v>156.77000000000001</v>
      </c>
      <c r="E181">
        <v>0.91077699999999995</v>
      </c>
      <c r="F181">
        <v>41.01</v>
      </c>
      <c r="G181">
        <v>22</v>
      </c>
      <c r="H181">
        <v>15.46</v>
      </c>
    </row>
    <row r="182" spans="1:8">
      <c r="A182" s="1">
        <v>9</v>
      </c>
      <c r="B182" t="s">
        <v>1661</v>
      </c>
      <c r="C182">
        <v>70.58</v>
      </c>
      <c r="D182">
        <v>154.99</v>
      </c>
      <c r="E182">
        <v>0.86299199999999998</v>
      </c>
      <c r="F182">
        <v>0.84</v>
      </c>
      <c r="G182">
        <v>36</v>
      </c>
      <c r="H182">
        <v>15.02</v>
      </c>
    </row>
    <row r="183" spans="1:8">
      <c r="A183" s="1">
        <v>10</v>
      </c>
      <c r="B183" t="s">
        <v>1662</v>
      </c>
      <c r="C183">
        <v>82.06</v>
      </c>
      <c r="D183">
        <v>158.02000000000001</v>
      </c>
      <c r="E183">
        <v>0.955094</v>
      </c>
      <c r="F183">
        <v>38.090000000000003</v>
      </c>
      <c r="G183">
        <v>18</v>
      </c>
      <c r="H183">
        <v>17.71</v>
      </c>
    </row>
    <row r="184" spans="1:8">
      <c r="A184" s="1">
        <v>11</v>
      </c>
      <c r="B184" t="s">
        <v>1663</v>
      </c>
      <c r="C184">
        <v>78.61</v>
      </c>
      <c r="D184">
        <v>156.18</v>
      </c>
      <c r="E184">
        <v>0.892845</v>
      </c>
      <c r="F184">
        <v>1.31</v>
      </c>
      <c r="G184">
        <v>18</v>
      </c>
      <c r="H184">
        <v>16.5</v>
      </c>
    </row>
    <row r="185" spans="1:8">
      <c r="A185" s="1">
        <v>12</v>
      </c>
      <c r="B185" t="s">
        <v>1664</v>
      </c>
      <c r="C185">
        <v>70.7</v>
      </c>
      <c r="D185">
        <v>156.41999999999999</v>
      </c>
      <c r="E185">
        <v>0.89915800000000001</v>
      </c>
      <c r="F185">
        <v>33.6</v>
      </c>
      <c r="G185">
        <v>30</v>
      </c>
      <c r="H185">
        <v>15.63</v>
      </c>
    </row>
    <row r="186" spans="1:8">
      <c r="A186" s="1">
        <v>13</v>
      </c>
      <c r="B186" t="s">
        <v>1665</v>
      </c>
      <c r="C186">
        <v>81.96</v>
      </c>
      <c r="D186">
        <v>157.02000000000001</v>
      </c>
      <c r="E186">
        <v>0.92654499999999995</v>
      </c>
      <c r="F186">
        <v>2.5299999999999998</v>
      </c>
      <c r="G186">
        <v>4</v>
      </c>
      <c r="H186">
        <v>17.59</v>
      </c>
    </row>
    <row r="187" spans="1:8">
      <c r="A187" s="1">
        <v>14</v>
      </c>
      <c r="B187" t="s">
        <v>1666</v>
      </c>
      <c r="C187">
        <v>66.36</v>
      </c>
      <c r="D187">
        <v>155.76</v>
      </c>
      <c r="E187">
        <v>0.88914599999999999</v>
      </c>
      <c r="F187">
        <v>25.34</v>
      </c>
      <c r="G187">
        <v>30</v>
      </c>
      <c r="H187">
        <v>14.46</v>
      </c>
    </row>
    <row r="188" spans="1:8">
      <c r="A188" s="1">
        <v>15</v>
      </c>
      <c r="B188" t="s">
        <v>1667</v>
      </c>
      <c r="C188">
        <v>73.400000000000006</v>
      </c>
      <c r="D188">
        <v>155.47</v>
      </c>
      <c r="E188">
        <v>0.89567600000000003</v>
      </c>
      <c r="F188">
        <v>0.77</v>
      </c>
      <c r="G188">
        <v>34</v>
      </c>
      <c r="H188">
        <v>15.52</v>
      </c>
    </row>
    <row r="189" spans="1:8">
      <c r="A189" s="1">
        <v>16</v>
      </c>
      <c r="B189" t="s">
        <v>1668</v>
      </c>
      <c r="C189">
        <v>83.81</v>
      </c>
      <c r="D189">
        <v>157.41</v>
      </c>
      <c r="E189">
        <v>0.94572800000000001</v>
      </c>
      <c r="F189">
        <v>3.15</v>
      </c>
      <c r="G189">
        <v>18</v>
      </c>
      <c r="H189">
        <v>18.420000000000002</v>
      </c>
    </row>
    <row r="190" spans="1:8">
      <c r="A190" s="1">
        <v>17</v>
      </c>
      <c r="B190" t="s">
        <v>1669</v>
      </c>
      <c r="C190">
        <v>73.569999999999993</v>
      </c>
      <c r="D190">
        <v>156.87</v>
      </c>
      <c r="E190">
        <v>0.92446200000000001</v>
      </c>
      <c r="F190">
        <v>26.69</v>
      </c>
      <c r="G190">
        <v>30</v>
      </c>
      <c r="H190">
        <v>15.85</v>
      </c>
    </row>
    <row r="191" spans="1:8">
      <c r="A191" s="1">
        <v>18</v>
      </c>
      <c r="B191" t="s">
        <v>1670</v>
      </c>
      <c r="C191">
        <v>74</v>
      </c>
      <c r="D191">
        <v>157.06</v>
      </c>
      <c r="E191">
        <v>0.94017600000000001</v>
      </c>
      <c r="F191">
        <v>44.66</v>
      </c>
      <c r="G191">
        <v>10</v>
      </c>
      <c r="H191">
        <v>16.66</v>
      </c>
    </row>
    <row r="192" spans="1:8">
      <c r="A192" s="1">
        <v>19</v>
      </c>
      <c r="B192" t="s">
        <v>1671</v>
      </c>
      <c r="C192">
        <v>75.400000000000006</v>
      </c>
      <c r="D192">
        <v>155.84</v>
      </c>
      <c r="E192">
        <v>0.89374699999999996</v>
      </c>
      <c r="F192">
        <v>1.46</v>
      </c>
      <c r="G192">
        <v>20</v>
      </c>
      <c r="H192">
        <v>16.440000000000001</v>
      </c>
    </row>
    <row r="193" spans="1:8">
      <c r="A193" s="1">
        <v>20</v>
      </c>
      <c r="B193" t="s">
        <v>1672</v>
      </c>
      <c r="C193">
        <v>83.19</v>
      </c>
      <c r="D193">
        <v>158.03</v>
      </c>
      <c r="E193">
        <v>0.93931699999999996</v>
      </c>
      <c r="F193">
        <v>36.1</v>
      </c>
      <c r="G193">
        <v>24</v>
      </c>
      <c r="H193">
        <v>17.48</v>
      </c>
    </row>
    <row r="194" spans="1:8">
      <c r="A194" s="1">
        <v>21</v>
      </c>
      <c r="B194" t="s">
        <v>1673</v>
      </c>
      <c r="C194">
        <v>83.51</v>
      </c>
      <c r="D194">
        <v>158.30000000000001</v>
      </c>
      <c r="E194">
        <v>0.97453500000000004</v>
      </c>
      <c r="F194">
        <v>50.07</v>
      </c>
      <c r="G194">
        <v>6</v>
      </c>
      <c r="H194">
        <v>18.48</v>
      </c>
    </row>
    <row r="195" spans="1:8">
      <c r="A195" s="1">
        <v>22</v>
      </c>
      <c r="B195" t="s">
        <v>1674</v>
      </c>
      <c r="C195">
        <v>79.48</v>
      </c>
      <c r="D195">
        <v>157.74</v>
      </c>
      <c r="E195">
        <v>0.95496099999999995</v>
      </c>
      <c r="F195">
        <v>41.24</v>
      </c>
      <c r="G195">
        <v>10</v>
      </c>
      <c r="H195">
        <v>17.510000000000002</v>
      </c>
    </row>
    <row r="196" spans="1:8">
      <c r="A196" s="1">
        <v>23</v>
      </c>
      <c r="B196" t="s">
        <v>1675</v>
      </c>
      <c r="C196">
        <v>75.42</v>
      </c>
      <c r="D196">
        <v>157.15</v>
      </c>
      <c r="E196">
        <v>0.92753699999999994</v>
      </c>
      <c r="F196">
        <v>36.36</v>
      </c>
      <c r="G196">
        <v>24</v>
      </c>
      <c r="H196">
        <v>16.239999999999998</v>
      </c>
    </row>
    <row r="197" spans="1:8">
      <c r="A197" s="1">
        <v>24</v>
      </c>
      <c r="B197" t="s">
        <v>1676</v>
      </c>
      <c r="C197">
        <v>79.87</v>
      </c>
      <c r="D197">
        <v>157.80000000000001</v>
      </c>
      <c r="E197">
        <v>0.95457899999999996</v>
      </c>
      <c r="F197">
        <v>45.73</v>
      </c>
      <c r="G197">
        <v>34</v>
      </c>
      <c r="H197">
        <v>17.190000000000001</v>
      </c>
    </row>
    <row r="198" spans="1:8">
      <c r="A198" s="1">
        <v>25</v>
      </c>
      <c r="B198" t="s">
        <v>1677</v>
      </c>
      <c r="C198">
        <v>78.06</v>
      </c>
      <c r="D198">
        <v>155.47</v>
      </c>
      <c r="E198">
        <v>0.89511799999999997</v>
      </c>
      <c r="F198">
        <v>0.31</v>
      </c>
      <c r="G198">
        <v>28</v>
      </c>
      <c r="H198">
        <v>16.510000000000002</v>
      </c>
    </row>
    <row r="199" spans="1:8">
      <c r="A199" s="1">
        <v>26</v>
      </c>
      <c r="B199" t="s">
        <v>1678</v>
      </c>
      <c r="C199">
        <v>78.61</v>
      </c>
      <c r="D199">
        <v>157.53</v>
      </c>
      <c r="E199">
        <v>0.93160900000000002</v>
      </c>
      <c r="F199">
        <v>44.93</v>
      </c>
      <c r="G199">
        <v>0</v>
      </c>
      <c r="H199">
        <v>16.62</v>
      </c>
    </row>
    <row r="200" spans="1:8">
      <c r="A200" s="1">
        <v>27</v>
      </c>
      <c r="B200" t="s">
        <v>1679</v>
      </c>
      <c r="C200">
        <v>73.48</v>
      </c>
      <c r="D200">
        <v>154.16999999999999</v>
      </c>
      <c r="E200">
        <v>0.86075900000000005</v>
      </c>
      <c r="F200">
        <v>0.96</v>
      </c>
      <c r="G200">
        <v>38</v>
      </c>
      <c r="H200">
        <v>15.66</v>
      </c>
    </row>
    <row r="201" spans="1:8">
      <c r="A201" s="1">
        <v>28</v>
      </c>
      <c r="B201" t="s">
        <v>1680</v>
      </c>
      <c r="C201">
        <v>76.84</v>
      </c>
      <c r="D201">
        <v>157.30000000000001</v>
      </c>
      <c r="E201">
        <v>0.92652400000000001</v>
      </c>
      <c r="F201">
        <v>39.78</v>
      </c>
      <c r="G201">
        <v>22</v>
      </c>
      <c r="H201">
        <v>16.559999999999999</v>
      </c>
    </row>
    <row r="202" spans="1:8">
      <c r="A202" s="1">
        <v>29</v>
      </c>
      <c r="B202" t="s">
        <v>1681</v>
      </c>
      <c r="C202">
        <v>75.16</v>
      </c>
      <c r="D202">
        <v>157.13999999999999</v>
      </c>
      <c r="E202">
        <v>0.93256600000000001</v>
      </c>
      <c r="F202">
        <v>38.020000000000003</v>
      </c>
      <c r="G202">
        <v>24</v>
      </c>
      <c r="H202">
        <v>16.8</v>
      </c>
    </row>
    <row r="203" spans="1:8">
      <c r="A203" s="1">
        <v>30</v>
      </c>
      <c r="B203" t="s">
        <v>1682</v>
      </c>
      <c r="C203">
        <v>64.010000000000005</v>
      </c>
      <c r="D203">
        <v>153.32</v>
      </c>
      <c r="E203">
        <v>0.83727499999999999</v>
      </c>
      <c r="F203">
        <v>1.23</v>
      </c>
      <c r="G203">
        <v>24</v>
      </c>
      <c r="H203">
        <v>14.41</v>
      </c>
    </row>
    <row r="204" spans="1:8">
      <c r="A204" s="1">
        <v>31</v>
      </c>
      <c r="B204" t="s">
        <v>1683</v>
      </c>
      <c r="C204">
        <v>71.97</v>
      </c>
      <c r="D204">
        <v>156.5</v>
      </c>
      <c r="E204">
        <v>0.89814400000000005</v>
      </c>
      <c r="F204">
        <v>26.11</v>
      </c>
      <c r="G204">
        <v>18</v>
      </c>
      <c r="H204">
        <v>15.56</v>
      </c>
    </row>
    <row r="205" spans="1:8">
      <c r="A205" s="1">
        <v>32</v>
      </c>
      <c r="B205" t="s">
        <v>1684</v>
      </c>
      <c r="C205">
        <v>67.36</v>
      </c>
      <c r="D205">
        <v>155.88999999999999</v>
      </c>
      <c r="E205">
        <v>0.88583699999999999</v>
      </c>
      <c r="F205">
        <v>27.72</v>
      </c>
      <c r="G205">
        <v>32</v>
      </c>
      <c r="H205">
        <v>14.78</v>
      </c>
    </row>
    <row r="206" spans="1:8">
      <c r="A206" s="1">
        <v>33</v>
      </c>
      <c r="B206" t="s">
        <v>1685</v>
      </c>
      <c r="C206">
        <v>80.069999999999993</v>
      </c>
      <c r="D206">
        <v>156.87</v>
      </c>
      <c r="E206">
        <v>0.92047400000000001</v>
      </c>
      <c r="F206">
        <v>3.07</v>
      </c>
      <c r="G206">
        <v>34</v>
      </c>
      <c r="H206">
        <v>17.190000000000001</v>
      </c>
    </row>
    <row r="207" spans="1:8">
      <c r="A207" s="1">
        <v>34</v>
      </c>
      <c r="B207" t="s">
        <v>1686</v>
      </c>
      <c r="C207">
        <v>76.13</v>
      </c>
      <c r="D207">
        <v>157.09</v>
      </c>
      <c r="E207">
        <v>0.91515000000000002</v>
      </c>
      <c r="F207">
        <v>25.96</v>
      </c>
      <c r="G207">
        <v>6</v>
      </c>
      <c r="H207">
        <v>16.25</v>
      </c>
    </row>
    <row r="208" spans="1:8">
      <c r="A208" s="1">
        <v>35</v>
      </c>
      <c r="B208" t="s">
        <v>1687</v>
      </c>
      <c r="C208">
        <v>63.18</v>
      </c>
      <c r="D208">
        <v>154.97999999999999</v>
      </c>
      <c r="E208">
        <v>0.85188200000000003</v>
      </c>
      <c r="F208">
        <v>13.52</v>
      </c>
      <c r="G208">
        <v>10</v>
      </c>
      <c r="H208">
        <v>14.03</v>
      </c>
    </row>
    <row r="209" spans="1:8">
      <c r="A209" s="1">
        <v>36</v>
      </c>
      <c r="B209" t="s">
        <v>1688</v>
      </c>
      <c r="C209">
        <v>80.3</v>
      </c>
      <c r="D209">
        <v>157.55000000000001</v>
      </c>
      <c r="E209">
        <v>0.92190399999999995</v>
      </c>
      <c r="F209">
        <v>26.5</v>
      </c>
      <c r="G209">
        <v>0</v>
      </c>
      <c r="H209">
        <v>16.940000000000001</v>
      </c>
    </row>
    <row r="210" spans="1:8">
      <c r="A210" s="1">
        <v>37</v>
      </c>
      <c r="B210" t="s">
        <v>1689</v>
      </c>
      <c r="C210">
        <v>77.63</v>
      </c>
      <c r="D210">
        <v>157.13999999999999</v>
      </c>
      <c r="E210">
        <v>0.90475300000000003</v>
      </c>
      <c r="F210">
        <v>25.8</v>
      </c>
      <c r="G210">
        <v>12</v>
      </c>
      <c r="H210">
        <v>16.52</v>
      </c>
    </row>
    <row r="211" spans="1:8">
      <c r="A211" s="1">
        <v>38</v>
      </c>
      <c r="B211" t="s">
        <v>1690</v>
      </c>
      <c r="C211">
        <v>67.540000000000006</v>
      </c>
      <c r="D211">
        <v>154.63</v>
      </c>
      <c r="E211">
        <v>0.86496499999999998</v>
      </c>
      <c r="F211">
        <v>0.81</v>
      </c>
      <c r="G211">
        <v>6</v>
      </c>
      <c r="H211">
        <v>14.61</v>
      </c>
    </row>
    <row r="212" spans="1:8">
      <c r="A212" s="1">
        <v>39</v>
      </c>
      <c r="B212" t="s">
        <v>1691</v>
      </c>
      <c r="C212">
        <v>77.34</v>
      </c>
      <c r="D212">
        <v>157.38</v>
      </c>
      <c r="E212">
        <v>0.931979</v>
      </c>
      <c r="F212">
        <v>38.979999999999997</v>
      </c>
      <c r="G212">
        <v>20</v>
      </c>
      <c r="H212">
        <v>16.54</v>
      </c>
    </row>
    <row r="213" spans="1:8">
      <c r="A213" s="1">
        <v>40</v>
      </c>
      <c r="B213" t="s">
        <v>1692</v>
      </c>
      <c r="C213">
        <v>76.69</v>
      </c>
      <c r="D213">
        <v>157.02000000000001</v>
      </c>
      <c r="E213">
        <v>0.90554699999999999</v>
      </c>
      <c r="F213">
        <v>17.32</v>
      </c>
      <c r="G213">
        <v>4</v>
      </c>
      <c r="H213">
        <v>16.23</v>
      </c>
    </row>
    <row r="214" spans="1:8">
      <c r="A214" s="1">
        <v>41</v>
      </c>
      <c r="B214" t="s">
        <v>1693</v>
      </c>
      <c r="C214">
        <v>78.430000000000007</v>
      </c>
      <c r="D214">
        <v>157.49</v>
      </c>
      <c r="E214">
        <v>0.93014399999999997</v>
      </c>
      <c r="F214">
        <v>40.200000000000003</v>
      </c>
      <c r="G214">
        <v>4</v>
      </c>
      <c r="H214">
        <v>16.649999999999999</v>
      </c>
    </row>
    <row r="215" spans="1:8">
      <c r="A215" s="1">
        <v>42</v>
      </c>
      <c r="B215" t="s">
        <v>1694</v>
      </c>
      <c r="C215">
        <v>83.94</v>
      </c>
      <c r="D215">
        <v>158.13999999999999</v>
      </c>
      <c r="E215">
        <v>0.94356200000000001</v>
      </c>
      <c r="F215">
        <v>40.78</v>
      </c>
      <c r="G215">
        <v>20</v>
      </c>
      <c r="H215">
        <v>17.559999999999999</v>
      </c>
    </row>
    <row r="216" spans="1:8">
      <c r="A216" s="1">
        <v>43</v>
      </c>
      <c r="B216" t="s">
        <v>1695</v>
      </c>
      <c r="C216">
        <v>68.44</v>
      </c>
      <c r="D216">
        <v>156.08000000000001</v>
      </c>
      <c r="E216">
        <v>0.88926000000000005</v>
      </c>
      <c r="F216">
        <v>32.79</v>
      </c>
      <c r="G216">
        <v>36</v>
      </c>
      <c r="H216">
        <v>14.71</v>
      </c>
    </row>
    <row r="217" spans="1:8">
      <c r="A217" s="1">
        <v>44</v>
      </c>
      <c r="B217" t="s">
        <v>1696</v>
      </c>
      <c r="C217">
        <v>81.58</v>
      </c>
      <c r="D217">
        <v>156.72</v>
      </c>
      <c r="E217">
        <v>0.92529099999999997</v>
      </c>
      <c r="F217">
        <v>1.34</v>
      </c>
      <c r="G217">
        <v>34</v>
      </c>
      <c r="H217">
        <v>17.46</v>
      </c>
    </row>
    <row r="218" spans="1:8">
      <c r="A218" s="1">
        <v>45</v>
      </c>
      <c r="B218" t="s">
        <v>1697</v>
      </c>
      <c r="C218">
        <v>75.67</v>
      </c>
      <c r="D218">
        <v>156.9</v>
      </c>
      <c r="E218">
        <v>0.89694700000000005</v>
      </c>
      <c r="F218">
        <v>21.7</v>
      </c>
      <c r="G218">
        <v>4</v>
      </c>
      <c r="H218">
        <v>15.81</v>
      </c>
    </row>
    <row r="219" spans="1:8">
      <c r="A219" s="1">
        <v>46</v>
      </c>
      <c r="B219" t="s">
        <v>1698</v>
      </c>
      <c r="C219">
        <v>73.62</v>
      </c>
      <c r="D219">
        <v>154.49</v>
      </c>
      <c r="E219">
        <v>0.866788</v>
      </c>
      <c r="F219">
        <v>0.88</v>
      </c>
      <c r="G219">
        <v>32</v>
      </c>
      <c r="H219">
        <v>15.87</v>
      </c>
    </row>
    <row r="220" spans="1:8">
      <c r="A220" s="1">
        <v>47</v>
      </c>
      <c r="B220" t="s">
        <v>1699</v>
      </c>
      <c r="C220">
        <v>69.97</v>
      </c>
      <c r="D220">
        <v>156.30000000000001</v>
      </c>
      <c r="E220">
        <v>0.89490400000000003</v>
      </c>
      <c r="F220">
        <v>26.3</v>
      </c>
      <c r="G220">
        <v>20</v>
      </c>
      <c r="H220">
        <v>15.15</v>
      </c>
    </row>
    <row r="221" spans="1:8">
      <c r="A221" s="1">
        <v>48</v>
      </c>
      <c r="B221" t="s">
        <v>1700</v>
      </c>
      <c r="C221">
        <v>66.540000000000006</v>
      </c>
      <c r="D221">
        <v>155.61000000000001</v>
      </c>
      <c r="E221">
        <v>0.85506000000000004</v>
      </c>
      <c r="F221">
        <v>22.85</v>
      </c>
      <c r="G221">
        <v>32</v>
      </c>
      <c r="H221">
        <v>13.85</v>
      </c>
    </row>
    <row r="222" spans="1:8">
      <c r="A222" s="1">
        <v>49</v>
      </c>
      <c r="B222" t="s">
        <v>1701</v>
      </c>
      <c r="C222">
        <v>75.459999999999994</v>
      </c>
      <c r="D222">
        <v>156.94999999999999</v>
      </c>
      <c r="E222">
        <v>0.90994299999999995</v>
      </c>
      <c r="F222">
        <v>26.5</v>
      </c>
      <c r="G222">
        <v>0</v>
      </c>
      <c r="H222">
        <v>16.489999999999998</v>
      </c>
    </row>
    <row r="223" spans="1:8">
      <c r="A223" s="1">
        <v>50</v>
      </c>
      <c r="B223" t="s">
        <v>1702</v>
      </c>
      <c r="C223">
        <v>63.83</v>
      </c>
      <c r="D223">
        <v>154.47999999999999</v>
      </c>
      <c r="E223">
        <v>0.86180699999999999</v>
      </c>
      <c r="F223">
        <v>1.65</v>
      </c>
      <c r="G223">
        <v>2</v>
      </c>
      <c r="H223">
        <v>14.15</v>
      </c>
    </row>
    <row r="224" spans="1:8">
      <c r="B224" s="1" t="s">
        <v>19</v>
      </c>
      <c r="C224" s="1">
        <f>AVERAGE(C174:C223)</f>
        <v>75.08420000000001</v>
      </c>
      <c r="D224" s="1">
        <f>AVERAGE(D174:D223)</f>
        <v>156.59360000000001</v>
      </c>
      <c r="E224" s="1">
        <f t="shared" ref="E224:H224" si="10">AVERAGE(E174:E223)</f>
        <v>0.91043989999999975</v>
      </c>
      <c r="F224" s="1">
        <f t="shared" si="10"/>
        <v>24.882399999999997</v>
      </c>
      <c r="G224" s="1">
        <f t="shared" si="10"/>
        <v>18.88</v>
      </c>
      <c r="H224" s="1">
        <f t="shared" si="10"/>
        <v>16.189200000000003</v>
      </c>
    </row>
    <row r="225" spans="1:8">
      <c r="B225" s="1" t="s">
        <v>20</v>
      </c>
      <c r="C225" s="1">
        <f>MIN(C173:C223)</f>
        <v>63.18</v>
      </c>
      <c r="D225" s="1">
        <f>MIN(D173:D223)</f>
        <v>153.32</v>
      </c>
      <c r="E225" s="1">
        <f>MIN(E173:E223)</f>
        <v>0.83727499999999999</v>
      </c>
      <c r="F225" s="1">
        <f>MIN(F173:F223)</f>
        <v>0.31</v>
      </c>
      <c r="H225" s="1">
        <f>MIN(H173:H223)</f>
        <v>13.85</v>
      </c>
    </row>
    <row r="226" spans="1:8">
      <c r="B226" s="1" t="s">
        <v>3</v>
      </c>
      <c r="C226" s="1">
        <f>STDEV(C174:C223)</f>
        <v>5.5583333612786312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1" t="s">
        <v>1435</v>
      </c>
    </row>
    <row r="229" spans="1:8" ht="18">
      <c r="A229" s="21" t="s">
        <v>7</v>
      </c>
      <c r="B229" s="3" t="s">
        <v>2</v>
      </c>
      <c r="C229" s="21" t="s">
        <v>4</v>
      </c>
      <c r="D229" s="21" t="s">
        <v>322</v>
      </c>
      <c r="E229" s="21" t="s">
        <v>321</v>
      </c>
      <c r="F229" s="21" t="s">
        <v>324</v>
      </c>
      <c r="G229" s="21" t="s">
        <v>323</v>
      </c>
      <c r="H229" s="21" t="s">
        <v>1436</v>
      </c>
    </row>
    <row r="230" spans="1:8">
      <c r="A230" s="1">
        <v>1</v>
      </c>
      <c r="B230" t="s">
        <v>1703</v>
      </c>
      <c r="C230">
        <v>72.099999999999994</v>
      </c>
      <c r="D230">
        <v>234.49</v>
      </c>
      <c r="E230">
        <v>0.89772200000000002</v>
      </c>
      <c r="F230">
        <v>6.64</v>
      </c>
      <c r="G230">
        <v>50</v>
      </c>
      <c r="H230">
        <v>15.65</v>
      </c>
    </row>
    <row r="231" spans="1:8">
      <c r="A231" s="1">
        <v>2</v>
      </c>
      <c r="B231" t="s">
        <v>1704</v>
      </c>
      <c r="C231">
        <v>72.790000000000006</v>
      </c>
      <c r="D231">
        <v>234.05</v>
      </c>
      <c r="E231">
        <v>0.91088400000000003</v>
      </c>
      <c r="F231">
        <v>1.19</v>
      </c>
      <c r="G231">
        <v>38</v>
      </c>
      <c r="H231">
        <v>16.11</v>
      </c>
    </row>
    <row r="232" spans="1:8">
      <c r="A232" s="1">
        <v>3</v>
      </c>
      <c r="B232" t="s">
        <v>1705</v>
      </c>
      <c r="C232">
        <v>70.11</v>
      </c>
      <c r="D232">
        <v>234.5</v>
      </c>
      <c r="E232">
        <v>0.89379200000000003</v>
      </c>
      <c r="F232">
        <v>29.3</v>
      </c>
      <c r="G232">
        <v>14</v>
      </c>
      <c r="H232">
        <v>15.15</v>
      </c>
    </row>
    <row r="233" spans="1:8">
      <c r="A233" s="1">
        <v>4</v>
      </c>
      <c r="B233" t="s">
        <v>1706</v>
      </c>
      <c r="C233">
        <v>69.349999999999994</v>
      </c>
      <c r="D233">
        <v>232.53</v>
      </c>
      <c r="E233">
        <v>0.89361199999999996</v>
      </c>
      <c r="F233">
        <v>0.19</v>
      </c>
      <c r="G233">
        <v>20</v>
      </c>
      <c r="H233">
        <v>15.03</v>
      </c>
    </row>
    <row r="234" spans="1:8">
      <c r="A234" s="1">
        <v>5</v>
      </c>
      <c r="B234" t="s">
        <v>1707</v>
      </c>
      <c r="C234">
        <v>75.459999999999994</v>
      </c>
      <c r="D234">
        <v>233.84</v>
      </c>
      <c r="E234">
        <v>0.90573899999999996</v>
      </c>
      <c r="F234">
        <v>0.35</v>
      </c>
      <c r="G234">
        <v>58</v>
      </c>
      <c r="H234">
        <v>16.399999999999999</v>
      </c>
    </row>
    <row r="235" spans="1:8">
      <c r="A235" s="1">
        <v>6</v>
      </c>
      <c r="B235" t="s">
        <v>1708</v>
      </c>
      <c r="C235">
        <v>69.459999999999994</v>
      </c>
      <c r="D235">
        <v>232.36</v>
      </c>
      <c r="E235">
        <v>0.85970000000000002</v>
      </c>
      <c r="F235">
        <v>1.8</v>
      </c>
      <c r="G235">
        <v>8</v>
      </c>
      <c r="H235">
        <v>15.07</v>
      </c>
    </row>
    <row r="236" spans="1:8">
      <c r="A236" s="1">
        <v>7</v>
      </c>
      <c r="B236" t="s">
        <v>1709</v>
      </c>
      <c r="C236">
        <v>70.5</v>
      </c>
      <c r="D236">
        <v>234.53</v>
      </c>
      <c r="E236">
        <v>0.89941300000000002</v>
      </c>
      <c r="F236">
        <v>24.88</v>
      </c>
      <c r="G236">
        <v>16</v>
      </c>
      <c r="H236">
        <v>15.22</v>
      </c>
    </row>
    <row r="237" spans="1:8">
      <c r="A237" s="1">
        <v>8</v>
      </c>
      <c r="B237" t="s">
        <v>1710</v>
      </c>
      <c r="C237">
        <v>65.739999999999995</v>
      </c>
      <c r="D237">
        <v>226.22</v>
      </c>
      <c r="E237">
        <v>0.78253499999999998</v>
      </c>
      <c r="F237">
        <v>0.04</v>
      </c>
      <c r="G237">
        <v>54</v>
      </c>
      <c r="H237">
        <v>14.47</v>
      </c>
    </row>
    <row r="238" spans="1:8">
      <c r="A238" s="1">
        <v>9</v>
      </c>
      <c r="B238" t="s">
        <v>1711</v>
      </c>
      <c r="C238">
        <v>70.599999999999994</v>
      </c>
      <c r="D238">
        <v>231.19</v>
      </c>
      <c r="E238">
        <v>0.84135700000000002</v>
      </c>
      <c r="F238">
        <v>1.1499999999999999</v>
      </c>
      <c r="G238">
        <v>4</v>
      </c>
      <c r="H238">
        <v>15.02</v>
      </c>
    </row>
    <row r="239" spans="1:8">
      <c r="A239" s="1">
        <v>10</v>
      </c>
      <c r="B239" t="s">
        <v>1712</v>
      </c>
      <c r="C239">
        <v>67.42</v>
      </c>
      <c r="D239">
        <v>232.49</v>
      </c>
      <c r="E239">
        <v>0.85258599999999996</v>
      </c>
      <c r="F239">
        <v>2.11</v>
      </c>
      <c r="G239">
        <v>28</v>
      </c>
      <c r="H239">
        <v>14.68</v>
      </c>
    </row>
    <row r="240" spans="1:8">
      <c r="A240" s="1">
        <v>11</v>
      </c>
      <c r="B240" t="s">
        <v>1713</v>
      </c>
      <c r="C240">
        <v>72.89</v>
      </c>
      <c r="D240">
        <v>235.02</v>
      </c>
      <c r="E240">
        <v>0.902949</v>
      </c>
      <c r="F240">
        <v>23.58</v>
      </c>
      <c r="G240">
        <v>44</v>
      </c>
      <c r="H240">
        <v>15.31</v>
      </c>
    </row>
    <row r="241" spans="1:8">
      <c r="A241" s="1">
        <v>12</v>
      </c>
      <c r="B241" t="s">
        <v>1714</v>
      </c>
      <c r="C241">
        <v>71.12</v>
      </c>
      <c r="D241">
        <v>233.76</v>
      </c>
      <c r="E241">
        <v>0.88484399999999996</v>
      </c>
      <c r="F241">
        <v>2.73</v>
      </c>
      <c r="G241">
        <v>58</v>
      </c>
      <c r="H241">
        <v>15.66</v>
      </c>
    </row>
    <row r="242" spans="1:8">
      <c r="A242" s="1">
        <v>13</v>
      </c>
      <c r="B242" t="s">
        <v>1715</v>
      </c>
      <c r="C242">
        <v>60.6</v>
      </c>
      <c r="D242">
        <v>230.62</v>
      </c>
      <c r="E242">
        <v>0.825654</v>
      </c>
      <c r="F242">
        <v>1.46</v>
      </c>
      <c r="G242">
        <v>4</v>
      </c>
      <c r="H242">
        <v>13.15</v>
      </c>
    </row>
    <row r="243" spans="1:8">
      <c r="A243" s="1">
        <v>14</v>
      </c>
      <c r="B243" t="s">
        <v>1716</v>
      </c>
      <c r="C243">
        <v>79.16</v>
      </c>
      <c r="D243">
        <v>234.96</v>
      </c>
      <c r="E243">
        <v>0.912323</v>
      </c>
      <c r="F243">
        <v>0.96</v>
      </c>
      <c r="G243">
        <v>6</v>
      </c>
      <c r="H243">
        <v>16.850000000000001</v>
      </c>
    </row>
    <row r="244" spans="1:8">
      <c r="A244" s="1">
        <v>15</v>
      </c>
      <c r="B244" t="s">
        <v>1717</v>
      </c>
      <c r="C244">
        <v>71.680000000000007</v>
      </c>
      <c r="D244">
        <v>231.87</v>
      </c>
      <c r="E244">
        <v>0.87190400000000001</v>
      </c>
      <c r="F244">
        <v>0.46</v>
      </c>
      <c r="G244">
        <v>14</v>
      </c>
      <c r="H244">
        <v>15.57</v>
      </c>
    </row>
    <row r="245" spans="1:8">
      <c r="A245" s="1">
        <v>16</v>
      </c>
      <c r="B245" t="s">
        <v>1718</v>
      </c>
      <c r="C245">
        <v>74.760000000000005</v>
      </c>
      <c r="D245">
        <v>234.71</v>
      </c>
      <c r="E245">
        <v>0.89713799999999999</v>
      </c>
      <c r="F245">
        <v>4.88</v>
      </c>
      <c r="G245">
        <v>2</v>
      </c>
      <c r="H245">
        <v>16.260000000000002</v>
      </c>
    </row>
    <row r="246" spans="1:8">
      <c r="A246" s="1">
        <v>17</v>
      </c>
      <c r="B246" t="s">
        <v>1719</v>
      </c>
      <c r="C246">
        <v>69.099999999999994</v>
      </c>
      <c r="D246">
        <v>233.86</v>
      </c>
      <c r="E246">
        <v>0.87512699999999999</v>
      </c>
      <c r="F246">
        <v>17.239999999999998</v>
      </c>
      <c r="G246">
        <v>40</v>
      </c>
      <c r="H246">
        <v>14.88</v>
      </c>
    </row>
    <row r="247" spans="1:8">
      <c r="A247" s="1">
        <v>18</v>
      </c>
      <c r="B247" t="s">
        <v>1720</v>
      </c>
      <c r="C247">
        <v>73.41</v>
      </c>
      <c r="D247">
        <v>233.78</v>
      </c>
      <c r="E247">
        <v>0.87068500000000004</v>
      </c>
      <c r="F247">
        <v>1.54</v>
      </c>
      <c r="G247">
        <v>36</v>
      </c>
      <c r="H247">
        <v>15.49</v>
      </c>
    </row>
    <row r="248" spans="1:8">
      <c r="A248" s="1">
        <v>19</v>
      </c>
      <c r="B248" t="s">
        <v>1721</v>
      </c>
      <c r="C248">
        <v>77.42</v>
      </c>
      <c r="D248">
        <v>233.61</v>
      </c>
      <c r="E248">
        <v>0.90507199999999999</v>
      </c>
      <c r="F248">
        <v>1.1100000000000001</v>
      </c>
      <c r="G248">
        <v>18</v>
      </c>
      <c r="H248">
        <v>16.84</v>
      </c>
    </row>
    <row r="249" spans="1:8">
      <c r="A249" s="1">
        <v>20</v>
      </c>
      <c r="B249" t="s">
        <v>1722</v>
      </c>
      <c r="C249">
        <v>70.72</v>
      </c>
      <c r="D249">
        <v>233.89</v>
      </c>
      <c r="E249">
        <v>0.89219899999999996</v>
      </c>
      <c r="F249">
        <v>3</v>
      </c>
      <c r="G249">
        <v>28</v>
      </c>
      <c r="H249">
        <v>15.25</v>
      </c>
    </row>
    <row r="250" spans="1:8">
      <c r="A250" s="1">
        <v>21</v>
      </c>
      <c r="B250" t="s">
        <v>1723</v>
      </c>
      <c r="C250">
        <v>65.05</v>
      </c>
      <c r="D250">
        <v>228.48</v>
      </c>
      <c r="E250">
        <v>0.81665200000000004</v>
      </c>
      <c r="F250">
        <v>0.04</v>
      </c>
      <c r="G250">
        <v>40</v>
      </c>
      <c r="H250">
        <v>14.1</v>
      </c>
    </row>
    <row r="251" spans="1:8">
      <c r="A251" s="1">
        <v>22</v>
      </c>
      <c r="B251" t="s">
        <v>1724</v>
      </c>
      <c r="C251">
        <v>71</v>
      </c>
      <c r="D251">
        <v>233.59</v>
      </c>
      <c r="E251">
        <v>0.87462099999999998</v>
      </c>
      <c r="F251">
        <v>2.04</v>
      </c>
      <c r="G251">
        <v>0</v>
      </c>
      <c r="H251">
        <v>15.15</v>
      </c>
    </row>
    <row r="252" spans="1:8">
      <c r="A252" s="1">
        <v>23</v>
      </c>
      <c r="B252" t="s">
        <v>1725</v>
      </c>
      <c r="C252">
        <v>75.36</v>
      </c>
      <c r="D252">
        <v>231.16</v>
      </c>
      <c r="E252">
        <v>0.88037600000000005</v>
      </c>
      <c r="F252">
        <v>0.15</v>
      </c>
      <c r="G252">
        <v>40</v>
      </c>
      <c r="H252">
        <v>16.63</v>
      </c>
    </row>
    <row r="253" spans="1:8">
      <c r="A253" s="1">
        <v>24</v>
      </c>
      <c r="B253" t="s">
        <v>1726</v>
      </c>
      <c r="C253">
        <v>63.39</v>
      </c>
      <c r="D253">
        <v>232.58</v>
      </c>
      <c r="E253">
        <v>0.84909699999999999</v>
      </c>
      <c r="F253">
        <v>17.399999999999999</v>
      </c>
      <c r="G253">
        <v>36</v>
      </c>
      <c r="H253">
        <v>14.08</v>
      </c>
    </row>
    <row r="254" spans="1:8">
      <c r="A254" s="1">
        <v>25</v>
      </c>
      <c r="B254" t="s">
        <v>1727</v>
      </c>
      <c r="C254">
        <v>64.459999999999994</v>
      </c>
      <c r="D254">
        <v>232.32</v>
      </c>
      <c r="E254">
        <v>0.872201</v>
      </c>
      <c r="F254">
        <v>1.54</v>
      </c>
      <c r="G254">
        <v>58</v>
      </c>
      <c r="H254">
        <v>14.14</v>
      </c>
    </row>
    <row r="255" spans="1:8">
      <c r="A255" s="1">
        <v>26</v>
      </c>
      <c r="B255" t="s">
        <v>1728</v>
      </c>
      <c r="C255">
        <v>74.08</v>
      </c>
      <c r="D255">
        <v>235.47</v>
      </c>
      <c r="E255">
        <v>0.92659000000000002</v>
      </c>
      <c r="F255">
        <v>28.72</v>
      </c>
      <c r="G255">
        <v>58</v>
      </c>
      <c r="H255">
        <v>16.04</v>
      </c>
    </row>
    <row r="256" spans="1:8">
      <c r="A256" s="1">
        <v>27</v>
      </c>
      <c r="B256" t="s">
        <v>1729</v>
      </c>
      <c r="C256">
        <v>71.55</v>
      </c>
      <c r="D256">
        <v>233.54</v>
      </c>
      <c r="E256">
        <v>0.893926</v>
      </c>
      <c r="F256">
        <v>0.84</v>
      </c>
      <c r="G256">
        <v>58</v>
      </c>
      <c r="H256">
        <v>15.45</v>
      </c>
    </row>
    <row r="257" spans="1:8">
      <c r="A257" s="1">
        <v>28</v>
      </c>
      <c r="B257" t="s">
        <v>1730</v>
      </c>
      <c r="C257">
        <v>65.42</v>
      </c>
      <c r="D257">
        <v>230.42</v>
      </c>
      <c r="E257">
        <v>0.81527799999999995</v>
      </c>
      <c r="F257">
        <v>1.34</v>
      </c>
      <c r="G257">
        <v>32</v>
      </c>
      <c r="H257">
        <v>14.3</v>
      </c>
    </row>
    <row r="258" spans="1:8">
      <c r="A258" s="1">
        <v>29</v>
      </c>
      <c r="B258" t="s">
        <v>1731</v>
      </c>
      <c r="C258">
        <v>72.400000000000006</v>
      </c>
      <c r="D258">
        <v>233.66</v>
      </c>
      <c r="E258">
        <v>0.89023600000000003</v>
      </c>
      <c r="F258">
        <v>0.92</v>
      </c>
      <c r="G258">
        <v>16</v>
      </c>
      <c r="H258">
        <v>15.2</v>
      </c>
    </row>
    <row r="259" spans="1:8">
      <c r="A259" s="1">
        <v>30</v>
      </c>
      <c r="B259" t="s">
        <v>1732</v>
      </c>
      <c r="C259">
        <v>76.540000000000006</v>
      </c>
      <c r="D259">
        <v>235.88</v>
      </c>
      <c r="E259">
        <v>0.92979599999999996</v>
      </c>
      <c r="F259">
        <v>30.11</v>
      </c>
      <c r="G259">
        <v>48</v>
      </c>
      <c r="H259">
        <v>16.55</v>
      </c>
    </row>
    <row r="260" spans="1:8">
      <c r="A260" s="1">
        <v>31</v>
      </c>
      <c r="B260" t="s">
        <v>1733</v>
      </c>
      <c r="C260">
        <v>73.959999999999994</v>
      </c>
      <c r="D260">
        <v>233.87</v>
      </c>
      <c r="E260">
        <v>0.88773800000000003</v>
      </c>
      <c r="F260">
        <v>3.72</v>
      </c>
      <c r="G260">
        <v>54</v>
      </c>
      <c r="H260">
        <v>16.12</v>
      </c>
    </row>
    <row r="261" spans="1:8">
      <c r="A261" s="1">
        <v>32</v>
      </c>
      <c r="B261" t="s">
        <v>1734</v>
      </c>
      <c r="C261">
        <v>68.81</v>
      </c>
      <c r="D261">
        <v>232.88</v>
      </c>
      <c r="E261">
        <v>0.87655099999999997</v>
      </c>
      <c r="F261">
        <v>1.04</v>
      </c>
      <c r="G261">
        <v>48</v>
      </c>
      <c r="H261">
        <v>14.82</v>
      </c>
    </row>
    <row r="262" spans="1:8">
      <c r="A262" s="1">
        <v>33</v>
      </c>
      <c r="B262" t="s">
        <v>1735</v>
      </c>
      <c r="C262">
        <v>70.67</v>
      </c>
      <c r="D262">
        <v>232.26</v>
      </c>
      <c r="E262">
        <v>0.86682400000000004</v>
      </c>
      <c r="F262">
        <v>1.38</v>
      </c>
      <c r="G262">
        <v>48</v>
      </c>
      <c r="H262">
        <v>15.18</v>
      </c>
    </row>
    <row r="263" spans="1:8">
      <c r="A263" s="1">
        <v>34</v>
      </c>
      <c r="B263" t="s">
        <v>1736</v>
      </c>
      <c r="C263">
        <v>73.260000000000005</v>
      </c>
      <c r="D263">
        <v>234.86</v>
      </c>
      <c r="E263">
        <v>0.90139100000000005</v>
      </c>
      <c r="F263">
        <v>14.67</v>
      </c>
      <c r="G263">
        <v>56</v>
      </c>
      <c r="H263">
        <v>16.079999999999998</v>
      </c>
    </row>
    <row r="264" spans="1:8">
      <c r="A264" s="1">
        <v>35</v>
      </c>
      <c r="B264" t="s">
        <v>1737</v>
      </c>
      <c r="C264">
        <v>78.78</v>
      </c>
      <c r="D264">
        <v>235.31</v>
      </c>
      <c r="E264">
        <v>0.92325999999999997</v>
      </c>
      <c r="F264">
        <v>1.88</v>
      </c>
      <c r="G264">
        <v>0</v>
      </c>
      <c r="H264">
        <v>16.73</v>
      </c>
    </row>
    <row r="265" spans="1:8">
      <c r="A265" s="1">
        <v>36</v>
      </c>
      <c r="B265" t="s">
        <v>1738</v>
      </c>
      <c r="C265">
        <v>70.98</v>
      </c>
      <c r="D265">
        <v>233.76</v>
      </c>
      <c r="E265">
        <v>0.88674299999999995</v>
      </c>
      <c r="F265">
        <v>3</v>
      </c>
      <c r="G265">
        <v>46</v>
      </c>
      <c r="H265">
        <v>15.71</v>
      </c>
    </row>
    <row r="266" spans="1:8">
      <c r="A266" s="1">
        <v>37</v>
      </c>
      <c r="B266" t="s">
        <v>1739</v>
      </c>
      <c r="C266">
        <v>71.819999999999993</v>
      </c>
      <c r="D266">
        <v>233.85</v>
      </c>
      <c r="E266">
        <v>0.87931700000000002</v>
      </c>
      <c r="F266">
        <v>2.19</v>
      </c>
      <c r="G266">
        <v>8</v>
      </c>
      <c r="H266">
        <v>15.02</v>
      </c>
    </row>
    <row r="267" spans="1:8">
      <c r="A267" s="1">
        <v>38</v>
      </c>
      <c r="B267" t="s">
        <v>1740</v>
      </c>
      <c r="C267">
        <v>75.400000000000006</v>
      </c>
      <c r="D267">
        <v>233.5</v>
      </c>
      <c r="E267">
        <v>0.87044500000000002</v>
      </c>
      <c r="F267">
        <v>1.57</v>
      </c>
      <c r="G267">
        <v>16</v>
      </c>
      <c r="H267">
        <v>15.95</v>
      </c>
    </row>
    <row r="268" spans="1:8">
      <c r="A268" s="1">
        <v>39</v>
      </c>
      <c r="B268" t="s">
        <v>1741</v>
      </c>
      <c r="C268">
        <v>62.25</v>
      </c>
      <c r="D268">
        <v>232.87</v>
      </c>
      <c r="E268">
        <v>0.88396799999999998</v>
      </c>
      <c r="F268">
        <v>25.31</v>
      </c>
      <c r="G268">
        <v>48</v>
      </c>
      <c r="H268">
        <v>14.04</v>
      </c>
    </row>
    <row r="269" spans="1:8">
      <c r="A269" s="1">
        <v>40</v>
      </c>
      <c r="B269" t="s">
        <v>1742</v>
      </c>
      <c r="C269">
        <v>70.489999999999995</v>
      </c>
      <c r="D269">
        <v>233.34</v>
      </c>
      <c r="E269">
        <v>0.88889099999999999</v>
      </c>
      <c r="F269">
        <v>1.1499999999999999</v>
      </c>
      <c r="G269">
        <v>34</v>
      </c>
      <c r="H269">
        <v>15.47</v>
      </c>
    </row>
    <row r="270" spans="1:8">
      <c r="A270" s="1">
        <v>41</v>
      </c>
      <c r="B270" t="s">
        <v>1743</v>
      </c>
      <c r="C270">
        <v>71.72</v>
      </c>
      <c r="D270">
        <v>232.67</v>
      </c>
      <c r="E270">
        <v>0.86672800000000005</v>
      </c>
      <c r="F270">
        <v>0.38</v>
      </c>
      <c r="G270">
        <v>46</v>
      </c>
      <c r="H270">
        <v>15</v>
      </c>
    </row>
    <row r="271" spans="1:8">
      <c r="A271" s="1">
        <v>42</v>
      </c>
      <c r="B271" t="s">
        <v>1744</v>
      </c>
      <c r="C271">
        <v>67.03</v>
      </c>
      <c r="D271">
        <v>232.7</v>
      </c>
      <c r="E271">
        <v>0.84238500000000005</v>
      </c>
      <c r="F271">
        <v>6.91</v>
      </c>
      <c r="G271">
        <v>48</v>
      </c>
      <c r="H271">
        <v>14.29</v>
      </c>
    </row>
    <row r="272" spans="1:8">
      <c r="A272" s="1">
        <v>43</v>
      </c>
      <c r="B272" t="s">
        <v>1745</v>
      </c>
      <c r="C272">
        <v>71.489999999999995</v>
      </c>
      <c r="D272">
        <v>232.6</v>
      </c>
      <c r="E272">
        <v>0.87675400000000003</v>
      </c>
      <c r="F272">
        <v>1.42</v>
      </c>
      <c r="G272">
        <v>16</v>
      </c>
      <c r="H272">
        <v>15.25</v>
      </c>
    </row>
    <row r="273" spans="1:8">
      <c r="A273" s="1">
        <v>44</v>
      </c>
      <c r="B273" t="s">
        <v>1746</v>
      </c>
      <c r="C273">
        <v>67.489999999999995</v>
      </c>
      <c r="D273">
        <v>232.57</v>
      </c>
      <c r="E273">
        <v>0.90238700000000005</v>
      </c>
      <c r="F273">
        <v>0.38</v>
      </c>
      <c r="G273">
        <v>6</v>
      </c>
      <c r="H273">
        <v>15.08</v>
      </c>
    </row>
    <row r="274" spans="1:8">
      <c r="A274" s="1">
        <v>45</v>
      </c>
      <c r="B274" t="s">
        <v>1747</v>
      </c>
      <c r="C274">
        <v>65.58</v>
      </c>
      <c r="D274">
        <v>233.58</v>
      </c>
      <c r="E274">
        <v>0.88395999999999997</v>
      </c>
      <c r="F274">
        <v>31.45</v>
      </c>
      <c r="G274">
        <v>18</v>
      </c>
      <c r="H274">
        <v>13.83</v>
      </c>
    </row>
    <row r="275" spans="1:8">
      <c r="A275" s="1">
        <v>46</v>
      </c>
      <c r="B275" t="s">
        <v>1748</v>
      </c>
      <c r="C275">
        <v>79.19</v>
      </c>
      <c r="D275">
        <v>236.38</v>
      </c>
      <c r="E275">
        <v>0.93702099999999999</v>
      </c>
      <c r="F275">
        <v>30.26</v>
      </c>
      <c r="G275">
        <v>10</v>
      </c>
      <c r="H275">
        <v>16.73</v>
      </c>
    </row>
    <row r="276" spans="1:8">
      <c r="A276" s="1">
        <v>47</v>
      </c>
      <c r="B276" t="s">
        <v>1749</v>
      </c>
      <c r="C276">
        <v>76.819999999999993</v>
      </c>
      <c r="D276">
        <v>235.82</v>
      </c>
      <c r="E276">
        <v>0.91431099999999998</v>
      </c>
      <c r="F276">
        <v>37.020000000000003</v>
      </c>
      <c r="G276">
        <v>28</v>
      </c>
      <c r="H276">
        <v>16.190000000000001</v>
      </c>
    </row>
    <row r="277" spans="1:8">
      <c r="A277" s="1">
        <v>48</v>
      </c>
      <c r="B277" t="s">
        <v>1750</v>
      </c>
      <c r="C277">
        <v>69.84</v>
      </c>
      <c r="D277">
        <v>233.63</v>
      </c>
      <c r="E277">
        <v>0.88749599999999995</v>
      </c>
      <c r="F277">
        <v>2.38</v>
      </c>
      <c r="G277">
        <v>48</v>
      </c>
      <c r="H277">
        <v>15.3</v>
      </c>
    </row>
    <row r="278" spans="1:8">
      <c r="A278" s="1">
        <v>49</v>
      </c>
      <c r="B278" t="s">
        <v>1751</v>
      </c>
      <c r="C278">
        <v>67.290000000000006</v>
      </c>
      <c r="D278">
        <v>234.16</v>
      </c>
      <c r="E278">
        <v>0.90931099999999998</v>
      </c>
      <c r="F278">
        <v>35.75</v>
      </c>
      <c r="G278">
        <v>4</v>
      </c>
      <c r="H278">
        <v>14.67</v>
      </c>
    </row>
    <row r="279" spans="1:8">
      <c r="A279" s="1">
        <v>50</v>
      </c>
      <c r="B279" t="s">
        <v>1752</v>
      </c>
      <c r="C279">
        <v>68.19</v>
      </c>
      <c r="D279">
        <v>233.48</v>
      </c>
      <c r="E279">
        <v>0.87966699999999998</v>
      </c>
      <c r="F279">
        <v>4.8</v>
      </c>
      <c r="G279">
        <v>14</v>
      </c>
      <c r="H279">
        <v>14.89</v>
      </c>
    </row>
    <row r="280" spans="1:8">
      <c r="B280" s="1" t="s">
        <v>19</v>
      </c>
      <c r="C280" s="1">
        <f>AVERAGE(C230:C279)</f>
        <v>70.89400000000002</v>
      </c>
      <c r="D280" s="1">
        <f t="shared" ref="D280:F280" si="11">AVERAGE(D230:D279)</f>
        <v>233.26939999999999</v>
      </c>
      <c r="E280" s="1">
        <f t="shared" si="11"/>
        <v>0.88178312000000003</v>
      </c>
      <c r="F280" s="1">
        <f t="shared" si="11"/>
        <v>8.2873999999999981</v>
      </c>
      <c r="G280" s="1">
        <f t="shared" ref="G280" si="12">AVERAGE(G230:G279)</f>
        <v>30.44</v>
      </c>
      <c r="H280" s="1">
        <f t="shared" ref="H280" si="13">AVERAGE(H230:H279)</f>
        <v>15.321000000000002</v>
      </c>
    </row>
    <row r="281" spans="1:8">
      <c r="B281" s="1" t="s">
        <v>20</v>
      </c>
      <c r="C281" s="1">
        <f>MIN(C229:C279)</f>
        <v>60.6</v>
      </c>
      <c r="D281" s="1">
        <f>MIN(D229:D279)</f>
        <v>226.22</v>
      </c>
      <c r="E281" s="1">
        <f>MIN(E229:E279)</f>
        <v>0.78253499999999998</v>
      </c>
      <c r="F281" s="1">
        <f>MIN(F229:F279)</f>
        <v>0.04</v>
      </c>
      <c r="H281" s="1">
        <f>MIN(H229:H279)</f>
        <v>13.15</v>
      </c>
    </row>
    <row r="282" spans="1:8">
      <c r="B282" s="1" t="s">
        <v>3</v>
      </c>
      <c r="C282" s="1" t="e">
        <f>STDEV(#REF!)</f>
        <v>#REF!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1" t="s">
        <v>1435</v>
      </c>
    </row>
    <row r="285" spans="1:8" ht="18">
      <c r="A285" s="21" t="s">
        <v>7</v>
      </c>
      <c r="B285" s="3" t="s">
        <v>10</v>
      </c>
      <c r="C285" s="21" t="s">
        <v>4</v>
      </c>
      <c r="D285" s="21" t="s">
        <v>322</v>
      </c>
      <c r="E285" s="21" t="s">
        <v>321</v>
      </c>
      <c r="F285" s="21" t="s">
        <v>324</v>
      </c>
      <c r="G285" s="21" t="s">
        <v>323</v>
      </c>
      <c r="H285" s="21" t="s">
        <v>1436</v>
      </c>
    </row>
    <row r="286" spans="1:8">
      <c r="A286" s="1">
        <v>1</v>
      </c>
      <c r="B286" t="s">
        <v>1753</v>
      </c>
      <c r="C286">
        <v>67.040000000000006</v>
      </c>
      <c r="D286">
        <v>311.27999999999997</v>
      </c>
      <c r="E286">
        <v>0.85932500000000001</v>
      </c>
      <c r="F286">
        <v>18.28</v>
      </c>
      <c r="G286">
        <v>46</v>
      </c>
      <c r="H286">
        <v>14.07</v>
      </c>
    </row>
    <row r="287" spans="1:8">
      <c r="A287" s="1">
        <v>2</v>
      </c>
      <c r="B287" t="s">
        <v>1754</v>
      </c>
      <c r="C287">
        <v>72.680000000000007</v>
      </c>
      <c r="D287">
        <v>308.57</v>
      </c>
      <c r="E287">
        <v>0.86470499999999995</v>
      </c>
      <c r="F287">
        <v>0.04</v>
      </c>
      <c r="G287">
        <v>50</v>
      </c>
      <c r="H287">
        <v>15.61</v>
      </c>
    </row>
    <row r="288" spans="1:8">
      <c r="A288" s="1">
        <v>3</v>
      </c>
      <c r="B288" t="s">
        <v>1755</v>
      </c>
      <c r="C288">
        <v>65.19</v>
      </c>
      <c r="D288">
        <v>310.39</v>
      </c>
      <c r="E288">
        <v>0.84422200000000003</v>
      </c>
      <c r="F288">
        <v>15.97</v>
      </c>
      <c r="G288">
        <v>24</v>
      </c>
      <c r="H288">
        <v>13.84</v>
      </c>
    </row>
    <row r="289" spans="1:8">
      <c r="A289" s="1">
        <v>4</v>
      </c>
      <c r="B289" t="s">
        <v>1756</v>
      </c>
      <c r="C289">
        <v>67.239999999999995</v>
      </c>
      <c r="D289">
        <v>309.63</v>
      </c>
      <c r="E289">
        <v>0.85846800000000001</v>
      </c>
      <c r="F289">
        <v>0.31</v>
      </c>
      <c r="G289">
        <v>40</v>
      </c>
      <c r="H289">
        <v>14.45</v>
      </c>
    </row>
    <row r="290" spans="1:8">
      <c r="A290" s="1">
        <v>5</v>
      </c>
      <c r="B290" t="s">
        <v>1757</v>
      </c>
      <c r="C290">
        <v>65.33</v>
      </c>
      <c r="D290">
        <v>310.26</v>
      </c>
      <c r="E290">
        <v>0.84854399999999996</v>
      </c>
      <c r="F290">
        <v>8.56</v>
      </c>
      <c r="G290">
        <v>38</v>
      </c>
      <c r="H290">
        <v>14.11</v>
      </c>
    </row>
    <row r="291" spans="1:8">
      <c r="A291" s="1">
        <v>6</v>
      </c>
      <c r="B291" t="s">
        <v>1758</v>
      </c>
      <c r="C291">
        <v>65.83</v>
      </c>
      <c r="D291">
        <v>310.14999999999998</v>
      </c>
      <c r="E291">
        <v>0.85807</v>
      </c>
      <c r="F291">
        <v>1.77</v>
      </c>
      <c r="G291">
        <v>26</v>
      </c>
      <c r="H291">
        <v>14.48</v>
      </c>
    </row>
    <row r="292" spans="1:8">
      <c r="A292" s="1">
        <v>7</v>
      </c>
      <c r="B292" t="s">
        <v>1759</v>
      </c>
      <c r="C292">
        <v>63.8</v>
      </c>
      <c r="D292">
        <v>310.14</v>
      </c>
      <c r="E292">
        <v>0.83566399999999996</v>
      </c>
      <c r="F292">
        <v>21.54</v>
      </c>
      <c r="G292">
        <v>22</v>
      </c>
      <c r="H292">
        <v>13.46</v>
      </c>
    </row>
    <row r="293" spans="1:8">
      <c r="A293" s="1">
        <v>8</v>
      </c>
      <c r="B293" t="s">
        <v>1760</v>
      </c>
      <c r="C293">
        <v>63.63</v>
      </c>
      <c r="D293">
        <v>309.39</v>
      </c>
      <c r="E293">
        <v>0.85627900000000001</v>
      </c>
      <c r="F293">
        <v>3.65</v>
      </c>
      <c r="G293">
        <v>0</v>
      </c>
      <c r="H293">
        <v>13.77</v>
      </c>
    </row>
    <row r="294" spans="1:8">
      <c r="A294" s="1">
        <v>9</v>
      </c>
      <c r="B294" t="s">
        <v>1761</v>
      </c>
      <c r="C294">
        <v>66.22</v>
      </c>
      <c r="D294">
        <v>310.57</v>
      </c>
      <c r="E294">
        <v>0.886795</v>
      </c>
      <c r="F294">
        <v>1.1499999999999999</v>
      </c>
      <c r="G294">
        <v>74</v>
      </c>
      <c r="H294">
        <v>14.36</v>
      </c>
    </row>
    <row r="295" spans="1:8">
      <c r="A295" s="1">
        <v>10</v>
      </c>
      <c r="B295" t="s">
        <v>1762</v>
      </c>
      <c r="C295">
        <v>53.93</v>
      </c>
      <c r="D295">
        <v>303.36</v>
      </c>
      <c r="E295">
        <v>0.76749800000000001</v>
      </c>
      <c r="F295">
        <v>0.65</v>
      </c>
      <c r="G295">
        <v>54</v>
      </c>
      <c r="H295">
        <v>11.37</v>
      </c>
    </row>
    <row r="296" spans="1:8">
      <c r="A296" s="1">
        <v>11</v>
      </c>
      <c r="B296" t="s">
        <v>1763</v>
      </c>
      <c r="C296">
        <v>70.17</v>
      </c>
      <c r="D296">
        <v>312.29000000000002</v>
      </c>
      <c r="E296">
        <v>0.88327500000000003</v>
      </c>
      <c r="F296">
        <v>17.09</v>
      </c>
      <c r="G296">
        <v>8</v>
      </c>
      <c r="H296">
        <v>15.15</v>
      </c>
    </row>
    <row r="297" spans="1:8">
      <c r="A297" s="1">
        <v>12</v>
      </c>
      <c r="B297" t="s">
        <v>1764</v>
      </c>
      <c r="C297">
        <v>70.66</v>
      </c>
      <c r="D297">
        <v>312.35000000000002</v>
      </c>
      <c r="E297">
        <v>0.89914099999999997</v>
      </c>
      <c r="F297">
        <v>10.02</v>
      </c>
      <c r="G297">
        <v>8</v>
      </c>
      <c r="H297">
        <v>15.69</v>
      </c>
    </row>
    <row r="298" spans="1:8">
      <c r="A298" s="1">
        <v>13</v>
      </c>
      <c r="B298" t="s">
        <v>1765</v>
      </c>
      <c r="C298">
        <v>68.45</v>
      </c>
      <c r="D298">
        <v>308.36</v>
      </c>
      <c r="E298">
        <v>0.82270900000000002</v>
      </c>
      <c r="F298">
        <v>0.46</v>
      </c>
      <c r="G298">
        <v>44</v>
      </c>
      <c r="H298">
        <v>14.3</v>
      </c>
    </row>
    <row r="299" spans="1:8">
      <c r="A299" s="1">
        <v>14</v>
      </c>
      <c r="B299" t="s">
        <v>1766</v>
      </c>
      <c r="C299">
        <v>63.93</v>
      </c>
      <c r="D299">
        <v>310.74</v>
      </c>
      <c r="E299">
        <v>0.86499199999999998</v>
      </c>
      <c r="F299">
        <v>25.77</v>
      </c>
      <c r="G299">
        <v>36</v>
      </c>
      <c r="H299">
        <v>13.46</v>
      </c>
    </row>
    <row r="300" spans="1:8">
      <c r="A300" s="1">
        <v>15</v>
      </c>
      <c r="B300" t="s">
        <v>1767</v>
      </c>
      <c r="C300">
        <v>66.08</v>
      </c>
      <c r="D300">
        <v>309.44</v>
      </c>
      <c r="E300">
        <v>0.86273200000000005</v>
      </c>
      <c r="F300">
        <v>1.1100000000000001</v>
      </c>
      <c r="G300">
        <v>36</v>
      </c>
      <c r="H300">
        <v>14.22</v>
      </c>
    </row>
    <row r="301" spans="1:8">
      <c r="A301" s="1">
        <v>16</v>
      </c>
      <c r="B301" t="s">
        <v>1768</v>
      </c>
      <c r="C301">
        <v>63.3</v>
      </c>
      <c r="D301">
        <v>309.89999999999998</v>
      </c>
      <c r="E301">
        <v>0.85714900000000005</v>
      </c>
      <c r="F301">
        <v>6.99</v>
      </c>
      <c r="G301">
        <v>18</v>
      </c>
      <c r="H301">
        <v>13.96</v>
      </c>
    </row>
    <row r="302" spans="1:8">
      <c r="A302" s="1">
        <v>17</v>
      </c>
      <c r="B302" t="s">
        <v>1769</v>
      </c>
      <c r="C302">
        <v>66.98</v>
      </c>
      <c r="D302">
        <v>306.89999999999998</v>
      </c>
      <c r="E302">
        <v>0.83243699999999998</v>
      </c>
      <c r="F302">
        <v>0.88</v>
      </c>
      <c r="G302">
        <v>40</v>
      </c>
      <c r="H302">
        <v>14.69</v>
      </c>
    </row>
    <row r="303" spans="1:8">
      <c r="A303" s="1">
        <v>18</v>
      </c>
      <c r="B303" t="s">
        <v>1770</v>
      </c>
      <c r="C303">
        <v>62.86</v>
      </c>
      <c r="D303">
        <v>306.56</v>
      </c>
      <c r="E303">
        <v>0.84394400000000003</v>
      </c>
      <c r="F303">
        <v>0.15</v>
      </c>
      <c r="G303">
        <v>4</v>
      </c>
      <c r="H303">
        <v>13.94</v>
      </c>
    </row>
    <row r="304" spans="1:8">
      <c r="A304" s="1">
        <v>19</v>
      </c>
      <c r="B304" t="s">
        <v>1771</v>
      </c>
      <c r="C304">
        <v>65.25</v>
      </c>
      <c r="D304">
        <v>310.54000000000002</v>
      </c>
      <c r="E304">
        <v>0.86213399999999996</v>
      </c>
      <c r="F304">
        <v>10.37</v>
      </c>
      <c r="G304">
        <v>16</v>
      </c>
      <c r="H304">
        <v>14.52</v>
      </c>
    </row>
    <row r="305" spans="1:8">
      <c r="A305" s="1">
        <v>20</v>
      </c>
      <c r="B305" t="s">
        <v>1772</v>
      </c>
      <c r="C305">
        <v>63.36</v>
      </c>
      <c r="D305">
        <v>310.13</v>
      </c>
      <c r="E305">
        <v>0.86746299999999998</v>
      </c>
      <c r="F305">
        <v>9.33</v>
      </c>
      <c r="G305">
        <v>16</v>
      </c>
      <c r="H305">
        <v>13.74</v>
      </c>
    </row>
    <row r="306" spans="1:8">
      <c r="A306" s="1">
        <v>21</v>
      </c>
      <c r="B306" t="s">
        <v>1773</v>
      </c>
      <c r="C306">
        <v>64.459999999999994</v>
      </c>
      <c r="D306">
        <v>307.88</v>
      </c>
      <c r="E306">
        <v>0.844912</v>
      </c>
      <c r="F306">
        <v>0.19</v>
      </c>
      <c r="G306">
        <v>38</v>
      </c>
      <c r="H306">
        <v>13.83</v>
      </c>
    </row>
    <row r="307" spans="1:8">
      <c r="A307" s="1">
        <v>22</v>
      </c>
      <c r="B307" t="s">
        <v>1774</v>
      </c>
      <c r="C307">
        <v>66.81</v>
      </c>
      <c r="D307">
        <v>307.2</v>
      </c>
      <c r="E307">
        <v>0.82778700000000005</v>
      </c>
      <c r="F307">
        <v>0.27</v>
      </c>
      <c r="G307">
        <v>22</v>
      </c>
      <c r="H307">
        <v>14.32</v>
      </c>
    </row>
    <row r="308" spans="1:8">
      <c r="A308" s="1">
        <v>23</v>
      </c>
      <c r="B308" t="s">
        <v>1775</v>
      </c>
      <c r="C308">
        <v>65.67</v>
      </c>
      <c r="D308">
        <v>309.70999999999998</v>
      </c>
      <c r="E308">
        <v>0.84464799999999995</v>
      </c>
      <c r="F308">
        <v>1.1499999999999999</v>
      </c>
      <c r="G308">
        <v>52</v>
      </c>
      <c r="H308">
        <v>14.17</v>
      </c>
    </row>
    <row r="309" spans="1:8">
      <c r="A309" s="1">
        <v>24</v>
      </c>
      <c r="B309" t="s">
        <v>1776</v>
      </c>
      <c r="C309">
        <v>69.33</v>
      </c>
      <c r="D309">
        <v>309.68</v>
      </c>
      <c r="E309">
        <v>0.83970500000000003</v>
      </c>
      <c r="F309">
        <v>1.1100000000000001</v>
      </c>
      <c r="G309">
        <v>72</v>
      </c>
      <c r="H309">
        <v>14.68</v>
      </c>
    </row>
    <row r="310" spans="1:8">
      <c r="A310" s="1">
        <v>25</v>
      </c>
      <c r="B310" t="s">
        <v>1777</v>
      </c>
      <c r="C310">
        <v>69.849999999999994</v>
      </c>
      <c r="D310">
        <v>312.49</v>
      </c>
      <c r="E310">
        <v>0.89699499999999999</v>
      </c>
      <c r="F310">
        <v>15.48</v>
      </c>
      <c r="G310">
        <v>46</v>
      </c>
      <c r="H310">
        <v>15.19</v>
      </c>
    </row>
    <row r="311" spans="1:8">
      <c r="A311" s="1">
        <v>26</v>
      </c>
      <c r="B311" t="s">
        <v>1778</v>
      </c>
      <c r="C311">
        <v>71.91</v>
      </c>
      <c r="D311">
        <v>312.86</v>
      </c>
      <c r="E311">
        <v>0.90549999999999997</v>
      </c>
      <c r="F311">
        <v>9.33</v>
      </c>
      <c r="G311">
        <v>68</v>
      </c>
      <c r="H311">
        <v>15.77</v>
      </c>
    </row>
    <row r="312" spans="1:8">
      <c r="A312" s="1">
        <v>27</v>
      </c>
      <c r="B312" t="s">
        <v>1779</v>
      </c>
      <c r="C312">
        <v>67.58</v>
      </c>
      <c r="D312">
        <v>309.72000000000003</v>
      </c>
      <c r="E312">
        <v>0.857325</v>
      </c>
      <c r="F312">
        <v>1.38</v>
      </c>
      <c r="G312">
        <v>40</v>
      </c>
      <c r="H312">
        <v>14.71</v>
      </c>
    </row>
    <row r="313" spans="1:8">
      <c r="A313" s="1">
        <v>28</v>
      </c>
      <c r="B313" t="s">
        <v>1780</v>
      </c>
      <c r="C313">
        <v>61.57</v>
      </c>
      <c r="D313">
        <v>306.82</v>
      </c>
      <c r="E313">
        <v>0.79282900000000001</v>
      </c>
      <c r="F313">
        <v>0.88</v>
      </c>
      <c r="G313">
        <v>26</v>
      </c>
      <c r="H313">
        <v>13.61</v>
      </c>
    </row>
    <row r="314" spans="1:8">
      <c r="A314" s="1">
        <v>29</v>
      </c>
      <c r="B314" t="s">
        <v>1781</v>
      </c>
      <c r="C314">
        <v>61.05</v>
      </c>
      <c r="D314">
        <v>304.12</v>
      </c>
      <c r="E314">
        <v>0.782497</v>
      </c>
      <c r="F314">
        <v>0.5</v>
      </c>
      <c r="G314">
        <v>40</v>
      </c>
      <c r="H314">
        <v>12.64</v>
      </c>
    </row>
    <row r="315" spans="1:8">
      <c r="A315" s="1">
        <v>30</v>
      </c>
      <c r="B315" t="s">
        <v>1782</v>
      </c>
      <c r="C315">
        <v>63.97</v>
      </c>
      <c r="D315">
        <v>309.13</v>
      </c>
      <c r="E315">
        <v>0.832395</v>
      </c>
      <c r="F315">
        <v>1.34</v>
      </c>
      <c r="G315">
        <v>66</v>
      </c>
      <c r="H315">
        <v>13.87</v>
      </c>
    </row>
    <row r="316" spans="1:8">
      <c r="A316" s="1">
        <v>31</v>
      </c>
      <c r="B316" t="s">
        <v>1783</v>
      </c>
      <c r="C316">
        <v>63.67</v>
      </c>
      <c r="D316">
        <v>309.14999999999998</v>
      </c>
      <c r="E316">
        <v>0.83952800000000005</v>
      </c>
      <c r="F316">
        <v>1.61</v>
      </c>
      <c r="G316">
        <v>16</v>
      </c>
      <c r="H316">
        <v>13.92</v>
      </c>
    </row>
    <row r="317" spans="1:8">
      <c r="A317" s="1">
        <v>32</v>
      </c>
      <c r="B317" t="s">
        <v>1784</v>
      </c>
      <c r="C317">
        <v>71.709999999999994</v>
      </c>
      <c r="D317">
        <v>308.5</v>
      </c>
      <c r="E317">
        <v>0.86572400000000005</v>
      </c>
      <c r="F317">
        <v>0.12</v>
      </c>
      <c r="G317">
        <v>58</v>
      </c>
      <c r="H317">
        <v>15.33</v>
      </c>
    </row>
    <row r="318" spans="1:8">
      <c r="A318" s="1">
        <v>33</v>
      </c>
      <c r="B318" t="s">
        <v>1785</v>
      </c>
      <c r="C318">
        <v>64.3</v>
      </c>
      <c r="D318">
        <v>306.13</v>
      </c>
      <c r="E318">
        <v>0.79116600000000004</v>
      </c>
      <c r="F318">
        <v>0.73</v>
      </c>
      <c r="G318">
        <v>10</v>
      </c>
      <c r="H318">
        <v>13.47</v>
      </c>
    </row>
    <row r="319" spans="1:8">
      <c r="A319" s="1">
        <v>34</v>
      </c>
      <c r="B319" t="s">
        <v>1786</v>
      </c>
      <c r="C319">
        <v>65.680000000000007</v>
      </c>
      <c r="D319">
        <v>310.11</v>
      </c>
      <c r="E319">
        <v>0.84892400000000001</v>
      </c>
      <c r="F319">
        <v>2.42</v>
      </c>
      <c r="G319">
        <v>38</v>
      </c>
      <c r="H319">
        <v>13.86</v>
      </c>
    </row>
    <row r="320" spans="1:8">
      <c r="A320" s="1">
        <v>35</v>
      </c>
      <c r="B320" t="s">
        <v>1787</v>
      </c>
      <c r="C320">
        <v>66.75</v>
      </c>
      <c r="D320">
        <v>309.38</v>
      </c>
      <c r="E320">
        <v>0.83031600000000005</v>
      </c>
      <c r="F320">
        <v>1.92</v>
      </c>
      <c r="G320">
        <v>34</v>
      </c>
      <c r="H320">
        <v>14.32</v>
      </c>
    </row>
    <row r="321" spans="1:8">
      <c r="A321" s="1">
        <v>36</v>
      </c>
      <c r="B321" t="s">
        <v>1788</v>
      </c>
      <c r="C321">
        <v>60.02</v>
      </c>
      <c r="D321">
        <v>303.13</v>
      </c>
      <c r="E321">
        <v>0.77571800000000002</v>
      </c>
      <c r="F321">
        <v>0.08</v>
      </c>
      <c r="G321">
        <v>34</v>
      </c>
      <c r="H321">
        <v>12.77</v>
      </c>
    </row>
    <row r="322" spans="1:8">
      <c r="A322" s="1">
        <v>37</v>
      </c>
      <c r="B322" t="s">
        <v>1789</v>
      </c>
      <c r="C322">
        <v>66.459999999999994</v>
      </c>
      <c r="D322">
        <v>306</v>
      </c>
      <c r="E322">
        <v>0.81919699999999995</v>
      </c>
      <c r="F322">
        <v>0.19</v>
      </c>
      <c r="G322">
        <v>44</v>
      </c>
      <c r="H322">
        <v>14.1</v>
      </c>
    </row>
    <row r="323" spans="1:8">
      <c r="A323" s="1">
        <v>38</v>
      </c>
      <c r="B323" t="s">
        <v>1790</v>
      </c>
      <c r="C323">
        <v>65.930000000000007</v>
      </c>
      <c r="D323">
        <v>308.31</v>
      </c>
      <c r="E323">
        <v>0.87239599999999995</v>
      </c>
      <c r="F323">
        <v>0.04</v>
      </c>
      <c r="G323">
        <v>6</v>
      </c>
      <c r="H323">
        <v>14.24</v>
      </c>
    </row>
    <row r="324" spans="1:8">
      <c r="A324" s="1">
        <v>39</v>
      </c>
      <c r="B324" t="s">
        <v>1791</v>
      </c>
      <c r="C324">
        <v>65.599999999999994</v>
      </c>
      <c r="D324">
        <v>311.47000000000003</v>
      </c>
      <c r="E324">
        <v>0.88442299999999996</v>
      </c>
      <c r="F324">
        <v>30.99</v>
      </c>
      <c r="G324">
        <v>34</v>
      </c>
      <c r="H324">
        <v>14.01</v>
      </c>
    </row>
    <row r="325" spans="1:8">
      <c r="A325" s="1">
        <v>40</v>
      </c>
      <c r="B325" t="s">
        <v>1792</v>
      </c>
      <c r="C325">
        <v>67.47</v>
      </c>
      <c r="D325">
        <v>311.20999999999998</v>
      </c>
      <c r="E325">
        <v>0.88389099999999998</v>
      </c>
      <c r="F325">
        <v>5.61</v>
      </c>
      <c r="G325">
        <v>48</v>
      </c>
      <c r="H325">
        <v>15.04</v>
      </c>
    </row>
    <row r="326" spans="1:8">
      <c r="A326" s="1">
        <v>41</v>
      </c>
      <c r="B326" t="s">
        <v>1793</v>
      </c>
      <c r="C326">
        <v>63.86</v>
      </c>
      <c r="D326">
        <v>309.02</v>
      </c>
      <c r="E326">
        <v>0.84040999999999999</v>
      </c>
      <c r="F326">
        <v>1.23</v>
      </c>
      <c r="G326">
        <v>0</v>
      </c>
      <c r="H326">
        <v>13.73</v>
      </c>
    </row>
    <row r="327" spans="1:8">
      <c r="A327" s="1">
        <v>42</v>
      </c>
      <c r="B327" t="s">
        <v>1794</v>
      </c>
      <c r="C327">
        <v>60.45</v>
      </c>
      <c r="D327">
        <v>307.26</v>
      </c>
      <c r="E327">
        <v>0.822407</v>
      </c>
      <c r="F327">
        <v>0.15</v>
      </c>
      <c r="G327">
        <v>20</v>
      </c>
      <c r="H327">
        <v>13.05</v>
      </c>
    </row>
    <row r="328" spans="1:8">
      <c r="A328" s="1">
        <v>43</v>
      </c>
      <c r="B328" t="s">
        <v>1795</v>
      </c>
      <c r="C328">
        <v>62.59</v>
      </c>
      <c r="D328">
        <v>309.29000000000002</v>
      </c>
      <c r="E328">
        <v>0.85158699999999998</v>
      </c>
      <c r="F328">
        <v>1.84</v>
      </c>
      <c r="G328">
        <v>38</v>
      </c>
      <c r="H328">
        <v>13.2</v>
      </c>
    </row>
    <row r="329" spans="1:8">
      <c r="A329" s="1">
        <v>44</v>
      </c>
      <c r="B329" t="s">
        <v>1796</v>
      </c>
      <c r="C329">
        <v>63.05</v>
      </c>
      <c r="D329">
        <v>308.27999999999997</v>
      </c>
      <c r="E329">
        <v>0.84669700000000003</v>
      </c>
      <c r="F329">
        <v>0.19</v>
      </c>
      <c r="G329">
        <v>2</v>
      </c>
      <c r="H329">
        <v>13.47</v>
      </c>
    </row>
    <row r="330" spans="1:8">
      <c r="A330" s="1">
        <v>45</v>
      </c>
      <c r="B330" t="s">
        <v>1797</v>
      </c>
      <c r="C330">
        <v>70.180000000000007</v>
      </c>
      <c r="D330" t="e">
        <f>-inf</f>
        <v>#NAME?</v>
      </c>
      <c r="E330">
        <v>0.82658200000000004</v>
      </c>
      <c r="F330">
        <v>0</v>
      </c>
      <c r="G330">
        <v>36</v>
      </c>
      <c r="H330">
        <v>15.02</v>
      </c>
    </row>
    <row r="331" spans="1:8">
      <c r="A331" s="1">
        <v>46</v>
      </c>
      <c r="B331" t="s">
        <v>1798</v>
      </c>
      <c r="C331">
        <v>64.58</v>
      </c>
      <c r="D331">
        <v>310.24</v>
      </c>
      <c r="E331">
        <v>0.85475400000000001</v>
      </c>
      <c r="F331">
        <v>9.98</v>
      </c>
      <c r="G331">
        <v>12</v>
      </c>
      <c r="H331">
        <v>13.94</v>
      </c>
    </row>
    <row r="332" spans="1:8">
      <c r="A332" s="1">
        <v>47</v>
      </c>
      <c r="B332" t="s">
        <v>1799</v>
      </c>
      <c r="C332">
        <v>60.7</v>
      </c>
      <c r="D332">
        <v>308.79000000000002</v>
      </c>
      <c r="E332">
        <v>0.84029200000000004</v>
      </c>
      <c r="F332">
        <v>2.96</v>
      </c>
      <c r="G332">
        <v>22</v>
      </c>
      <c r="H332">
        <v>13.4</v>
      </c>
    </row>
    <row r="333" spans="1:8">
      <c r="A333" s="1">
        <v>48</v>
      </c>
      <c r="B333" t="s">
        <v>1800</v>
      </c>
      <c r="C333">
        <v>64.77</v>
      </c>
      <c r="D333">
        <v>311.39999999999998</v>
      </c>
      <c r="E333">
        <v>0.89461299999999999</v>
      </c>
      <c r="F333">
        <v>32.26</v>
      </c>
      <c r="G333">
        <v>32</v>
      </c>
      <c r="H333">
        <v>13.82</v>
      </c>
    </row>
    <row r="334" spans="1:8">
      <c r="A334" s="1">
        <v>49</v>
      </c>
      <c r="B334" t="s">
        <v>1801</v>
      </c>
      <c r="C334">
        <v>58.74</v>
      </c>
      <c r="D334">
        <v>308.25</v>
      </c>
      <c r="E334">
        <v>0.82796199999999998</v>
      </c>
      <c r="F334">
        <v>10.06</v>
      </c>
      <c r="G334">
        <v>54</v>
      </c>
      <c r="H334">
        <v>13.07</v>
      </c>
    </row>
    <row r="335" spans="1:8">
      <c r="A335" s="1">
        <v>50</v>
      </c>
      <c r="B335" t="s">
        <v>1802</v>
      </c>
      <c r="C335">
        <v>66.36</v>
      </c>
      <c r="D335">
        <v>311.35000000000002</v>
      </c>
      <c r="E335">
        <v>0.88544500000000004</v>
      </c>
      <c r="F335">
        <v>9.83</v>
      </c>
      <c r="G335">
        <v>66</v>
      </c>
      <c r="H335">
        <v>14.36</v>
      </c>
    </row>
    <row r="336" spans="1:8">
      <c r="B336" s="1" t="s">
        <v>19</v>
      </c>
      <c r="C336" s="1">
        <f>AVERAGE(C286:C335)</f>
        <v>65.339999999999975</v>
      </c>
      <c r="D336" s="1" t="e">
        <f t="shared" ref="D336:H336" si="14">AVERAGE(D286:D335)</f>
        <v>#NAME?</v>
      </c>
      <c r="E336" s="1">
        <f t="shared" si="14"/>
        <v>0.84804341999999977</v>
      </c>
      <c r="F336" s="1">
        <f t="shared" si="14"/>
        <v>5.9586000000000015</v>
      </c>
      <c r="G336" s="1">
        <f t="shared" si="14"/>
        <v>33.479999999999997</v>
      </c>
      <c r="H336" s="1">
        <f t="shared" si="14"/>
        <v>14.082000000000003</v>
      </c>
    </row>
    <row r="337" spans="1:8">
      <c r="B337" s="1" t="s">
        <v>20</v>
      </c>
      <c r="C337" s="1">
        <f>MIN(C285:C335)</f>
        <v>53.93</v>
      </c>
      <c r="D337" s="1" t="e">
        <f t="shared" ref="D337:F337" si="15">MIN(D285:D335)</f>
        <v>#NAME?</v>
      </c>
      <c r="E337" s="1">
        <f t="shared" si="15"/>
        <v>0.76749800000000001</v>
      </c>
      <c r="F337" s="1">
        <f t="shared" si="15"/>
        <v>0</v>
      </c>
      <c r="H337" s="1">
        <f t="shared" ref="H337" si="16">MIN(H285:H335)</f>
        <v>11.37</v>
      </c>
    </row>
    <row r="338" spans="1:8">
      <c r="B338" s="1" t="s">
        <v>3</v>
      </c>
      <c r="C338" s="1">
        <f>STDEV(C286:C335)</f>
        <v>3.5285257371249057</v>
      </c>
      <c r="D338" s="1" t="e">
        <f t="shared" ref="D338:E338" si="17">STDEV(D286:D335)</f>
        <v>#NAME?</v>
      </c>
      <c r="E338" s="1">
        <f t="shared" si="17"/>
        <v>3.1002386657369915E-2</v>
      </c>
      <c r="F338" s="1">
        <f>STDEV(F286:F335)</f>
        <v>8.283558589034012</v>
      </c>
      <c r="H338" s="1">
        <f>STDEV(H286:H335)</f>
        <v>0.81331019260037396</v>
      </c>
    </row>
    <row r="340" spans="1:8">
      <c r="H340" s="21" t="s">
        <v>1435</v>
      </c>
    </row>
    <row r="341" spans="1:8" ht="18">
      <c r="A341" s="21" t="s">
        <v>7</v>
      </c>
      <c r="B341" s="3" t="s">
        <v>6</v>
      </c>
      <c r="C341" s="21" t="s">
        <v>4</v>
      </c>
      <c r="D341" s="21" t="s">
        <v>322</v>
      </c>
      <c r="E341" s="21" t="s">
        <v>321</v>
      </c>
      <c r="F341" s="21" t="s">
        <v>324</v>
      </c>
      <c r="G341" s="21" t="s">
        <v>323</v>
      </c>
      <c r="H341" s="21" t="s">
        <v>1436</v>
      </c>
    </row>
    <row r="342" spans="1:8">
      <c r="A342" s="1">
        <v>1</v>
      </c>
      <c r="B342" t="s">
        <v>3322</v>
      </c>
      <c r="C342">
        <v>58.28</v>
      </c>
      <c r="D342">
        <v>384.19</v>
      </c>
      <c r="E342">
        <v>0.82763699999999996</v>
      </c>
      <c r="F342">
        <v>1.04</v>
      </c>
      <c r="G342">
        <v>8</v>
      </c>
      <c r="H342">
        <v>12.57</v>
      </c>
    </row>
    <row r="343" spans="1:8">
      <c r="A343" s="1">
        <v>2</v>
      </c>
      <c r="B343" t="s">
        <v>3323</v>
      </c>
      <c r="C343">
        <v>55.44</v>
      </c>
      <c r="D343">
        <v>380.69</v>
      </c>
      <c r="E343">
        <v>0.78273499999999996</v>
      </c>
      <c r="F343">
        <v>0.88</v>
      </c>
      <c r="G343">
        <v>6</v>
      </c>
      <c r="H343">
        <v>12.66</v>
      </c>
    </row>
    <row r="344" spans="1:8">
      <c r="A344" s="1">
        <v>3</v>
      </c>
      <c r="B344" t="s">
        <v>3324</v>
      </c>
      <c r="C344">
        <v>60.34</v>
      </c>
      <c r="D344">
        <v>382.84</v>
      </c>
      <c r="E344">
        <v>0.82625800000000005</v>
      </c>
      <c r="F344">
        <v>0.46</v>
      </c>
      <c r="G344">
        <v>68</v>
      </c>
      <c r="H344">
        <v>12.9</v>
      </c>
    </row>
    <row r="345" spans="1:8">
      <c r="A345" s="1">
        <v>4</v>
      </c>
      <c r="B345" t="s">
        <v>3325</v>
      </c>
      <c r="C345">
        <v>61.75</v>
      </c>
      <c r="D345">
        <v>384.7</v>
      </c>
      <c r="E345">
        <v>0.83333900000000005</v>
      </c>
      <c r="F345">
        <v>0.73</v>
      </c>
      <c r="G345">
        <v>28</v>
      </c>
      <c r="H345">
        <v>13.38</v>
      </c>
    </row>
    <row r="346" spans="1:8">
      <c r="A346" s="1">
        <v>5</v>
      </c>
      <c r="B346" t="s">
        <v>3326</v>
      </c>
      <c r="C346">
        <v>61.51</v>
      </c>
      <c r="D346">
        <v>384.98</v>
      </c>
      <c r="E346">
        <v>0.84956900000000002</v>
      </c>
      <c r="F346">
        <v>0.77</v>
      </c>
      <c r="G346">
        <v>32</v>
      </c>
      <c r="H346">
        <v>13.57</v>
      </c>
    </row>
    <row r="347" spans="1:8">
      <c r="A347" s="1">
        <v>6</v>
      </c>
      <c r="B347" t="s">
        <v>3327</v>
      </c>
      <c r="C347">
        <v>57.26</v>
      </c>
      <c r="D347">
        <v>382.3</v>
      </c>
      <c r="E347">
        <v>0.79187799999999997</v>
      </c>
      <c r="F347">
        <v>1.42</v>
      </c>
      <c r="G347">
        <v>96</v>
      </c>
      <c r="H347">
        <v>12.49</v>
      </c>
    </row>
    <row r="348" spans="1:8">
      <c r="A348" s="1">
        <v>7</v>
      </c>
      <c r="B348" t="s">
        <v>3328</v>
      </c>
      <c r="C348">
        <v>60.91</v>
      </c>
      <c r="D348">
        <v>383.98</v>
      </c>
      <c r="E348">
        <v>0.81482600000000005</v>
      </c>
      <c r="F348">
        <v>1.34</v>
      </c>
      <c r="G348">
        <v>4</v>
      </c>
      <c r="H348">
        <v>13.17</v>
      </c>
    </row>
    <row r="349" spans="1:8">
      <c r="A349" s="1">
        <v>8</v>
      </c>
      <c r="B349" t="s">
        <v>3329</v>
      </c>
      <c r="C349">
        <v>59.05</v>
      </c>
      <c r="D349">
        <v>383.44</v>
      </c>
      <c r="E349">
        <v>0.79581299999999999</v>
      </c>
      <c r="F349">
        <v>1.38</v>
      </c>
      <c r="G349">
        <v>74</v>
      </c>
      <c r="H349">
        <v>12.52</v>
      </c>
    </row>
    <row r="350" spans="1:8">
      <c r="A350" s="1">
        <v>9</v>
      </c>
      <c r="B350" t="s">
        <v>3330</v>
      </c>
      <c r="C350">
        <v>57.86</v>
      </c>
      <c r="D350">
        <v>380.86</v>
      </c>
      <c r="E350">
        <v>0.78003100000000003</v>
      </c>
      <c r="F350">
        <v>1.04</v>
      </c>
      <c r="G350">
        <v>70</v>
      </c>
      <c r="H350">
        <v>12.5</v>
      </c>
    </row>
    <row r="351" spans="1:8">
      <c r="A351" s="1">
        <v>10</v>
      </c>
      <c r="B351" t="s">
        <v>3331</v>
      </c>
      <c r="C351">
        <v>63.07</v>
      </c>
      <c r="D351">
        <v>382.62</v>
      </c>
      <c r="E351">
        <v>0.80821500000000002</v>
      </c>
      <c r="F351">
        <v>1.04</v>
      </c>
      <c r="G351">
        <v>84</v>
      </c>
      <c r="H351">
        <v>13.69</v>
      </c>
    </row>
    <row r="352" spans="1:8">
      <c r="A352" s="1">
        <v>11</v>
      </c>
      <c r="B352" t="s">
        <v>3332</v>
      </c>
      <c r="C352">
        <v>59.52</v>
      </c>
      <c r="D352">
        <v>383.03</v>
      </c>
      <c r="E352">
        <v>0.78564599999999996</v>
      </c>
      <c r="F352">
        <v>1.23</v>
      </c>
      <c r="G352">
        <v>52</v>
      </c>
      <c r="H352">
        <v>12.65</v>
      </c>
    </row>
    <row r="353" spans="1:8">
      <c r="A353" s="1">
        <v>12</v>
      </c>
      <c r="B353" t="s">
        <v>3333</v>
      </c>
      <c r="C353">
        <v>59.44</v>
      </c>
      <c r="D353">
        <v>385.99</v>
      </c>
      <c r="E353">
        <v>0.83685600000000004</v>
      </c>
      <c r="F353">
        <v>10.94</v>
      </c>
      <c r="G353">
        <v>2</v>
      </c>
      <c r="H353">
        <v>12.75</v>
      </c>
    </row>
    <row r="354" spans="1:8">
      <c r="A354" s="1">
        <v>13</v>
      </c>
      <c r="B354" t="s">
        <v>3334</v>
      </c>
      <c r="C354">
        <v>64.13</v>
      </c>
      <c r="D354">
        <v>385.95</v>
      </c>
      <c r="E354">
        <v>0.84178600000000003</v>
      </c>
      <c r="F354">
        <v>1.57</v>
      </c>
      <c r="G354">
        <v>18</v>
      </c>
      <c r="H354">
        <v>13.83</v>
      </c>
    </row>
    <row r="355" spans="1:8">
      <c r="A355" s="1">
        <v>14</v>
      </c>
      <c r="B355" t="s">
        <v>3335</v>
      </c>
      <c r="C355">
        <v>62.7</v>
      </c>
      <c r="D355">
        <v>383.87</v>
      </c>
      <c r="E355">
        <v>0.81690700000000005</v>
      </c>
      <c r="F355">
        <v>0.35</v>
      </c>
      <c r="G355">
        <v>86</v>
      </c>
      <c r="H355">
        <v>14.11</v>
      </c>
    </row>
    <row r="356" spans="1:8">
      <c r="A356" s="1">
        <v>15</v>
      </c>
      <c r="B356" t="s">
        <v>3336</v>
      </c>
      <c r="C356">
        <v>62.45</v>
      </c>
      <c r="D356">
        <v>384.88</v>
      </c>
      <c r="E356">
        <v>0.82303000000000004</v>
      </c>
      <c r="F356">
        <v>1.84</v>
      </c>
      <c r="G356">
        <v>62</v>
      </c>
      <c r="H356">
        <v>13.54</v>
      </c>
    </row>
    <row r="357" spans="1:8">
      <c r="A357" s="1">
        <v>16</v>
      </c>
      <c r="B357" t="s">
        <v>3337</v>
      </c>
      <c r="C357">
        <v>59.23</v>
      </c>
      <c r="D357" t="e">
        <f>-inf</f>
        <v>#NAME?</v>
      </c>
      <c r="E357">
        <v>0.79981199999999997</v>
      </c>
      <c r="F357">
        <v>0</v>
      </c>
      <c r="G357">
        <v>28</v>
      </c>
      <c r="H357">
        <v>13.16</v>
      </c>
    </row>
    <row r="358" spans="1:8">
      <c r="A358" s="1">
        <v>17</v>
      </c>
      <c r="B358" t="s">
        <v>3338</v>
      </c>
      <c r="C358">
        <v>59.85</v>
      </c>
      <c r="D358">
        <v>382.58</v>
      </c>
      <c r="E358">
        <v>0.799952</v>
      </c>
      <c r="F358">
        <v>1.27</v>
      </c>
      <c r="G358">
        <v>60</v>
      </c>
      <c r="H358">
        <v>12.73</v>
      </c>
    </row>
    <row r="359" spans="1:8">
      <c r="A359" s="1">
        <v>18</v>
      </c>
      <c r="B359" t="s">
        <v>3339</v>
      </c>
      <c r="C359">
        <v>57.45</v>
      </c>
      <c r="D359">
        <v>379.31</v>
      </c>
      <c r="E359">
        <v>0.76944800000000002</v>
      </c>
      <c r="F359">
        <v>1.27</v>
      </c>
      <c r="G359">
        <v>6</v>
      </c>
      <c r="H359">
        <v>12.51</v>
      </c>
    </row>
    <row r="360" spans="1:8">
      <c r="A360" s="1">
        <v>19</v>
      </c>
      <c r="B360" t="s">
        <v>3340</v>
      </c>
      <c r="C360">
        <v>53.78</v>
      </c>
      <c r="D360">
        <v>382.52</v>
      </c>
      <c r="E360">
        <v>0.797871</v>
      </c>
      <c r="F360">
        <v>4.6100000000000003</v>
      </c>
      <c r="G360">
        <v>24</v>
      </c>
      <c r="H360">
        <v>11.67</v>
      </c>
    </row>
    <row r="361" spans="1:8">
      <c r="A361" s="1">
        <v>20</v>
      </c>
      <c r="B361" t="s">
        <v>3341</v>
      </c>
      <c r="C361">
        <v>60.49</v>
      </c>
      <c r="D361">
        <v>385.82</v>
      </c>
      <c r="E361">
        <v>0.83211400000000002</v>
      </c>
      <c r="F361">
        <v>11.29</v>
      </c>
      <c r="G361">
        <v>38</v>
      </c>
      <c r="H361">
        <v>13.21</v>
      </c>
    </row>
    <row r="362" spans="1:8">
      <c r="A362" s="1">
        <v>21</v>
      </c>
      <c r="B362" t="s">
        <v>3342</v>
      </c>
      <c r="C362">
        <v>62.8</v>
      </c>
      <c r="D362">
        <v>386.11</v>
      </c>
      <c r="E362">
        <v>0.83840300000000001</v>
      </c>
      <c r="F362">
        <v>1.57</v>
      </c>
      <c r="G362">
        <v>58</v>
      </c>
      <c r="H362">
        <v>13.62</v>
      </c>
    </row>
    <row r="363" spans="1:8">
      <c r="A363" s="1">
        <v>22</v>
      </c>
      <c r="B363" t="s">
        <v>3343</v>
      </c>
      <c r="C363">
        <v>52.62</v>
      </c>
      <c r="D363">
        <v>383.34</v>
      </c>
      <c r="E363">
        <v>0.81843200000000005</v>
      </c>
      <c r="F363">
        <v>13.06</v>
      </c>
      <c r="G363">
        <v>28</v>
      </c>
      <c r="H363">
        <v>11.22</v>
      </c>
    </row>
    <row r="364" spans="1:8">
      <c r="A364" s="1">
        <v>23</v>
      </c>
      <c r="B364" t="s">
        <v>3344</v>
      </c>
      <c r="C364">
        <v>55.84</v>
      </c>
      <c r="D364">
        <v>381.94</v>
      </c>
      <c r="E364">
        <v>0.77926700000000004</v>
      </c>
      <c r="F364">
        <v>1.34</v>
      </c>
      <c r="G364">
        <v>38</v>
      </c>
      <c r="H364">
        <v>11.95</v>
      </c>
    </row>
    <row r="365" spans="1:8">
      <c r="A365" s="1">
        <v>24</v>
      </c>
      <c r="B365" t="s">
        <v>3345</v>
      </c>
      <c r="C365">
        <v>64.760000000000005</v>
      </c>
      <c r="D365">
        <v>387.78</v>
      </c>
      <c r="E365">
        <v>0.86249299999999995</v>
      </c>
      <c r="F365">
        <v>7.72</v>
      </c>
      <c r="G365">
        <v>2</v>
      </c>
      <c r="H365">
        <v>14.04</v>
      </c>
    </row>
    <row r="366" spans="1:8">
      <c r="A366" s="1">
        <v>25</v>
      </c>
      <c r="B366" t="s">
        <v>3346</v>
      </c>
      <c r="C366">
        <v>66.680000000000007</v>
      </c>
      <c r="D366">
        <v>387.11</v>
      </c>
      <c r="E366">
        <v>0.85270500000000005</v>
      </c>
      <c r="F366">
        <v>1.61</v>
      </c>
      <c r="G366">
        <v>30</v>
      </c>
      <c r="H366">
        <v>14.26</v>
      </c>
    </row>
    <row r="367" spans="1:8">
      <c r="A367" s="1">
        <v>26</v>
      </c>
      <c r="B367" t="s">
        <v>3347</v>
      </c>
      <c r="C367">
        <v>61.04</v>
      </c>
      <c r="D367">
        <v>387.92</v>
      </c>
      <c r="E367">
        <v>0.88910500000000003</v>
      </c>
      <c r="F367">
        <v>28.72</v>
      </c>
      <c r="G367">
        <v>14</v>
      </c>
      <c r="H367">
        <v>12.98</v>
      </c>
    </row>
    <row r="368" spans="1:8">
      <c r="A368" s="1">
        <v>27</v>
      </c>
      <c r="B368" t="s">
        <v>3348</v>
      </c>
      <c r="C368">
        <v>56.15</v>
      </c>
      <c r="D368">
        <v>382.85</v>
      </c>
      <c r="E368">
        <v>0.77878000000000003</v>
      </c>
      <c r="F368">
        <v>2.23</v>
      </c>
      <c r="G368">
        <v>6</v>
      </c>
      <c r="H368">
        <v>11.94</v>
      </c>
    </row>
    <row r="369" spans="1:8">
      <c r="A369" s="1">
        <v>28</v>
      </c>
      <c r="B369" t="s">
        <v>3349</v>
      </c>
      <c r="C369">
        <v>58.27</v>
      </c>
      <c r="D369">
        <v>386.25</v>
      </c>
      <c r="E369">
        <v>0.85525399999999996</v>
      </c>
      <c r="F369">
        <v>14.36</v>
      </c>
      <c r="G369">
        <v>22</v>
      </c>
      <c r="H369">
        <v>12.71</v>
      </c>
    </row>
    <row r="370" spans="1:8">
      <c r="A370" s="1">
        <v>29</v>
      </c>
      <c r="B370" t="s">
        <v>3350</v>
      </c>
      <c r="C370">
        <v>62.36</v>
      </c>
      <c r="D370">
        <v>384.4</v>
      </c>
      <c r="E370">
        <v>0.84522200000000003</v>
      </c>
      <c r="F370">
        <v>0.88</v>
      </c>
      <c r="G370">
        <v>90</v>
      </c>
      <c r="H370">
        <v>13.53</v>
      </c>
    </row>
    <row r="371" spans="1:8">
      <c r="A371" s="1">
        <v>30</v>
      </c>
      <c r="B371" t="s">
        <v>3351</v>
      </c>
      <c r="C371">
        <v>56.91</v>
      </c>
      <c r="D371">
        <v>383.03</v>
      </c>
      <c r="E371">
        <v>0.82355299999999998</v>
      </c>
      <c r="F371">
        <v>0.61</v>
      </c>
      <c r="G371">
        <v>52</v>
      </c>
      <c r="H371">
        <v>12.31</v>
      </c>
    </row>
    <row r="372" spans="1:8">
      <c r="A372" s="1">
        <v>31</v>
      </c>
      <c r="B372" t="s">
        <v>3352</v>
      </c>
      <c r="C372">
        <v>56.25</v>
      </c>
      <c r="D372">
        <v>381.07</v>
      </c>
      <c r="E372">
        <v>0.79882900000000001</v>
      </c>
      <c r="F372">
        <v>0.81</v>
      </c>
      <c r="G372">
        <v>38</v>
      </c>
      <c r="H372">
        <v>12.05</v>
      </c>
    </row>
    <row r="373" spans="1:8">
      <c r="A373" s="1">
        <v>32</v>
      </c>
      <c r="B373" t="s">
        <v>3353</v>
      </c>
      <c r="C373">
        <v>67.83</v>
      </c>
      <c r="D373">
        <v>387.29</v>
      </c>
      <c r="E373">
        <v>0.85650999999999999</v>
      </c>
      <c r="F373">
        <v>1.19</v>
      </c>
      <c r="G373">
        <v>78</v>
      </c>
      <c r="H373">
        <v>14.26</v>
      </c>
    </row>
    <row r="374" spans="1:8">
      <c r="A374" s="1">
        <v>33</v>
      </c>
      <c r="B374" t="s">
        <v>3354</v>
      </c>
      <c r="C374">
        <v>62.86</v>
      </c>
      <c r="D374">
        <v>386.9</v>
      </c>
      <c r="E374">
        <v>0.87137399999999998</v>
      </c>
      <c r="F374">
        <v>1.1100000000000001</v>
      </c>
      <c r="G374">
        <v>70</v>
      </c>
      <c r="H374">
        <v>13.62</v>
      </c>
    </row>
    <row r="375" spans="1:8">
      <c r="A375" s="1">
        <v>34</v>
      </c>
      <c r="B375" t="s">
        <v>3355</v>
      </c>
      <c r="C375">
        <v>58.37</v>
      </c>
      <c r="D375">
        <v>382.24</v>
      </c>
      <c r="E375">
        <v>0.82810300000000003</v>
      </c>
      <c r="F375">
        <v>0.15</v>
      </c>
      <c r="G375">
        <v>26</v>
      </c>
      <c r="H375">
        <v>12.82</v>
      </c>
    </row>
    <row r="376" spans="1:8">
      <c r="A376" s="1">
        <v>35</v>
      </c>
      <c r="B376" t="s">
        <v>3356</v>
      </c>
      <c r="C376">
        <v>57.44</v>
      </c>
      <c r="D376">
        <v>383.48</v>
      </c>
      <c r="E376">
        <v>0.82549799999999995</v>
      </c>
      <c r="F376">
        <v>1.84</v>
      </c>
      <c r="G376">
        <v>4</v>
      </c>
      <c r="H376">
        <v>12.44</v>
      </c>
    </row>
    <row r="377" spans="1:8">
      <c r="A377" s="1">
        <v>36</v>
      </c>
      <c r="B377" t="s">
        <v>3357</v>
      </c>
      <c r="C377">
        <v>57.27</v>
      </c>
      <c r="D377">
        <v>377.57</v>
      </c>
      <c r="E377">
        <v>0.75817500000000004</v>
      </c>
      <c r="F377">
        <v>0.04</v>
      </c>
      <c r="G377">
        <v>14</v>
      </c>
      <c r="H377">
        <v>12.21</v>
      </c>
    </row>
    <row r="378" spans="1:8">
      <c r="A378" s="1">
        <v>37</v>
      </c>
      <c r="B378" t="s">
        <v>3358</v>
      </c>
      <c r="C378">
        <v>59.52</v>
      </c>
      <c r="D378">
        <v>385.07</v>
      </c>
      <c r="E378">
        <v>0.82601999999999998</v>
      </c>
      <c r="F378">
        <v>3.92</v>
      </c>
      <c r="G378">
        <v>14</v>
      </c>
      <c r="H378">
        <v>12.82</v>
      </c>
    </row>
    <row r="379" spans="1:8">
      <c r="A379" s="1">
        <v>38</v>
      </c>
      <c r="B379" t="s">
        <v>3359</v>
      </c>
      <c r="C379">
        <v>60.35</v>
      </c>
      <c r="D379">
        <v>380.92</v>
      </c>
      <c r="E379">
        <v>0.78634899999999996</v>
      </c>
      <c r="F379">
        <v>0.31</v>
      </c>
      <c r="G379">
        <v>72</v>
      </c>
      <c r="H379">
        <v>13.17</v>
      </c>
    </row>
    <row r="380" spans="1:8">
      <c r="A380" s="1">
        <v>39</v>
      </c>
      <c r="B380" t="s">
        <v>3360</v>
      </c>
      <c r="C380">
        <v>55.55</v>
      </c>
      <c r="D380">
        <v>378.82</v>
      </c>
      <c r="E380">
        <v>0.78247800000000001</v>
      </c>
      <c r="F380">
        <v>0.35</v>
      </c>
      <c r="G380">
        <v>10</v>
      </c>
      <c r="H380">
        <v>11.88</v>
      </c>
    </row>
    <row r="381" spans="1:8">
      <c r="A381" s="1">
        <v>40</v>
      </c>
      <c r="B381" t="s">
        <v>3361</v>
      </c>
      <c r="C381">
        <v>53.64</v>
      </c>
      <c r="D381">
        <v>383.29</v>
      </c>
      <c r="E381">
        <v>0.84417600000000004</v>
      </c>
      <c r="F381">
        <v>0.88</v>
      </c>
      <c r="G381">
        <v>28</v>
      </c>
      <c r="H381">
        <v>11.49</v>
      </c>
    </row>
    <row r="382" spans="1:8">
      <c r="A382" s="1">
        <v>41</v>
      </c>
      <c r="B382" t="s">
        <v>3362</v>
      </c>
      <c r="C382">
        <v>51.57</v>
      </c>
      <c r="D382">
        <v>381.27</v>
      </c>
      <c r="E382">
        <v>0.81835800000000003</v>
      </c>
      <c r="F382">
        <v>2.27</v>
      </c>
      <c r="G382">
        <v>64</v>
      </c>
      <c r="H382">
        <v>11.17</v>
      </c>
    </row>
    <row r="383" spans="1:8">
      <c r="A383" s="1">
        <v>42</v>
      </c>
      <c r="B383" t="s">
        <v>3363</v>
      </c>
      <c r="C383">
        <v>59.84</v>
      </c>
      <c r="D383">
        <v>383.44</v>
      </c>
      <c r="E383">
        <v>0.80712700000000004</v>
      </c>
      <c r="F383">
        <v>0.84</v>
      </c>
      <c r="G383">
        <v>96</v>
      </c>
      <c r="H383">
        <v>12.94</v>
      </c>
    </row>
    <row r="384" spans="1:8">
      <c r="A384" s="1">
        <v>43</v>
      </c>
      <c r="B384" t="s">
        <v>3364</v>
      </c>
      <c r="C384">
        <v>59.62</v>
      </c>
      <c r="D384">
        <v>384.03</v>
      </c>
      <c r="E384">
        <v>0.80439700000000003</v>
      </c>
      <c r="F384">
        <v>1.5</v>
      </c>
      <c r="G384">
        <v>22</v>
      </c>
      <c r="H384">
        <v>12.94</v>
      </c>
    </row>
    <row r="385" spans="1:8">
      <c r="A385" s="1">
        <v>44</v>
      </c>
      <c r="B385" t="s">
        <v>3365</v>
      </c>
      <c r="C385">
        <v>60.88</v>
      </c>
      <c r="D385">
        <v>385.4</v>
      </c>
      <c r="E385">
        <v>0.838028</v>
      </c>
      <c r="F385">
        <v>1.31</v>
      </c>
      <c r="G385">
        <v>20</v>
      </c>
      <c r="H385">
        <v>13.53</v>
      </c>
    </row>
    <row r="386" spans="1:8">
      <c r="A386" s="1">
        <v>45</v>
      </c>
      <c r="B386" t="s">
        <v>3366</v>
      </c>
      <c r="C386">
        <v>61.84</v>
      </c>
      <c r="D386" t="e">
        <f>-inf</f>
        <v>#NAME?</v>
      </c>
      <c r="E386">
        <v>0.82229099999999999</v>
      </c>
      <c r="F386">
        <v>0</v>
      </c>
      <c r="G386">
        <v>86</v>
      </c>
      <c r="H386">
        <v>13.52</v>
      </c>
    </row>
    <row r="387" spans="1:8">
      <c r="A387" s="1">
        <v>46</v>
      </c>
      <c r="B387" t="s">
        <v>3367</v>
      </c>
      <c r="C387">
        <v>59.31</v>
      </c>
      <c r="D387" t="e">
        <f>-inf</f>
        <v>#NAME?</v>
      </c>
      <c r="E387">
        <v>0.79078000000000004</v>
      </c>
      <c r="F387">
        <v>0</v>
      </c>
      <c r="G387">
        <v>28</v>
      </c>
      <c r="H387">
        <v>12.98</v>
      </c>
    </row>
    <row r="388" spans="1:8">
      <c r="A388" s="1">
        <v>47</v>
      </c>
      <c r="B388" t="s">
        <v>3368</v>
      </c>
      <c r="C388">
        <v>58.81</v>
      </c>
      <c r="D388">
        <v>381.98</v>
      </c>
      <c r="E388">
        <v>0.79886999999999997</v>
      </c>
      <c r="F388">
        <v>0.92</v>
      </c>
      <c r="G388">
        <v>30</v>
      </c>
      <c r="H388">
        <v>12.73</v>
      </c>
    </row>
    <row r="389" spans="1:8">
      <c r="A389" s="1">
        <v>48</v>
      </c>
      <c r="B389" t="s">
        <v>3369</v>
      </c>
      <c r="C389">
        <v>60.81</v>
      </c>
      <c r="D389">
        <v>385.13</v>
      </c>
      <c r="E389">
        <v>0.81865399999999999</v>
      </c>
      <c r="F389">
        <v>3.69</v>
      </c>
      <c r="G389">
        <v>32</v>
      </c>
      <c r="H389">
        <v>13.01</v>
      </c>
    </row>
    <row r="390" spans="1:8">
      <c r="A390" s="1">
        <v>49</v>
      </c>
      <c r="B390" t="s">
        <v>3370</v>
      </c>
      <c r="C390">
        <v>55.92</v>
      </c>
      <c r="D390">
        <v>384.31</v>
      </c>
      <c r="E390">
        <v>0.82193300000000002</v>
      </c>
      <c r="F390">
        <v>8.7200000000000006</v>
      </c>
      <c r="G390">
        <v>86</v>
      </c>
      <c r="H390">
        <v>12.25</v>
      </c>
    </row>
    <row r="391" spans="1:8">
      <c r="A391" s="1">
        <v>50</v>
      </c>
      <c r="B391" t="s">
        <v>3371</v>
      </c>
      <c r="C391">
        <v>54.16</v>
      </c>
      <c r="D391">
        <v>381.22</v>
      </c>
      <c r="E391">
        <v>0.81542199999999998</v>
      </c>
      <c r="F391">
        <v>0.61</v>
      </c>
      <c r="G391">
        <v>14</v>
      </c>
      <c r="H391">
        <v>12.11</v>
      </c>
    </row>
    <row r="392" spans="1:8">
      <c r="B392" s="1" t="s">
        <v>19</v>
      </c>
      <c r="C392" s="1">
        <f>AVERAGE(C342:C391)</f>
        <v>59.275599999999997</v>
      </c>
      <c r="D392" s="1" t="e">
        <f t="shared" ref="D392:H392" si="18">AVERAGE(D342:D391)</f>
        <v>#NAME?</v>
      </c>
      <c r="E392" s="1">
        <f t="shared" si="18"/>
        <v>0.81740618000000032</v>
      </c>
      <c r="F392" s="1">
        <f t="shared" si="18"/>
        <v>2.9406000000000008</v>
      </c>
      <c r="G392" s="1">
        <f t="shared" si="18"/>
        <v>40.36</v>
      </c>
      <c r="H392" s="1">
        <f t="shared" si="18"/>
        <v>12.8422</v>
      </c>
    </row>
    <row r="393" spans="1:8">
      <c r="B393" s="1" t="s">
        <v>20</v>
      </c>
      <c r="C393" s="1">
        <f>MIN(C341:C391)</f>
        <v>51.57</v>
      </c>
      <c r="D393" s="1" t="e">
        <f t="shared" ref="D393:F393" si="19">MIN(D341:D391)</f>
        <v>#NAME?</v>
      </c>
      <c r="E393" s="1">
        <f t="shared" si="19"/>
        <v>0.75817500000000004</v>
      </c>
      <c r="F393" s="1">
        <f t="shared" si="19"/>
        <v>0</v>
      </c>
      <c r="H393" s="1">
        <f t="shared" ref="H393" si="20">MIN(H341:H391)</f>
        <v>11.17</v>
      </c>
    </row>
    <row r="394" spans="1:8">
      <c r="B394" s="1" t="s">
        <v>3</v>
      </c>
      <c r="C394" s="1">
        <f>STDEV(C342:C391)</f>
        <v>3.4213442637988716</v>
      </c>
      <c r="D394" s="1" t="e">
        <f t="shared" ref="D394:E394" si="21">STDEV(D342:D391)</f>
        <v>#NAME?</v>
      </c>
      <c r="E394" s="1">
        <f t="shared" si="21"/>
        <v>2.7888476639154263E-2</v>
      </c>
      <c r="F394" s="1">
        <f>STDEV(F342:F391)</f>
        <v>5.062428799196959</v>
      </c>
      <c r="H394" s="1">
        <f>STDEV(H342:H391)</f>
        <v>0.74771567771036507</v>
      </c>
    </row>
    <row r="397" spans="1:8" ht="18">
      <c r="A397" s="21"/>
      <c r="B397" s="3"/>
      <c r="C397" s="21"/>
      <c r="D397" s="21"/>
      <c r="E397" s="21"/>
      <c r="F397" s="21"/>
      <c r="G397" s="21"/>
    </row>
    <row r="421" spans="2:4" ht="18">
      <c r="B421" s="3"/>
      <c r="C421" s="21"/>
      <c r="D421" s="21"/>
    </row>
    <row r="445" spans="2:4" ht="18">
      <c r="B445" s="3"/>
      <c r="C445" s="21"/>
      <c r="D445" s="21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45"/>
  <sheetViews>
    <sheetView topLeftCell="A352" zoomScale="50" zoomScaleNormal="50" workbookViewId="0">
      <selection activeCell="M370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3270</v>
      </c>
      <c r="C1" s="25"/>
      <c r="D1" s="25"/>
    </row>
    <row r="2" spans="1:8">
      <c r="B2" s="25"/>
      <c r="C2" s="25"/>
      <c r="D2" s="25"/>
    </row>
    <row r="4" spans="1:8">
      <c r="H4" s="21" t="s">
        <v>1435</v>
      </c>
    </row>
    <row r="5" spans="1:8" ht="18">
      <c r="A5" s="21" t="s">
        <v>7</v>
      </c>
      <c r="B5" s="3" t="s">
        <v>0</v>
      </c>
      <c r="C5" s="21" t="s">
        <v>4</v>
      </c>
      <c r="D5" s="21" t="s">
        <v>322</v>
      </c>
      <c r="E5" s="21" t="s">
        <v>321</v>
      </c>
      <c r="F5" s="21" t="s">
        <v>324</v>
      </c>
      <c r="G5" s="21" t="s">
        <v>323</v>
      </c>
      <c r="H5" s="21" t="s">
        <v>1436</v>
      </c>
    </row>
    <row r="6" spans="1:8">
      <c r="A6" s="1">
        <v>1</v>
      </c>
      <c r="B6" t="s">
        <v>3472</v>
      </c>
      <c r="C6">
        <v>90.2</v>
      </c>
      <c r="D6">
        <v>15.91</v>
      </c>
      <c r="E6">
        <v>0.988622</v>
      </c>
      <c r="F6">
        <v>80.52</v>
      </c>
      <c r="G6">
        <v>0</v>
      </c>
      <c r="H6">
        <v>19.39</v>
      </c>
    </row>
    <row r="7" spans="1:8">
      <c r="A7" s="1">
        <v>2</v>
      </c>
      <c r="B7" t="s">
        <v>3473</v>
      </c>
      <c r="C7">
        <v>143.75</v>
      </c>
      <c r="D7">
        <v>16.22</v>
      </c>
      <c r="E7">
        <v>0.83774199999999999</v>
      </c>
      <c r="F7">
        <v>80.489999999999995</v>
      </c>
      <c r="G7">
        <v>0</v>
      </c>
      <c r="H7">
        <v>46.72</v>
      </c>
    </row>
    <row r="8" spans="1:8">
      <c r="A8" s="1">
        <v>3</v>
      </c>
      <c r="B8" t="s">
        <v>3474</v>
      </c>
      <c r="C8">
        <v>242.61</v>
      </c>
      <c r="D8">
        <v>16.68</v>
      </c>
      <c r="E8">
        <v>0.84353999999999996</v>
      </c>
      <c r="F8">
        <v>138.12</v>
      </c>
      <c r="G8">
        <v>0</v>
      </c>
      <c r="H8">
        <v>54.29</v>
      </c>
    </row>
    <row r="9" spans="1:8">
      <c r="A9" s="1">
        <v>4</v>
      </c>
      <c r="B9" t="s">
        <v>3475</v>
      </c>
      <c r="C9">
        <v>293.3</v>
      </c>
      <c r="D9">
        <v>16.93</v>
      </c>
      <c r="E9">
        <v>0.99195199999999994</v>
      </c>
      <c r="F9">
        <v>266.88</v>
      </c>
      <c r="G9">
        <v>0</v>
      </c>
      <c r="H9">
        <v>72</v>
      </c>
    </row>
    <row r="10" spans="1:8" s="19" customFormat="1">
      <c r="A10" s="19">
        <v>5</v>
      </c>
      <c r="B10" t="s">
        <v>3476</v>
      </c>
      <c r="C10">
        <v>126.07</v>
      </c>
      <c r="D10">
        <v>16.18</v>
      </c>
      <c r="E10">
        <v>0.95804699999999998</v>
      </c>
      <c r="F10">
        <v>99.69</v>
      </c>
      <c r="G10">
        <v>2</v>
      </c>
      <c r="H10">
        <v>28.62</v>
      </c>
    </row>
    <row r="11" spans="1:8">
      <c r="A11" s="1">
        <v>6</v>
      </c>
      <c r="B11" t="s">
        <v>3477</v>
      </c>
      <c r="C11">
        <v>259.68</v>
      </c>
      <c r="D11">
        <v>16.75</v>
      </c>
      <c r="E11">
        <v>0.85619100000000004</v>
      </c>
      <c r="F11">
        <v>153.25</v>
      </c>
      <c r="G11">
        <v>2</v>
      </c>
      <c r="H11">
        <v>88.34</v>
      </c>
    </row>
    <row r="12" spans="1:8">
      <c r="A12" s="1">
        <v>7</v>
      </c>
      <c r="B12" t="s">
        <v>3478</v>
      </c>
      <c r="C12">
        <v>184.63</v>
      </c>
      <c r="D12">
        <v>16.37</v>
      </c>
      <c r="E12">
        <v>0.75984600000000002</v>
      </c>
      <c r="F12">
        <v>80.83</v>
      </c>
      <c r="G12">
        <v>0</v>
      </c>
      <c r="H12">
        <v>45.78</v>
      </c>
    </row>
    <row r="13" spans="1:8">
      <c r="A13" s="1">
        <v>8</v>
      </c>
      <c r="B13" t="s">
        <v>3479</v>
      </c>
      <c r="C13">
        <v>180</v>
      </c>
      <c r="D13">
        <v>16.5</v>
      </c>
      <c r="E13">
        <v>0.97809400000000002</v>
      </c>
      <c r="F13">
        <v>153.06</v>
      </c>
      <c r="G13">
        <v>2</v>
      </c>
      <c r="H13">
        <v>55.94</v>
      </c>
    </row>
    <row r="14" spans="1:8">
      <c r="A14" s="1">
        <v>9</v>
      </c>
      <c r="B14" t="s">
        <v>3480</v>
      </c>
      <c r="C14">
        <v>119.23</v>
      </c>
      <c r="D14">
        <v>16.14</v>
      </c>
      <c r="E14">
        <v>0.97241100000000003</v>
      </c>
      <c r="F14">
        <v>99.15</v>
      </c>
      <c r="G14">
        <v>0</v>
      </c>
      <c r="H14">
        <v>28.7</v>
      </c>
    </row>
    <row r="15" spans="1:8">
      <c r="A15" s="1">
        <v>10</v>
      </c>
      <c r="B15" t="s">
        <v>3481</v>
      </c>
      <c r="C15">
        <v>72.040000000000006</v>
      </c>
      <c r="D15">
        <v>15.69</v>
      </c>
      <c r="E15">
        <v>0.94094</v>
      </c>
      <c r="F15">
        <v>53.99</v>
      </c>
      <c r="G15">
        <v>2</v>
      </c>
      <c r="H15">
        <v>18.899999999999999</v>
      </c>
    </row>
    <row r="16" spans="1:8">
      <c r="A16" s="1">
        <v>11</v>
      </c>
      <c r="B16" t="s">
        <v>3482</v>
      </c>
      <c r="C16">
        <v>122.23</v>
      </c>
      <c r="D16">
        <v>16.14</v>
      </c>
      <c r="E16">
        <v>0.93401800000000001</v>
      </c>
      <c r="F16">
        <v>89.74</v>
      </c>
      <c r="G16">
        <v>0</v>
      </c>
      <c r="H16">
        <v>28.65</v>
      </c>
    </row>
    <row r="17" spans="1:8">
      <c r="A17" s="1">
        <v>12</v>
      </c>
      <c r="B17" t="s">
        <v>3483</v>
      </c>
      <c r="C17">
        <v>134.36000000000001</v>
      </c>
      <c r="D17">
        <v>16.18</v>
      </c>
      <c r="E17">
        <v>0.86488200000000004</v>
      </c>
      <c r="F17">
        <v>81.25</v>
      </c>
      <c r="G17">
        <v>0</v>
      </c>
      <c r="H17">
        <v>28.44</v>
      </c>
    </row>
    <row r="18" spans="1:8">
      <c r="A18" s="1">
        <v>13</v>
      </c>
      <c r="B18" t="s">
        <v>3484</v>
      </c>
      <c r="C18">
        <v>276.36</v>
      </c>
      <c r="D18">
        <v>16.649999999999999</v>
      </c>
      <c r="E18">
        <v>0.70745999999999998</v>
      </c>
      <c r="F18">
        <v>98.65</v>
      </c>
      <c r="G18">
        <v>2</v>
      </c>
      <c r="H18">
        <v>77.25</v>
      </c>
    </row>
    <row r="19" spans="1:8">
      <c r="A19" s="1">
        <v>14</v>
      </c>
      <c r="B19" t="s">
        <v>3485</v>
      </c>
      <c r="C19">
        <v>290.92</v>
      </c>
      <c r="D19">
        <v>16.920000000000002</v>
      </c>
      <c r="E19">
        <v>0.99122100000000002</v>
      </c>
      <c r="F19">
        <v>263.54000000000002</v>
      </c>
      <c r="G19">
        <v>2</v>
      </c>
      <c r="H19">
        <v>107.95</v>
      </c>
    </row>
    <row r="20" spans="1:8">
      <c r="A20" s="1">
        <v>15</v>
      </c>
      <c r="B20" t="s">
        <v>3486</v>
      </c>
      <c r="C20">
        <v>207.34</v>
      </c>
      <c r="D20">
        <v>16.43</v>
      </c>
      <c r="E20">
        <v>0.72955300000000001</v>
      </c>
      <c r="F20">
        <v>81.099999999999994</v>
      </c>
      <c r="G20">
        <v>2</v>
      </c>
      <c r="H20">
        <v>80.03</v>
      </c>
    </row>
    <row r="21" spans="1:8">
      <c r="A21" s="1">
        <v>16</v>
      </c>
      <c r="B21" t="s">
        <v>3487</v>
      </c>
      <c r="C21">
        <v>95.44</v>
      </c>
      <c r="D21">
        <v>15.96</v>
      </c>
      <c r="E21">
        <v>0.99190800000000001</v>
      </c>
      <c r="F21">
        <v>86.82</v>
      </c>
      <c r="G21">
        <v>0</v>
      </c>
      <c r="H21">
        <v>32.54</v>
      </c>
    </row>
    <row r="22" spans="1:8">
      <c r="A22" s="1">
        <v>17</v>
      </c>
      <c r="B22" t="s">
        <v>3488</v>
      </c>
      <c r="C22">
        <v>110.23</v>
      </c>
      <c r="D22">
        <v>16.05</v>
      </c>
      <c r="E22">
        <v>0.93360500000000002</v>
      </c>
      <c r="F22">
        <v>80.83</v>
      </c>
      <c r="G22">
        <v>2</v>
      </c>
      <c r="H22">
        <v>28.77</v>
      </c>
    </row>
    <row r="23" spans="1:8">
      <c r="A23" s="1">
        <v>18</v>
      </c>
      <c r="B23" t="s">
        <v>3489</v>
      </c>
      <c r="C23">
        <v>119.9</v>
      </c>
      <c r="D23">
        <v>16.14</v>
      </c>
      <c r="E23">
        <v>0.97153299999999998</v>
      </c>
      <c r="F23">
        <v>99.38</v>
      </c>
      <c r="G23">
        <v>2</v>
      </c>
      <c r="H23">
        <v>28.71</v>
      </c>
    </row>
    <row r="24" spans="1:8">
      <c r="A24" s="1">
        <v>19</v>
      </c>
      <c r="B24" t="s">
        <v>3490</v>
      </c>
      <c r="C24">
        <v>181.11</v>
      </c>
      <c r="D24">
        <v>16.420000000000002</v>
      </c>
      <c r="E24">
        <v>0.83251399999999998</v>
      </c>
      <c r="F24">
        <v>99.88</v>
      </c>
      <c r="G24">
        <v>0</v>
      </c>
      <c r="H24">
        <v>82.05</v>
      </c>
    </row>
    <row r="25" spans="1:8">
      <c r="A25" s="1">
        <v>20</v>
      </c>
      <c r="B25" t="s">
        <v>3491</v>
      </c>
      <c r="C25">
        <v>182.04</v>
      </c>
      <c r="D25">
        <v>16.420000000000002</v>
      </c>
      <c r="E25">
        <v>0.831565</v>
      </c>
      <c r="F25">
        <v>100.11</v>
      </c>
      <c r="G25">
        <v>0</v>
      </c>
      <c r="H25">
        <v>46.02</v>
      </c>
    </row>
    <row r="26" spans="1:8">
      <c r="A26" s="1">
        <v>21</v>
      </c>
      <c r="B26" t="s">
        <v>3492</v>
      </c>
      <c r="C26">
        <v>349.21</v>
      </c>
      <c r="D26">
        <v>17.09</v>
      </c>
      <c r="E26">
        <v>0.99770700000000001</v>
      </c>
      <c r="F26">
        <v>332.47</v>
      </c>
      <c r="G26">
        <v>0</v>
      </c>
      <c r="H26">
        <v>139.63</v>
      </c>
    </row>
    <row r="27" spans="1:8">
      <c r="A27" s="1">
        <v>22</v>
      </c>
      <c r="B27" t="s">
        <v>3493</v>
      </c>
      <c r="C27">
        <v>95.06</v>
      </c>
      <c r="D27">
        <v>15.96</v>
      </c>
      <c r="E27">
        <v>0.99775199999999997</v>
      </c>
      <c r="F27">
        <v>90.55</v>
      </c>
      <c r="G27">
        <v>0</v>
      </c>
      <c r="H27">
        <v>19.36</v>
      </c>
    </row>
    <row r="28" spans="1:8">
      <c r="A28" s="1">
        <v>23</v>
      </c>
      <c r="B28" t="s">
        <v>3494</v>
      </c>
      <c r="C28">
        <v>243.38</v>
      </c>
      <c r="D28">
        <v>16.71</v>
      </c>
      <c r="E28">
        <v>0.88076299999999996</v>
      </c>
      <c r="F28">
        <v>153.83000000000001</v>
      </c>
      <c r="G28">
        <v>0</v>
      </c>
      <c r="H28">
        <v>89.23</v>
      </c>
    </row>
    <row r="29" spans="1:8">
      <c r="A29" s="1">
        <v>24</v>
      </c>
      <c r="B29" t="s">
        <v>3495</v>
      </c>
      <c r="C29">
        <v>198.87</v>
      </c>
      <c r="D29">
        <v>16.41</v>
      </c>
      <c r="E29">
        <v>0.74035700000000004</v>
      </c>
      <c r="F29">
        <v>81.099999999999994</v>
      </c>
      <c r="G29">
        <v>0</v>
      </c>
      <c r="H29">
        <v>45.36</v>
      </c>
    </row>
    <row r="30" spans="1:8">
      <c r="A30" s="1">
        <v>25</v>
      </c>
      <c r="B30" t="s">
        <v>3496</v>
      </c>
      <c r="C30">
        <v>214.52</v>
      </c>
      <c r="D30">
        <v>16.61</v>
      </c>
      <c r="E30">
        <v>0.89005000000000001</v>
      </c>
      <c r="F30">
        <v>139.12</v>
      </c>
      <c r="G30">
        <v>0</v>
      </c>
      <c r="H30">
        <v>55.1</v>
      </c>
    </row>
    <row r="31" spans="1:8">
      <c r="A31" s="1">
        <v>26</v>
      </c>
      <c r="B31" t="s">
        <v>3497</v>
      </c>
      <c r="C31">
        <v>226.12</v>
      </c>
      <c r="D31">
        <v>16.7</v>
      </c>
      <c r="E31">
        <v>0.97194100000000005</v>
      </c>
      <c r="F31">
        <v>187.7</v>
      </c>
      <c r="G31">
        <v>2</v>
      </c>
      <c r="H31">
        <v>91.1</v>
      </c>
    </row>
    <row r="32" spans="1:8">
      <c r="A32" s="1">
        <v>27</v>
      </c>
      <c r="B32" t="s">
        <v>3498</v>
      </c>
      <c r="C32">
        <v>207.42</v>
      </c>
      <c r="D32">
        <v>16.63</v>
      </c>
      <c r="E32">
        <v>0.99999499999999997</v>
      </c>
      <c r="F32">
        <v>206.98</v>
      </c>
      <c r="G32">
        <v>2</v>
      </c>
      <c r="H32">
        <v>73.989999999999995</v>
      </c>
    </row>
    <row r="33" spans="1:8">
      <c r="A33" s="1">
        <v>28</v>
      </c>
      <c r="B33" t="s">
        <v>3499</v>
      </c>
      <c r="C33">
        <v>228.1</v>
      </c>
      <c r="D33">
        <v>16.52</v>
      </c>
      <c r="E33">
        <v>0.73169099999999998</v>
      </c>
      <c r="F33">
        <v>89.97</v>
      </c>
      <c r="G33">
        <v>0</v>
      </c>
      <c r="H33">
        <v>79.08</v>
      </c>
    </row>
    <row r="34" spans="1:8">
      <c r="A34" s="1">
        <v>29</v>
      </c>
      <c r="B34" t="s">
        <v>3500</v>
      </c>
      <c r="C34">
        <v>238.68</v>
      </c>
      <c r="D34">
        <v>16.670000000000002</v>
      </c>
      <c r="E34">
        <v>0.85452799999999995</v>
      </c>
      <c r="F34">
        <v>140.19999999999999</v>
      </c>
      <c r="G34">
        <v>0</v>
      </c>
      <c r="H34">
        <v>89.35</v>
      </c>
    </row>
    <row r="35" spans="1:8">
      <c r="A35" s="1">
        <v>30</v>
      </c>
      <c r="B35" t="s">
        <v>3501</v>
      </c>
      <c r="C35">
        <v>295.33</v>
      </c>
      <c r="D35">
        <v>16.690000000000001</v>
      </c>
      <c r="E35">
        <v>0.693832</v>
      </c>
      <c r="F35">
        <v>99.15</v>
      </c>
      <c r="G35">
        <v>2</v>
      </c>
      <c r="H35">
        <v>76.28</v>
      </c>
    </row>
    <row r="36" spans="1:8">
      <c r="A36" s="1">
        <v>31</v>
      </c>
      <c r="B36" t="s">
        <v>3502</v>
      </c>
      <c r="C36">
        <v>142.27000000000001</v>
      </c>
      <c r="D36">
        <v>16.3</v>
      </c>
      <c r="E36">
        <v>0.99419900000000005</v>
      </c>
      <c r="F36">
        <v>131.4</v>
      </c>
      <c r="G36">
        <v>2</v>
      </c>
      <c r="H36">
        <v>47.14</v>
      </c>
    </row>
    <row r="37" spans="1:8">
      <c r="A37" s="1">
        <v>32</v>
      </c>
      <c r="B37" t="s">
        <v>3503</v>
      </c>
      <c r="C37">
        <v>135.22999999999999</v>
      </c>
      <c r="D37">
        <v>16.23</v>
      </c>
      <c r="E37">
        <v>0.93759599999999998</v>
      </c>
      <c r="F37">
        <v>100.34</v>
      </c>
      <c r="G37">
        <v>2</v>
      </c>
      <c r="H37">
        <v>28.5</v>
      </c>
    </row>
    <row r="38" spans="1:8">
      <c r="A38" s="1">
        <v>33</v>
      </c>
      <c r="B38" t="s">
        <v>3504</v>
      </c>
      <c r="C38">
        <v>356.77</v>
      </c>
      <c r="D38">
        <v>17.100000000000001</v>
      </c>
      <c r="E38">
        <v>0.99913700000000005</v>
      </c>
      <c r="F38">
        <v>346.29</v>
      </c>
      <c r="G38">
        <v>2</v>
      </c>
      <c r="H38">
        <v>104.62</v>
      </c>
    </row>
    <row r="39" spans="1:8">
      <c r="A39" s="1">
        <v>34</v>
      </c>
      <c r="B39" t="s">
        <v>3505</v>
      </c>
      <c r="C39">
        <v>90.2</v>
      </c>
      <c r="D39">
        <v>15.91</v>
      </c>
      <c r="E39">
        <v>0.988622</v>
      </c>
      <c r="F39">
        <v>80.52</v>
      </c>
      <c r="G39">
        <v>0</v>
      </c>
      <c r="H39">
        <v>19.39</v>
      </c>
    </row>
    <row r="40" spans="1:8">
      <c r="A40" s="1">
        <v>35</v>
      </c>
      <c r="B40" t="s">
        <v>3506</v>
      </c>
      <c r="C40">
        <v>242.61</v>
      </c>
      <c r="D40">
        <v>16.68</v>
      </c>
      <c r="E40">
        <v>0.84353999999999996</v>
      </c>
      <c r="F40">
        <v>138.12</v>
      </c>
      <c r="G40">
        <v>0</v>
      </c>
      <c r="H40">
        <v>54.29</v>
      </c>
    </row>
    <row r="41" spans="1:8">
      <c r="A41" s="1">
        <v>36</v>
      </c>
      <c r="B41" t="s">
        <v>3507</v>
      </c>
      <c r="C41">
        <v>332.41</v>
      </c>
      <c r="D41">
        <v>17.04</v>
      </c>
      <c r="E41">
        <v>1</v>
      </c>
      <c r="F41">
        <v>332.2</v>
      </c>
      <c r="G41">
        <v>0</v>
      </c>
      <c r="H41">
        <v>140.55000000000001</v>
      </c>
    </row>
    <row r="42" spans="1:8">
      <c r="A42" s="1">
        <v>37</v>
      </c>
      <c r="B42" t="s">
        <v>3508</v>
      </c>
      <c r="C42">
        <v>243.21</v>
      </c>
      <c r="D42">
        <v>16.68</v>
      </c>
      <c r="E42">
        <v>0.84548999999999996</v>
      </c>
      <c r="F42">
        <v>139.24</v>
      </c>
      <c r="G42">
        <v>0</v>
      </c>
      <c r="H42">
        <v>54.3</v>
      </c>
    </row>
    <row r="43" spans="1:8">
      <c r="A43" s="1">
        <v>38</v>
      </c>
      <c r="B43" t="s">
        <v>3509</v>
      </c>
      <c r="C43">
        <v>173.36</v>
      </c>
      <c r="D43">
        <v>16.46</v>
      </c>
      <c r="E43">
        <v>0.96383399999999997</v>
      </c>
      <c r="F43">
        <v>139.78</v>
      </c>
      <c r="G43">
        <v>0</v>
      </c>
      <c r="H43">
        <v>56.04</v>
      </c>
    </row>
    <row r="44" spans="1:8">
      <c r="A44" s="1">
        <v>39</v>
      </c>
      <c r="B44" t="s">
        <v>3510</v>
      </c>
      <c r="C44">
        <v>341.53</v>
      </c>
      <c r="D44">
        <v>17.059999999999999</v>
      </c>
      <c r="E44">
        <v>0.995008</v>
      </c>
      <c r="F44">
        <v>317.33999999999997</v>
      </c>
      <c r="G44">
        <v>0</v>
      </c>
      <c r="H44">
        <v>105</v>
      </c>
    </row>
    <row r="45" spans="1:8">
      <c r="A45" s="1">
        <v>40</v>
      </c>
      <c r="B45" t="s">
        <v>3511</v>
      </c>
      <c r="C45">
        <v>331.18</v>
      </c>
      <c r="D45">
        <v>16.97</v>
      </c>
      <c r="E45">
        <v>0.87702599999999997</v>
      </c>
      <c r="F45">
        <v>207.17</v>
      </c>
      <c r="G45">
        <v>0</v>
      </c>
      <c r="H45">
        <v>104.56</v>
      </c>
    </row>
    <row r="46" spans="1:8">
      <c r="A46" s="1">
        <v>41</v>
      </c>
      <c r="B46" t="s">
        <v>3512</v>
      </c>
      <c r="C46">
        <v>223.26</v>
      </c>
      <c r="D46">
        <v>16.47</v>
      </c>
      <c r="E46">
        <v>0.71196599999999999</v>
      </c>
      <c r="F46">
        <v>81.25</v>
      </c>
      <c r="G46">
        <v>0</v>
      </c>
      <c r="H46">
        <v>79.13</v>
      </c>
    </row>
    <row r="47" spans="1:8">
      <c r="A47" s="1">
        <v>42</v>
      </c>
      <c r="B47" t="s">
        <v>3513</v>
      </c>
      <c r="C47">
        <v>143.94</v>
      </c>
      <c r="D47">
        <v>16.22</v>
      </c>
      <c r="E47">
        <v>0.83612600000000004</v>
      </c>
      <c r="F47">
        <v>80.22</v>
      </c>
      <c r="G47">
        <v>0</v>
      </c>
      <c r="H47">
        <v>46.72</v>
      </c>
    </row>
    <row r="48" spans="1:8">
      <c r="A48" s="1">
        <v>43</v>
      </c>
      <c r="B48" t="s">
        <v>3514</v>
      </c>
      <c r="C48">
        <v>185.2</v>
      </c>
      <c r="D48">
        <v>16.37</v>
      </c>
      <c r="E48">
        <v>0.757212</v>
      </c>
      <c r="F48">
        <v>80.33</v>
      </c>
      <c r="G48">
        <v>2</v>
      </c>
      <c r="H48">
        <v>45.78</v>
      </c>
    </row>
    <row r="49" spans="1:10">
      <c r="A49" s="1">
        <v>44</v>
      </c>
      <c r="B49" t="s">
        <v>3515</v>
      </c>
      <c r="C49">
        <v>223.26</v>
      </c>
      <c r="D49">
        <v>16.47</v>
      </c>
      <c r="E49">
        <v>0.71196599999999999</v>
      </c>
      <c r="F49">
        <v>81.25</v>
      </c>
      <c r="G49">
        <v>0</v>
      </c>
      <c r="H49">
        <v>79.13</v>
      </c>
    </row>
    <row r="50" spans="1:10">
      <c r="A50" s="1">
        <v>45</v>
      </c>
      <c r="B50" t="s">
        <v>3516</v>
      </c>
      <c r="C50">
        <v>340.8</v>
      </c>
      <c r="D50">
        <v>17.059999999999999</v>
      </c>
      <c r="E50">
        <v>0.99487499999999995</v>
      </c>
      <c r="F50">
        <v>316.33999999999997</v>
      </c>
      <c r="G50">
        <v>2</v>
      </c>
      <c r="H50">
        <v>104.98</v>
      </c>
    </row>
    <row r="51" spans="1:10">
      <c r="A51" s="1">
        <v>46</v>
      </c>
      <c r="B51" t="s">
        <v>3517</v>
      </c>
      <c r="C51">
        <v>348.25</v>
      </c>
      <c r="D51">
        <v>17.010000000000002</v>
      </c>
      <c r="E51">
        <v>0.85816099999999995</v>
      </c>
      <c r="F51">
        <v>206.67</v>
      </c>
      <c r="G51">
        <v>0</v>
      </c>
      <c r="H51">
        <v>103.61</v>
      </c>
      <c r="J51" s="1">
        <v>0</v>
      </c>
    </row>
    <row r="52" spans="1:10">
      <c r="A52" s="1">
        <v>47</v>
      </c>
      <c r="B52" t="s">
        <v>3518</v>
      </c>
      <c r="C52">
        <v>143.94</v>
      </c>
      <c r="D52">
        <v>16.22</v>
      </c>
      <c r="E52">
        <v>0.83612600000000004</v>
      </c>
      <c r="F52">
        <v>80.22</v>
      </c>
      <c r="G52">
        <v>0</v>
      </c>
      <c r="H52">
        <v>46.72</v>
      </c>
    </row>
    <row r="53" spans="1:10">
      <c r="A53" s="1">
        <v>48</v>
      </c>
      <c r="B53" t="s">
        <v>3519</v>
      </c>
      <c r="C53">
        <v>153.6</v>
      </c>
      <c r="D53">
        <v>16.37</v>
      </c>
      <c r="E53">
        <v>0.99999899999999997</v>
      </c>
      <c r="F53">
        <v>153.47999999999999</v>
      </c>
      <c r="G53">
        <v>0</v>
      </c>
      <c r="H53">
        <v>37.909999999999997</v>
      </c>
    </row>
    <row r="54" spans="1:10">
      <c r="A54" s="1">
        <v>49</v>
      </c>
      <c r="B54" t="s">
        <v>3520</v>
      </c>
      <c r="C54">
        <v>364.61</v>
      </c>
      <c r="D54">
        <v>17.12</v>
      </c>
      <c r="E54">
        <v>0.99998600000000004</v>
      </c>
      <c r="F54">
        <v>363.23</v>
      </c>
      <c r="G54">
        <v>0</v>
      </c>
      <c r="H54">
        <v>138.76</v>
      </c>
    </row>
    <row r="55" spans="1:10">
      <c r="A55" s="1">
        <v>50</v>
      </c>
      <c r="B55" t="s">
        <v>3521</v>
      </c>
      <c r="C55">
        <v>277.45999999999998</v>
      </c>
      <c r="D55">
        <v>16.89</v>
      </c>
      <c r="E55">
        <v>0.99834199999999995</v>
      </c>
      <c r="F55">
        <v>266.14999999999998</v>
      </c>
      <c r="G55">
        <v>2</v>
      </c>
      <c r="H55">
        <v>72.400000000000006</v>
      </c>
    </row>
    <row r="56" spans="1:10">
      <c r="B56" s="1" t="s">
        <v>19</v>
      </c>
      <c r="C56" s="1">
        <f>AVERAGE(C6:C55)</f>
        <v>210.42440000000002</v>
      </c>
      <c r="D56" s="1">
        <f t="shared" ref="D56:H56" si="0">AVERAGE(D6:D55)</f>
        <v>16.505999999999997</v>
      </c>
      <c r="E56" s="1">
        <f t="shared" si="0"/>
        <v>0.89646941999999985</v>
      </c>
      <c r="F56" s="1">
        <f t="shared" si="0"/>
        <v>148.99779999999998</v>
      </c>
      <c r="H56" s="1">
        <f t="shared" si="0"/>
        <v>64.542000000000002</v>
      </c>
    </row>
    <row r="57" spans="1:10">
      <c r="B57" s="1" t="s">
        <v>20</v>
      </c>
      <c r="C57" s="1">
        <f>MIN(C5:C55)</f>
        <v>72.040000000000006</v>
      </c>
      <c r="D57" s="1">
        <f t="shared" ref="D57:H57" si="1">MIN(D5:D55)</f>
        <v>15.69</v>
      </c>
      <c r="E57" s="1">
        <f t="shared" si="1"/>
        <v>0.693832</v>
      </c>
      <c r="F57" s="1">
        <f t="shared" si="1"/>
        <v>53.99</v>
      </c>
      <c r="H57" s="1">
        <f t="shared" si="1"/>
        <v>18.899999999999999</v>
      </c>
    </row>
    <row r="58" spans="1:10">
      <c r="B58" s="1" t="s">
        <v>3</v>
      </c>
      <c r="C58" s="1">
        <f>STDEV(C6:C55)</f>
        <v>83.165339109658447</v>
      </c>
      <c r="D58" s="1">
        <f t="shared" ref="D58:E58" si="2">STDEV(D6:D55)</f>
        <v>0.36489305114734405</v>
      </c>
      <c r="E58" s="1">
        <f t="shared" si="2"/>
        <v>0.10020767878660714</v>
      </c>
      <c r="F58" s="1">
        <f>STDEV(F6:F55)</f>
        <v>86.317014859440647</v>
      </c>
      <c r="H58" s="1">
        <f>STDEV(H6:H55)</f>
        <v>32.945800698624232</v>
      </c>
    </row>
    <row r="60" spans="1:10">
      <c r="H60" s="21" t="s">
        <v>1435</v>
      </c>
    </row>
    <row r="61" spans="1:10" ht="18">
      <c r="A61" s="21" t="s">
        <v>7</v>
      </c>
      <c r="B61" s="3" t="s">
        <v>8</v>
      </c>
      <c r="C61" s="21" t="s">
        <v>4</v>
      </c>
      <c r="D61" s="21" t="s">
        <v>322</v>
      </c>
      <c r="E61" s="21" t="s">
        <v>321</v>
      </c>
      <c r="F61" s="21" t="s">
        <v>324</v>
      </c>
      <c r="G61" s="21" t="s">
        <v>323</v>
      </c>
      <c r="H61" s="21" t="s">
        <v>1436</v>
      </c>
    </row>
    <row r="62" spans="1:10">
      <c r="A62" s="1">
        <v>1</v>
      </c>
      <c r="B62" t="s">
        <v>3672</v>
      </c>
      <c r="C62">
        <v>187.38</v>
      </c>
      <c r="D62">
        <v>41.13</v>
      </c>
      <c r="E62">
        <v>0.79827099999999995</v>
      </c>
      <c r="F62">
        <v>90.39</v>
      </c>
      <c r="G62">
        <v>0</v>
      </c>
      <c r="H62">
        <v>54.3</v>
      </c>
    </row>
    <row r="63" spans="1:10">
      <c r="A63" s="1">
        <v>2</v>
      </c>
      <c r="B63" t="s">
        <v>3673</v>
      </c>
      <c r="C63">
        <v>144.53</v>
      </c>
      <c r="D63">
        <v>40.549999999999997</v>
      </c>
      <c r="E63">
        <v>0.78264100000000003</v>
      </c>
      <c r="F63">
        <v>80.91</v>
      </c>
      <c r="G63">
        <v>2</v>
      </c>
      <c r="H63">
        <v>33.61</v>
      </c>
    </row>
    <row r="64" spans="1:10">
      <c r="A64" s="1">
        <v>3</v>
      </c>
      <c r="B64" t="s">
        <v>3674</v>
      </c>
      <c r="C64">
        <v>348.94</v>
      </c>
      <c r="D64">
        <v>42.61</v>
      </c>
      <c r="E64">
        <v>0.91473000000000004</v>
      </c>
      <c r="F64">
        <v>206.28</v>
      </c>
      <c r="G64">
        <v>2</v>
      </c>
      <c r="H64">
        <v>110.84</v>
      </c>
    </row>
    <row r="65" spans="1:8">
      <c r="A65" s="1">
        <v>4</v>
      </c>
      <c r="B65" t="s">
        <v>3675</v>
      </c>
      <c r="C65">
        <v>161.77000000000001</v>
      </c>
      <c r="D65">
        <v>39.35</v>
      </c>
      <c r="E65">
        <v>0.55385499999999999</v>
      </c>
      <c r="F65">
        <v>5.8</v>
      </c>
      <c r="G65">
        <v>6</v>
      </c>
      <c r="H65">
        <v>50.65</v>
      </c>
    </row>
    <row r="66" spans="1:8">
      <c r="A66" s="1">
        <v>5</v>
      </c>
      <c r="B66" t="s">
        <v>3676</v>
      </c>
      <c r="C66">
        <v>147.13999999999999</v>
      </c>
      <c r="D66">
        <v>40.67</v>
      </c>
      <c r="E66">
        <v>0.84860899999999995</v>
      </c>
      <c r="F66">
        <v>91.62</v>
      </c>
      <c r="G66">
        <v>2</v>
      </c>
      <c r="H66">
        <v>37.51</v>
      </c>
    </row>
    <row r="67" spans="1:8">
      <c r="A67" s="1">
        <v>6</v>
      </c>
      <c r="B67" t="s">
        <v>3677</v>
      </c>
      <c r="C67">
        <v>227.18</v>
      </c>
      <c r="D67">
        <v>41.41</v>
      </c>
      <c r="E67">
        <v>0.73011899999999996</v>
      </c>
      <c r="F67">
        <v>81.14</v>
      </c>
      <c r="G67">
        <v>8</v>
      </c>
      <c r="H67">
        <v>67.650000000000006</v>
      </c>
    </row>
    <row r="68" spans="1:8">
      <c r="A68" s="1">
        <v>7</v>
      </c>
      <c r="B68" t="s">
        <v>3678</v>
      </c>
      <c r="C68">
        <v>65.81</v>
      </c>
      <c r="D68">
        <v>37.35</v>
      </c>
      <c r="E68">
        <v>0.79920199999999997</v>
      </c>
      <c r="F68">
        <v>0.5</v>
      </c>
      <c r="G68">
        <v>4</v>
      </c>
      <c r="H68">
        <v>16.690000000000001</v>
      </c>
    </row>
    <row r="69" spans="1:8">
      <c r="A69" s="1">
        <v>8</v>
      </c>
      <c r="B69" t="s">
        <v>3679</v>
      </c>
      <c r="C69">
        <v>202.43</v>
      </c>
      <c r="D69">
        <v>40.909999999999997</v>
      </c>
      <c r="E69">
        <v>0.65248499999999998</v>
      </c>
      <c r="F69">
        <v>66.739999999999995</v>
      </c>
      <c r="G69">
        <v>8</v>
      </c>
      <c r="H69">
        <v>57.35</v>
      </c>
    </row>
    <row r="70" spans="1:8">
      <c r="A70" s="1">
        <v>9</v>
      </c>
      <c r="B70" t="s">
        <v>3680</v>
      </c>
      <c r="C70">
        <v>148.4</v>
      </c>
      <c r="D70">
        <v>40.51</v>
      </c>
      <c r="E70">
        <v>0.72370599999999996</v>
      </c>
      <c r="F70">
        <v>80.989999999999995</v>
      </c>
      <c r="G70">
        <v>2</v>
      </c>
      <c r="H70">
        <v>33.42</v>
      </c>
    </row>
    <row r="71" spans="1:8">
      <c r="A71" s="1">
        <v>10</v>
      </c>
      <c r="B71" t="s">
        <v>3681</v>
      </c>
      <c r="C71">
        <v>162.47</v>
      </c>
      <c r="D71">
        <v>40.71</v>
      </c>
      <c r="E71">
        <v>0.72888200000000003</v>
      </c>
      <c r="F71">
        <v>89.09</v>
      </c>
      <c r="G71">
        <v>4</v>
      </c>
      <c r="H71">
        <v>33.19</v>
      </c>
    </row>
    <row r="72" spans="1:8">
      <c r="A72" s="1">
        <v>11</v>
      </c>
      <c r="B72" t="s">
        <v>3682</v>
      </c>
      <c r="C72">
        <v>134.44</v>
      </c>
      <c r="D72" t="e">
        <f>-inf</f>
        <v>#NAME?</v>
      </c>
      <c r="E72">
        <v>0.65815500000000005</v>
      </c>
      <c r="F72">
        <v>0</v>
      </c>
      <c r="G72">
        <v>8</v>
      </c>
      <c r="H72">
        <v>33.46</v>
      </c>
    </row>
    <row r="73" spans="1:8">
      <c r="A73" s="1">
        <v>12</v>
      </c>
      <c r="B73" t="s">
        <v>3683</v>
      </c>
      <c r="C73">
        <v>199.62</v>
      </c>
      <c r="D73">
        <v>41.17</v>
      </c>
      <c r="E73">
        <v>0.77060899999999999</v>
      </c>
      <c r="F73">
        <v>90.85</v>
      </c>
      <c r="G73">
        <v>4</v>
      </c>
      <c r="H73">
        <v>57.46</v>
      </c>
    </row>
    <row r="74" spans="1:8">
      <c r="A74" s="1">
        <v>13</v>
      </c>
      <c r="B74" t="s">
        <v>3684</v>
      </c>
      <c r="C74">
        <v>131.43</v>
      </c>
      <c r="D74">
        <v>40.47</v>
      </c>
      <c r="E74">
        <v>0.89454400000000001</v>
      </c>
      <c r="F74">
        <v>81.75</v>
      </c>
      <c r="G74">
        <v>4</v>
      </c>
      <c r="H74">
        <v>38.49</v>
      </c>
    </row>
    <row r="75" spans="1:8">
      <c r="A75" s="1">
        <v>14</v>
      </c>
      <c r="B75" t="s">
        <v>3685</v>
      </c>
      <c r="C75">
        <v>146.47</v>
      </c>
      <c r="D75">
        <v>39.119999999999997</v>
      </c>
      <c r="E75">
        <v>0.62264299999999995</v>
      </c>
      <c r="F75">
        <v>2.15</v>
      </c>
      <c r="G75">
        <v>2</v>
      </c>
      <c r="H75">
        <v>50.69</v>
      </c>
    </row>
    <row r="76" spans="1:8">
      <c r="A76" s="1">
        <v>15</v>
      </c>
      <c r="B76" t="s">
        <v>3686</v>
      </c>
      <c r="C76">
        <v>119.43</v>
      </c>
      <c r="D76">
        <v>37.92</v>
      </c>
      <c r="E76">
        <v>0.454486</v>
      </c>
      <c r="F76">
        <v>3.84</v>
      </c>
      <c r="G76">
        <v>4</v>
      </c>
      <c r="H76">
        <v>39.18</v>
      </c>
    </row>
    <row r="77" spans="1:8">
      <c r="A77" s="1">
        <v>16</v>
      </c>
      <c r="B77" t="s">
        <v>3687</v>
      </c>
      <c r="C77">
        <v>228.99</v>
      </c>
      <c r="D77">
        <v>41.09</v>
      </c>
      <c r="E77">
        <v>0.65602499999999997</v>
      </c>
      <c r="F77">
        <v>61.36</v>
      </c>
      <c r="G77">
        <v>6</v>
      </c>
      <c r="H77">
        <v>53.89</v>
      </c>
    </row>
    <row r="78" spans="1:8">
      <c r="A78" s="1">
        <v>17</v>
      </c>
      <c r="B78" t="s">
        <v>3688</v>
      </c>
      <c r="C78">
        <v>220.72</v>
      </c>
      <c r="D78">
        <v>41.33</v>
      </c>
      <c r="E78">
        <v>0.710372</v>
      </c>
      <c r="F78">
        <v>80.91</v>
      </c>
      <c r="G78">
        <v>2</v>
      </c>
      <c r="H78">
        <v>60.39</v>
      </c>
    </row>
    <row r="79" spans="1:8">
      <c r="A79" s="1">
        <v>18</v>
      </c>
      <c r="B79" t="s">
        <v>3689</v>
      </c>
      <c r="C79">
        <v>168.24</v>
      </c>
      <c r="D79">
        <v>40.79</v>
      </c>
      <c r="E79">
        <v>0.72825399999999996</v>
      </c>
      <c r="F79">
        <v>82.06</v>
      </c>
      <c r="G79">
        <v>8</v>
      </c>
      <c r="H79">
        <v>54.59</v>
      </c>
    </row>
    <row r="80" spans="1:8">
      <c r="A80" s="1">
        <v>19</v>
      </c>
      <c r="B80" t="s">
        <v>3690</v>
      </c>
      <c r="C80">
        <v>256.14</v>
      </c>
      <c r="D80">
        <v>41.94</v>
      </c>
      <c r="E80">
        <v>0.91774500000000003</v>
      </c>
      <c r="F80">
        <v>153.02000000000001</v>
      </c>
      <c r="G80">
        <v>0</v>
      </c>
      <c r="H80">
        <v>71.55</v>
      </c>
    </row>
    <row r="81" spans="1:8">
      <c r="A81" s="1">
        <v>20</v>
      </c>
      <c r="B81" t="s">
        <v>3691</v>
      </c>
      <c r="C81">
        <v>260.18</v>
      </c>
      <c r="D81">
        <v>42.04</v>
      </c>
      <c r="E81">
        <v>0.96563100000000002</v>
      </c>
      <c r="F81">
        <v>206.13</v>
      </c>
      <c r="G81">
        <v>4</v>
      </c>
      <c r="H81">
        <v>86.54</v>
      </c>
    </row>
    <row r="82" spans="1:8">
      <c r="A82" s="1">
        <v>21</v>
      </c>
      <c r="B82" t="s">
        <v>3692</v>
      </c>
      <c r="C82">
        <v>261.88</v>
      </c>
      <c r="D82">
        <v>41.91</v>
      </c>
      <c r="E82">
        <v>0.89930900000000003</v>
      </c>
      <c r="F82">
        <v>100.15</v>
      </c>
      <c r="G82">
        <v>0</v>
      </c>
      <c r="H82">
        <v>74.900000000000006</v>
      </c>
    </row>
    <row r="83" spans="1:8">
      <c r="A83" s="1">
        <v>22</v>
      </c>
      <c r="B83" t="s">
        <v>3693</v>
      </c>
      <c r="C83">
        <v>282.06</v>
      </c>
      <c r="D83">
        <v>42.03</v>
      </c>
      <c r="E83">
        <v>0.83014900000000003</v>
      </c>
      <c r="F83">
        <v>139.88999999999999</v>
      </c>
      <c r="G83">
        <v>6</v>
      </c>
      <c r="H83">
        <v>91.5</v>
      </c>
    </row>
    <row r="84" spans="1:8">
      <c r="A84" s="1">
        <v>23</v>
      </c>
      <c r="B84" t="s">
        <v>3694</v>
      </c>
      <c r="C84">
        <v>199.03</v>
      </c>
      <c r="D84">
        <v>41.11</v>
      </c>
      <c r="E84">
        <v>0.75988500000000003</v>
      </c>
      <c r="F84">
        <v>80.290000000000006</v>
      </c>
      <c r="G84">
        <v>0</v>
      </c>
      <c r="H84">
        <v>57.44</v>
      </c>
    </row>
    <row r="85" spans="1:8">
      <c r="A85" s="1">
        <v>24</v>
      </c>
      <c r="B85" t="s">
        <v>3695</v>
      </c>
      <c r="C85">
        <v>76.19</v>
      </c>
      <c r="D85" t="e">
        <f>-inf</f>
        <v>#NAME?</v>
      </c>
      <c r="E85">
        <v>0.59272400000000003</v>
      </c>
      <c r="F85">
        <v>0</v>
      </c>
      <c r="G85">
        <v>8</v>
      </c>
      <c r="H85">
        <v>19.190000000000001</v>
      </c>
    </row>
    <row r="86" spans="1:8">
      <c r="A86" s="1">
        <v>25</v>
      </c>
      <c r="B86" t="s">
        <v>3696</v>
      </c>
      <c r="C86">
        <v>90.24</v>
      </c>
      <c r="D86">
        <v>39.67</v>
      </c>
      <c r="E86">
        <v>0.92240999999999995</v>
      </c>
      <c r="F86">
        <v>56.49</v>
      </c>
      <c r="G86">
        <v>6</v>
      </c>
      <c r="H86">
        <v>25.51</v>
      </c>
    </row>
    <row r="87" spans="1:8">
      <c r="A87" s="1">
        <v>26</v>
      </c>
      <c r="B87" t="s">
        <v>3697</v>
      </c>
      <c r="C87">
        <v>151.41999999999999</v>
      </c>
      <c r="D87">
        <v>40.81</v>
      </c>
      <c r="E87">
        <v>0.93410499999999996</v>
      </c>
      <c r="F87">
        <v>81.14</v>
      </c>
      <c r="G87">
        <v>6</v>
      </c>
      <c r="H87">
        <v>48.18</v>
      </c>
    </row>
    <row r="88" spans="1:8">
      <c r="A88" s="1">
        <v>27</v>
      </c>
      <c r="B88" t="s">
        <v>3698</v>
      </c>
      <c r="C88">
        <v>130.78</v>
      </c>
      <c r="D88">
        <v>39.96</v>
      </c>
      <c r="E88">
        <v>0.54826600000000003</v>
      </c>
      <c r="F88">
        <v>56.06</v>
      </c>
      <c r="G88">
        <v>8</v>
      </c>
      <c r="H88">
        <v>44.24</v>
      </c>
    </row>
    <row r="89" spans="1:8">
      <c r="A89" s="1">
        <v>28</v>
      </c>
      <c r="B89" t="s">
        <v>3699</v>
      </c>
      <c r="C89">
        <v>193.62</v>
      </c>
      <c r="D89">
        <v>40.68</v>
      </c>
      <c r="E89">
        <v>0.58265400000000001</v>
      </c>
      <c r="F89">
        <v>65.97</v>
      </c>
      <c r="G89">
        <v>8</v>
      </c>
      <c r="H89">
        <v>51.95</v>
      </c>
    </row>
    <row r="90" spans="1:8">
      <c r="A90" s="1">
        <v>29</v>
      </c>
      <c r="B90" t="s">
        <v>3700</v>
      </c>
      <c r="C90">
        <v>129.78</v>
      </c>
      <c r="D90">
        <v>39.96</v>
      </c>
      <c r="E90">
        <v>0.55048299999999994</v>
      </c>
      <c r="F90">
        <v>62.59</v>
      </c>
      <c r="G90">
        <v>2</v>
      </c>
      <c r="H90">
        <v>41.7</v>
      </c>
    </row>
    <row r="91" spans="1:8">
      <c r="A91" s="1">
        <v>30</v>
      </c>
      <c r="B91" t="s">
        <v>3701</v>
      </c>
      <c r="C91">
        <v>209.06</v>
      </c>
      <c r="D91">
        <v>41.46</v>
      </c>
      <c r="E91">
        <v>0.86195299999999997</v>
      </c>
      <c r="F91">
        <v>139.88999999999999</v>
      </c>
      <c r="G91">
        <v>6</v>
      </c>
      <c r="H91">
        <v>62.19</v>
      </c>
    </row>
    <row r="92" spans="1:8">
      <c r="A92" s="1">
        <v>31</v>
      </c>
      <c r="B92" t="s">
        <v>3702</v>
      </c>
      <c r="C92">
        <v>177.52</v>
      </c>
      <c r="D92">
        <v>40.98</v>
      </c>
      <c r="E92">
        <v>0.77029700000000001</v>
      </c>
      <c r="F92">
        <v>89.78</v>
      </c>
      <c r="G92">
        <v>4</v>
      </c>
      <c r="H92">
        <v>59.46</v>
      </c>
    </row>
    <row r="93" spans="1:8">
      <c r="A93" s="1">
        <v>32</v>
      </c>
      <c r="B93" t="s">
        <v>3703</v>
      </c>
      <c r="C93">
        <v>155.38999999999999</v>
      </c>
      <c r="D93">
        <v>40.76</v>
      </c>
      <c r="E93">
        <v>0.83645800000000003</v>
      </c>
      <c r="F93">
        <v>99.3</v>
      </c>
      <c r="G93">
        <v>8</v>
      </c>
      <c r="H93">
        <v>43.88</v>
      </c>
    </row>
    <row r="94" spans="1:8">
      <c r="A94" s="1">
        <v>33</v>
      </c>
      <c r="B94" t="s">
        <v>3704</v>
      </c>
      <c r="C94">
        <v>84.13</v>
      </c>
      <c r="D94">
        <v>36.909999999999997</v>
      </c>
      <c r="E94">
        <v>0.74231599999999998</v>
      </c>
      <c r="F94">
        <v>0.08</v>
      </c>
      <c r="G94">
        <v>0</v>
      </c>
      <c r="H94">
        <v>23.05</v>
      </c>
    </row>
    <row r="95" spans="1:8">
      <c r="A95" s="1">
        <v>34</v>
      </c>
      <c r="B95" t="s">
        <v>3705</v>
      </c>
      <c r="C95">
        <v>111.42</v>
      </c>
      <c r="D95">
        <v>40.03</v>
      </c>
      <c r="E95">
        <v>0.83466700000000005</v>
      </c>
      <c r="F95">
        <v>64.86</v>
      </c>
      <c r="G95">
        <v>0</v>
      </c>
      <c r="H95">
        <v>26.32</v>
      </c>
    </row>
    <row r="96" spans="1:8">
      <c r="A96" s="1">
        <v>35</v>
      </c>
      <c r="B96" t="s">
        <v>3706</v>
      </c>
      <c r="C96">
        <v>122.86</v>
      </c>
      <c r="D96">
        <v>40.32</v>
      </c>
      <c r="E96">
        <v>0.88231499999999996</v>
      </c>
      <c r="F96">
        <v>81.290000000000006</v>
      </c>
      <c r="G96">
        <v>8</v>
      </c>
      <c r="H96">
        <v>38.1</v>
      </c>
    </row>
    <row r="97" spans="1:8">
      <c r="A97" s="1">
        <v>36</v>
      </c>
      <c r="B97" t="s">
        <v>3707</v>
      </c>
      <c r="C97">
        <v>147.41999999999999</v>
      </c>
      <c r="D97">
        <v>37.590000000000003</v>
      </c>
      <c r="E97">
        <v>0.74888299999999997</v>
      </c>
      <c r="F97">
        <v>0.04</v>
      </c>
      <c r="G97">
        <v>8</v>
      </c>
      <c r="H97">
        <v>57.31</v>
      </c>
    </row>
    <row r="98" spans="1:8">
      <c r="A98" s="1">
        <v>37</v>
      </c>
      <c r="B98" t="s">
        <v>3708</v>
      </c>
      <c r="C98">
        <v>100.88</v>
      </c>
      <c r="D98">
        <v>39.89</v>
      </c>
      <c r="E98">
        <v>0.89909499999999998</v>
      </c>
      <c r="F98">
        <v>54.8</v>
      </c>
      <c r="G98">
        <v>2</v>
      </c>
      <c r="H98">
        <v>26.75</v>
      </c>
    </row>
    <row r="99" spans="1:8">
      <c r="A99" s="1">
        <v>38</v>
      </c>
      <c r="B99" t="s">
        <v>3709</v>
      </c>
      <c r="C99">
        <v>95.62</v>
      </c>
      <c r="D99">
        <v>39.799999999999997</v>
      </c>
      <c r="E99">
        <v>0.90408200000000005</v>
      </c>
      <c r="F99">
        <v>66.12</v>
      </c>
      <c r="G99">
        <v>4</v>
      </c>
      <c r="H99">
        <v>22.76</v>
      </c>
    </row>
    <row r="100" spans="1:8">
      <c r="A100" s="1">
        <v>39</v>
      </c>
      <c r="B100" t="s">
        <v>3710</v>
      </c>
      <c r="C100">
        <v>181.38</v>
      </c>
      <c r="D100">
        <v>40.549999999999997</v>
      </c>
      <c r="E100">
        <v>0.73607199999999995</v>
      </c>
      <c r="F100">
        <v>19.010000000000002</v>
      </c>
      <c r="G100">
        <v>2</v>
      </c>
      <c r="H100">
        <v>44.47</v>
      </c>
    </row>
    <row r="101" spans="1:8">
      <c r="A101" s="1">
        <v>40</v>
      </c>
      <c r="B101" t="s">
        <v>3711</v>
      </c>
      <c r="C101">
        <v>139.57</v>
      </c>
      <c r="D101">
        <v>40.65</v>
      </c>
      <c r="E101">
        <v>0.93092299999999994</v>
      </c>
      <c r="F101">
        <v>92.89</v>
      </c>
      <c r="G101">
        <v>4</v>
      </c>
      <c r="H101">
        <v>39.950000000000003</v>
      </c>
    </row>
    <row r="102" spans="1:8">
      <c r="A102" s="1">
        <v>41</v>
      </c>
      <c r="B102" t="s">
        <v>3712</v>
      </c>
      <c r="C102">
        <v>166.9</v>
      </c>
      <c r="D102">
        <v>41.04</v>
      </c>
      <c r="E102">
        <v>0.95043299999999997</v>
      </c>
      <c r="F102">
        <v>99.19</v>
      </c>
      <c r="G102">
        <v>2</v>
      </c>
      <c r="H102">
        <v>41.2</v>
      </c>
    </row>
    <row r="103" spans="1:8">
      <c r="A103" s="1">
        <v>42</v>
      </c>
      <c r="B103" t="s">
        <v>3713</v>
      </c>
      <c r="C103">
        <v>164.51</v>
      </c>
      <c r="D103">
        <v>40.71</v>
      </c>
      <c r="E103">
        <v>0.70864199999999999</v>
      </c>
      <c r="F103">
        <v>81.02</v>
      </c>
      <c r="G103">
        <v>8</v>
      </c>
      <c r="H103">
        <v>50.67</v>
      </c>
    </row>
    <row r="104" spans="1:8">
      <c r="A104" s="1">
        <v>43</v>
      </c>
      <c r="B104" t="s">
        <v>3714</v>
      </c>
      <c r="C104">
        <v>210.51</v>
      </c>
      <c r="D104">
        <v>41.51</v>
      </c>
      <c r="E104">
        <v>0.89561100000000005</v>
      </c>
      <c r="F104">
        <v>139.97</v>
      </c>
      <c r="G104">
        <v>2</v>
      </c>
      <c r="H104">
        <v>51.51</v>
      </c>
    </row>
    <row r="105" spans="1:8">
      <c r="A105" s="1">
        <v>44</v>
      </c>
      <c r="B105" t="s">
        <v>3715</v>
      </c>
      <c r="C105">
        <v>140.31</v>
      </c>
      <c r="D105">
        <v>40.51</v>
      </c>
      <c r="E105">
        <v>0.80613900000000005</v>
      </c>
      <c r="F105">
        <v>77.11</v>
      </c>
      <c r="G105">
        <v>6</v>
      </c>
      <c r="H105">
        <v>37.700000000000003</v>
      </c>
    </row>
    <row r="106" spans="1:8">
      <c r="A106" s="1">
        <v>45</v>
      </c>
      <c r="B106" t="s">
        <v>3716</v>
      </c>
      <c r="C106">
        <v>154.01</v>
      </c>
      <c r="D106">
        <v>40.880000000000003</v>
      </c>
      <c r="E106">
        <v>0.94924799999999998</v>
      </c>
      <c r="F106">
        <v>99.53</v>
      </c>
      <c r="G106">
        <v>8</v>
      </c>
      <c r="H106">
        <v>41.38</v>
      </c>
    </row>
    <row r="107" spans="1:8">
      <c r="A107" s="1">
        <v>46</v>
      </c>
      <c r="B107" t="s">
        <v>3717</v>
      </c>
      <c r="C107">
        <v>208.34</v>
      </c>
      <c r="D107">
        <v>39.65</v>
      </c>
      <c r="E107">
        <v>0.54057200000000005</v>
      </c>
      <c r="F107">
        <v>2.27</v>
      </c>
      <c r="G107">
        <v>0</v>
      </c>
      <c r="H107">
        <v>44.58</v>
      </c>
    </row>
    <row r="108" spans="1:8">
      <c r="A108" s="1">
        <v>47</v>
      </c>
      <c r="B108" t="s">
        <v>3718</v>
      </c>
      <c r="C108">
        <v>190.58</v>
      </c>
      <c r="D108">
        <v>40.85</v>
      </c>
      <c r="E108">
        <v>0.60679499999999997</v>
      </c>
      <c r="F108">
        <v>87.55</v>
      </c>
      <c r="G108">
        <v>6</v>
      </c>
      <c r="H108">
        <v>49.04</v>
      </c>
    </row>
    <row r="109" spans="1:8">
      <c r="A109" s="1">
        <v>48</v>
      </c>
      <c r="B109" t="s">
        <v>3719</v>
      </c>
      <c r="C109">
        <v>204.93</v>
      </c>
      <c r="D109">
        <v>41.46</v>
      </c>
      <c r="E109">
        <v>0.91406900000000002</v>
      </c>
      <c r="F109">
        <v>139.62</v>
      </c>
      <c r="G109">
        <v>0</v>
      </c>
      <c r="H109">
        <v>58.98</v>
      </c>
    </row>
    <row r="110" spans="1:8">
      <c r="A110" s="1">
        <v>49</v>
      </c>
      <c r="B110" t="s">
        <v>3720</v>
      </c>
      <c r="C110">
        <v>159.47999999999999</v>
      </c>
      <c r="D110">
        <v>40.46</v>
      </c>
      <c r="E110">
        <v>0.65543399999999996</v>
      </c>
      <c r="F110">
        <v>57.95</v>
      </c>
      <c r="G110">
        <v>8</v>
      </c>
      <c r="H110">
        <v>55.72</v>
      </c>
    </row>
    <row r="111" spans="1:8">
      <c r="A111" s="1">
        <v>50</v>
      </c>
      <c r="B111" t="s">
        <v>3721</v>
      </c>
      <c r="C111">
        <v>220.25</v>
      </c>
      <c r="D111">
        <v>39.31</v>
      </c>
      <c r="E111">
        <v>0.72859200000000002</v>
      </c>
      <c r="F111">
        <v>0.46</v>
      </c>
      <c r="G111">
        <v>4</v>
      </c>
      <c r="H111">
        <v>92.36</v>
      </c>
    </row>
    <row r="112" spans="1:8">
      <c r="B112" s="1" t="s">
        <v>19</v>
      </c>
      <c r="C112" s="1">
        <f>AVERAGE(C62:C111)</f>
        <v>170.43560000000002</v>
      </c>
      <c r="D112" s="1" t="e">
        <f t="shared" ref="D112:F112" si="3">AVERAGE(D62:D111)</f>
        <v>#NAME?</v>
      </c>
      <c r="E112" s="1">
        <f t="shared" si="3"/>
        <v>0.76867089999999971</v>
      </c>
      <c r="F112" s="1">
        <f t="shared" si="3"/>
        <v>73.816800000000015</v>
      </c>
      <c r="H112" s="1">
        <f t="shared" ref="H112" si="4">AVERAGE(H62:H111)</f>
        <v>49.268800000000013</v>
      </c>
    </row>
    <row r="113" spans="1:8">
      <c r="B113" s="1" t="s">
        <v>20</v>
      </c>
      <c r="C113" s="1">
        <f>MIN(C61:C111)</f>
        <v>65.81</v>
      </c>
      <c r="D113" s="1" t="e">
        <f t="shared" ref="D113:F113" si="5">MIN(D61:D111)</f>
        <v>#NAME?</v>
      </c>
      <c r="E113" s="1">
        <f t="shared" si="5"/>
        <v>0.454486</v>
      </c>
      <c r="F113" s="1">
        <f t="shared" si="5"/>
        <v>0</v>
      </c>
      <c r="H113" s="1">
        <f t="shared" ref="H113" si="6">MIN(H61:H111)</f>
        <v>16.690000000000001</v>
      </c>
    </row>
    <row r="114" spans="1:8">
      <c r="B114" s="1" t="s">
        <v>3</v>
      </c>
      <c r="C114" s="1">
        <f>STDEV(C62:C111)</f>
        <v>56.048174437673893</v>
      </c>
      <c r="D114" s="1" t="e">
        <f t="shared" ref="D114:E114" si="7">STDEV(D62:D111)</f>
        <v>#NAME?</v>
      </c>
      <c r="E114" s="1">
        <f t="shared" si="7"/>
        <v>0.13170234411287735</v>
      </c>
      <c r="F114" s="1">
        <f>STDEV(F62:F111)</f>
        <v>49.685234961953149</v>
      </c>
      <c r="H114" s="1">
        <f>STDEV(H62:H111)</f>
        <v>19.243481869167514</v>
      </c>
    </row>
    <row r="116" spans="1:8">
      <c r="H116" s="21" t="s">
        <v>1435</v>
      </c>
    </row>
    <row r="117" spans="1:8" ht="18">
      <c r="A117" s="21" t="s">
        <v>7</v>
      </c>
      <c r="B117" s="3" t="s">
        <v>1</v>
      </c>
      <c r="C117" s="21" t="s">
        <v>4</v>
      </c>
      <c r="D117" s="21" t="s">
        <v>322</v>
      </c>
      <c r="E117" s="21" t="s">
        <v>321</v>
      </c>
      <c r="F117" s="21" t="s">
        <v>324</v>
      </c>
      <c r="G117" s="21" t="s">
        <v>323</v>
      </c>
      <c r="H117" s="21" t="s">
        <v>1436</v>
      </c>
    </row>
    <row r="118" spans="1:8">
      <c r="A118" s="1">
        <v>1</v>
      </c>
      <c r="B118" t="s">
        <v>3272</v>
      </c>
      <c r="C118">
        <v>161.74</v>
      </c>
      <c r="D118" t="e">
        <f>-inf</f>
        <v>#NAME?</v>
      </c>
      <c r="E118">
        <v>0.60568200000000005</v>
      </c>
      <c r="F118">
        <v>0</v>
      </c>
      <c r="G118">
        <v>12</v>
      </c>
      <c r="H118">
        <v>46.93</v>
      </c>
    </row>
    <row r="119" spans="1:8">
      <c r="A119" s="1">
        <v>2</v>
      </c>
      <c r="B119" t="s">
        <v>3273</v>
      </c>
      <c r="C119">
        <v>130.66</v>
      </c>
      <c r="D119" t="e">
        <f>-inf</f>
        <v>#NAME?</v>
      </c>
      <c r="E119">
        <v>0.57094999999999996</v>
      </c>
      <c r="F119">
        <v>0</v>
      </c>
      <c r="G119">
        <v>2</v>
      </c>
      <c r="H119">
        <v>38.130000000000003</v>
      </c>
    </row>
    <row r="120" spans="1:8">
      <c r="A120" s="1">
        <v>3</v>
      </c>
      <c r="B120" t="s">
        <v>3274</v>
      </c>
      <c r="C120">
        <v>146.91</v>
      </c>
      <c r="D120">
        <v>80.45</v>
      </c>
      <c r="E120">
        <v>0.76852299999999996</v>
      </c>
      <c r="F120">
        <v>7.18</v>
      </c>
      <c r="G120">
        <v>12</v>
      </c>
      <c r="H120">
        <v>43.76</v>
      </c>
    </row>
    <row r="121" spans="1:8">
      <c r="A121" s="1">
        <v>4</v>
      </c>
      <c r="B121" t="s">
        <v>3275</v>
      </c>
      <c r="C121">
        <v>118.94</v>
      </c>
      <c r="D121">
        <v>79.900000000000006</v>
      </c>
      <c r="E121">
        <v>0.62403699999999995</v>
      </c>
      <c r="F121">
        <v>51.57</v>
      </c>
      <c r="G121">
        <v>12</v>
      </c>
      <c r="H121">
        <v>39.53</v>
      </c>
    </row>
    <row r="122" spans="1:8">
      <c r="A122" s="1">
        <v>5</v>
      </c>
      <c r="B122" t="s">
        <v>3276</v>
      </c>
      <c r="C122">
        <v>151.5</v>
      </c>
      <c r="D122" t="e">
        <f>-inf</f>
        <v>#NAME?</v>
      </c>
      <c r="E122">
        <v>0.633687</v>
      </c>
      <c r="F122">
        <v>0</v>
      </c>
      <c r="G122">
        <v>12</v>
      </c>
      <c r="H122">
        <v>49.2</v>
      </c>
    </row>
    <row r="123" spans="1:8">
      <c r="A123" s="1">
        <v>6</v>
      </c>
      <c r="B123" t="s">
        <v>3277</v>
      </c>
      <c r="C123">
        <v>178.25</v>
      </c>
      <c r="D123">
        <v>78.010000000000005</v>
      </c>
      <c r="E123">
        <v>0.59167999999999998</v>
      </c>
      <c r="F123">
        <v>0.04</v>
      </c>
      <c r="G123">
        <v>6</v>
      </c>
      <c r="H123">
        <v>51.84</v>
      </c>
    </row>
    <row r="124" spans="1:8">
      <c r="A124" s="1">
        <v>7</v>
      </c>
      <c r="B124" t="s">
        <v>3278</v>
      </c>
      <c r="C124">
        <v>131.35</v>
      </c>
      <c r="D124" t="e">
        <f>-inf</f>
        <v>#NAME?</v>
      </c>
      <c r="E124">
        <v>0.54415599999999997</v>
      </c>
      <c r="F124">
        <v>0</v>
      </c>
      <c r="G124">
        <v>8</v>
      </c>
      <c r="H124">
        <v>45.46</v>
      </c>
    </row>
    <row r="125" spans="1:8">
      <c r="A125" s="1">
        <v>8</v>
      </c>
      <c r="B125" t="s">
        <v>3279</v>
      </c>
      <c r="C125">
        <v>109.05</v>
      </c>
      <c r="D125">
        <v>80.13</v>
      </c>
      <c r="E125">
        <v>0.88102999999999998</v>
      </c>
      <c r="F125">
        <v>67.2</v>
      </c>
      <c r="G125">
        <v>6</v>
      </c>
      <c r="H125">
        <v>32.61</v>
      </c>
    </row>
    <row r="126" spans="1:8">
      <c r="A126" s="1">
        <v>9</v>
      </c>
      <c r="B126" t="s">
        <v>3280</v>
      </c>
      <c r="C126">
        <v>116.19</v>
      </c>
      <c r="D126" t="e">
        <f>-inf</f>
        <v>#NAME?</v>
      </c>
      <c r="E126">
        <v>0.72984700000000002</v>
      </c>
      <c r="F126">
        <v>0</v>
      </c>
      <c r="G126">
        <v>16</v>
      </c>
      <c r="H126">
        <v>35.26</v>
      </c>
    </row>
    <row r="127" spans="1:8">
      <c r="A127" s="1">
        <v>10</v>
      </c>
      <c r="B127" t="s">
        <v>3281</v>
      </c>
      <c r="C127">
        <v>116.08</v>
      </c>
      <c r="D127">
        <v>80.290000000000006</v>
      </c>
      <c r="E127">
        <v>0.79969500000000004</v>
      </c>
      <c r="F127">
        <v>77.680000000000007</v>
      </c>
      <c r="G127">
        <v>12</v>
      </c>
      <c r="H127">
        <v>27.67</v>
      </c>
    </row>
    <row r="128" spans="1:8">
      <c r="A128" s="1">
        <v>11</v>
      </c>
      <c r="B128" t="s">
        <v>3282</v>
      </c>
      <c r="C128">
        <v>154.31</v>
      </c>
      <c r="D128">
        <v>78.72</v>
      </c>
      <c r="E128">
        <v>0.69259700000000002</v>
      </c>
      <c r="F128">
        <v>0.15</v>
      </c>
      <c r="G128">
        <v>8</v>
      </c>
      <c r="H128">
        <v>47.45</v>
      </c>
    </row>
    <row r="129" spans="1:8">
      <c r="A129" s="1">
        <v>12</v>
      </c>
      <c r="B129" t="s">
        <v>3283</v>
      </c>
      <c r="C129">
        <v>134.16999999999999</v>
      </c>
      <c r="D129">
        <v>79.569999999999993</v>
      </c>
      <c r="E129">
        <v>0.82331500000000002</v>
      </c>
      <c r="F129">
        <v>1.65</v>
      </c>
      <c r="G129">
        <v>6</v>
      </c>
      <c r="H129">
        <v>37.86</v>
      </c>
    </row>
    <row r="130" spans="1:8">
      <c r="A130" s="1">
        <v>13</v>
      </c>
      <c r="B130" t="s">
        <v>3284</v>
      </c>
      <c r="C130">
        <v>88.28</v>
      </c>
      <c r="D130">
        <v>77.81</v>
      </c>
      <c r="E130">
        <v>0.68510899999999997</v>
      </c>
      <c r="F130">
        <v>2.88</v>
      </c>
      <c r="G130">
        <v>6</v>
      </c>
      <c r="H130">
        <v>26.33</v>
      </c>
    </row>
    <row r="131" spans="1:8">
      <c r="A131" s="1">
        <v>14</v>
      </c>
      <c r="B131" t="s">
        <v>3285</v>
      </c>
      <c r="C131">
        <v>133.76</v>
      </c>
      <c r="D131">
        <v>77.73</v>
      </c>
      <c r="E131">
        <v>0.69542999999999999</v>
      </c>
      <c r="F131">
        <v>0.04</v>
      </c>
      <c r="G131">
        <v>6</v>
      </c>
      <c r="H131">
        <v>37.94</v>
      </c>
    </row>
    <row r="132" spans="1:8">
      <c r="A132" s="1">
        <v>15</v>
      </c>
      <c r="B132" t="s">
        <v>3286</v>
      </c>
      <c r="C132">
        <v>112.5</v>
      </c>
      <c r="D132" t="e">
        <f>-inf</f>
        <v>#NAME?</v>
      </c>
      <c r="E132">
        <v>0.68380399999999997</v>
      </c>
      <c r="F132">
        <v>0</v>
      </c>
      <c r="G132">
        <v>10</v>
      </c>
      <c r="H132">
        <v>31.69</v>
      </c>
    </row>
    <row r="133" spans="1:8">
      <c r="A133" s="1">
        <v>16</v>
      </c>
      <c r="B133" t="s">
        <v>3287</v>
      </c>
      <c r="C133">
        <v>99.73</v>
      </c>
      <c r="D133">
        <v>77.75</v>
      </c>
      <c r="E133">
        <v>0.72111499999999995</v>
      </c>
      <c r="F133">
        <v>0.61</v>
      </c>
      <c r="G133">
        <v>2</v>
      </c>
      <c r="H133">
        <v>29.06</v>
      </c>
    </row>
    <row r="134" spans="1:8">
      <c r="A134" s="1">
        <v>17</v>
      </c>
      <c r="B134" t="s">
        <v>3288</v>
      </c>
      <c r="C134">
        <v>106.69</v>
      </c>
      <c r="D134" t="e">
        <f>-inf</f>
        <v>#NAME?</v>
      </c>
      <c r="E134">
        <v>0.71190399999999998</v>
      </c>
      <c r="F134">
        <v>0</v>
      </c>
      <c r="G134">
        <v>4</v>
      </c>
      <c r="H134">
        <v>26.37</v>
      </c>
    </row>
    <row r="135" spans="1:8">
      <c r="A135" s="1">
        <v>18</v>
      </c>
      <c r="B135" t="s">
        <v>3289</v>
      </c>
      <c r="C135">
        <v>150.41</v>
      </c>
      <c r="D135">
        <v>80.58</v>
      </c>
      <c r="E135">
        <v>0.74216700000000002</v>
      </c>
      <c r="F135">
        <v>9.83</v>
      </c>
      <c r="G135">
        <v>18</v>
      </c>
      <c r="H135">
        <v>46.79</v>
      </c>
    </row>
    <row r="136" spans="1:8">
      <c r="A136" s="1">
        <v>19</v>
      </c>
      <c r="B136" t="s">
        <v>3290</v>
      </c>
      <c r="C136">
        <v>188.24</v>
      </c>
      <c r="D136">
        <v>81.33</v>
      </c>
      <c r="E136">
        <v>0.69911900000000005</v>
      </c>
      <c r="F136">
        <v>10.25</v>
      </c>
      <c r="G136">
        <v>4</v>
      </c>
      <c r="H136">
        <v>54.23</v>
      </c>
    </row>
    <row r="137" spans="1:8">
      <c r="A137" s="1">
        <v>20</v>
      </c>
      <c r="B137" t="s">
        <v>3291</v>
      </c>
      <c r="C137">
        <v>141.02000000000001</v>
      </c>
      <c r="D137">
        <v>80.89</v>
      </c>
      <c r="E137">
        <v>0.76951999999999998</v>
      </c>
      <c r="F137">
        <v>61.75</v>
      </c>
      <c r="G137">
        <v>4</v>
      </c>
      <c r="H137">
        <v>38.369999999999997</v>
      </c>
    </row>
    <row r="138" spans="1:8">
      <c r="A138" s="1">
        <v>21</v>
      </c>
      <c r="B138" t="s">
        <v>3292</v>
      </c>
      <c r="C138">
        <v>137.75</v>
      </c>
      <c r="D138">
        <v>80.19</v>
      </c>
      <c r="E138">
        <v>0.66030100000000003</v>
      </c>
      <c r="F138">
        <v>17.97</v>
      </c>
      <c r="G138">
        <v>6</v>
      </c>
      <c r="H138">
        <v>40.409999999999997</v>
      </c>
    </row>
    <row r="139" spans="1:8">
      <c r="A139" s="1">
        <v>22</v>
      </c>
      <c r="B139" t="s">
        <v>3293</v>
      </c>
      <c r="C139">
        <v>159.47999999999999</v>
      </c>
      <c r="D139">
        <v>81.13</v>
      </c>
      <c r="E139">
        <v>0.63741700000000001</v>
      </c>
      <c r="F139">
        <v>71.81</v>
      </c>
      <c r="G139">
        <v>14</v>
      </c>
      <c r="H139">
        <v>46.55</v>
      </c>
    </row>
    <row r="140" spans="1:8">
      <c r="A140" s="1">
        <v>23</v>
      </c>
      <c r="B140" t="s">
        <v>3294</v>
      </c>
      <c r="C140">
        <v>124.6</v>
      </c>
      <c r="D140">
        <v>78.61</v>
      </c>
      <c r="E140">
        <v>0.574909</v>
      </c>
      <c r="F140">
        <v>10.210000000000001</v>
      </c>
      <c r="G140">
        <v>16</v>
      </c>
      <c r="H140">
        <v>37.659999999999997</v>
      </c>
    </row>
    <row r="141" spans="1:8">
      <c r="A141" s="1">
        <v>24</v>
      </c>
      <c r="B141" t="s">
        <v>3295</v>
      </c>
      <c r="C141">
        <v>111.54</v>
      </c>
      <c r="D141">
        <v>80.209999999999994</v>
      </c>
      <c r="E141">
        <v>0.89034199999999997</v>
      </c>
      <c r="F141">
        <v>62.71</v>
      </c>
      <c r="G141">
        <v>0</v>
      </c>
      <c r="H141">
        <v>29.86</v>
      </c>
    </row>
    <row r="142" spans="1:8">
      <c r="A142" s="1">
        <v>25</v>
      </c>
      <c r="B142" t="s">
        <v>3296</v>
      </c>
      <c r="C142">
        <v>101.7</v>
      </c>
      <c r="D142">
        <v>79.2</v>
      </c>
      <c r="E142">
        <v>0.70974899999999996</v>
      </c>
      <c r="F142">
        <v>16.239999999999998</v>
      </c>
      <c r="G142">
        <v>16</v>
      </c>
      <c r="H142">
        <v>27.92</v>
      </c>
    </row>
    <row r="143" spans="1:8">
      <c r="A143" s="1">
        <v>26</v>
      </c>
      <c r="B143" t="s">
        <v>3297</v>
      </c>
      <c r="C143">
        <v>124.91</v>
      </c>
      <c r="D143" t="e">
        <f>-inf</f>
        <v>#NAME?</v>
      </c>
      <c r="E143">
        <v>0.66483800000000004</v>
      </c>
      <c r="F143">
        <v>0</v>
      </c>
      <c r="G143">
        <v>10</v>
      </c>
      <c r="H143">
        <v>37.880000000000003</v>
      </c>
    </row>
    <row r="144" spans="1:8">
      <c r="A144" s="1">
        <v>27</v>
      </c>
      <c r="B144" t="s">
        <v>3298</v>
      </c>
      <c r="C144">
        <v>96.53</v>
      </c>
      <c r="D144">
        <v>76.66</v>
      </c>
      <c r="E144">
        <v>0.82497900000000002</v>
      </c>
      <c r="F144">
        <v>0.04</v>
      </c>
      <c r="G144">
        <v>6</v>
      </c>
      <c r="H144">
        <v>25.6</v>
      </c>
    </row>
    <row r="145" spans="1:8">
      <c r="A145" s="1">
        <v>28</v>
      </c>
      <c r="B145" t="s">
        <v>3299</v>
      </c>
      <c r="C145">
        <v>94.99</v>
      </c>
      <c r="D145">
        <v>79.59</v>
      </c>
      <c r="E145">
        <v>0.91002899999999998</v>
      </c>
      <c r="F145">
        <v>62.25</v>
      </c>
      <c r="G145">
        <v>16</v>
      </c>
      <c r="H145">
        <v>25.3</v>
      </c>
    </row>
    <row r="146" spans="1:8">
      <c r="A146" s="1">
        <v>29</v>
      </c>
      <c r="B146" t="s">
        <v>3300</v>
      </c>
      <c r="C146">
        <v>139.71</v>
      </c>
      <c r="D146">
        <v>74.959999999999994</v>
      </c>
      <c r="E146">
        <v>0.62392000000000003</v>
      </c>
      <c r="F146">
        <v>0.04</v>
      </c>
      <c r="G146">
        <v>4</v>
      </c>
      <c r="H146">
        <v>42.67</v>
      </c>
    </row>
    <row r="147" spans="1:8">
      <c r="A147" s="1">
        <v>30</v>
      </c>
      <c r="B147" t="s">
        <v>3301</v>
      </c>
      <c r="C147">
        <v>93.37</v>
      </c>
      <c r="D147">
        <v>79.59</v>
      </c>
      <c r="E147">
        <v>0.94254199999999999</v>
      </c>
      <c r="F147">
        <v>69.31</v>
      </c>
      <c r="G147">
        <v>10</v>
      </c>
      <c r="H147">
        <v>24.53</v>
      </c>
    </row>
    <row r="148" spans="1:8">
      <c r="A148" s="1">
        <v>31</v>
      </c>
      <c r="B148" t="s">
        <v>3302</v>
      </c>
      <c r="C148">
        <v>94.94</v>
      </c>
      <c r="D148">
        <v>76.17</v>
      </c>
      <c r="E148">
        <v>0.73737200000000003</v>
      </c>
      <c r="F148">
        <v>0.04</v>
      </c>
      <c r="G148">
        <v>14</v>
      </c>
      <c r="H148">
        <v>27.85</v>
      </c>
    </row>
    <row r="149" spans="1:8">
      <c r="A149" s="1">
        <v>32</v>
      </c>
      <c r="B149" t="s">
        <v>3303</v>
      </c>
      <c r="C149">
        <v>173.29</v>
      </c>
      <c r="D149">
        <v>80.12</v>
      </c>
      <c r="E149">
        <v>0.62085900000000005</v>
      </c>
      <c r="F149">
        <v>2.2999999999999998</v>
      </c>
      <c r="G149">
        <v>16</v>
      </c>
      <c r="H149">
        <v>46.81</v>
      </c>
    </row>
    <row r="150" spans="1:8">
      <c r="A150" s="1">
        <v>33</v>
      </c>
      <c r="B150" t="s">
        <v>3304</v>
      </c>
      <c r="C150">
        <v>126.07</v>
      </c>
      <c r="D150">
        <v>79.180000000000007</v>
      </c>
      <c r="E150">
        <v>0.65961199999999998</v>
      </c>
      <c r="F150">
        <v>3.42</v>
      </c>
      <c r="G150">
        <v>16</v>
      </c>
      <c r="H150">
        <v>38.36</v>
      </c>
    </row>
    <row r="151" spans="1:8">
      <c r="A151" s="1">
        <v>34</v>
      </c>
      <c r="B151" t="s">
        <v>3305</v>
      </c>
      <c r="C151">
        <v>124.95</v>
      </c>
      <c r="D151" t="e">
        <f>-inf</f>
        <v>#NAME?</v>
      </c>
      <c r="E151">
        <v>0.67413999999999996</v>
      </c>
      <c r="F151">
        <v>0</v>
      </c>
      <c r="G151">
        <v>4</v>
      </c>
      <c r="H151">
        <v>33.33</v>
      </c>
    </row>
    <row r="152" spans="1:8">
      <c r="A152" s="1">
        <v>35</v>
      </c>
      <c r="B152" t="s">
        <v>3306</v>
      </c>
      <c r="C152">
        <v>152.94</v>
      </c>
      <c r="D152">
        <v>79.06</v>
      </c>
      <c r="E152">
        <v>0.65296100000000001</v>
      </c>
      <c r="F152">
        <v>0.35</v>
      </c>
      <c r="G152">
        <v>4</v>
      </c>
      <c r="H152">
        <v>46.53</v>
      </c>
    </row>
    <row r="153" spans="1:8">
      <c r="A153" s="1">
        <v>36</v>
      </c>
      <c r="B153" t="s">
        <v>3307</v>
      </c>
      <c r="C153">
        <v>96.9</v>
      </c>
      <c r="D153">
        <v>75.849999999999994</v>
      </c>
      <c r="E153">
        <v>0.50290999999999997</v>
      </c>
      <c r="F153">
        <v>0.57999999999999996</v>
      </c>
      <c r="G153">
        <v>8</v>
      </c>
      <c r="H153">
        <v>30.73</v>
      </c>
    </row>
    <row r="154" spans="1:8">
      <c r="A154" s="1">
        <v>37</v>
      </c>
      <c r="B154" t="s">
        <v>3308</v>
      </c>
      <c r="C154">
        <v>122.09</v>
      </c>
      <c r="D154">
        <v>79.77</v>
      </c>
      <c r="E154">
        <v>0.63741000000000003</v>
      </c>
      <c r="F154">
        <v>17.55</v>
      </c>
      <c r="G154">
        <v>16</v>
      </c>
      <c r="H154">
        <v>37.46</v>
      </c>
    </row>
    <row r="155" spans="1:8">
      <c r="A155" s="1">
        <v>38</v>
      </c>
      <c r="B155" t="s">
        <v>3309</v>
      </c>
      <c r="C155">
        <v>154.94999999999999</v>
      </c>
      <c r="D155">
        <v>81.459999999999994</v>
      </c>
      <c r="E155">
        <v>0.83812500000000001</v>
      </c>
      <c r="F155">
        <v>75.459999999999994</v>
      </c>
      <c r="G155">
        <v>8</v>
      </c>
      <c r="H155">
        <v>42.66</v>
      </c>
    </row>
    <row r="156" spans="1:8">
      <c r="A156" s="1">
        <v>39</v>
      </c>
      <c r="B156" t="s">
        <v>3310</v>
      </c>
      <c r="C156">
        <v>102.93</v>
      </c>
      <c r="D156">
        <v>79.180000000000007</v>
      </c>
      <c r="E156">
        <v>0.86949200000000004</v>
      </c>
      <c r="F156">
        <v>5.91</v>
      </c>
      <c r="G156">
        <v>6</v>
      </c>
      <c r="H156">
        <v>29.78</v>
      </c>
    </row>
    <row r="157" spans="1:8">
      <c r="A157" s="1">
        <v>40</v>
      </c>
      <c r="B157" t="s">
        <v>3311</v>
      </c>
      <c r="C157">
        <v>108.2</v>
      </c>
      <c r="D157" t="e">
        <f>-inf</f>
        <v>#NAME?</v>
      </c>
      <c r="E157">
        <v>0.73075599999999996</v>
      </c>
      <c r="F157">
        <v>0</v>
      </c>
      <c r="G157">
        <v>4</v>
      </c>
      <c r="H157">
        <v>32.06</v>
      </c>
    </row>
    <row r="158" spans="1:8">
      <c r="A158" s="1">
        <v>41</v>
      </c>
      <c r="B158" t="s">
        <v>3312</v>
      </c>
      <c r="C158">
        <v>94.49</v>
      </c>
      <c r="D158">
        <v>78.34</v>
      </c>
      <c r="E158">
        <v>0.78158300000000003</v>
      </c>
      <c r="F158">
        <v>2.5299999999999998</v>
      </c>
      <c r="G158">
        <v>16</v>
      </c>
      <c r="H158">
        <v>28.8</v>
      </c>
    </row>
    <row r="159" spans="1:8">
      <c r="A159" s="1">
        <v>42</v>
      </c>
      <c r="B159" t="s">
        <v>3313</v>
      </c>
      <c r="C159">
        <v>186.95</v>
      </c>
      <c r="D159">
        <v>81.47</v>
      </c>
      <c r="E159">
        <v>0.63485100000000005</v>
      </c>
      <c r="F159">
        <v>58.1</v>
      </c>
      <c r="G159">
        <v>8</v>
      </c>
      <c r="H159">
        <v>58.31</v>
      </c>
    </row>
    <row r="160" spans="1:8">
      <c r="A160" s="1">
        <v>43</v>
      </c>
      <c r="B160" t="s">
        <v>3314</v>
      </c>
      <c r="C160">
        <v>136.9</v>
      </c>
      <c r="D160">
        <v>77.459999999999994</v>
      </c>
      <c r="E160">
        <v>0.64680499999999996</v>
      </c>
      <c r="F160">
        <v>0.04</v>
      </c>
      <c r="G160">
        <v>16</v>
      </c>
      <c r="H160">
        <v>37.19</v>
      </c>
    </row>
    <row r="161" spans="1:8">
      <c r="A161" s="1">
        <v>44</v>
      </c>
      <c r="B161" t="s">
        <v>3315</v>
      </c>
      <c r="C161">
        <v>146.25</v>
      </c>
      <c r="D161">
        <v>80.8</v>
      </c>
      <c r="E161">
        <v>0.67796599999999996</v>
      </c>
      <c r="F161">
        <v>47.69</v>
      </c>
      <c r="G161">
        <v>6</v>
      </c>
      <c r="H161">
        <v>50.03</v>
      </c>
    </row>
    <row r="162" spans="1:8">
      <c r="A162" s="1">
        <v>45</v>
      </c>
      <c r="B162" t="s">
        <v>3316</v>
      </c>
      <c r="C162">
        <v>133.41</v>
      </c>
      <c r="D162">
        <v>76.45</v>
      </c>
      <c r="E162">
        <v>0.54814600000000002</v>
      </c>
      <c r="F162">
        <v>0.04</v>
      </c>
      <c r="G162">
        <v>14</v>
      </c>
      <c r="H162">
        <v>36.86</v>
      </c>
    </row>
    <row r="163" spans="1:8">
      <c r="A163" s="1">
        <v>46</v>
      </c>
      <c r="B163" t="s">
        <v>3317</v>
      </c>
      <c r="C163">
        <v>159.82</v>
      </c>
      <c r="D163">
        <v>80.989999999999995</v>
      </c>
      <c r="E163">
        <v>0.77471699999999999</v>
      </c>
      <c r="F163">
        <v>12.06</v>
      </c>
      <c r="G163">
        <v>12</v>
      </c>
      <c r="H163">
        <v>47.22</v>
      </c>
    </row>
    <row r="164" spans="1:8">
      <c r="A164" s="1">
        <v>47</v>
      </c>
      <c r="B164" t="s">
        <v>3318</v>
      </c>
      <c r="C164">
        <v>148.18</v>
      </c>
      <c r="D164">
        <v>80.22</v>
      </c>
      <c r="E164">
        <v>0.77047600000000005</v>
      </c>
      <c r="F164">
        <v>4.03</v>
      </c>
      <c r="G164">
        <v>4</v>
      </c>
      <c r="H164">
        <v>39.159999999999997</v>
      </c>
    </row>
    <row r="165" spans="1:8">
      <c r="A165" s="1">
        <v>48</v>
      </c>
      <c r="B165" t="s">
        <v>3319</v>
      </c>
      <c r="C165">
        <v>154.79</v>
      </c>
      <c r="D165">
        <v>80.03</v>
      </c>
      <c r="E165">
        <v>0.69710799999999995</v>
      </c>
      <c r="F165">
        <v>5.53</v>
      </c>
      <c r="G165">
        <v>8</v>
      </c>
      <c r="H165">
        <v>44.53</v>
      </c>
    </row>
    <row r="166" spans="1:8">
      <c r="A166" s="1">
        <v>49</v>
      </c>
      <c r="B166" t="s">
        <v>3320</v>
      </c>
      <c r="C166">
        <v>87.71</v>
      </c>
      <c r="D166" t="e">
        <f>-inf</f>
        <v>#NAME?</v>
      </c>
      <c r="E166">
        <v>0.44413000000000002</v>
      </c>
      <c r="F166">
        <v>0</v>
      </c>
      <c r="G166">
        <v>8</v>
      </c>
      <c r="H166">
        <v>20.8</v>
      </c>
    </row>
    <row r="167" spans="1:8">
      <c r="A167" s="1">
        <v>50</v>
      </c>
      <c r="B167" t="s">
        <v>3321</v>
      </c>
      <c r="C167">
        <v>129.69999999999999</v>
      </c>
      <c r="D167">
        <v>78.569999999999993</v>
      </c>
      <c r="E167">
        <v>0.70741900000000002</v>
      </c>
      <c r="F167">
        <v>1.88</v>
      </c>
      <c r="G167">
        <v>14</v>
      </c>
      <c r="H167">
        <v>36.18</v>
      </c>
    </row>
    <row r="168" spans="1:8">
      <c r="B168" s="1" t="s">
        <v>19</v>
      </c>
      <c r="C168" s="1">
        <f>AVERAGE(C118:C167)</f>
        <v>129.79639999999995</v>
      </c>
      <c r="D168" s="1" t="e">
        <f t="shared" ref="D168:F168" si="8">AVERAGE(D118:D167)</f>
        <v>#NAME?</v>
      </c>
      <c r="E168" s="1">
        <f t="shared" si="8"/>
        <v>0.70038462000000024</v>
      </c>
      <c r="F168" s="1">
        <f t="shared" si="8"/>
        <v>16.778399999999994</v>
      </c>
      <c r="H168" s="1">
        <f t="shared" ref="H168" si="9">AVERAGE(H118:H167)</f>
        <v>37.790199999999992</v>
      </c>
    </row>
    <row r="169" spans="1:8">
      <c r="B169" s="1" t="s">
        <v>20</v>
      </c>
      <c r="C169" s="1">
        <f>MIN(C117:C167)</f>
        <v>87.71</v>
      </c>
      <c r="D169" s="1" t="e">
        <f>MIN(D117:D167)</f>
        <v>#NAME?</v>
      </c>
      <c r="E169" s="1">
        <f>MIN(E117:E167)</f>
        <v>0.44413000000000002</v>
      </c>
      <c r="F169" s="1">
        <f>MIN(F117:F167)</f>
        <v>0</v>
      </c>
      <c r="H169" s="1">
        <f>MIN(H117:H167)</f>
        <v>20.8</v>
      </c>
    </row>
    <row r="170" spans="1:8">
      <c r="B170" s="1" t="s">
        <v>3</v>
      </c>
      <c r="C170" s="1">
        <f>STDEV(C118:C167)</f>
        <v>26.382501680825946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1" t="s">
        <v>1435</v>
      </c>
    </row>
    <row r="173" spans="1:8" ht="18">
      <c r="A173" s="21" t="s">
        <v>7</v>
      </c>
      <c r="B173" s="3" t="s">
        <v>9</v>
      </c>
      <c r="C173" s="21" t="s">
        <v>4</v>
      </c>
      <c r="D173" s="21" t="s">
        <v>322</v>
      </c>
      <c r="E173" s="21" t="s">
        <v>321</v>
      </c>
      <c r="F173" s="21" t="s">
        <v>324</v>
      </c>
      <c r="G173" s="21" t="s">
        <v>323</v>
      </c>
      <c r="H173" s="21" t="s">
        <v>1436</v>
      </c>
    </row>
    <row r="174" spans="1:8">
      <c r="A174" s="1">
        <v>1</v>
      </c>
      <c r="B174" t="s">
        <v>3422</v>
      </c>
      <c r="C174">
        <v>106.7</v>
      </c>
      <c r="D174" t="e">
        <f>-inf</f>
        <v>#NAME?</v>
      </c>
      <c r="E174">
        <v>0.49428</v>
      </c>
      <c r="F174">
        <v>0</v>
      </c>
      <c r="G174">
        <v>16</v>
      </c>
      <c r="H174">
        <v>29.59</v>
      </c>
    </row>
    <row r="175" spans="1:8">
      <c r="A175" s="1">
        <v>2</v>
      </c>
      <c r="B175" t="s">
        <v>3423</v>
      </c>
      <c r="C175">
        <v>55.1</v>
      </c>
      <c r="D175" t="e">
        <f>-inf</f>
        <v>#NAME?</v>
      </c>
      <c r="E175">
        <v>0.39945000000000003</v>
      </c>
      <c r="F175">
        <v>0</v>
      </c>
      <c r="G175">
        <v>10</v>
      </c>
      <c r="H175">
        <v>13.5</v>
      </c>
    </row>
    <row r="176" spans="1:8">
      <c r="A176" s="1">
        <v>3</v>
      </c>
      <c r="B176" t="s">
        <v>3424</v>
      </c>
      <c r="C176">
        <v>86.9</v>
      </c>
      <c r="D176">
        <v>149.03</v>
      </c>
      <c r="E176">
        <v>0.61818899999999999</v>
      </c>
      <c r="F176">
        <v>0.04</v>
      </c>
      <c r="G176">
        <v>26</v>
      </c>
      <c r="H176">
        <v>27.33</v>
      </c>
    </row>
    <row r="177" spans="1:8">
      <c r="A177" s="1">
        <v>4</v>
      </c>
      <c r="B177" t="s">
        <v>3425</v>
      </c>
      <c r="C177">
        <v>94.28</v>
      </c>
      <c r="D177">
        <v>149.27000000000001</v>
      </c>
      <c r="E177">
        <v>0.52073000000000003</v>
      </c>
      <c r="F177">
        <v>0.04</v>
      </c>
      <c r="G177">
        <v>20</v>
      </c>
      <c r="H177">
        <v>27.76</v>
      </c>
    </row>
    <row r="178" spans="1:8">
      <c r="A178" s="1">
        <v>5</v>
      </c>
      <c r="B178" t="s">
        <v>3426</v>
      </c>
      <c r="C178">
        <v>88.6</v>
      </c>
      <c r="D178" t="e">
        <f>-inf</f>
        <v>#NAME?</v>
      </c>
      <c r="E178">
        <v>0.60505699999999996</v>
      </c>
      <c r="F178">
        <v>0</v>
      </c>
      <c r="G178">
        <v>32</v>
      </c>
      <c r="H178">
        <v>27.57</v>
      </c>
    </row>
    <row r="179" spans="1:8">
      <c r="A179" s="1">
        <v>6</v>
      </c>
      <c r="B179" t="s">
        <v>3427</v>
      </c>
      <c r="C179">
        <v>101.28</v>
      </c>
      <c r="D179">
        <v>148.09</v>
      </c>
      <c r="E179">
        <v>0.55568499999999998</v>
      </c>
      <c r="F179">
        <v>0.04</v>
      </c>
      <c r="G179">
        <v>6</v>
      </c>
      <c r="H179">
        <v>28.64</v>
      </c>
    </row>
    <row r="180" spans="1:8">
      <c r="A180" s="1">
        <v>7</v>
      </c>
      <c r="B180" t="s">
        <v>3428</v>
      </c>
      <c r="C180">
        <v>104.14</v>
      </c>
      <c r="D180" t="e">
        <f>-inf</f>
        <v>#NAME?</v>
      </c>
      <c r="E180">
        <v>0.50122500000000003</v>
      </c>
      <c r="F180">
        <v>0</v>
      </c>
      <c r="G180">
        <v>38</v>
      </c>
      <c r="H180">
        <v>27.93</v>
      </c>
    </row>
    <row r="181" spans="1:8">
      <c r="A181" s="1">
        <v>8</v>
      </c>
      <c r="B181" t="s">
        <v>3429</v>
      </c>
      <c r="C181">
        <v>68.38</v>
      </c>
      <c r="D181">
        <v>149.63999999999999</v>
      </c>
      <c r="E181">
        <v>0.60270800000000002</v>
      </c>
      <c r="F181">
        <v>0.69</v>
      </c>
      <c r="G181">
        <v>12</v>
      </c>
      <c r="H181">
        <v>17.02</v>
      </c>
    </row>
    <row r="182" spans="1:8">
      <c r="A182" s="1">
        <v>9</v>
      </c>
      <c r="B182" t="s">
        <v>3430</v>
      </c>
      <c r="C182">
        <v>70.989999999999995</v>
      </c>
      <c r="D182" t="e">
        <f>-inf</f>
        <v>#NAME?</v>
      </c>
      <c r="E182">
        <v>0.71129100000000001</v>
      </c>
      <c r="F182">
        <v>0</v>
      </c>
      <c r="G182">
        <v>16</v>
      </c>
      <c r="H182">
        <v>19.13</v>
      </c>
    </row>
    <row r="183" spans="1:8">
      <c r="A183" s="1">
        <v>10</v>
      </c>
      <c r="B183" t="s">
        <v>3431</v>
      </c>
      <c r="C183">
        <v>109.84</v>
      </c>
      <c r="D183">
        <v>152.83000000000001</v>
      </c>
      <c r="E183">
        <v>0.56097300000000005</v>
      </c>
      <c r="F183">
        <v>0.08</v>
      </c>
      <c r="G183">
        <v>20</v>
      </c>
      <c r="H183">
        <v>34.700000000000003</v>
      </c>
    </row>
    <row r="184" spans="1:8">
      <c r="A184" s="1">
        <v>11</v>
      </c>
      <c r="B184" t="s">
        <v>3432</v>
      </c>
      <c r="C184">
        <v>78.23</v>
      </c>
      <c r="D184" t="e">
        <f>-inf</f>
        <v>#NAME?</v>
      </c>
      <c r="E184">
        <v>0.52939499999999995</v>
      </c>
      <c r="F184">
        <v>0</v>
      </c>
      <c r="G184">
        <v>30</v>
      </c>
      <c r="H184">
        <v>20.05</v>
      </c>
    </row>
    <row r="185" spans="1:8">
      <c r="A185" s="1">
        <v>12</v>
      </c>
      <c r="B185" t="s">
        <v>3433</v>
      </c>
      <c r="C185">
        <v>77.77</v>
      </c>
      <c r="D185" t="e">
        <f>-inf</f>
        <v>#NAME?</v>
      </c>
      <c r="E185">
        <v>0.44331300000000001</v>
      </c>
      <c r="F185">
        <v>0</v>
      </c>
      <c r="G185">
        <v>38</v>
      </c>
      <c r="H185">
        <v>24.32</v>
      </c>
    </row>
    <row r="186" spans="1:8">
      <c r="A186" s="1">
        <v>13</v>
      </c>
      <c r="B186" t="s">
        <v>3434</v>
      </c>
      <c r="C186">
        <v>77.98</v>
      </c>
      <c r="D186" t="e">
        <f>-inf</f>
        <v>#NAME?</v>
      </c>
      <c r="E186">
        <v>0.46684900000000001</v>
      </c>
      <c r="F186">
        <v>0</v>
      </c>
      <c r="G186">
        <v>28</v>
      </c>
      <c r="H186">
        <v>23.69</v>
      </c>
    </row>
    <row r="187" spans="1:8">
      <c r="A187" s="1">
        <v>14</v>
      </c>
      <c r="B187" t="s">
        <v>3435</v>
      </c>
      <c r="C187">
        <v>64.900000000000006</v>
      </c>
      <c r="D187" t="e">
        <f>-inf</f>
        <v>#NAME?</v>
      </c>
      <c r="E187">
        <v>0.53975499999999998</v>
      </c>
      <c r="F187">
        <v>0</v>
      </c>
      <c r="G187">
        <v>30</v>
      </c>
      <c r="H187">
        <v>17.649999999999999</v>
      </c>
    </row>
    <row r="188" spans="1:8">
      <c r="A188" s="1">
        <v>15</v>
      </c>
      <c r="B188" t="s">
        <v>3436</v>
      </c>
      <c r="C188">
        <v>90.99</v>
      </c>
      <c r="D188" t="e">
        <f>-inf</f>
        <v>#NAME?</v>
      </c>
      <c r="E188">
        <v>0.44747100000000001</v>
      </c>
      <c r="F188">
        <v>0</v>
      </c>
      <c r="G188">
        <v>8</v>
      </c>
      <c r="H188">
        <v>24.42</v>
      </c>
    </row>
    <row r="189" spans="1:8">
      <c r="A189" s="1">
        <v>16</v>
      </c>
      <c r="B189" t="s">
        <v>3437</v>
      </c>
      <c r="C189">
        <v>73.680000000000007</v>
      </c>
      <c r="D189">
        <v>146.99</v>
      </c>
      <c r="E189">
        <v>0.66733100000000001</v>
      </c>
      <c r="F189">
        <v>0.04</v>
      </c>
      <c r="G189">
        <v>14</v>
      </c>
      <c r="H189">
        <v>18.079999999999998</v>
      </c>
    </row>
    <row r="190" spans="1:8">
      <c r="A190" s="1">
        <v>17</v>
      </c>
      <c r="B190" t="s">
        <v>3438</v>
      </c>
      <c r="C190">
        <v>102.22</v>
      </c>
      <c r="D190">
        <v>157.08000000000001</v>
      </c>
      <c r="E190">
        <v>0.67834700000000003</v>
      </c>
      <c r="F190">
        <v>3.07</v>
      </c>
      <c r="G190">
        <v>34</v>
      </c>
      <c r="H190">
        <v>29.55</v>
      </c>
    </row>
    <row r="191" spans="1:8">
      <c r="A191" s="1">
        <v>18</v>
      </c>
      <c r="B191" t="s">
        <v>3439</v>
      </c>
      <c r="C191">
        <v>75.599999999999994</v>
      </c>
      <c r="D191" t="e">
        <f>-inf</f>
        <v>#NAME?</v>
      </c>
      <c r="E191">
        <v>0.47967700000000002</v>
      </c>
      <c r="F191">
        <v>0</v>
      </c>
      <c r="G191">
        <v>10</v>
      </c>
      <c r="H191">
        <v>22.99</v>
      </c>
    </row>
    <row r="192" spans="1:8">
      <c r="A192" s="1">
        <v>19</v>
      </c>
      <c r="B192" t="s">
        <v>3440</v>
      </c>
      <c r="C192">
        <v>71.88</v>
      </c>
      <c r="D192" t="e">
        <f>-inf</f>
        <v>#NAME?</v>
      </c>
      <c r="E192">
        <v>0.63649</v>
      </c>
      <c r="F192">
        <v>0</v>
      </c>
      <c r="G192">
        <v>0</v>
      </c>
      <c r="H192">
        <v>19.23</v>
      </c>
    </row>
    <row r="193" spans="1:8">
      <c r="A193" s="1">
        <v>20</v>
      </c>
      <c r="B193" t="s">
        <v>3441</v>
      </c>
      <c r="C193">
        <v>110.36</v>
      </c>
      <c r="D193">
        <v>154.61000000000001</v>
      </c>
      <c r="E193">
        <v>0.644181</v>
      </c>
      <c r="F193">
        <v>0.04</v>
      </c>
      <c r="G193">
        <v>20</v>
      </c>
      <c r="H193">
        <v>27.91</v>
      </c>
    </row>
    <row r="194" spans="1:8">
      <c r="A194" s="1">
        <v>21</v>
      </c>
      <c r="B194" t="s">
        <v>3442</v>
      </c>
      <c r="C194">
        <v>99.78</v>
      </c>
      <c r="D194" t="e">
        <f>-inf</f>
        <v>#NAME?</v>
      </c>
      <c r="E194">
        <v>0.61367499999999997</v>
      </c>
      <c r="F194">
        <v>0</v>
      </c>
      <c r="G194">
        <v>8</v>
      </c>
      <c r="H194">
        <v>27.68</v>
      </c>
    </row>
    <row r="195" spans="1:8">
      <c r="A195" s="1">
        <v>22</v>
      </c>
      <c r="B195" t="s">
        <v>3443</v>
      </c>
      <c r="C195">
        <v>87.55</v>
      </c>
      <c r="D195" t="e">
        <f>-inf</f>
        <v>#NAME?</v>
      </c>
      <c r="E195">
        <v>0.64785000000000004</v>
      </c>
      <c r="F195">
        <v>0</v>
      </c>
      <c r="G195">
        <v>10</v>
      </c>
      <c r="H195">
        <v>25.64</v>
      </c>
    </row>
    <row r="196" spans="1:8">
      <c r="A196" s="1">
        <v>23</v>
      </c>
      <c r="B196" t="s">
        <v>3444</v>
      </c>
      <c r="C196">
        <v>86.99</v>
      </c>
      <c r="D196" t="e">
        <f>-inf</f>
        <v>#NAME?</v>
      </c>
      <c r="E196">
        <v>0.44924799999999998</v>
      </c>
      <c r="F196">
        <v>0</v>
      </c>
      <c r="G196">
        <v>22</v>
      </c>
      <c r="H196">
        <v>25.54</v>
      </c>
    </row>
    <row r="197" spans="1:8">
      <c r="A197" s="1">
        <v>24</v>
      </c>
      <c r="B197" t="s">
        <v>3445</v>
      </c>
      <c r="C197">
        <v>93.62</v>
      </c>
      <c r="D197" t="e">
        <f>-inf</f>
        <v>#NAME?</v>
      </c>
      <c r="E197">
        <v>0.66845900000000003</v>
      </c>
      <c r="F197">
        <v>0</v>
      </c>
      <c r="G197">
        <v>26</v>
      </c>
      <c r="H197">
        <v>22.83</v>
      </c>
    </row>
    <row r="198" spans="1:8">
      <c r="A198" s="1">
        <v>25</v>
      </c>
      <c r="B198" t="s">
        <v>3446</v>
      </c>
      <c r="C198">
        <v>78.34</v>
      </c>
      <c r="D198">
        <v>148.63999999999999</v>
      </c>
      <c r="E198">
        <v>0.57715000000000005</v>
      </c>
      <c r="F198">
        <v>0.04</v>
      </c>
      <c r="G198">
        <v>14</v>
      </c>
      <c r="H198">
        <v>24.76</v>
      </c>
    </row>
    <row r="199" spans="1:8">
      <c r="A199" s="1">
        <v>26</v>
      </c>
      <c r="B199" t="s">
        <v>3447</v>
      </c>
      <c r="C199">
        <v>87.31</v>
      </c>
      <c r="D199" t="e">
        <f>-inf</f>
        <v>#NAME?</v>
      </c>
      <c r="E199">
        <v>0.41991099999999998</v>
      </c>
      <c r="F199">
        <v>0</v>
      </c>
      <c r="G199">
        <v>12</v>
      </c>
      <c r="H199">
        <v>25.79</v>
      </c>
    </row>
    <row r="200" spans="1:8">
      <c r="A200" s="1">
        <v>27</v>
      </c>
      <c r="B200" t="s">
        <v>3448</v>
      </c>
      <c r="C200">
        <v>89.54</v>
      </c>
      <c r="D200" t="e">
        <f>-inf</f>
        <v>#NAME?</v>
      </c>
      <c r="E200">
        <v>0.46105600000000002</v>
      </c>
      <c r="F200">
        <v>0</v>
      </c>
      <c r="G200">
        <v>0</v>
      </c>
      <c r="H200">
        <v>25.98</v>
      </c>
    </row>
    <row r="201" spans="1:8">
      <c r="A201" s="1">
        <v>28</v>
      </c>
      <c r="B201" t="s">
        <v>3449</v>
      </c>
      <c r="C201">
        <v>101.14</v>
      </c>
      <c r="D201" t="e">
        <f>-inf</f>
        <v>#NAME?</v>
      </c>
      <c r="E201">
        <v>0.55428599999999995</v>
      </c>
      <c r="F201">
        <v>0</v>
      </c>
      <c r="G201">
        <v>10</v>
      </c>
      <c r="H201">
        <v>29.44</v>
      </c>
    </row>
    <row r="202" spans="1:8">
      <c r="A202" s="1">
        <v>29</v>
      </c>
      <c r="B202" t="s">
        <v>3450</v>
      </c>
      <c r="C202">
        <v>109.36</v>
      </c>
      <c r="D202" t="e">
        <f>-inf</f>
        <v>#NAME?</v>
      </c>
      <c r="E202">
        <v>0.61516000000000004</v>
      </c>
      <c r="F202">
        <v>0</v>
      </c>
      <c r="G202">
        <v>36</v>
      </c>
      <c r="H202">
        <v>34.69</v>
      </c>
    </row>
    <row r="203" spans="1:8">
      <c r="A203" s="1">
        <v>30</v>
      </c>
      <c r="B203" t="s">
        <v>3451</v>
      </c>
      <c r="C203">
        <v>105.86</v>
      </c>
      <c r="D203" t="e">
        <f>-inf</f>
        <v>#NAME?</v>
      </c>
      <c r="E203">
        <v>0.56840000000000002</v>
      </c>
      <c r="F203">
        <v>0</v>
      </c>
      <c r="G203">
        <v>0</v>
      </c>
      <c r="H203">
        <v>35.57</v>
      </c>
    </row>
    <row r="204" spans="1:8">
      <c r="A204" s="1">
        <v>31</v>
      </c>
      <c r="B204" t="s">
        <v>3452</v>
      </c>
      <c r="C204">
        <v>84.16</v>
      </c>
      <c r="D204">
        <v>155.07</v>
      </c>
      <c r="E204">
        <v>0.52576999999999996</v>
      </c>
      <c r="F204">
        <v>8.33</v>
      </c>
      <c r="G204">
        <v>6</v>
      </c>
      <c r="H204">
        <v>24.23</v>
      </c>
    </row>
    <row r="205" spans="1:8">
      <c r="A205" s="1">
        <v>32</v>
      </c>
      <c r="B205" t="s">
        <v>3453</v>
      </c>
      <c r="C205">
        <v>85.59</v>
      </c>
      <c r="D205">
        <v>152.19999999999999</v>
      </c>
      <c r="E205">
        <v>0.61056699999999997</v>
      </c>
      <c r="F205">
        <v>0.04</v>
      </c>
      <c r="G205">
        <v>6</v>
      </c>
      <c r="H205">
        <v>21.03</v>
      </c>
    </row>
    <row r="206" spans="1:8">
      <c r="A206" s="1">
        <v>33</v>
      </c>
      <c r="B206" t="s">
        <v>3454</v>
      </c>
      <c r="C206">
        <v>109.6</v>
      </c>
      <c r="D206" t="e">
        <f>-inf</f>
        <v>#NAME?</v>
      </c>
      <c r="E206">
        <v>0.57411699999999999</v>
      </c>
      <c r="F206">
        <v>0</v>
      </c>
      <c r="G206">
        <v>0</v>
      </c>
      <c r="H206">
        <v>34.049999999999997</v>
      </c>
    </row>
    <row r="207" spans="1:8">
      <c r="A207" s="1">
        <v>34</v>
      </c>
      <c r="B207" t="s">
        <v>3455</v>
      </c>
      <c r="C207">
        <v>103.13</v>
      </c>
      <c r="D207">
        <v>155.75</v>
      </c>
      <c r="E207">
        <v>0.67640800000000001</v>
      </c>
      <c r="F207">
        <v>2.46</v>
      </c>
      <c r="G207">
        <v>24</v>
      </c>
      <c r="H207">
        <v>27.99</v>
      </c>
    </row>
    <row r="208" spans="1:8">
      <c r="A208" s="1">
        <v>35</v>
      </c>
      <c r="B208" t="s">
        <v>3456</v>
      </c>
      <c r="C208">
        <v>88.41</v>
      </c>
      <c r="D208" t="e">
        <f>-inf</f>
        <v>#NAME?</v>
      </c>
      <c r="E208">
        <v>0.435722</v>
      </c>
      <c r="F208">
        <v>0</v>
      </c>
      <c r="G208">
        <v>2</v>
      </c>
      <c r="H208">
        <v>27.28</v>
      </c>
    </row>
    <row r="209" spans="1:8">
      <c r="A209" s="1">
        <v>36</v>
      </c>
      <c r="B209" t="s">
        <v>3457</v>
      </c>
      <c r="C209">
        <v>101.73</v>
      </c>
      <c r="D209" t="e">
        <f>-inf</f>
        <v>#NAME?</v>
      </c>
      <c r="E209">
        <v>0.68517399999999995</v>
      </c>
      <c r="F209">
        <v>0</v>
      </c>
      <c r="G209">
        <v>38</v>
      </c>
      <c r="H209">
        <v>28.56</v>
      </c>
    </row>
    <row r="210" spans="1:8">
      <c r="A210" s="1">
        <v>37</v>
      </c>
      <c r="B210" t="s">
        <v>3458</v>
      </c>
      <c r="C210">
        <v>80.989999999999995</v>
      </c>
      <c r="D210">
        <v>150.52000000000001</v>
      </c>
      <c r="E210">
        <v>0.68879400000000002</v>
      </c>
      <c r="F210">
        <v>0.04</v>
      </c>
      <c r="G210">
        <v>4</v>
      </c>
      <c r="H210">
        <v>21.97</v>
      </c>
    </row>
    <row r="211" spans="1:8">
      <c r="A211" s="1">
        <v>38</v>
      </c>
      <c r="B211" t="s">
        <v>3459</v>
      </c>
      <c r="C211">
        <v>79.08</v>
      </c>
      <c r="D211" t="e">
        <f>-inf</f>
        <v>#NAME?</v>
      </c>
      <c r="E211">
        <v>0.45476899999999998</v>
      </c>
      <c r="F211">
        <v>0</v>
      </c>
      <c r="G211">
        <v>4</v>
      </c>
      <c r="H211">
        <v>23.55</v>
      </c>
    </row>
    <row r="212" spans="1:8">
      <c r="A212" s="1">
        <v>39</v>
      </c>
      <c r="B212" t="s">
        <v>3460</v>
      </c>
      <c r="C212">
        <v>81.430000000000007</v>
      </c>
      <c r="D212" t="e">
        <f>-inf</f>
        <v>#NAME?</v>
      </c>
      <c r="E212">
        <v>0.55962800000000001</v>
      </c>
      <c r="F212">
        <v>0</v>
      </c>
      <c r="G212">
        <v>26</v>
      </c>
      <c r="H212">
        <v>22.4</v>
      </c>
    </row>
    <row r="213" spans="1:8">
      <c r="A213" s="1">
        <v>40</v>
      </c>
      <c r="B213" t="s">
        <v>3461</v>
      </c>
      <c r="C213">
        <v>89.54</v>
      </c>
      <c r="D213">
        <v>145.11000000000001</v>
      </c>
      <c r="E213">
        <v>0.42763299999999999</v>
      </c>
      <c r="F213">
        <v>0.04</v>
      </c>
      <c r="G213">
        <v>36</v>
      </c>
      <c r="H213">
        <v>27.17</v>
      </c>
    </row>
    <row r="214" spans="1:8">
      <c r="A214" s="1">
        <v>41</v>
      </c>
      <c r="B214" t="s">
        <v>3462</v>
      </c>
      <c r="C214">
        <v>92.17</v>
      </c>
      <c r="D214" t="e">
        <f t="shared" ref="D214:D221" si="10">-inf</f>
        <v>#NAME?</v>
      </c>
      <c r="E214">
        <v>0.50126300000000001</v>
      </c>
      <c r="F214">
        <v>0</v>
      </c>
      <c r="G214">
        <v>36</v>
      </c>
      <c r="H214">
        <v>26.38</v>
      </c>
    </row>
    <row r="215" spans="1:8">
      <c r="A215" s="1">
        <v>42</v>
      </c>
      <c r="B215" t="s">
        <v>3463</v>
      </c>
      <c r="C215">
        <v>112.13</v>
      </c>
      <c r="D215" t="e">
        <f t="shared" si="10"/>
        <v>#NAME?</v>
      </c>
      <c r="E215">
        <v>0.42716599999999999</v>
      </c>
      <c r="F215">
        <v>0</v>
      </c>
      <c r="G215">
        <v>28</v>
      </c>
      <c r="H215">
        <v>34.21</v>
      </c>
    </row>
    <row r="216" spans="1:8">
      <c r="A216" s="1">
        <v>43</v>
      </c>
      <c r="B216" t="s">
        <v>3464</v>
      </c>
      <c r="C216">
        <v>75.709999999999994</v>
      </c>
      <c r="D216" t="e">
        <f t="shared" si="10"/>
        <v>#NAME?</v>
      </c>
      <c r="E216">
        <v>0.44733600000000001</v>
      </c>
      <c r="F216">
        <v>0</v>
      </c>
      <c r="G216">
        <v>2</v>
      </c>
      <c r="H216">
        <v>21.67</v>
      </c>
    </row>
    <row r="217" spans="1:8">
      <c r="A217" s="1">
        <v>44</v>
      </c>
      <c r="B217" t="s">
        <v>3465</v>
      </c>
      <c r="C217">
        <v>99.77</v>
      </c>
      <c r="D217" t="e">
        <f t="shared" si="10"/>
        <v>#NAME?</v>
      </c>
      <c r="E217">
        <v>0.52173199999999997</v>
      </c>
      <c r="F217">
        <v>0</v>
      </c>
      <c r="G217">
        <v>30</v>
      </c>
      <c r="H217">
        <v>28.01</v>
      </c>
    </row>
    <row r="218" spans="1:8">
      <c r="A218" s="1">
        <v>45</v>
      </c>
      <c r="B218" t="s">
        <v>3466</v>
      </c>
      <c r="C218">
        <v>87.86</v>
      </c>
      <c r="D218" t="e">
        <f t="shared" si="10"/>
        <v>#NAME?</v>
      </c>
      <c r="E218">
        <v>0.49210300000000001</v>
      </c>
      <c r="F218">
        <v>0</v>
      </c>
      <c r="G218">
        <v>10</v>
      </c>
      <c r="H218">
        <v>25.05</v>
      </c>
    </row>
    <row r="219" spans="1:8">
      <c r="A219" s="1">
        <v>46</v>
      </c>
      <c r="B219" t="s">
        <v>3467</v>
      </c>
      <c r="C219">
        <v>77.64</v>
      </c>
      <c r="D219" t="e">
        <f t="shared" si="10"/>
        <v>#NAME?</v>
      </c>
      <c r="E219">
        <v>0.49672300000000003</v>
      </c>
      <c r="F219">
        <v>0</v>
      </c>
      <c r="G219">
        <v>30</v>
      </c>
      <c r="H219">
        <v>20.99</v>
      </c>
    </row>
    <row r="220" spans="1:8">
      <c r="A220" s="1">
        <v>47</v>
      </c>
      <c r="B220" t="s">
        <v>3468</v>
      </c>
      <c r="C220">
        <v>94.6</v>
      </c>
      <c r="D220" t="e">
        <f t="shared" si="10"/>
        <v>#NAME?</v>
      </c>
      <c r="E220">
        <v>0.61264799999999997</v>
      </c>
      <c r="F220">
        <v>0</v>
      </c>
      <c r="G220">
        <v>14</v>
      </c>
      <c r="H220">
        <v>26.52</v>
      </c>
    </row>
    <row r="221" spans="1:8">
      <c r="A221" s="1">
        <v>48</v>
      </c>
      <c r="B221" t="s">
        <v>3469</v>
      </c>
      <c r="C221">
        <v>96.45</v>
      </c>
      <c r="D221" t="e">
        <f t="shared" si="10"/>
        <v>#NAME?</v>
      </c>
      <c r="E221">
        <v>0.598966</v>
      </c>
      <c r="F221">
        <v>0</v>
      </c>
      <c r="G221">
        <v>0</v>
      </c>
      <c r="H221">
        <v>28.1</v>
      </c>
    </row>
    <row r="222" spans="1:8">
      <c r="A222" s="1">
        <v>49</v>
      </c>
      <c r="B222" t="s">
        <v>3470</v>
      </c>
      <c r="C222">
        <v>61.96</v>
      </c>
      <c r="D222">
        <v>145.86000000000001</v>
      </c>
      <c r="E222">
        <v>0.56617700000000004</v>
      </c>
      <c r="F222">
        <v>0.04</v>
      </c>
      <c r="G222">
        <v>16</v>
      </c>
      <c r="H222">
        <v>16.079999999999998</v>
      </c>
    </row>
    <row r="223" spans="1:8">
      <c r="A223" s="1">
        <v>50</v>
      </c>
      <c r="B223" t="s">
        <v>3471</v>
      </c>
      <c r="C223">
        <v>74.38</v>
      </c>
      <c r="D223" t="e">
        <f>-inf</f>
        <v>#NAME?</v>
      </c>
      <c r="E223">
        <v>0.55588499999999996</v>
      </c>
      <c r="F223">
        <v>0</v>
      </c>
      <c r="G223">
        <v>26</v>
      </c>
      <c r="H223">
        <v>20.57</v>
      </c>
    </row>
    <row r="224" spans="1:8">
      <c r="B224" s="1" t="s">
        <v>19</v>
      </c>
      <c r="C224" s="1">
        <f>AVERAGE(C174:C223)</f>
        <v>88.512800000000013</v>
      </c>
      <c r="D224" s="1" t="e">
        <f t="shared" ref="D224:F224" si="11">AVERAGE(D174:D223)</f>
        <v>#NAME?</v>
      </c>
      <c r="E224" s="1">
        <f t="shared" si="11"/>
        <v>0.55072346000000005</v>
      </c>
      <c r="F224" s="1">
        <f t="shared" si="11"/>
        <v>0.30059999999999998</v>
      </c>
      <c r="G224" s="1">
        <f t="shared" ref="G224" si="12">AVERAGE(G174:G223)</f>
        <v>17.68</v>
      </c>
      <c r="H224" s="1">
        <f t="shared" ref="H224" si="13">AVERAGE(H174:H223)</f>
        <v>25.295799999999996</v>
      </c>
    </row>
    <row r="225" spans="1:8">
      <c r="B225" s="1" t="s">
        <v>20</v>
      </c>
      <c r="C225" s="1">
        <f>MIN(C173:C223)</f>
        <v>55.1</v>
      </c>
      <c r="D225" s="1" t="e">
        <f>MIN(D173:D223)</f>
        <v>#NAME?</v>
      </c>
      <c r="E225" s="1">
        <f>MIN(E173:E223)</f>
        <v>0.39945000000000003</v>
      </c>
      <c r="F225" s="1">
        <f>MIN(F173:F223)</f>
        <v>0</v>
      </c>
      <c r="H225" s="1">
        <f>MIN(H173:H223)</f>
        <v>13.5</v>
      </c>
    </row>
    <row r="226" spans="1:8">
      <c r="B226" s="1" t="s">
        <v>3</v>
      </c>
      <c r="C226" s="1">
        <f>STDEV(C174:C223)</f>
        <v>13.910575926691259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1" t="s">
        <v>1435</v>
      </c>
    </row>
    <row r="229" spans="1:8" ht="18">
      <c r="A229" s="21" t="s">
        <v>7</v>
      </c>
      <c r="B229" s="3" t="s">
        <v>2</v>
      </c>
      <c r="C229" s="21" t="s">
        <v>4</v>
      </c>
      <c r="D229" s="21" t="s">
        <v>322</v>
      </c>
      <c r="E229" s="21" t="s">
        <v>321</v>
      </c>
      <c r="F229" s="21" t="s">
        <v>324</v>
      </c>
      <c r="G229" s="21" t="s">
        <v>323</v>
      </c>
      <c r="H229" s="21" t="s">
        <v>1436</v>
      </c>
    </row>
    <row r="230" spans="1:8">
      <c r="A230" s="1">
        <v>1</v>
      </c>
      <c r="B230" t="s">
        <v>3522</v>
      </c>
      <c r="C230">
        <v>59.11</v>
      </c>
      <c r="D230" t="e">
        <f t="shared" ref="D230:D248" si="14">-inf</f>
        <v>#NAME?</v>
      </c>
      <c r="E230">
        <v>0.46888200000000002</v>
      </c>
      <c r="F230">
        <v>0</v>
      </c>
      <c r="G230">
        <v>10</v>
      </c>
      <c r="H230">
        <v>14.35</v>
      </c>
    </row>
    <row r="231" spans="1:8">
      <c r="A231" s="1">
        <v>2</v>
      </c>
      <c r="B231" t="s">
        <v>3523</v>
      </c>
      <c r="C231">
        <v>78.430000000000007</v>
      </c>
      <c r="D231" t="e">
        <f t="shared" si="14"/>
        <v>#NAME?</v>
      </c>
      <c r="E231">
        <v>0.53706900000000002</v>
      </c>
      <c r="F231">
        <v>0</v>
      </c>
      <c r="G231">
        <v>14</v>
      </c>
      <c r="H231">
        <v>20.079999999999998</v>
      </c>
    </row>
    <row r="232" spans="1:8">
      <c r="A232" s="1">
        <v>3</v>
      </c>
      <c r="B232" t="s">
        <v>3524</v>
      </c>
      <c r="C232">
        <v>65.83</v>
      </c>
      <c r="D232" t="e">
        <f t="shared" si="14"/>
        <v>#NAME?</v>
      </c>
      <c r="E232">
        <v>0.45363199999999998</v>
      </c>
      <c r="F232">
        <v>0</v>
      </c>
      <c r="G232">
        <v>22</v>
      </c>
      <c r="H232">
        <v>18.57</v>
      </c>
    </row>
    <row r="233" spans="1:8">
      <c r="A233" s="1">
        <v>4</v>
      </c>
      <c r="B233" t="s">
        <v>3525</v>
      </c>
      <c r="C233">
        <v>56.88</v>
      </c>
      <c r="D233" t="e">
        <f t="shared" si="14"/>
        <v>#NAME?</v>
      </c>
      <c r="E233">
        <v>0.67684500000000003</v>
      </c>
      <c r="F233">
        <v>0</v>
      </c>
      <c r="G233">
        <v>4</v>
      </c>
      <c r="H233">
        <v>15.13</v>
      </c>
    </row>
    <row r="234" spans="1:8">
      <c r="A234" s="1">
        <v>5</v>
      </c>
      <c r="B234" t="s">
        <v>3526</v>
      </c>
      <c r="C234">
        <v>58.3</v>
      </c>
      <c r="D234" t="e">
        <f t="shared" si="14"/>
        <v>#NAME?</v>
      </c>
      <c r="E234">
        <v>0.40676299999999999</v>
      </c>
      <c r="F234">
        <v>0</v>
      </c>
      <c r="G234">
        <v>26</v>
      </c>
      <c r="H234">
        <v>17.88</v>
      </c>
    </row>
    <row r="235" spans="1:8">
      <c r="A235" s="1">
        <v>6</v>
      </c>
      <c r="B235" t="s">
        <v>3527</v>
      </c>
      <c r="C235">
        <v>57.5</v>
      </c>
      <c r="D235" t="e">
        <f t="shared" si="14"/>
        <v>#NAME?</v>
      </c>
      <c r="E235">
        <v>0.51841700000000002</v>
      </c>
      <c r="F235">
        <v>0</v>
      </c>
      <c r="G235">
        <v>12</v>
      </c>
      <c r="H235">
        <v>14.09</v>
      </c>
    </row>
    <row r="236" spans="1:8">
      <c r="A236" s="1">
        <v>7</v>
      </c>
      <c r="B236" t="s">
        <v>3528</v>
      </c>
      <c r="C236">
        <v>76.180000000000007</v>
      </c>
      <c r="D236" t="e">
        <f t="shared" si="14"/>
        <v>#NAME?</v>
      </c>
      <c r="E236">
        <v>0.40700700000000001</v>
      </c>
      <c r="F236">
        <v>0</v>
      </c>
      <c r="G236">
        <v>2</v>
      </c>
      <c r="H236">
        <v>21.66</v>
      </c>
    </row>
    <row r="237" spans="1:8">
      <c r="A237" s="1">
        <v>8</v>
      </c>
      <c r="B237" t="s">
        <v>3529</v>
      </c>
      <c r="C237">
        <v>54.74</v>
      </c>
      <c r="D237" t="e">
        <f t="shared" si="14"/>
        <v>#NAME?</v>
      </c>
      <c r="E237">
        <v>0.48144700000000001</v>
      </c>
      <c r="F237">
        <v>0</v>
      </c>
      <c r="G237">
        <v>8</v>
      </c>
      <c r="H237">
        <v>14.14</v>
      </c>
    </row>
    <row r="238" spans="1:8">
      <c r="A238" s="1">
        <v>9</v>
      </c>
      <c r="B238" t="s">
        <v>3530</v>
      </c>
      <c r="C238">
        <v>54.18</v>
      </c>
      <c r="D238" t="e">
        <f t="shared" si="14"/>
        <v>#NAME?</v>
      </c>
      <c r="E238">
        <v>0.47971000000000003</v>
      </c>
      <c r="F238">
        <v>0</v>
      </c>
      <c r="G238">
        <v>48</v>
      </c>
      <c r="H238">
        <v>13.49</v>
      </c>
    </row>
    <row r="239" spans="1:8">
      <c r="A239" s="1">
        <v>10</v>
      </c>
      <c r="B239" t="s">
        <v>3531</v>
      </c>
      <c r="C239">
        <v>58.17</v>
      </c>
      <c r="D239" t="e">
        <f t="shared" si="14"/>
        <v>#NAME?</v>
      </c>
      <c r="E239">
        <v>0.55725800000000003</v>
      </c>
      <c r="F239">
        <v>0</v>
      </c>
      <c r="G239">
        <v>30</v>
      </c>
      <c r="H239">
        <v>17.96</v>
      </c>
    </row>
    <row r="240" spans="1:8">
      <c r="A240" s="1">
        <v>11</v>
      </c>
      <c r="B240" t="s">
        <v>3532</v>
      </c>
      <c r="C240">
        <v>73</v>
      </c>
      <c r="D240" t="e">
        <f t="shared" si="14"/>
        <v>#NAME?</v>
      </c>
      <c r="E240">
        <v>0.53276400000000002</v>
      </c>
      <c r="F240">
        <v>0</v>
      </c>
      <c r="G240">
        <v>28</v>
      </c>
      <c r="H240">
        <v>19.77</v>
      </c>
    </row>
    <row r="241" spans="1:8">
      <c r="A241" s="1">
        <v>12</v>
      </c>
      <c r="B241" t="s">
        <v>3533</v>
      </c>
      <c r="C241">
        <v>67.81</v>
      </c>
      <c r="D241" t="e">
        <f t="shared" si="14"/>
        <v>#NAME?</v>
      </c>
      <c r="E241">
        <v>0.32305499999999998</v>
      </c>
      <c r="F241">
        <v>0</v>
      </c>
      <c r="G241">
        <v>4</v>
      </c>
      <c r="H241">
        <v>19.05</v>
      </c>
    </row>
    <row r="242" spans="1:8">
      <c r="A242" s="1">
        <v>13</v>
      </c>
      <c r="B242" t="s">
        <v>3534</v>
      </c>
      <c r="C242">
        <v>65.209999999999994</v>
      </c>
      <c r="D242" t="e">
        <f t="shared" si="14"/>
        <v>#NAME?</v>
      </c>
      <c r="E242">
        <v>0.50165999999999999</v>
      </c>
      <c r="F242">
        <v>0</v>
      </c>
      <c r="G242">
        <v>20</v>
      </c>
      <c r="H242">
        <v>18.329999999999998</v>
      </c>
    </row>
    <row r="243" spans="1:8">
      <c r="A243" s="1">
        <v>14</v>
      </c>
      <c r="B243" t="s">
        <v>3535</v>
      </c>
      <c r="C243">
        <v>74.31</v>
      </c>
      <c r="D243" t="e">
        <f t="shared" si="14"/>
        <v>#NAME?</v>
      </c>
      <c r="E243">
        <v>0.43279200000000001</v>
      </c>
      <c r="F243">
        <v>0</v>
      </c>
      <c r="G243">
        <v>0</v>
      </c>
      <c r="H243">
        <v>17.68</v>
      </c>
    </row>
    <row r="244" spans="1:8">
      <c r="A244" s="1">
        <v>15</v>
      </c>
      <c r="B244" t="s">
        <v>3536</v>
      </c>
      <c r="C244">
        <v>67.12</v>
      </c>
      <c r="D244" t="e">
        <f t="shared" si="14"/>
        <v>#NAME?</v>
      </c>
      <c r="E244">
        <v>0.65937599999999996</v>
      </c>
      <c r="F244">
        <v>0</v>
      </c>
      <c r="G244">
        <v>10</v>
      </c>
      <c r="H244">
        <v>16.93</v>
      </c>
    </row>
    <row r="245" spans="1:8">
      <c r="A245" s="1">
        <v>16</v>
      </c>
      <c r="B245" t="s">
        <v>3537</v>
      </c>
      <c r="C245">
        <v>49.35</v>
      </c>
      <c r="D245" t="e">
        <f t="shared" si="14"/>
        <v>#NAME?</v>
      </c>
      <c r="E245">
        <v>0.41070400000000001</v>
      </c>
      <c r="F245">
        <v>0</v>
      </c>
      <c r="G245">
        <v>10</v>
      </c>
      <c r="H245">
        <v>12.95</v>
      </c>
    </row>
    <row r="246" spans="1:8">
      <c r="A246" s="1">
        <v>17</v>
      </c>
      <c r="B246" t="s">
        <v>3538</v>
      </c>
      <c r="C246">
        <v>67.319999999999993</v>
      </c>
      <c r="D246" t="e">
        <f t="shared" si="14"/>
        <v>#NAME?</v>
      </c>
      <c r="E246">
        <v>0.47494399999999998</v>
      </c>
      <c r="F246">
        <v>0</v>
      </c>
      <c r="G246">
        <v>48</v>
      </c>
      <c r="H246">
        <v>18.829999999999998</v>
      </c>
    </row>
    <row r="247" spans="1:8">
      <c r="A247" s="1">
        <v>18</v>
      </c>
      <c r="B247" t="s">
        <v>3539</v>
      </c>
      <c r="C247">
        <v>70.430000000000007</v>
      </c>
      <c r="D247" t="e">
        <f t="shared" si="14"/>
        <v>#NAME?</v>
      </c>
      <c r="E247">
        <v>0.58309100000000003</v>
      </c>
      <c r="F247">
        <v>0</v>
      </c>
      <c r="G247">
        <v>10</v>
      </c>
      <c r="H247">
        <v>17.95</v>
      </c>
    </row>
    <row r="248" spans="1:8">
      <c r="A248" s="1">
        <v>19</v>
      </c>
      <c r="B248" t="s">
        <v>3540</v>
      </c>
      <c r="C248">
        <v>66.319999999999993</v>
      </c>
      <c r="D248" t="e">
        <f t="shared" si="14"/>
        <v>#NAME?</v>
      </c>
      <c r="E248">
        <v>0.48191000000000001</v>
      </c>
      <c r="F248">
        <v>0</v>
      </c>
      <c r="G248">
        <v>42</v>
      </c>
      <c r="H248">
        <v>18.63</v>
      </c>
    </row>
    <row r="249" spans="1:8">
      <c r="A249" s="1">
        <v>20</v>
      </c>
      <c r="B249" t="s">
        <v>3541</v>
      </c>
      <c r="C249">
        <v>72.69</v>
      </c>
      <c r="D249">
        <v>209.11</v>
      </c>
      <c r="E249">
        <v>0.44321100000000002</v>
      </c>
      <c r="F249">
        <v>0.04</v>
      </c>
      <c r="G249">
        <v>50</v>
      </c>
      <c r="H249">
        <v>22.46</v>
      </c>
    </row>
    <row r="250" spans="1:8">
      <c r="A250" s="1">
        <v>21</v>
      </c>
      <c r="B250" t="s">
        <v>3542</v>
      </c>
      <c r="C250">
        <v>67.17</v>
      </c>
      <c r="D250" t="e">
        <f>-inf</f>
        <v>#NAME?</v>
      </c>
      <c r="E250">
        <v>0.430259</v>
      </c>
      <c r="F250">
        <v>0</v>
      </c>
      <c r="G250">
        <v>52</v>
      </c>
      <c r="H250">
        <v>19.350000000000001</v>
      </c>
    </row>
    <row r="251" spans="1:8">
      <c r="A251" s="1">
        <v>22</v>
      </c>
      <c r="B251" t="s">
        <v>3543</v>
      </c>
      <c r="C251">
        <v>58.83</v>
      </c>
      <c r="D251" t="e">
        <f>-inf</f>
        <v>#NAME?</v>
      </c>
      <c r="E251">
        <v>0.539211</v>
      </c>
      <c r="F251">
        <v>0</v>
      </c>
      <c r="G251">
        <v>30</v>
      </c>
      <c r="H251">
        <v>16.3</v>
      </c>
    </row>
    <row r="252" spans="1:8">
      <c r="A252" s="1">
        <v>23</v>
      </c>
      <c r="B252" t="s">
        <v>3544</v>
      </c>
      <c r="C252">
        <v>75.02</v>
      </c>
      <c r="D252" t="e">
        <f>-inf</f>
        <v>#NAME?</v>
      </c>
      <c r="E252">
        <v>0.58596700000000002</v>
      </c>
      <c r="F252">
        <v>0</v>
      </c>
      <c r="G252">
        <v>48</v>
      </c>
      <c r="H252">
        <v>21.64</v>
      </c>
    </row>
    <row r="253" spans="1:8">
      <c r="A253" s="1">
        <v>24</v>
      </c>
      <c r="B253" t="s">
        <v>3545</v>
      </c>
      <c r="C253">
        <v>63.5</v>
      </c>
      <c r="D253" t="e">
        <f>-inf</f>
        <v>#NAME?</v>
      </c>
      <c r="E253">
        <v>0.51951099999999995</v>
      </c>
      <c r="F253">
        <v>0</v>
      </c>
      <c r="G253">
        <v>10</v>
      </c>
      <c r="H253">
        <v>18.39</v>
      </c>
    </row>
    <row r="254" spans="1:8">
      <c r="A254" s="1">
        <v>25</v>
      </c>
      <c r="B254" t="s">
        <v>3546</v>
      </c>
      <c r="C254">
        <v>60.34</v>
      </c>
      <c r="D254">
        <v>218.73</v>
      </c>
      <c r="E254">
        <v>0.53124199999999999</v>
      </c>
      <c r="F254">
        <v>0.04</v>
      </c>
      <c r="G254">
        <v>32</v>
      </c>
      <c r="H254">
        <v>20.27</v>
      </c>
    </row>
    <row r="255" spans="1:8">
      <c r="A255" s="1">
        <v>26</v>
      </c>
      <c r="B255" t="s">
        <v>3547</v>
      </c>
      <c r="C255">
        <v>57.99</v>
      </c>
      <c r="D255" t="e">
        <f t="shared" ref="D255:D269" si="15">-inf</f>
        <v>#NAME?</v>
      </c>
      <c r="E255">
        <v>0.53049400000000002</v>
      </c>
      <c r="F255">
        <v>0</v>
      </c>
      <c r="G255">
        <v>34</v>
      </c>
      <c r="H255">
        <v>15.78</v>
      </c>
    </row>
    <row r="256" spans="1:8">
      <c r="A256" s="1">
        <v>27</v>
      </c>
      <c r="B256" t="s">
        <v>3548</v>
      </c>
      <c r="C256">
        <v>59.5</v>
      </c>
      <c r="D256" t="e">
        <f t="shared" si="15"/>
        <v>#NAME?</v>
      </c>
      <c r="E256">
        <v>0.57388499999999998</v>
      </c>
      <c r="F256">
        <v>0</v>
      </c>
      <c r="G256">
        <v>12</v>
      </c>
      <c r="H256">
        <v>15.32</v>
      </c>
    </row>
    <row r="257" spans="1:8">
      <c r="A257" s="1">
        <v>28</v>
      </c>
      <c r="B257" t="s">
        <v>3549</v>
      </c>
      <c r="C257">
        <v>75.06</v>
      </c>
      <c r="D257" t="e">
        <f t="shared" si="15"/>
        <v>#NAME?</v>
      </c>
      <c r="E257">
        <v>0.33415499999999998</v>
      </c>
      <c r="F257">
        <v>0</v>
      </c>
      <c r="G257">
        <v>8</v>
      </c>
      <c r="H257">
        <v>21.88</v>
      </c>
    </row>
    <row r="258" spans="1:8">
      <c r="A258" s="1">
        <v>29</v>
      </c>
      <c r="B258" t="s">
        <v>3550</v>
      </c>
      <c r="C258">
        <v>75.36</v>
      </c>
      <c r="D258" t="e">
        <f t="shared" si="15"/>
        <v>#NAME?</v>
      </c>
      <c r="E258">
        <v>0.48471799999999998</v>
      </c>
      <c r="F258">
        <v>0</v>
      </c>
      <c r="G258">
        <v>6</v>
      </c>
      <c r="H258">
        <v>18.47</v>
      </c>
    </row>
    <row r="259" spans="1:8">
      <c r="A259" s="1">
        <v>30</v>
      </c>
      <c r="B259" t="s">
        <v>3551</v>
      </c>
      <c r="C259">
        <v>65.959999999999994</v>
      </c>
      <c r="D259" t="e">
        <f t="shared" si="15"/>
        <v>#NAME?</v>
      </c>
      <c r="E259">
        <v>0.50631999999999999</v>
      </c>
      <c r="F259">
        <v>0</v>
      </c>
      <c r="G259">
        <v>56</v>
      </c>
      <c r="H259">
        <v>19.38</v>
      </c>
    </row>
    <row r="260" spans="1:8">
      <c r="A260" s="1">
        <v>31</v>
      </c>
      <c r="B260" t="s">
        <v>3552</v>
      </c>
      <c r="C260">
        <v>61.14</v>
      </c>
      <c r="D260" t="e">
        <f t="shared" si="15"/>
        <v>#NAME?</v>
      </c>
      <c r="E260">
        <v>0.54774699999999998</v>
      </c>
      <c r="F260">
        <v>0</v>
      </c>
      <c r="G260">
        <v>30</v>
      </c>
      <c r="H260">
        <v>18.600000000000001</v>
      </c>
    </row>
    <row r="261" spans="1:8">
      <c r="A261" s="1">
        <v>32</v>
      </c>
      <c r="B261" t="s">
        <v>3553</v>
      </c>
      <c r="C261">
        <v>71.28</v>
      </c>
      <c r="D261" t="e">
        <f t="shared" si="15"/>
        <v>#NAME?</v>
      </c>
      <c r="E261">
        <v>0.41392899999999999</v>
      </c>
      <c r="F261">
        <v>0</v>
      </c>
      <c r="G261">
        <v>0</v>
      </c>
      <c r="H261">
        <v>19.25</v>
      </c>
    </row>
    <row r="262" spans="1:8">
      <c r="A262" s="1">
        <v>33</v>
      </c>
      <c r="B262" t="s">
        <v>3554</v>
      </c>
      <c r="C262">
        <v>71.33</v>
      </c>
      <c r="D262" t="e">
        <f t="shared" si="15"/>
        <v>#NAME?</v>
      </c>
      <c r="E262">
        <v>0.31587999999999999</v>
      </c>
      <c r="F262">
        <v>0</v>
      </c>
      <c r="G262">
        <v>54</v>
      </c>
      <c r="H262">
        <v>19.66</v>
      </c>
    </row>
    <row r="263" spans="1:8">
      <c r="A263" s="1">
        <v>34</v>
      </c>
      <c r="B263" t="s">
        <v>3555</v>
      </c>
      <c r="C263">
        <v>61.61</v>
      </c>
      <c r="D263" t="e">
        <f t="shared" si="15"/>
        <v>#NAME?</v>
      </c>
      <c r="E263">
        <v>0.42128399999999999</v>
      </c>
      <c r="F263">
        <v>0</v>
      </c>
      <c r="G263">
        <v>8</v>
      </c>
      <c r="H263">
        <v>17.690000000000001</v>
      </c>
    </row>
    <row r="264" spans="1:8">
      <c r="A264" s="1">
        <v>35</v>
      </c>
      <c r="B264" t="s">
        <v>3556</v>
      </c>
      <c r="C264">
        <v>73.209999999999994</v>
      </c>
      <c r="D264" t="e">
        <f t="shared" si="15"/>
        <v>#NAME?</v>
      </c>
      <c r="E264">
        <v>0.61266500000000002</v>
      </c>
      <c r="F264">
        <v>0</v>
      </c>
      <c r="G264">
        <v>12</v>
      </c>
      <c r="H264">
        <v>20.51</v>
      </c>
    </row>
    <row r="265" spans="1:8">
      <c r="A265" s="1">
        <v>36</v>
      </c>
      <c r="B265" t="s">
        <v>3557</v>
      </c>
      <c r="C265">
        <v>66.27</v>
      </c>
      <c r="D265" t="e">
        <f t="shared" si="15"/>
        <v>#NAME?</v>
      </c>
      <c r="E265">
        <v>0.56206100000000003</v>
      </c>
      <c r="F265">
        <v>0</v>
      </c>
      <c r="G265">
        <v>30</v>
      </c>
      <c r="H265">
        <v>20.03</v>
      </c>
    </row>
    <row r="266" spans="1:8">
      <c r="A266" s="1">
        <v>37</v>
      </c>
      <c r="B266" t="s">
        <v>3558</v>
      </c>
      <c r="C266">
        <v>64.209999999999994</v>
      </c>
      <c r="D266" t="e">
        <f t="shared" si="15"/>
        <v>#NAME?</v>
      </c>
      <c r="E266">
        <v>0.53142500000000004</v>
      </c>
      <c r="F266">
        <v>0</v>
      </c>
      <c r="G266">
        <v>2</v>
      </c>
      <c r="H266">
        <v>16.73</v>
      </c>
    </row>
    <row r="267" spans="1:8">
      <c r="A267" s="1">
        <v>38</v>
      </c>
      <c r="B267" t="s">
        <v>3559</v>
      </c>
      <c r="C267">
        <v>82.36</v>
      </c>
      <c r="D267" t="e">
        <f t="shared" si="15"/>
        <v>#NAME?</v>
      </c>
      <c r="E267">
        <v>0.562114</v>
      </c>
      <c r="F267">
        <v>0</v>
      </c>
      <c r="G267">
        <v>16</v>
      </c>
      <c r="H267">
        <v>19.23</v>
      </c>
    </row>
    <row r="268" spans="1:8">
      <c r="A268" s="1">
        <v>39</v>
      </c>
      <c r="B268" t="s">
        <v>3560</v>
      </c>
      <c r="C268">
        <v>56.82</v>
      </c>
      <c r="D268" t="e">
        <f t="shared" si="15"/>
        <v>#NAME?</v>
      </c>
      <c r="E268">
        <v>0.58926500000000004</v>
      </c>
      <c r="F268">
        <v>0</v>
      </c>
      <c r="G268">
        <v>44</v>
      </c>
      <c r="H268">
        <v>16.12</v>
      </c>
    </row>
    <row r="269" spans="1:8">
      <c r="A269" s="1">
        <v>40</v>
      </c>
      <c r="B269" t="s">
        <v>3561</v>
      </c>
      <c r="C269">
        <v>67.14</v>
      </c>
      <c r="D269" t="e">
        <f t="shared" si="15"/>
        <v>#NAME?</v>
      </c>
      <c r="E269">
        <v>0.46817199999999998</v>
      </c>
      <c r="F269">
        <v>0</v>
      </c>
      <c r="G269">
        <v>16</v>
      </c>
      <c r="H269">
        <v>17.71</v>
      </c>
    </row>
    <row r="270" spans="1:8">
      <c r="A270" s="1">
        <v>41</v>
      </c>
      <c r="B270" t="s">
        <v>3562</v>
      </c>
      <c r="C270">
        <v>80.03</v>
      </c>
      <c r="D270">
        <v>217.49</v>
      </c>
      <c r="E270">
        <v>0.40817500000000001</v>
      </c>
      <c r="F270">
        <v>0.04</v>
      </c>
      <c r="G270">
        <v>32</v>
      </c>
      <c r="H270">
        <v>22.48</v>
      </c>
    </row>
    <row r="271" spans="1:8">
      <c r="A271" s="1">
        <v>42</v>
      </c>
      <c r="B271" t="s">
        <v>3563</v>
      </c>
      <c r="C271">
        <v>59.56</v>
      </c>
      <c r="D271" t="e">
        <f t="shared" ref="D271:D276" si="16">-inf</f>
        <v>#NAME?</v>
      </c>
      <c r="E271">
        <v>0.39377499999999999</v>
      </c>
      <c r="F271">
        <v>0</v>
      </c>
      <c r="G271">
        <v>28</v>
      </c>
      <c r="H271">
        <v>16.43</v>
      </c>
    </row>
    <row r="272" spans="1:8">
      <c r="A272" s="1">
        <v>43</v>
      </c>
      <c r="B272" t="s">
        <v>3564</v>
      </c>
      <c r="C272">
        <v>74.66</v>
      </c>
      <c r="D272" t="e">
        <f t="shared" si="16"/>
        <v>#NAME?</v>
      </c>
      <c r="E272">
        <v>0.59752899999999998</v>
      </c>
      <c r="F272">
        <v>0</v>
      </c>
      <c r="G272">
        <v>2</v>
      </c>
      <c r="H272">
        <v>17.89</v>
      </c>
    </row>
    <row r="273" spans="1:8">
      <c r="A273" s="1">
        <v>44</v>
      </c>
      <c r="B273" t="s">
        <v>3565</v>
      </c>
      <c r="C273">
        <v>63.3</v>
      </c>
      <c r="D273" t="e">
        <f t="shared" si="16"/>
        <v>#NAME?</v>
      </c>
      <c r="E273">
        <v>0.475186</v>
      </c>
      <c r="F273">
        <v>0</v>
      </c>
      <c r="G273">
        <v>10</v>
      </c>
      <c r="H273">
        <v>15.76</v>
      </c>
    </row>
    <row r="274" spans="1:8">
      <c r="A274" s="1">
        <v>45</v>
      </c>
      <c r="B274" t="s">
        <v>3566</v>
      </c>
      <c r="C274">
        <v>77.72</v>
      </c>
      <c r="D274" t="e">
        <f t="shared" si="16"/>
        <v>#NAME?</v>
      </c>
      <c r="E274">
        <v>0.49340499999999998</v>
      </c>
      <c r="F274">
        <v>0</v>
      </c>
      <c r="G274">
        <v>16</v>
      </c>
      <c r="H274">
        <v>19.64</v>
      </c>
    </row>
    <row r="275" spans="1:8">
      <c r="A275" s="1">
        <v>46</v>
      </c>
      <c r="B275" t="s">
        <v>3567</v>
      </c>
      <c r="C275">
        <v>66.069999999999993</v>
      </c>
      <c r="D275" t="e">
        <f t="shared" si="16"/>
        <v>#NAME?</v>
      </c>
      <c r="E275">
        <v>0.40539700000000001</v>
      </c>
      <c r="F275">
        <v>0</v>
      </c>
      <c r="G275">
        <v>14</v>
      </c>
      <c r="H275">
        <v>16.45</v>
      </c>
    </row>
    <row r="276" spans="1:8">
      <c r="A276" s="1">
        <v>47</v>
      </c>
      <c r="B276" t="s">
        <v>3568</v>
      </c>
      <c r="C276">
        <v>74.13</v>
      </c>
      <c r="D276" t="e">
        <f t="shared" si="16"/>
        <v>#NAME?</v>
      </c>
      <c r="E276">
        <v>0.605935</v>
      </c>
      <c r="F276">
        <v>0</v>
      </c>
      <c r="G276">
        <v>8</v>
      </c>
      <c r="H276">
        <v>18.52</v>
      </c>
    </row>
    <row r="277" spans="1:8">
      <c r="A277" s="1">
        <v>48</v>
      </c>
      <c r="B277" t="s">
        <v>3569</v>
      </c>
      <c r="C277">
        <v>67.180000000000007</v>
      </c>
      <c r="D277">
        <v>213.14</v>
      </c>
      <c r="E277">
        <v>0.53782200000000002</v>
      </c>
      <c r="F277">
        <v>0.04</v>
      </c>
      <c r="G277">
        <v>10</v>
      </c>
      <c r="H277">
        <v>18.29</v>
      </c>
    </row>
    <row r="278" spans="1:8">
      <c r="A278" s="1">
        <v>49</v>
      </c>
      <c r="B278" t="s">
        <v>3570</v>
      </c>
      <c r="C278">
        <v>60.21</v>
      </c>
      <c r="D278" t="e">
        <f>-inf</f>
        <v>#NAME?</v>
      </c>
      <c r="E278">
        <v>0.355018</v>
      </c>
      <c r="F278">
        <v>0</v>
      </c>
      <c r="G278">
        <v>2</v>
      </c>
      <c r="H278">
        <v>13.82</v>
      </c>
    </row>
    <row r="279" spans="1:8">
      <c r="A279" s="1">
        <v>50</v>
      </c>
      <c r="B279" t="s">
        <v>3571</v>
      </c>
      <c r="C279">
        <v>67.25</v>
      </c>
      <c r="D279" t="e">
        <f>-inf</f>
        <v>#NAME?</v>
      </c>
      <c r="E279">
        <v>0.56204399999999999</v>
      </c>
      <c r="F279">
        <v>0</v>
      </c>
      <c r="G279">
        <v>10</v>
      </c>
      <c r="H279">
        <v>18.64</v>
      </c>
    </row>
    <row r="280" spans="1:8">
      <c r="B280" s="1" t="s">
        <v>19</v>
      </c>
      <c r="C280" s="1">
        <f>AVERAGE(C230:C279)</f>
        <v>66.341800000000006</v>
      </c>
      <c r="D280" s="1" t="e">
        <f t="shared" ref="D280:F280" si="17">AVERAGE(D230:D279)</f>
        <v>#NAME?</v>
      </c>
      <c r="E280" s="1">
        <f t="shared" si="17"/>
        <v>0.49450253999999999</v>
      </c>
      <c r="F280" s="1">
        <f t="shared" si="17"/>
        <v>3.2000000000000002E-3</v>
      </c>
      <c r="G280" s="1">
        <f t="shared" ref="G280" si="18">AVERAGE(G230:G279)</f>
        <v>20.6</v>
      </c>
      <c r="H280" s="1">
        <f t="shared" ref="H280" si="19">AVERAGE(H230:H279)</f>
        <v>18.0032</v>
      </c>
    </row>
    <row r="281" spans="1:8">
      <c r="B281" s="1" t="s">
        <v>20</v>
      </c>
      <c r="C281" s="1">
        <f>MIN(C229:C279)</f>
        <v>49.35</v>
      </c>
      <c r="D281" s="1" t="e">
        <f>MIN(D229:D279)</f>
        <v>#NAME?</v>
      </c>
      <c r="E281" s="1">
        <f>MIN(E229:E279)</f>
        <v>0.31587999999999999</v>
      </c>
      <c r="F281" s="1">
        <f>MIN(F229:F279)</f>
        <v>0</v>
      </c>
      <c r="H281" s="1">
        <f>MIN(H229:H279)</f>
        <v>12.95</v>
      </c>
    </row>
    <row r="282" spans="1:8">
      <c r="B282" s="1" t="s">
        <v>3</v>
      </c>
      <c r="C282" s="1" t="e">
        <f>STDEV(#REF!)</f>
        <v>#REF!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1" t="s">
        <v>1435</v>
      </c>
    </row>
    <row r="285" spans="1:8" ht="18">
      <c r="A285" s="21" t="s">
        <v>7</v>
      </c>
      <c r="B285" s="3" t="s">
        <v>10</v>
      </c>
      <c r="C285" s="21" t="s">
        <v>4</v>
      </c>
      <c r="D285" s="21" t="s">
        <v>322</v>
      </c>
      <c r="E285" s="21" t="s">
        <v>321</v>
      </c>
      <c r="F285" s="21" t="s">
        <v>324</v>
      </c>
      <c r="G285" s="21" t="s">
        <v>323</v>
      </c>
      <c r="H285" s="21" t="s">
        <v>1436</v>
      </c>
    </row>
    <row r="286" spans="1:8">
      <c r="A286" s="1">
        <v>1</v>
      </c>
      <c r="B286" t="s">
        <v>3572</v>
      </c>
      <c r="C286">
        <v>54.18</v>
      </c>
      <c r="D286" t="e">
        <f t="shared" ref="D286:D317" si="20">-inf</f>
        <v>#NAME?</v>
      </c>
      <c r="E286">
        <v>0.46402500000000002</v>
      </c>
      <c r="F286">
        <v>0</v>
      </c>
      <c r="G286">
        <v>10</v>
      </c>
      <c r="H286">
        <v>13.24</v>
      </c>
    </row>
    <row r="287" spans="1:8">
      <c r="A287" s="1">
        <v>2</v>
      </c>
      <c r="B287" t="s">
        <v>3573</v>
      </c>
      <c r="C287">
        <v>45.17</v>
      </c>
      <c r="D287" t="e">
        <f t="shared" si="20"/>
        <v>#NAME?</v>
      </c>
      <c r="E287">
        <v>0.470279</v>
      </c>
      <c r="F287">
        <v>0</v>
      </c>
      <c r="G287">
        <v>30</v>
      </c>
      <c r="H287">
        <v>11.37</v>
      </c>
    </row>
    <row r="288" spans="1:8">
      <c r="A288" s="1">
        <v>3</v>
      </c>
      <c r="B288" t="s">
        <v>3574</v>
      </c>
      <c r="C288">
        <v>71.44</v>
      </c>
      <c r="D288" t="e">
        <f t="shared" si="20"/>
        <v>#NAME?</v>
      </c>
      <c r="E288">
        <v>0.46084399999999998</v>
      </c>
      <c r="F288">
        <v>0</v>
      </c>
      <c r="G288">
        <v>10</v>
      </c>
      <c r="H288">
        <v>17.510000000000002</v>
      </c>
    </row>
    <row r="289" spans="1:8">
      <c r="A289" s="1">
        <v>4</v>
      </c>
      <c r="B289" t="s">
        <v>3575</v>
      </c>
      <c r="C289">
        <v>43.34</v>
      </c>
      <c r="D289" t="e">
        <f t="shared" si="20"/>
        <v>#NAME?</v>
      </c>
      <c r="E289">
        <v>0.47642800000000002</v>
      </c>
      <c r="F289">
        <v>0</v>
      </c>
      <c r="G289">
        <v>10</v>
      </c>
      <c r="H289">
        <v>10.86</v>
      </c>
    </row>
    <row r="290" spans="1:8">
      <c r="A290" s="1">
        <v>5</v>
      </c>
      <c r="B290" t="s">
        <v>3576</v>
      </c>
      <c r="C290">
        <v>66.17</v>
      </c>
      <c r="D290" t="e">
        <f t="shared" si="20"/>
        <v>#NAME?</v>
      </c>
      <c r="E290">
        <v>0.429753</v>
      </c>
      <c r="F290">
        <v>0</v>
      </c>
      <c r="G290">
        <v>4</v>
      </c>
      <c r="H290">
        <v>18.52</v>
      </c>
    </row>
    <row r="291" spans="1:8">
      <c r="A291" s="1">
        <v>6</v>
      </c>
      <c r="B291" t="s">
        <v>3577</v>
      </c>
      <c r="C291">
        <v>58.2</v>
      </c>
      <c r="D291" t="e">
        <f t="shared" si="20"/>
        <v>#NAME?</v>
      </c>
      <c r="E291">
        <v>0.46786499999999998</v>
      </c>
      <c r="F291">
        <v>0</v>
      </c>
      <c r="G291">
        <v>4</v>
      </c>
      <c r="H291">
        <v>14.06</v>
      </c>
    </row>
    <row r="292" spans="1:8">
      <c r="A292" s="1">
        <v>7</v>
      </c>
      <c r="B292" t="s">
        <v>3578</v>
      </c>
      <c r="C292">
        <v>55.25</v>
      </c>
      <c r="D292" t="e">
        <f t="shared" si="20"/>
        <v>#NAME?</v>
      </c>
      <c r="E292">
        <v>0.43137199999999998</v>
      </c>
      <c r="F292">
        <v>0</v>
      </c>
      <c r="G292">
        <v>8</v>
      </c>
      <c r="H292">
        <v>12.45</v>
      </c>
    </row>
    <row r="293" spans="1:8">
      <c r="A293" s="1">
        <v>8</v>
      </c>
      <c r="B293" t="s">
        <v>3579</v>
      </c>
      <c r="C293">
        <v>48.07</v>
      </c>
      <c r="D293" t="e">
        <f t="shared" si="20"/>
        <v>#NAME?</v>
      </c>
      <c r="E293">
        <v>0.53525800000000001</v>
      </c>
      <c r="F293">
        <v>0</v>
      </c>
      <c r="G293">
        <v>0</v>
      </c>
      <c r="H293">
        <v>11.92</v>
      </c>
    </row>
    <row r="294" spans="1:8">
      <c r="A294" s="1">
        <v>9</v>
      </c>
      <c r="B294" t="s">
        <v>3580</v>
      </c>
      <c r="C294">
        <v>54.67</v>
      </c>
      <c r="D294" t="e">
        <f t="shared" si="20"/>
        <v>#NAME?</v>
      </c>
      <c r="E294">
        <v>0.42125899999999999</v>
      </c>
      <c r="F294">
        <v>0</v>
      </c>
      <c r="G294">
        <v>4</v>
      </c>
      <c r="H294">
        <v>15.41</v>
      </c>
    </row>
    <row r="295" spans="1:8">
      <c r="A295" s="1">
        <v>10</v>
      </c>
      <c r="B295" t="s">
        <v>3581</v>
      </c>
      <c r="C295">
        <v>56.68</v>
      </c>
      <c r="D295" t="e">
        <f t="shared" si="20"/>
        <v>#NAME?</v>
      </c>
      <c r="E295">
        <v>0.43321100000000001</v>
      </c>
      <c r="F295">
        <v>0</v>
      </c>
      <c r="G295">
        <v>4</v>
      </c>
      <c r="H295">
        <v>14.01</v>
      </c>
    </row>
    <row r="296" spans="1:8">
      <c r="A296" s="1">
        <v>11</v>
      </c>
      <c r="B296" t="s">
        <v>3582</v>
      </c>
      <c r="C296">
        <v>48.36</v>
      </c>
      <c r="D296" t="e">
        <f t="shared" si="20"/>
        <v>#NAME?</v>
      </c>
      <c r="E296">
        <v>0.47747099999999998</v>
      </c>
      <c r="F296">
        <v>0</v>
      </c>
      <c r="G296">
        <v>0</v>
      </c>
      <c r="H296">
        <v>12.24</v>
      </c>
    </row>
    <row r="297" spans="1:8">
      <c r="A297" s="1">
        <v>12</v>
      </c>
      <c r="B297" t="s">
        <v>3583</v>
      </c>
      <c r="C297">
        <v>51.27</v>
      </c>
      <c r="D297" t="e">
        <f t="shared" si="20"/>
        <v>#NAME?</v>
      </c>
      <c r="E297">
        <v>0.43331500000000001</v>
      </c>
      <c r="F297">
        <v>0</v>
      </c>
      <c r="G297">
        <v>16</v>
      </c>
      <c r="H297">
        <v>14.27</v>
      </c>
    </row>
    <row r="298" spans="1:8">
      <c r="A298" s="1">
        <v>13</v>
      </c>
      <c r="B298" t="s">
        <v>3584</v>
      </c>
      <c r="C298">
        <v>64.72</v>
      </c>
      <c r="D298" t="e">
        <f t="shared" si="20"/>
        <v>#NAME?</v>
      </c>
      <c r="E298">
        <v>0.33776699999999998</v>
      </c>
      <c r="F298">
        <v>0</v>
      </c>
      <c r="G298">
        <v>2</v>
      </c>
      <c r="H298">
        <v>17.260000000000002</v>
      </c>
    </row>
    <row r="299" spans="1:8">
      <c r="A299" s="1">
        <v>14</v>
      </c>
      <c r="B299" t="s">
        <v>3585</v>
      </c>
      <c r="C299">
        <v>70.180000000000007</v>
      </c>
      <c r="D299" t="e">
        <f t="shared" si="20"/>
        <v>#NAME?</v>
      </c>
      <c r="E299">
        <v>0.40365800000000002</v>
      </c>
      <c r="F299">
        <v>0</v>
      </c>
      <c r="G299">
        <v>10</v>
      </c>
      <c r="H299">
        <v>19.52</v>
      </c>
    </row>
    <row r="300" spans="1:8">
      <c r="A300" s="1">
        <v>15</v>
      </c>
      <c r="B300" t="s">
        <v>3586</v>
      </c>
      <c r="C300">
        <v>69.209999999999994</v>
      </c>
      <c r="D300" t="e">
        <f t="shared" si="20"/>
        <v>#NAME?</v>
      </c>
      <c r="E300">
        <v>0.46595399999999998</v>
      </c>
      <c r="F300">
        <v>0</v>
      </c>
      <c r="G300">
        <v>0</v>
      </c>
      <c r="H300">
        <v>17.7</v>
      </c>
    </row>
    <row r="301" spans="1:8">
      <c r="A301" s="1">
        <v>16</v>
      </c>
      <c r="B301" t="s">
        <v>3587</v>
      </c>
      <c r="C301">
        <v>51.85</v>
      </c>
      <c r="D301" t="e">
        <f t="shared" si="20"/>
        <v>#NAME?</v>
      </c>
      <c r="E301">
        <v>0.52617400000000003</v>
      </c>
      <c r="F301">
        <v>0</v>
      </c>
      <c r="G301">
        <v>12</v>
      </c>
      <c r="H301">
        <v>14.59</v>
      </c>
    </row>
    <row r="302" spans="1:8">
      <c r="A302" s="1">
        <v>17</v>
      </c>
      <c r="B302" t="s">
        <v>3588</v>
      </c>
      <c r="C302">
        <v>51.44</v>
      </c>
      <c r="D302" t="e">
        <f t="shared" si="20"/>
        <v>#NAME?</v>
      </c>
      <c r="E302">
        <v>0.46094200000000002</v>
      </c>
      <c r="F302">
        <v>0</v>
      </c>
      <c r="G302">
        <v>4</v>
      </c>
      <c r="H302">
        <v>14.33</v>
      </c>
    </row>
    <row r="303" spans="1:8">
      <c r="A303" s="1">
        <v>18</v>
      </c>
      <c r="B303" t="s">
        <v>3589</v>
      </c>
      <c r="C303">
        <v>57.61</v>
      </c>
      <c r="D303" t="e">
        <f t="shared" si="20"/>
        <v>#NAME?</v>
      </c>
      <c r="E303">
        <v>0.36321700000000001</v>
      </c>
      <c r="F303">
        <v>0</v>
      </c>
      <c r="G303">
        <v>0</v>
      </c>
      <c r="H303">
        <v>16.03</v>
      </c>
    </row>
    <row r="304" spans="1:8">
      <c r="A304" s="1">
        <v>19</v>
      </c>
      <c r="B304" t="s">
        <v>3590</v>
      </c>
      <c r="C304">
        <v>64.16</v>
      </c>
      <c r="D304" t="e">
        <f t="shared" si="20"/>
        <v>#NAME?</v>
      </c>
      <c r="E304">
        <v>0.51901900000000001</v>
      </c>
      <c r="F304">
        <v>0</v>
      </c>
      <c r="G304">
        <v>2</v>
      </c>
      <c r="H304">
        <v>16.5</v>
      </c>
    </row>
    <row r="305" spans="1:8">
      <c r="A305" s="1">
        <v>20</v>
      </c>
      <c r="B305" t="s">
        <v>3591</v>
      </c>
      <c r="C305">
        <v>59.26</v>
      </c>
      <c r="D305" t="e">
        <f t="shared" si="20"/>
        <v>#NAME?</v>
      </c>
      <c r="E305">
        <v>0.47572799999999998</v>
      </c>
      <c r="F305">
        <v>0</v>
      </c>
      <c r="G305">
        <v>2</v>
      </c>
      <c r="H305">
        <v>14.69</v>
      </c>
    </row>
    <row r="306" spans="1:8">
      <c r="A306" s="1">
        <v>21</v>
      </c>
      <c r="B306" t="s">
        <v>3592</v>
      </c>
      <c r="C306">
        <v>47.37</v>
      </c>
      <c r="D306" t="e">
        <f t="shared" si="20"/>
        <v>#NAME?</v>
      </c>
      <c r="E306">
        <v>0.60419800000000001</v>
      </c>
      <c r="F306">
        <v>0</v>
      </c>
      <c r="G306">
        <v>0</v>
      </c>
      <c r="H306">
        <v>10.49</v>
      </c>
    </row>
    <row r="307" spans="1:8">
      <c r="A307" s="1">
        <v>22</v>
      </c>
      <c r="B307" t="s">
        <v>3593</v>
      </c>
      <c r="C307">
        <v>65.66</v>
      </c>
      <c r="D307" t="e">
        <f t="shared" si="20"/>
        <v>#NAME?</v>
      </c>
      <c r="E307">
        <v>0.48303099999999999</v>
      </c>
      <c r="F307">
        <v>0</v>
      </c>
      <c r="G307">
        <v>42</v>
      </c>
      <c r="H307">
        <v>16.63</v>
      </c>
    </row>
    <row r="308" spans="1:8">
      <c r="A308" s="1">
        <v>23</v>
      </c>
      <c r="B308" t="s">
        <v>3594</v>
      </c>
      <c r="C308">
        <v>58.03</v>
      </c>
      <c r="D308" t="e">
        <f t="shared" si="20"/>
        <v>#NAME?</v>
      </c>
      <c r="E308">
        <v>0.40535300000000002</v>
      </c>
      <c r="F308">
        <v>0</v>
      </c>
      <c r="G308">
        <v>0</v>
      </c>
      <c r="H308">
        <v>14.81</v>
      </c>
    </row>
    <row r="309" spans="1:8">
      <c r="A309" s="1">
        <v>24</v>
      </c>
      <c r="B309" t="s">
        <v>3595</v>
      </c>
      <c r="C309">
        <v>49.44</v>
      </c>
      <c r="D309" t="e">
        <f t="shared" si="20"/>
        <v>#NAME?</v>
      </c>
      <c r="E309">
        <v>0.40268399999999999</v>
      </c>
      <c r="F309">
        <v>0</v>
      </c>
      <c r="G309">
        <v>8</v>
      </c>
      <c r="H309">
        <v>13.14</v>
      </c>
    </row>
    <row r="310" spans="1:8">
      <c r="A310" s="1">
        <v>25</v>
      </c>
      <c r="B310" t="s">
        <v>3596</v>
      </c>
      <c r="C310">
        <v>60.48</v>
      </c>
      <c r="D310" t="e">
        <f t="shared" si="20"/>
        <v>#NAME?</v>
      </c>
      <c r="E310">
        <v>0.45577800000000002</v>
      </c>
      <c r="F310">
        <v>0</v>
      </c>
      <c r="G310">
        <v>4</v>
      </c>
      <c r="H310">
        <v>16.45</v>
      </c>
    </row>
    <row r="311" spans="1:8">
      <c r="A311" s="1">
        <v>26</v>
      </c>
      <c r="B311" t="s">
        <v>3597</v>
      </c>
      <c r="C311">
        <v>55.31</v>
      </c>
      <c r="D311" t="e">
        <f t="shared" si="20"/>
        <v>#NAME?</v>
      </c>
      <c r="E311">
        <v>0.47987099999999999</v>
      </c>
      <c r="F311">
        <v>0</v>
      </c>
      <c r="G311">
        <v>2</v>
      </c>
      <c r="H311">
        <v>14.18</v>
      </c>
    </row>
    <row r="312" spans="1:8">
      <c r="A312" s="1">
        <v>27</v>
      </c>
      <c r="B312" t="s">
        <v>3598</v>
      </c>
      <c r="C312">
        <v>59.54</v>
      </c>
      <c r="D312" t="e">
        <f t="shared" si="20"/>
        <v>#NAME?</v>
      </c>
      <c r="E312">
        <v>0.33854299999999998</v>
      </c>
      <c r="F312">
        <v>0</v>
      </c>
      <c r="G312">
        <v>8</v>
      </c>
      <c r="H312">
        <v>17.239999999999998</v>
      </c>
    </row>
    <row r="313" spans="1:8">
      <c r="A313" s="1">
        <v>28</v>
      </c>
      <c r="B313" t="s">
        <v>3599</v>
      </c>
      <c r="C313">
        <v>55.12</v>
      </c>
      <c r="D313" t="e">
        <f t="shared" si="20"/>
        <v>#NAME?</v>
      </c>
      <c r="E313">
        <v>0.47221999999999997</v>
      </c>
      <c r="F313">
        <v>0</v>
      </c>
      <c r="G313">
        <v>4</v>
      </c>
      <c r="H313">
        <v>15.53</v>
      </c>
    </row>
    <row r="314" spans="1:8">
      <c r="A314" s="1">
        <v>29</v>
      </c>
      <c r="B314" t="s">
        <v>3600</v>
      </c>
      <c r="C314">
        <v>55.1</v>
      </c>
      <c r="D314" t="e">
        <f t="shared" si="20"/>
        <v>#NAME?</v>
      </c>
      <c r="E314">
        <v>0.43245499999999998</v>
      </c>
      <c r="F314">
        <v>0</v>
      </c>
      <c r="G314">
        <v>38</v>
      </c>
      <c r="H314">
        <v>12.94</v>
      </c>
    </row>
    <row r="315" spans="1:8">
      <c r="A315" s="1">
        <v>30</v>
      </c>
      <c r="B315" t="s">
        <v>3601</v>
      </c>
      <c r="C315">
        <v>61.68</v>
      </c>
      <c r="D315" t="e">
        <f t="shared" si="20"/>
        <v>#NAME?</v>
      </c>
      <c r="E315">
        <v>0.445303</v>
      </c>
      <c r="F315">
        <v>0</v>
      </c>
      <c r="G315">
        <v>16</v>
      </c>
      <c r="H315">
        <v>15.43</v>
      </c>
    </row>
    <row r="316" spans="1:8">
      <c r="A316" s="1">
        <v>31</v>
      </c>
      <c r="B316" t="s">
        <v>3602</v>
      </c>
      <c r="C316">
        <v>60.3</v>
      </c>
      <c r="D316" t="e">
        <f t="shared" si="20"/>
        <v>#NAME?</v>
      </c>
      <c r="E316">
        <v>0.42126200000000003</v>
      </c>
      <c r="F316">
        <v>0</v>
      </c>
      <c r="G316">
        <v>10</v>
      </c>
      <c r="H316">
        <v>17.41</v>
      </c>
    </row>
    <row r="317" spans="1:8">
      <c r="A317" s="1">
        <v>32</v>
      </c>
      <c r="B317" t="s">
        <v>3603</v>
      </c>
      <c r="C317">
        <v>59.79</v>
      </c>
      <c r="D317" t="e">
        <f t="shared" si="20"/>
        <v>#NAME?</v>
      </c>
      <c r="E317">
        <v>0.43684699999999999</v>
      </c>
      <c r="F317">
        <v>0</v>
      </c>
      <c r="G317">
        <v>2</v>
      </c>
      <c r="H317">
        <v>14.64</v>
      </c>
    </row>
    <row r="318" spans="1:8">
      <c r="A318" s="1">
        <v>33</v>
      </c>
      <c r="B318" t="s">
        <v>3604</v>
      </c>
      <c r="C318">
        <v>52.22</v>
      </c>
      <c r="D318" t="e">
        <f t="shared" ref="D318:D335" si="21">-inf</f>
        <v>#NAME?</v>
      </c>
      <c r="E318">
        <v>0.43418800000000002</v>
      </c>
      <c r="F318">
        <v>0</v>
      </c>
      <c r="G318">
        <v>0</v>
      </c>
      <c r="H318">
        <v>13.51</v>
      </c>
    </row>
    <row r="319" spans="1:8">
      <c r="A319" s="1">
        <v>34</v>
      </c>
      <c r="B319" t="s">
        <v>3605</v>
      </c>
      <c r="C319">
        <v>45.84</v>
      </c>
      <c r="D319" t="e">
        <f t="shared" si="21"/>
        <v>#NAME?</v>
      </c>
      <c r="E319">
        <v>0.39157199999999998</v>
      </c>
      <c r="F319">
        <v>0</v>
      </c>
      <c r="G319">
        <v>28</v>
      </c>
      <c r="H319">
        <v>11.88</v>
      </c>
    </row>
    <row r="320" spans="1:8">
      <c r="A320" s="1">
        <v>35</v>
      </c>
      <c r="B320" t="s">
        <v>3606</v>
      </c>
      <c r="C320">
        <v>49.97</v>
      </c>
      <c r="D320" t="e">
        <f t="shared" si="21"/>
        <v>#NAME?</v>
      </c>
      <c r="E320">
        <v>0.35472199999999998</v>
      </c>
      <c r="F320">
        <v>0</v>
      </c>
      <c r="G320">
        <v>10</v>
      </c>
      <c r="H320">
        <v>12.37</v>
      </c>
    </row>
    <row r="321" spans="1:8">
      <c r="A321" s="1">
        <v>36</v>
      </c>
      <c r="B321" t="s">
        <v>3607</v>
      </c>
      <c r="C321">
        <v>65.98</v>
      </c>
      <c r="D321" t="e">
        <f t="shared" si="21"/>
        <v>#NAME?</v>
      </c>
      <c r="E321">
        <v>0.46803099999999997</v>
      </c>
      <c r="F321">
        <v>0</v>
      </c>
      <c r="G321">
        <v>10</v>
      </c>
      <c r="H321">
        <v>18.89</v>
      </c>
    </row>
    <row r="322" spans="1:8">
      <c r="A322" s="1">
        <v>37</v>
      </c>
      <c r="B322" t="s">
        <v>3608</v>
      </c>
      <c r="C322">
        <v>53.48</v>
      </c>
      <c r="D322" t="e">
        <f t="shared" si="21"/>
        <v>#NAME?</v>
      </c>
      <c r="E322">
        <v>0.43121100000000001</v>
      </c>
      <c r="F322">
        <v>0</v>
      </c>
      <c r="G322">
        <v>46</v>
      </c>
      <c r="H322">
        <v>15.65</v>
      </c>
    </row>
    <row r="323" spans="1:8">
      <c r="A323" s="1">
        <v>38</v>
      </c>
      <c r="B323" t="s">
        <v>3609</v>
      </c>
      <c r="C323">
        <v>57.01</v>
      </c>
      <c r="D323" t="e">
        <f t="shared" si="21"/>
        <v>#NAME?</v>
      </c>
      <c r="E323">
        <v>0.52274299999999996</v>
      </c>
      <c r="F323">
        <v>0</v>
      </c>
      <c r="G323">
        <v>48</v>
      </c>
      <c r="H323">
        <v>14.21</v>
      </c>
    </row>
    <row r="324" spans="1:8">
      <c r="A324" s="1">
        <v>39</v>
      </c>
      <c r="B324" t="s">
        <v>3610</v>
      </c>
      <c r="C324">
        <v>52.47</v>
      </c>
      <c r="D324" t="e">
        <f t="shared" si="21"/>
        <v>#NAME?</v>
      </c>
      <c r="E324">
        <v>0.38300499999999998</v>
      </c>
      <c r="F324">
        <v>0</v>
      </c>
      <c r="G324">
        <v>12</v>
      </c>
      <c r="H324">
        <v>12.86</v>
      </c>
    </row>
    <row r="325" spans="1:8">
      <c r="A325" s="1">
        <v>40</v>
      </c>
      <c r="B325" t="s">
        <v>3611</v>
      </c>
      <c r="C325">
        <v>53.34</v>
      </c>
      <c r="D325" t="e">
        <f t="shared" si="21"/>
        <v>#NAME?</v>
      </c>
      <c r="E325">
        <v>0.55500799999999995</v>
      </c>
      <c r="F325">
        <v>0</v>
      </c>
      <c r="G325">
        <v>2</v>
      </c>
      <c r="H325">
        <v>13.62</v>
      </c>
    </row>
    <row r="326" spans="1:8">
      <c r="A326" s="1">
        <v>41</v>
      </c>
      <c r="B326" t="s">
        <v>3612</v>
      </c>
      <c r="C326">
        <v>58.36</v>
      </c>
      <c r="D326" t="e">
        <f t="shared" si="21"/>
        <v>#NAME?</v>
      </c>
      <c r="E326">
        <v>0.46968599999999999</v>
      </c>
      <c r="F326">
        <v>0</v>
      </c>
      <c r="G326">
        <v>26</v>
      </c>
      <c r="H326">
        <v>14.16</v>
      </c>
    </row>
    <row r="327" spans="1:8">
      <c r="A327" s="1">
        <v>42</v>
      </c>
      <c r="B327" t="s">
        <v>3613</v>
      </c>
      <c r="C327">
        <v>54.33</v>
      </c>
      <c r="D327" t="e">
        <f t="shared" si="21"/>
        <v>#NAME?</v>
      </c>
      <c r="E327">
        <v>0.49685000000000001</v>
      </c>
      <c r="F327">
        <v>0</v>
      </c>
      <c r="G327">
        <v>24</v>
      </c>
      <c r="H327">
        <v>14.4</v>
      </c>
    </row>
    <row r="328" spans="1:8">
      <c r="A328" s="1">
        <v>43</v>
      </c>
      <c r="B328" t="s">
        <v>3614</v>
      </c>
      <c r="C328">
        <v>48.13</v>
      </c>
      <c r="D328" t="e">
        <f t="shared" si="21"/>
        <v>#NAME?</v>
      </c>
      <c r="E328">
        <v>0.38641700000000001</v>
      </c>
      <c r="F328">
        <v>0</v>
      </c>
      <c r="G328">
        <v>2</v>
      </c>
      <c r="H328">
        <v>11.83</v>
      </c>
    </row>
    <row r="329" spans="1:8">
      <c r="A329" s="1">
        <v>44</v>
      </c>
      <c r="B329" t="s">
        <v>3615</v>
      </c>
      <c r="C329">
        <v>47.35</v>
      </c>
      <c r="D329" t="e">
        <f t="shared" si="21"/>
        <v>#NAME?</v>
      </c>
      <c r="E329">
        <v>0.43432500000000002</v>
      </c>
      <c r="F329">
        <v>0</v>
      </c>
      <c r="G329">
        <v>8</v>
      </c>
      <c r="H329">
        <v>12.29</v>
      </c>
    </row>
    <row r="330" spans="1:8">
      <c r="A330" s="1">
        <v>45</v>
      </c>
      <c r="B330" t="s">
        <v>3616</v>
      </c>
      <c r="C330">
        <v>49.95</v>
      </c>
      <c r="D330" t="e">
        <f t="shared" si="21"/>
        <v>#NAME?</v>
      </c>
      <c r="E330">
        <v>0.52870600000000001</v>
      </c>
      <c r="F330">
        <v>0</v>
      </c>
      <c r="G330">
        <v>16</v>
      </c>
      <c r="H330">
        <v>12.48</v>
      </c>
    </row>
    <row r="331" spans="1:8">
      <c r="A331" s="1">
        <v>46</v>
      </c>
      <c r="B331" t="s">
        <v>3617</v>
      </c>
      <c r="C331">
        <v>52.48</v>
      </c>
      <c r="D331" t="e">
        <f t="shared" si="21"/>
        <v>#NAME?</v>
      </c>
      <c r="E331">
        <v>0.45994800000000002</v>
      </c>
      <c r="F331">
        <v>0</v>
      </c>
      <c r="G331">
        <v>10</v>
      </c>
      <c r="H331">
        <v>13.2</v>
      </c>
    </row>
    <row r="332" spans="1:8">
      <c r="A332" s="1">
        <v>47</v>
      </c>
      <c r="B332" t="s">
        <v>3618</v>
      </c>
      <c r="C332">
        <v>50.65</v>
      </c>
      <c r="D332" t="e">
        <f t="shared" si="21"/>
        <v>#NAME?</v>
      </c>
      <c r="E332">
        <v>0.428313</v>
      </c>
      <c r="F332">
        <v>0</v>
      </c>
      <c r="G332">
        <v>42</v>
      </c>
      <c r="H332">
        <v>14.08</v>
      </c>
    </row>
    <row r="333" spans="1:8">
      <c r="A333" s="1">
        <v>48</v>
      </c>
      <c r="B333" t="s">
        <v>3619</v>
      </c>
      <c r="C333">
        <v>52.78</v>
      </c>
      <c r="D333" t="e">
        <f t="shared" si="21"/>
        <v>#NAME?</v>
      </c>
      <c r="E333">
        <v>0.450266</v>
      </c>
      <c r="F333">
        <v>0</v>
      </c>
      <c r="G333">
        <v>18</v>
      </c>
      <c r="H333">
        <v>15.91</v>
      </c>
    </row>
    <row r="334" spans="1:8">
      <c r="A334" s="1">
        <v>49</v>
      </c>
      <c r="B334" t="s">
        <v>3620</v>
      </c>
      <c r="C334">
        <v>54.77</v>
      </c>
      <c r="D334" t="e">
        <f t="shared" si="21"/>
        <v>#NAME?</v>
      </c>
      <c r="E334">
        <v>0.45411899999999999</v>
      </c>
      <c r="F334">
        <v>0</v>
      </c>
      <c r="G334">
        <v>4</v>
      </c>
      <c r="H334">
        <v>16.239999999999998</v>
      </c>
    </row>
    <row r="335" spans="1:8">
      <c r="A335" s="1">
        <v>50</v>
      </c>
      <c r="B335" t="s">
        <v>3621</v>
      </c>
      <c r="C335">
        <v>49.02</v>
      </c>
      <c r="D335" t="e">
        <f t="shared" si="21"/>
        <v>#NAME?</v>
      </c>
      <c r="E335">
        <v>0.47106199999999998</v>
      </c>
      <c r="F335">
        <v>0</v>
      </c>
      <c r="G335">
        <v>16</v>
      </c>
      <c r="H335">
        <v>12.55</v>
      </c>
    </row>
    <row r="336" spans="1:8">
      <c r="B336" s="1" t="s">
        <v>19</v>
      </c>
      <c r="C336" s="1">
        <f>AVERAGE(C286:C335)</f>
        <v>55.543599999999998</v>
      </c>
      <c r="D336" s="1" t="e">
        <f t="shared" ref="D336:H336" si="22">AVERAGE(D286:D335)</f>
        <v>#NAME?</v>
      </c>
      <c r="E336" s="1">
        <f t="shared" si="22"/>
        <v>0.45102512000000006</v>
      </c>
      <c r="F336" s="1">
        <f t="shared" si="22"/>
        <v>0</v>
      </c>
      <c r="G336" s="1">
        <f t="shared" si="22"/>
        <v>11.76</v>
      </c>
      <c r="H336" s="1">
        <f t="shared" si="22"/>
        <v>14.51</v>
      </c>
    </row>
    <row r="337" spans="1:8">
      <c r="B337" s="1" t="s">
        <v>20</v>
      </c>
      <c r="C337" s="1">
        <f>MIN(C285:C335)</f>
        <v>43.34</v>
      </c>
      <c r="D337" s="1" t="e">
        <f t="shared" ref="D337:F337" si="23">MIN(D285:D335)</f>
        <v>#NAME?</v>
      </c>
      <c r="E337" s="1">
        <f t="shared" si="23"/>
        <v>0.33776699999999998</v>
      </c>
      <c r="F337" s="1">
        <f t="shared" si="23"/>
        <v>0</v>
      </c>
      <c r="H337" s="1">
        <f t="shared" ref="H337" si="24">MIN(H285:H335)</f>
        <v>10.49</v>
      </c>
    </row>
    <row r="338" spans="1:8">
      <c r="B338" s="1" t="s">
        <v>3</v>
      </c>
      <c r="C338" s="1">
        <f>STDEV(C286:C335)</f>
        <v>6.7179703446071581</v>
      </c>
      <c r="D338" s="1" t="e">
        <f t="shared" ref="D338:E338" si="25">STDEV(D286:D335)</f>
        <v>#NAME?</v>
      </c>
      <c r="E338" s="1">
        <f t="shared" si="25"/>
        <v>5.3132073086172106E-2</v>
      </c>
      <c r="F338" s="1">
        <f>STDEV(F286:F335)</f>
        <v>0</v>
      </c>
      <c r="H338" s="1">
        <f>STDEV(H286:H335)</f>
        <v>2.1516619110798629</v>
      </c>
    </row>
    <row r="340" spans="1:8">
      <c r="H340" s="21" t="s">
        <v>1435</v>
      </c>
    </row>
    <row r="341" spans="1:8" ht="18">
      <c r="A341" s="21" t="s">
        <v>7</v>
      </c>
      <c r="B341" s="3" t="s">
        <v>6</v>
      </c>
      <c r="C341" s="21" t="s">
        <v>4</v>
      </c>
      <c r="D341" s="21" t="s">
        <v>322</v>
      </c>
      <c r="E341" s="21" t="s">
        <v>321</v>
      </c>
      <c r="F341" s="21" t="s">
        <v>324</v>
      </c>
      <c r="G341" s="21" t="s">
        <v>323</v>
      </c>
      <c r="H341" s="21" t="s">
        <v>1436</v>
      </c>
    </row>
    <row r="342" spans="1:8">
      <c r="A342" s="1">
        <v>1</v>
      </c>
      <c r="B342" t="s">
        <v>3622</v>
      </c>
      <c r="C342">
        <v>55.97</v>
      </c>
      <c r="D342" t="e">
        <f t="shared" ref="D342:D373" si="26">-inf</f>
        <v>#NAME?</v>
      </c>
      <c r="E342">
        <v>0.44196299999999999</v>
      </c>
      <c r="F342">
        <v>0</v>
      </c>
      <c r="G342">
        <v>0</v>
      </c>
      <c r="H342">
        <v>14.69</v>
      </c>
    </row>
    <row r="343" spans="1:8">
      <c r="A343" s="1">
        <v>2</v>
      </c>
      <c r="B343" t="s">
        <v>3623</v>
      </c>
      <c r="C343">
        <v>45.45</v>
      </c>
      <c r="D343" t="e">
        <f t="shared" si="26"/>
        <v>#NAME?</v>
      </c>
      <c r="E343">
        <v>0.45832800000000001</v>
      </c>
      <c r="F343">
        <v>0</v>
      </c>
      <c r="G343">
        <v>10</v>
      </c>
      <c r="H343">
        <v>12.25</v>
      </c>
    </row>
    <row r="344" spans="1:8">
      <c r="A344" s="1">
        <v>3</v>
      </c>
      <c r="B344" t="s">
        <v>3624</v>
      </c>
      <c r="C344">
        <v>57.51</v>
      </c>
      <c r="D344" t="e">
        <f t="shared" si="26"/>
        <v>#NAME?</v>
      </c>
      <c r="E344">
        <v>0.48351</v>
      </c>
      <c r="F344">
        <v>0</v>
      </c>
      <c r="G344">
        <v>28</v>
      </c>
      <c r="H344">
        <v>14.76</v>
      </c>
    </row>
    <row r="345" spans="1:8">
      <c r="A345" s="1">
        <v>4</v>
      </c>
      <c r="B345" t="s">
        <v>3625</v>
      </c>
      <c r="C345">
        <v>51.51</v>
      </c>
      <c r="D345" t="e">
        <f t="shared" si="26"/>
        <v>#NAME?</v>
      </c>
      <c r="E345">
        <v>0.39514899999999997</v>
      </c>
      <c r="F345">
        <v>0</v>
      </c>
      <c r="G345">
        <v>4</v>
      </c>
      <c r="H345">
        <v>12.21</v>
      </c>
    </row>
    <row r="346" spans="1:8">
      <c r="A346" s="1">
        <v>5</v>
      </c>
      <c r="B346" t="s">
        <v>3626</v>
      </c>
      <c r="C346">
        <v>50.31</v>
      </c>
      <c r="D346" t="e">
        <f t="shared" si="26"/>
        <v>#NAME?</v>
      </c>
      <c r="E346">
        <v>0.46602700000000002</v>
      </c>
      <c r="F346">
        <v>0</v>
      </c>
      <c r="G346">
        <v>26</v>
      </c>
      <c r="H346">
        <v>14.17</v>
      </c>
    </row>
    <row r="347" spans="1:8">
      <c r="A347" s="1">
        <v>6</v>
      </c>
      <c r="B347" t="s">
        <v>3627</v>
      </c>
      <c r="C347">
        <v>51.49</v>
      </c>
      <c r="D347" t="e">
        <f t="shared" si="26"/>
        <v>#NAME?</v>
      </c>
      <c r="E347">
        <v>0.38281799999999999</v>
      </c>
      <c r="F347">
        <v>0</v>
      </c>
      <c r="G347">
        <v>16</v>
      </c>
      <c r="H347">
        <v>12.79</v>
      </c>
    </row>
    <row r="348" spans="1:8">
      <c r="A348" s="1">
        <v>7</v>
      </c>
      <c r="B348" t="s">
        <v>3628</v>
      </c>
      <c r="C348">
        <v>45.07</v>
      </c>
      <c r="D348" t="e">
        <f t="shared" si="26"/>
        <v>#NAME?</v>
      </c>
      <c r="E348">
        <v>0.45211400000000002</v>
      </c>
      <c r="F348">
        <v>0</v>
      </c>
      <c r="G348">
        <v>0</v>
      </c>
      <c r="H348">
        <v>11.4</v>
      </c>
    </row>
    <row r="349" spans="1:8">
      <c r="A349" s="1">
        <v>8</v>
      </c>
      <c r="B349" t="s">
        <v>3629</v>
      </c>
      <c r="C349">
        <v>56.61</v>
      </c>
      <c r="D349" t="e">
        <f t="shared" si="26"/>
        <v>#NAME?</v>
      </c>
      <c r="E349">
        <v>0.50669399999999998</v>
      </c>
      <c r="F349">
        <v>0</v>
      </c>
      <c r="G349">
        <v>16</v>
      </c>
      <c r="H349">
        <v>13.43</v>
      </c>
    </row>
    <row r="350" spans="1:8">
      <c r="A350" s="1">
        <v>9</v>
      </c>
      <c r="B350" t="s">
        <v>3630</v>
      </c>
      <c r="C350">
        <v>52.38</v>
      </c>
      <c r="D350" t="e">
        <f t="shared" si="26"/>
        <v>#NAME?</v>
      </c>
      <c r="E350">
        <v>0.35106500000000002</v>
      </c>
      <c r="F350">
        <v>0</v>
      </c>
      <c r="G350">
        <v>4</v>
      </c>
      <c r="H350">
        <v>13.27</v>
      </c>
    </row>
    <row r="351" spans="1:8">
      <c r="A351" s="1">
        <v>10</v>
      </c>
      <c r="B351" t="s">
        <v>3631</v>
      </c>
      <c r="C351">
        <v>48.98</v>
      </c>
      <c r="D351" t="e">
        <f t="shared" si="26"/>
        <v>#NAME?</v>
      </c>
      <c r="E351">
        <v>0.41888999999999998</v>
      </c>
      <c r="F351">
        <v>0</v>
      </c>
      <c r="G351">
        <v>8</v>
      </c>
      <c r="H351">
        <v>12.97</v>
      </c>
    </row>
    <row r="352" spans="1:8">
      <c r="A352" s="1">
        <v>11</v>
      </c>
      <c r="B352" t="s">
        <v>3632</v>
      </c>
      <c r="C352">
        <v>40.32</v>
      </c>
      <c r="D352" t="e">
        <f t="shared" si="26"/>
        <v>#NAME?</v>
      </c>
      <c r="E352">
        <v>0.36165000000000003</v>
      </c>
      <c r="F352">
        <v>0</v>
      </c>
      <c r="G352">
        <v>0</v>
      </c>
      <c r="H352">
        <v>10.72</v>
      </c>
    </row>
    <row r="353" spans="1:8">
      <c r="A353" s="1">
        <v>12</v>
      </c>
      <c r="B353" t="s">
        <v>3633</v>
      </c>
      <c r="C353">
        <v>51.72</v>
      </c>
      <c r="D353" t="e">
        <f t="shared" si="26"/>
        <v>#NAME?</v>
      </c>
      <c r="E353">
        <v>0.505131</v>
      </c>
      <c r="F353">
        <v>0</v>
      </c>
      <c r="G353">
        <v>0</v>
      </c>
      <c r="H353">
        <v>12.85</v>
      </c>
    </row>
    <row r="354" spans="1:8">
      <c r="A354" s="1">
        <v>13</v>
      </c>
      <c r="B354" t="s">
        <v>3634</v>
      </c>
      <c r="C354">
        <v>55.89</v>
      </c>
      <c r="D354" t="e">
        <f t="shared" si="26"/>
        <v>#NAME?</v>
      </c>
      <c r="E354">
        <v>0.48723499999999997</v>
      </c>
      <c r="F354">
        <v>0</v>
      </c>
      <c r="G354">
        <v>16</v>
      </c>
      <c r="H354">
        <v>12.93</v>
      </c>
    </row>
    <row r="355" spans="1:8">
      <c r="A355" s="1">
        <v>14</v>
      </c>
      <c r="B355" t="s">
        <v>3635</v>
      </c>
      <c r="C355">
        <v>54.34</v>
      </c>
      <c r="D355" t="e">
        <f t="shared" si="26"/>
        <v>#NAME?</v>
      </c>
      <c r="E355">
        <v>0.423898</v>
      </c>
      <c r="F355">
        <v>0</v>
      </c>
      <c r="G355">
        <v>4</v>
      </c>
      <c r="H355">
        <v>13.62</v>
      </c>
    </row>
    <row r="356" spans="1:8">
      <c r="A356" s="1">
        <v>15</v>
      </c>
      <c r="B356" t="s">
        <v>3636</v>
      </c>
      <c r="C356">
        <v>48.26</v>
      </c>
      <c r="D356" t="e">
        <f t="shared" si="26"/>
        <v>#NAME?</v>
      </c>
      <c r="E356">
        <v>0.29822900000000002</v>
      </c>
      <c r="F356">
        <v>0</v>
      </c>
      <c r="G356">
        <v>14</v>
      </c>
      <c r="H356">
        <v>11.75</v>
      </c>
    </row>
    <row r="357" spans="1:8">
      <c r="A357" s="1">
        <v>16</v>
      </c>
      <c r="B357" t="s">
        <v>3637</v>
      </c>
      <c r="C357">
        <v>42.79</v>
      </c>
      <c r="D357" t="e">
        <f t="shared" si="26"/>
        <v>#NAME?</v>
      </c>
      <c r="E357">
        <v>0.46069100000000002</v>
      </c>
      <c r="F357">
        <v>0</v>
      </c>
      <c r="G357">
        <v>0</v>
      </c>
      <c r="H357">
        <v>10.26</v>
      </c>
    </row>
    <row r="358" spans="1:8">
      <c r="A358" s="1">
        <v>17</v>
      </c>
      <c r="B358" t="s">
        <v>3638</v>
      </c>
      <c r="C358">
        <v>45.91</v>
      </c>
      <c r="D358" t="e">
        <f t="shared" si="26"/>
        <v>#NAME?</v>
      </c>
      <c r="E358">
        <v>0.34509800000000002</v>
      </c>
      <c r="F358">
        <v>0</v>
      </c>
      <c r="G358">
        <v>2</v>
      </c>
      <c r="H358">
        <v>11.53</v>
      </c>
    </row>
    <row r="359" spans="1:8">
      <c r="A359" s="1">
        <v>18</v>
      </c>
      <c r="B359" t="s">
        <v>3639</v>
      </c>
      <c r="C359">
        <v>45.32</v>
      </c>
      <c r="D359" t="e">
        <f t="shared" si="26"/>
        <v>#NAME?</v>
      </c>
      <c r="E359">
        <v>0.46055699999999999</v>
      </c>
      <c r="F359">
        <v>0</v>
      </c>
      <c r="G359">
        <v>8</v>
      </c>
      <c r="H359">
        <v>11.58</v>
      </c>
    </row>
    <row r="360" spans="1:8">
      <c r="A360" s="1">
        <v>19</v>
      </c>
      <c r="B360" t="s">
        <v>3640</v>
      </c>
      <c r="C360">
        <v>45.55</v>
      </c>
      <c r="D360" t="e">
        <f t="shared" si="26"/>
        <v>#NAME?</v>
      </c>
      <c r="E360">
        <v>0.40754600000000002</v>
      </c>
      <c r="F360">
        <v>0</v>
      </c>
      <c r="G360">
        <v>0</v>
      </c>
      <c r="H360">
        <v>11.82</v>
      </c>
    </row>
    <row r="361" spans="1:8">
      <c r="A361" s="1">
        <v>20</v>
      </c>
      <c r="B361" t="s">
        <v>3641</v>
      </c>
      <c r="C361">
        <v>51.44</v>
      </c>
      <c r="D361" t="e">
        <f t="shared" si="26"/>
        <v>#NAME?</v>
      </c>
      <c r="E361">
        <v>0.45502100000000001</v>
      </c>
      <c r="F361">
        <v>0</v>
      </c>
      <c r="G361">
        <v>28</v>
      </c>
      <c r="H361">
        <v>14.42</v>
      </c>
    </row>
    <row r="362" spans="1:8">
      <c r="A362" s="1">
        <v>21</v>
      </c>
      <c r="B362" t="s">
        <v>3642</v>
      </c>
      <c r="C362">
        <v>44.04</v>
      </c>
      <c r="D362" t="e">
        <f t="shared" si="26"/>
        <v>#NAME?</v>
      </c>
      <c r="E362">
        <v>0.35703600000000002</v>
      </c>
      <c r="F362">
        <v>0</v>
      </c>
      <c r="G362">
        <v>26</v>
      </c>
      <c r="H362">
        <v>12.13</v>
      </c>
    </row>
    <row r="363" spans="1:8">
      <c r="A363" s="1">
        <v>22</v>
      </c>
      <c r="B363" t="s">
        <v>3643</v>
      </c>
      <c r="C363">
        <v>41.85</v>
      </c>
      <c r="D363" t="e">
        <f t="shared" si="26"/>
        <v>#NAME?</v>
      </c>
      <c r="E363">
        <v>0.275169</v>
      </c>
      <c r="F363">
        <v>0</v>
      </c>
      <c r="G363">
        <v>2</v>
      </c>
      <c r="H363">
        <v>11.6</v>
      </c>
    </row>
    <row r="364" spans="1:8">
      <c r="A364" s="1">
        <v>23</v>
      </c>
      <c r="B364" t="s">
        <v>3644</v>
      </c>
      <c r="C364">
        <v>42.62</v>
      </c>
      <c r="D364" t="e">
        <f t="shared" si="26"/>
        <v>#NAME?</v>
      </c>
      <c r="E364">
        <v>0.44291799999999998</v>
      </c>
      <c r="F364">
        <v>0</v>
      </c>
      <c r="G364">
        <v>0</v>
      </c>
      <c r="H364">
        <v>10.02</v>
      </c>
    </row>
    <row r="365" spans="1:8">
      <c r="A365" s="1">
        <v>24</v>
      </c>
      <c r="B365" t="s">
        <v>3645</v>
      </c>
      <c r="C365">
        <v>58.85</v>
      </c>
      <c r="D365" t="e">
        <f t="shared" si="26"/>
        <v>#NAME?</v>
      </c>
      <c r="E365">
        <v>0.467331</v>
      </c>
      <c r="F365">
        <v>0</v>
      </c>
      <c r="G365">
        <v>0</v>
      </c>
      <c r="H365">
        <v>15.19</v>
      </c>
    </row>
    <row r="366" spans="1:8">
      <c r="A366" s="1">
        <v>25</v>
      </c>
      <c r="B366" t="s">
        <v>3646</v>
      </c>
      <c r="C366">
        <v>50.97</v>
      </c>
      <c r="D366" t="e">
        <f t="shared" si="26"/>
        <v>#NAME?</v>
      </c>
      <c r="E366">
        <v>0.45377699999999999</v>
      </c>
      <c r="F366">
        <v>0</v>
      </c>
      <c r="G366">
        <v>2</v>
      </c>
      <c r="H366">
        <v>12.14</v>
      </c>
    </row>
    <row r="367" spans="1:8">
      <c r="A367" s="1">
        <v>26</v>
      </c>
      <c r="B367" t="s">
        <v>3647</v>
      </c>
      <c r="C367">
        <v>46.03</v>
      </c>
      <c r="D367" t="e">
        <f t="shared" si="26"/>
        <v>#NAME?</v>
      </c>
      <c r="E367">
        <v>0.488369</v>
      </c>
      <c r="F367">
        <v>0</v>
      </c>
      <c r="G367">
        <v>2</v>
      </c>
      <c r="H367">
        <v>10.96</v>
      </c>
    </row>
    <row r="368" spans="1:8">
      <c r="A368" s="1">
        <v>27</v>
      </c>
      <c r="B368" t="s">
        <v>3648</v>
      </c>
      <c r="C368">
        <v>49.04</v>
      </c>
      <c r="D368" t="e">
        <f t="shared" si="26"/>
        <v>#NAME?</v>
      </c>
      <c r="E368">
        <v>0.38505</v>
      </c>
      <c r="F368">
        <v>0</v>
      </c>
      <c r="G368">
        <v>2</v>
      </c>
      <c r="H368">
        <v>12.46</v>
      </c>
    </row>
    <row r="369" spans="1:8">
      <c r="A369" s="1">
        <v>28</v>
      </c>
      <c r="B369" t="s">
        <v>3649</v>
      </c>
      <c r="C369">
        <v>40.03</v>
      </c>
      <c r="D369" t="e">
        <f t="shared" si="26"/>
        <v>#NAME?</v>
      </c>
      <c r="E369">
        <v>0.47097600000000001</v>
      </c>
      <c r="F369">
        <v>0</v>
      </c>
      <c r="G369">
        <v>18</v>
      </c>
      <c r="H369">
        <v>9.77</v>
      </c>
    </row>
    <row r="370" spans="1:8">
      <c r="A370" s="1">
        <v>29</v>
      </c>
      <c r="B370" t="s">
        <v>3650</v>
      </c>
      <c r="C370">
        <v>45.16</v>
      </c>
      <c r="D370" t="e">
        <f t="shared" si="26"/>
        <v>#NAME?</v>
      </c>
      <c r="E370">
        <v>0.36645899999999998</v>
      </c>
      <c r="F370">
        <v>0</v>
      </c>
      <c r="G370">
        <v>34</v>
      </c>
      <c r="H370">
        <v>11.34</v>
      </c>
    </row>
    <row r="371" spans="1:8">
      <c r="A371" s="1">
        <v>30</v>
      </c>
      <c r="B371" t="s">
        <v>3651</v>
      </c>
      <c r="C371">
        <v>44.4</v>
      </c>
      <c r="D371" t="e">
        <f t="shared" si="26"/>
        <v>#NAME?</v>
      </c>
      <c r="E371">
        <v>0.584013</v>
      </c>
      <c r="F371">
        <v>0</v>
      </c>
      <c r="G371">
        <v>24</v>
      </c>
      <c r="H371">
        <v>11.08</v>
      </c>
    </row>
    <row r="372" spans="1:8">
      <c r="A372" s="1">
        <v>31</v>
      </c>
      <c r="B372" t="s">
        <v>3652</v>
      </c>
      <c r="C372">
        <v>45.4</v>
      </c>
      <c r="D372" t="e">
        <f t="shared" si="26"/>
        <v>#NAME?</v>
      </c>
      <c r="E372">
        <v>0.43302400000000002</v>
      </c>
      <c r="F372">
        <v>0</v>
      </c>
      <c r="G372">
        <v>0</v>
      </c>
      <c r="H372">
        <v>11.37</v>
      </c>
    </row>
    <row r="373" spans="1:8">
      <c r="A373" s="1">
        <v>32</v>
      </c>
      <c r="B373" t="s">
        <v>3653</v>
      </c>
      <c r="C373">
        <v>58.11</v>
      </c>
      <c r="D373" t="e">
        <f t="shared" si="26"/>
        <v>#NAME?</v>
      </c>
      <c r="E373">
        <v>0.43508799999999997</v>
      </c>
      <c r="F373">
        <v>0</v>
      </c>
      <c r="G373">
        <v>8</v>
      </c>
      <c r="H373">
        <v>14.47</v>
      </c>
    </row>
    <row r="374" spans="1:8">
      <c r="A374" s="1">
        <v>33</v>
      </c>
      <c r="B374" t="s">
        <v>3654</v>
      </c>
      <c r="C374">
        <v>50.38</v>
      </c>
      <c r="D374" t="e">
        <f t="shared" ref="D374:D391" si="27">-inf</f>
        <v>#NAME?</v>
      </c>
      <c r="E374">
        <v>0.44741599999999998</v>
      </c>
      <c r="F374">
        <v>0</v>
      </c>
      <c r="G374">
        <v>12</v>
      </c>
      <c r="H374">
        <v>13.73</v>
      </c>
    </row>
    <row r="375" spans="1:8">
      <c r="A375" s="1">
        <v>34</v>
      </c>
      <c r="B375" t="s">
        <v>3655</v>
      </c>
      <c r="C375">
        <v>46.67</v>
      </c>
      <c r="D375" t="e">
        <f t="shared" si="27"/>
        <v>#NAME?</v>
      </c>
      <c r="E375">
        <v>0.35049200000000003</v>
      </c>
      <c r="F375">
        <v>0</v>
      </c>
      <c r="G375">
        <v>10</v>
      </c>
      <c r="H375">
        <v>11.68</v>
      </c>
    </row>
    <row r="376" spans="1:8">
      <c r="A376" s="1">
        <v>35</v>
      </c>
      <c r="B376" t="s">
        <v>3656</v>
      </c>
      <c r="C376">
        <v>50.89</v>
      </c>
      <c r="D376" t="e">
        <f t="shared" si="27"/>
        <v>#NAME?</v>
      </c>
      <c r="E376">
        <v>0.40223900000000001</v>
      </c>
      <c r="F376">
        <v>0</v>
      </c>
      <c r="G376">
        <v>2</v>
      </c>
      <c r="H376">
        <v>13.44</v>
      </c>
    </row>
    <row r="377" spans="1:8">
      <c r="A377" s="1">
        <v>36</v>
      </c>
      <c r="B377" t="s">
        <v>3657</v>
      </c>
      <c r="C377">
        <v>54.81</v>
      </c>
      <c r="D377" t="e">
        <f t="shared" si="27"/>
        <v>#NAME?</v>
      </c>
      <c r="E377">
        <v>0.45260099999999998</v>
      </c>
      <c r="F377">
        <v>0</v>
      </c>
      <c r="G377">
        <v>8</v>
      </c>
      <c r="H377">
        <v>14.36</v>
      </c>
    </row>
    <row r="378" spans="1:8">
      <c r="A378" s="1">
        <v>37</v>
      </c>
      <c r="B378" t="s">
        <v>3658</v>
      </c>
      <c r="C378">
        <v>48.69</v>
      </c>
      <c r="D378" t="e">
        <f t="shared" si="27"/>
        <v>#NAME?</v>
      </c>
      <c r="E378">
        <v>0.41718899999999998</v>
      </c>
      <c r="F378">
        <v>0</v>
      </c>
      <c r="G378">
        <v>38</v>
      </c>
      <c r="H378">
        <v>12.51</v>
      </c>
    </row>
    <row r="379" spans="1:8">
      <c r="A379" s="1">
        <v>38</v>
      </c>
      <c r="B379" t="s">
        <v>3659</v>
      </c>
      <c r="C379">
        <v>48.82</v>
      </c>
      <c r="D379" t="e">
        <f t="shared" si="27"/>
        <v>#NAME?</v>
      </c>
      <c r="E379">
        <v>0.38838400000000001</v>
      </c>
      <c r="F379">
        <v>0</v>
      </c>
      <c r="G379">
        <v>0</v>
      </c>
      <c r="H379">
        <v>14.5</v>
      </c>
    </row>
    <row r="380" spans="1:8">
      <c r="A380" s="1">
        <v>39</v>
      </c>
      <c r="B380" t="s">
        <v>3660</v>
      </c>
      <c r="C380">
        <v>51.48</v>
      </c>
      <c r="D380" t="e">
        <f t="shared" si="27"/>
        <v>#NAME?</v>
      </c>
      <c r="E380">
        <v>0.30917699999999998</v>
      </c>
      <c r="F380">
        <v>0</v>
      </c>
      <c r="G380">
        <v>8</v>
      </c>
      <c r="H380">
        <v>15.51</v>
      </c>
    </row>
    <row r="381" spans="1:8">
      <c r="A381" s="1">
        <v>40</v>
      </c>
      <c r="B381" t="s">
        <v>3661</v>
      </c>
      <c r="C381">
        <v>43.55</v>
      </c>
      <c r="D381" t="e">
        <f t="shared" si="27"/>
        <v>#NAME?</v>
      </c>
      <c r="E381">
        <v>0.43109700000000001</v>
      </c>
      <c r="F381">
        <v>0</v>
      </c>
      <c r="G381">
        <v>12</v>
      </c>
      <c r="H381">
        <v>10.85</v>
      </c>
    </row>
    <row r="382" spans="1:8">
      <c r="A382" s="1">
        <v>41</v>
      </c>
      <c r="B382" t="s">
        <v>3662</v>
      </c>
      <c r="C382">
        <v>46.33</v>
      </c>
      <c r="D382" t="e">
        <f t="shared" si="27"/>
        <v>#NAME?</v>
      </c>
      <c r="E382">
        <v>0.42613699999999999</v>
      </c>
      <c r="F382">
        <v>0</v>
      </c>
      <c r="G382">
        <v>12</v>
      </c>
      <c r="H382">
        <v>11.27</v>
      </c>
    </row>
    <row r="383" spans="1:8">
      <c r="A383" s="1">
        <v>42</v>
      </c>
      <c r="B383" t="s">
        <v>3663</v>
      </c>
      <c r="C383">
        <v>50.38</v>
      </c>
      <c r="D383" t="e">
        <f t="shared" si="27"/>
        <v>#NAME?</v>
      </c>
      <c r="E383">
        <v>0.40984799999999999</v>
      </c>
      <c r="F383">
        <v>0</v>
      </c>
      <c r="G383">
        <v>0</v>
      </c>
      <c r="H383">
        <v>12.03</v>
      </c>
    </row>
    <row r="384" spans="1:8">
      <c r="A384" s="1">
        <v>43</v>
      </c>
      <c r="B384" t="s">
        <v>3664</v>
      </c>
      <c r="C384">
        <v>59.59</v>
      </c>
      <c r="D384" t="e">
        <f t="shared" si="27"/>
        <v>#NAME?</v>
      </c>
      <c r="E384">
        <v>0.38550499999999999</v>
      </c>
      <c r="F384">
        <v>0</v>
      </c>
      <c r="G384">
        <v>26</v>
      </c>
      <c r="H384">
        <v>16.03</v>
      </c>
    </row>
    <row r="385" spans="1:8">
      <c r="A385" s="1">
        <v>44</v>
      </c>
      <c r="B385" t="s">
        <v>3665</v>
      </c>
      <c r="C385">
        <v>48.18</v>
      </c>
      <c r="D385" t="e">
        <f t="shared" si="27"/>
        <v>#NAME?</v>
      </c>
      <c r="E385">
        <v>0.38140800000000002</v>
      </c>
      <c r="F385">
        <v>0</v>
      </c>
      <c r="G385">
        <v>26</v>
      </c>
      <c r="H385">
        <v>12.46</v>
      </c>
    </row>
    <row r="386" spans="1:8">
      <c r="A386" s="1">
        <v>45</v>
      </c>
      <c r="B386" t="s">
        <v>3666</v>
      </c>
      <c r="C386">
        <v>43.9</v>
      </c>
      <c r="D386" t="e">
        <f t="shared" si="27"/>
        <v>#NAME?</v>
      </c>
      <c r="E386">
        <v>0.432813</v>
      </c>
      <c r="F386">
        <v>0</v>
      </c>
      <c r="G386">
        <v>10</v>
      </c>
      <c r="H386">
        <v>11.14</v>
      </c>
    </row>
    <row r="387" spans="1:8">
      <c r="A387" s="1">
        <v>46</v>
      </c>
      <c r="B387" t="s">
        <v>3667</v>
      </c>
      <c r="C387">
        <v>46.53</v>
      </c>
      <c r="D387" t="e">
        <f t="shared" si="27"/>
        <v>#NAME?</v>
      </c>
      <c r="E387">
        <v>0.23849000000000001</v>
      </c>
      <c r="F387">
        <v>0</v>
      </c>
      <c r="G387">
        <v>2</v>
      </c>
      <c r="H387">
        <v>12.67</v>
      </c>
    </row>
    <row r="388" spans="1:8">
      <c r="A388" s="1">
        <v>47</v>
      </c>
      <c r="B388" t="s">
        <v>3668</v>
      </c>
      <c r="C388">
        <v>42.74</v>
      </c>
      <c r="D388" t="e">
        <f t="shared" si="27"/>
        <v>#NAME?</v>
      </c>
      <c r="E388">
        <v>0.46530700000000003</v>
      </c>
      <c r="F388">
        <v>0</v>
      </c>
      <c r="G388">
        <v>10</v>
      </c>
      <c r="H388">
        <v>10.93</v>
      </c>
    </row>
    <row r="389" spans="1:8">
      <c r="A389" s="1">
        <v>48</v>
      </c>
      <c r="B389" t="s">
        <v>3669</v>
      </c>
      <c r="C389">
        <v>49.92</v>
      </c>
      <c r="D389" t="e">
        <f t="shared" si="27"/>
        <v>#NAME?</v>
      </c>
      <c r="E389">
        <v>0.39041500000000001</v>
      </c>
      <c r="F389">
        <v>0</v>
      </c>
      <c r="G389">
        <v>2</v>
      </c>
      <c r="H389">
        <v>11.43</v>
      </c>
    </row>
    <row r="390" spans="1:8">
      <c r="A390" s="1">
        <v>49</v>
      </c>
      <c r="B390" t="s">
        <v>3670</v>
      </c>
      <c r="C390">
        <v>43.93</v>
      </c>
      <c r="D390" t="e">
        <f t="shared" si="27"/>
        <v>#NAME?</v>
      </c>
      <c r="E390">
        <v>0.38418400000000003</v>
      </c>
      <c r="F390">
        <v>0</v>
      </c>
      <c r="G390">
        <v>16</v>
      </c>
      <c r="H390">
        <v>11.14</v>
      </c>
    </row>
    <row r="391" spans="1:8">
      <c r="A391" s="1">
        <v>50</v>
      </c>
      <c r="B391" t="s">
        <v>3671</v>
      </c>
      <c r="C391">
        <v>46.19</v>
      </c>
      <c r="D391" t="e">
        <f t="shared" si="27"/>
        <v>#NAME?</v>
      </c>
      <c r="E391">
        <v>0.43784800000000001</v>
      </c>
      <c r="F391">
        <v>0</v>
      </c>
      <c r="G391">
        <v>16</v>
      </c>
      <c r="H391">
        <v>11.97</v>
      </c>
    </row>
    <row r="392" spans="1:8">
      <c r="B392" s="1" t="s">
        <v>19</v>
      </c>
      <c r="C392" s="1">
        <f>AVERAGE(C342:C391)</f>
        <v>48.725999999999992</v>
      </c>
      <c r="D392" s="1" t="e">
        <f t="shared" ref="D392:F392" si="28">AVERAGE(D342:D391)</f>
        <v>#NAME?</v>
      </c>
      <c r="E392" s="1">
        <f t="shared" si="28"/>
        <v>0.41742747999999996</v>
      </c>
      <c r="F392" s="1">
        <f t="shared" si="28"/>
        <v>0</v>
      </c>
      <c r="H392" s="1">
        <f t="shared" ref="H392" si="29">AVERAGE(H342:H391)</f>
        <v>12.471999999999996</v>
      </c>
    </row>
    <row r="393" spans="1:8">
      <c r="B393" s="1" t="s">
        <v>20</v>
      </c>
      <c r="C393" s="1">
        <f>MIN(C341:C391)</f>
        <v>40.03</v>
      </c>
      <c r="D393" s="1" t="e">
        <f t="shared" ref="D393:F393" si="30">MIN(D341:D391)</f>
        <v>#NAME?</v>
      </c>
      <c r="E393" s="1">
        <f t="shared" si="30"/>
        <v>0.23849000000000001</v>
      </c>
      <c r="F393" s="1">
        <f t="shared" si="30"/>
        <v>0</v>
      </c>
      <c r="H393" s="1">
        <f t="shared" ref="H393" si="31">MIN(H341:H391)</f>
        <v>9.77</v>
      </c>
    </row>
    <row r="394" spans="1:8">
      <c r="B394" s="1" t="s">
        <v>3</v>
      </c>
      <c r="C394" s="1">
        <f>STDEV(C342:C391)</f>
        <v>4.9782182699091706</v>
      </c>
      <c r="D394" s="1" t="e">
        <f t="shared" ref="D394:E394" si="32">STDEV(D342:D391)</f>
        <v>#NAME?</v>
      </c>
      <c r="E394" s="1">
        <f t="shared" si="32"/>
        <v>6.2551174841490281E-2</v>
      </c>
      <c r="F394" s="1">
        <f>STDEV(F342:F391)</f>
        <v>0</v>
      </c>
      <c r="H394" s="1">
        <f>STDEV(H342:H391)</f>
        <v>1.4911603480758107</v>
      </c>
    </row>
    <row r="397" spans="1:8" ht="18">
      <c r="A397" s="21"/>
      <c r="B397" s="3"/>
      <c r="C397" s="21"/>
      <c r="D397" s="21"/>
      <c r="E397" s="21"/>
      <c r="F397" s="21"/>
      <c r="G397" s="21"/>
    </row>
    <row r="421" spans="2:4" ht="18">
      <c r="B421" s="3"/>
      <c r="C421" s="21"/>
      <c r="D421" s="21"/>
    </row>
    <row r="445" spans="2:4" ht="18">
      <c r="B445" s="3"/>
      <c r="C445" s="21"/>
      <c r="D445" s="21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45"/>
  <sheetViews>
    <sheetView topLeftCell="A325" zoomScale="50" zoomScaleNormal="50" workbookViewId="0">
      <selection activeCell="X358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 ht="14.4" customHeight="1">
      <c r="B1" s="25" t="s">
        <v>3269</v>
      </c>
      <c r="C1" s="25"/>
      <c r="D1" s="25"/>
    </row>
    <row r="2" spans="1:8" ht="14.4" customHeight="1">
      <c r="B2" s="25"/>
      <c r="C2" s="25"/>
      <c r="D2" s="25"/>
    </row>
    <row r="4" spans="1:8">
      <c r="H4" s="21" t="s">
        <v>1435</v>
      </c>
    </row>
    <row r="5" spans="1:8" ht="14.4" customHeight="1">
      <c r="A5" s="21" t="s">
        <v>7</v>
      </c>
      <c r="B5" s="3" t="s">
        <v>0</v>
      </c>
      <c r="C5" s="21" t="s">
        <v>4</v>
      </c>
      <c r="D5" s="21" t="s">
        <v>322</v>
      </c>
      <c r="E5" s="21" t="s">
        <v>321</v>
      </c>
      <c r="F5" s="21" t="s">
        <v>324</v>
      </c>
      <c r="G5" s="21" t="s">
        <v>323</v>
      </c>
      <c r="H5" s="21" t="s">
        <v>1436</v>
      </c>
    </row>
    <row r="6" spans="1:8">
      <c r="A6" s="1">
        <v>1</v>
      </c>
      <c r="B6" t="s">
        <v>1454</v>
      </c>
      <c r="C6">
        <v>90.2</v>
      </c>
      <c r="D6">
        <v>15.91</v>
      </c>
      <c r="E6">
        <v>0.988622</v>
      </c>
      <c r="F6">
        <v>80.52</v>
      </c>
      <c r="G6">
        <v>0</v>
      </c>
      <c r="H6">
        <v>19.39</v>
      </c>
    </row>
    <row r="7" spans="1:8">
      <c r="A7" s="1">
        <v>2</v>
      </c>
      <c r="B7" t="s">
        <v>1457</v>
      </c>
      <c r="C7">
        <v>143.75</v>
      </c>
      <c r="D7">
        <v>16.22</v>
      </c>
      <c r="E7">
        <v>0.83774199999999999</v>
      </c>
      <c r="F7">
        <v>80.489999999999995</v>
      </c>
      <c r="G7">
        <v>0</v>
      </c>
      <c r="H7">
        <v>46.72</v>
      </c>
    </row>
    <row r="8" spans="1:8">
      <c r="A8" s="1">
        <v>3</v>
      </c>
      <c r="B8" t="s">
        <v>1460</v>
      </c>
      <c r="C8">
        <v>242.61</v>
      </c>
      <c r="D8">
        <v>16.68</v>
      </c>
      <c r="E8">
        <v>0.84353999999999996</v>
      </c>
      <c r="F8">
        <v>138.12</v>
      </c>
      <c r="G8">
        <v>0</v>
      </c>
      <c r="H8">
        <v>54.29</v>
      </c>
    </row>
    <row r="9" spans="1:8">
      <c r="A9" s="1">
        <v>4</v>
      </c>
      <c r="B9" t="s">
        <v>1463</v>
      </c>
      <c r="C9">
        <v>293.3</v>
      </c>
      <c r="D9">
        <v>16.93</v>
      </c>
      <c r="E9">
        <v>0.99195199999999994</v>
      </c>
      <c r="F9">
        <v>266.88</v>
      </c>
      <c r="G9">
        <v>0</v>
      </c>
      <c r="H9">
        <v>72</v>
      </c>
    </row>
    <row r="10" spans="1:8" s="19" customFormat="1">
      <c r="A10" s="19">
        <v>5</v>
      </c>
      <c r="B10" t="s">
        <v>1466</v>
      </c>
      <c r="C10">
        <v>126.07</v>
      </c>
      <c r="D10">
        <v>16.18</v>
      </c>
      <c r="E10">
        <v>0.95804699999999998</v>
      </c>
      <c r="F10">
        <v>99.69</v>
      </c>
      <c r="G10">
        <v>2</v>
      </c>
      <c r="H10">
        <v>28.62</v>
      </c>
    </row>
    <row r="11" spans="1:8">
      <c r="A11" s="1">
        <v>6</v>
      </c>
      <c r="B11" t="s">
        <v>1469</v>
      </c>
      <c r="C11">
        <v>259.68</v>
      </c>
      <c r="D11">
        <v>16.75</v>
      </c>
      <c r="E11">
        <v>0.85619100000000004</v>
      </c>
      <c r="F11">
        <v>153.25</v>
      </c>
      <c r="G11">
        <v>2</v>
      </c>
      <c r="H11">
        <v>88.34</v>
      </c>
    </row>
    <row r="12" spans="1:8">
      <c r="A12" s="1">
        <v>7</v>
      </c>
      <c r="B12" t="s">
        <v>1472</v>
      </c>
      <c r="C12">
        <v>184.63</v>
      </c>
      <c r="D12">
        <v>16.37</v>
      </c>
      <c r="E12">
        <v>0.75984600000000002</v>
      </c>
      <c r="F12">
        <v>80.83</v>
      </c>
      <c r="G12">
        <v>0</v>
      </c>
      <c r="H12">
        <v>45.78</v>
      </c>
    </row>
    <row r="13" spans="1:8">
      <c r="A13" s="1">
        <v>8</v>
      </c>
      <c r="B13" t="s">
        <v>1475</v>
      </c>
      <c r="C13">
        <v>180</v>
      </c>
      <c r="D13">
        <v>16.5</v>
      </c>
      <c r="E13">
        <v>0.97809400000000002</v>
      </c>
      <c r="F13">
        <v>153.06</v>
      </c>
      <c r="G13">
        <v>2</v>
      </c>
      <c r="H13">
        <v>55.94</v>
      </c>
    </row>
    <row r="14" spans="1:8">
      <c r="A14" s="1">
        <v>9</v>
      </c>
      <c r="B14" t="s">
        <v>1478</v>
      </c>
      <c r="C14">
        <v>119.23</v>
      </c>
      <c r="D14">
        <v>16.14</v>
      </c>
      <c r="E14">
        <v>0.97241100000000003</v>
      </c>
      <c r="F14">
        <v>99.15</v>
      </c>
      <c r="G14">
        <v>0</v>
      </c>
      <c r="H14">
        <v>28.7</v>
      </c>
    </row>
    <row r="15" spans="1:8">
      <c r="A15" s="1">
        <v>10</v>
      </c>
      <c r="B15" t="s">
        <v>1481</v>
      </c>
      <c r="C15">
        <v>95.71</v>
      </c>
      <c r="D15">
        <v>15.96</v>
      </c>
      <c r="E15">
        <v>0.99817800000000001</v>
      </c>
      <c r="F15">
        <v>91.62</v>
      </c>
      <c r="G15">
        <v>2</v>
      </c>
      <c r="H15">
        <v>19.57</v>
      </c>
    </row>
    <row r="16" spans="1:8">
      <c r="A16" s="1">
        <v>11</v>
      </c>
      <c r="B16" t="s">
        <v>1484</v>
      </c>
      <c r="C16">
        <v>122.23</v>
      </c>
      <c r="D16">
        <v>16.14</v>
      </c>
      <c r="E16">
        <v>0.93401800000000001</v>
      </c>
      <c r="F16">
        <v>89.74</v>
      </c>
      <c r="G16">
        <v>0</v>
      </c>
      <c r="H16">
        <v>28.65</v>
      </c>
    </row>
    <row r="17" spans="1:8">
      <c r="A17" s="1">
        <v>12</v>
      </c>
      <c r="B17" t="s">
        <v>1487</v>
      </c>
      <c r="C17">
        <v>134.36000000000001</v>
      </c>
      <c r="D17">
        <v>16.18</v>
      </c>
      <c r="E17">
        <v>0.86488200000000004</v>
      </c>
      <c r="F17">
        <v>81.25</v>
      </c>
      <c r="G17">
        <v>0</v>
      </c>
      <c r="H17">
        <v>28.44</v>
      </c>
    </row>
    <row r="18" spans="1:8">
      <c r="A18" s="1">
        <v>13</v>
      </c>
      <c r="B18" t="s">
        <v>1490</v>
      </c>
      <c r="C18">
        <v>276.36</v>
      </c>
      <c r="D18">
        <v>16.649999999999999</v>
      </c>
      <c r="E18">
        <v>0.70745999999999998</v>
      </c>
      <c r="F18">
        <v>98.65</v>
      </c>
      <c r="G18">
        <v>2</v>
      </c>
      <c r="H18">
        <v>77.25</v>
      </c>
    </row>
    <row r="19" spans="1:8">
      <c r="A19" s="1">
        <v>14</v>
      </c>
      <c r="B19" t="s">
        <v>1493</v>
      </c>
      <c r="C19">
        <v>290.92</v>
      </c>
      <c r="D19">
        <v>16.920000000000002</v>
      </c>
      <c r="E19">
        <v>0.99122100000000002</v>
      </c>
      <c r="F19">
        <v>263.54000000000002</v>
      </c>
      <c r="G19">
        <v>2</v>
      </c>
      <c r="H19">
        <v>107.95</v>
      </c>
    </row>
    <row r="20" spans="1:8">
      <c r="A20" s="1">
        <v>15</v>
      </c>
      <c r="B20" t="s">
        <v>1496</v>
      </c>
      <c r="C20">
        <v>207.34</v>
      </c>
      <c r="D20">
        <v>16.43</v>
      </c>
      <c r="E20">
        <v>0.72955300000000001</v>
      </c>
      <c r="F20">
        <v>81.099999999999994</v>
      </c>
      <c r="G20">
        <v>2</v>
      </c>
      <c r="H20">
        <v>80.03</v>
      </c>
    </row>
    <row r="21" spans="1:8">
      <c r="A21" s="1">
        <v>16</v>
      </c>
      <c r="B21" t="s">
        <v>1499</v>
      </c>
      <c r="C21">
        <v>174.05</v>
      </c>
      <c r="D21">
        <v>16.46</v>
      </c>
      <c r="E21">
        <v>0.95710799999999996</v>
      </c>
      <c r="F21">
        <v>137.19999999999999</v>
      </c>
      <c r="G21">
        <v>2</v>
      </c>
      <c r="H21">
        <v>56.26</v>
      </c>
    </row>
    <row r="22" spans="1:8">
      <c r="A22" s="1">
        <v>17</v>
      </c>
      <c r="B22" t="s">
        <v>1502</v>
      </c>
      <c r="C22">
        <v>110.23</v>
      </c>
      <c r="D22">
        <v>16.05</v>
      </c>
      <c r="E22">
        <v>0.93360500000000002</v>
      </c>
      <c r="F22">
        <v>80.83</v>
      </c>
      <c r="G22">
        <v>2</v>
      </c>
      <c r="H22">
        <v>28.77</v>
      </c>
    </row>
    <row r="23" spans="1:8">
      <c r="A23" s="1">
        <v>18</v>
      </c>
      <c r="B23" t="s">
        <v>1505</v>
      </c>
      <c r="C23">
        <v>119.9</v>
      </c>
      <c r="D23">
        <v>16.14</v>
      </c>
      <c r="E23">
        <v>0.97153299999999998</v>
      </c>
      <c r="F23">
        <v>99.38</v>
      </c>
      <c r="G23">
        <v>2</v>
      </c>
      <c r="H23">
        <v>28.71</v>
      </c>
    </row>
    <row r="24" spans="1:8">
      <c r="A24" s="1">
        <v>19</v>
      </c>
      <c r="B24" t="s">
        <v>1508</v>
      </c>
      <c r="C24">
        <v>181.11</v>
      </c>
      <c r="D24">
        <v>16.420000000000002</v>
      </c>
      <c r="E24">
        <v>0.83251399999999998</v>
      </c>
      <c r="F24">
        <v>99.88</v>
      </c>
      <c r="G24">
        <v>0</v>
      </c>
      <c r="H24">
        <v>82.05</v>
      </c>
    </row>
    <row r="25" spans="1:8">
      <c r="A25" s="1">
        <v>20</v>
      </c>
      <c r="B25" t="s">
        <v>1511</v>
      </c>
      <c r="C25">
        <v>182.04</v>
      </c>
      <c r="D25">
        <v>16.420000000000002</v>
      </c>
      <c r="E25">
        <v>0.831565</v>
      </c>
      <c r="F25">
        <v>100.11</v>
      </c>
      <c r="G25">
        <v>0</v>
      </c>
      <c r="H25">
        <v>46.02</v>
      </c>
    </row>
    <row r="26" spans="1:8">
      <c r="A26" s="1">
        <v>21</v>
      </c>
      <c r="B26" t="s">
        <v>1514</v>
      </c>
      <c r="C26">
        <v>349.21</v>
      </c>
      <c r="D26">
        <v>17.09</v>
      </c>
      <c r="E26">
        <v>0.99770700000000001</v>
      </c>
      <c r="F26">
        <v>332.47</v>
      </c>
      <c r="G26">
        <v>0</v>
      </c>
      <c r="H26">
        <v>139.63</v>
      </c>
    </row>
    <row r="27" spans="1:8">
      <c r="A27" s="1">
        <v>22</v>
      </c>
      <c r="B27" t="s">
        <v>1517</v>
      </c>
      <c r="C27">
        <v>95.06</v>
      </c>
      <c r="D27">
        <v>15.96</v>
      </c>
      <c r="E27">
        <v>0.99775199999999997</v>
      </c>
      <c r="F27">
        <v>90.55</v>
      </c>
      <c r="G27">
        <v>0</v>
      </c>
      <c r="H27">
        <v>19.36</v>
      </c>
    </row>
    <row r="28" spans="1:8">
      <c r="A28" s="1">
        <v>23</v>
      </c>
      <c r="B28" t="s">
        <v>1520</v>
      </c>
      <c r="C28">
        <v>243.38</v>
      </c>
      <c r="D28">
        <v>16.71</v>
      </c>
      <c r="E28">
        <v>0.88076299999999996</v>
      </c>
      <c r="F28">
        <v>153.83000000000001</v>
      </c>
      <c r="G28">
        <v>0</v>
      </c>
      <c r="H28">
        <v>89.23</v>
      </c>
    </row>
    <row r="29" spans="1:8">
      <c r="A29" s="1">
        <v>24</v>
      </c>
      <c r="B29" t="s">
        <v>1523</v>
      </c>
      <c r="C29">
        <v>198.87</v>
      </c>
      <c r="D29">
        <v>16.41</v>
      </c>
      <c r="E29">
        <v>0.74035700000000004</v>
      </c>
      <c r="F29">
        <v>81.099999999999994</v>
      </c>
      <c r="G29">
        <v>0</v>
      </c>
      <c r="H29">
        <v>45.36</v>
      </c>
    </row>
    <row r="30" spans="1:8">
      <c r="A30" s="1">
        <v>25</v>
      </c>
      <c r="B30" t="s">
        <v>1526</v>
      </c>
      <c r="C30">
        <v>214.52</v>
      </c>
      <c r="D30">
        <v>16.61</v>
      </c>
      <c r="E30">
        <v>0.89005000000000001</v>
      </c>
      <c r="F30">
        <v>139.12</v>
      </c>
      <c r="G30">
        <v>0</v>
      </c>
      <c r="H30">
        <v>55.1</v>
      </c>
    </row>
    <row r="31" spans="1:8">
      <c r="A31" s="1">
        <v>26</v>
      </c>
      <c r="B31" t="s">
        <v>1529</v>
      </c>
      <c r="C31">
        <v>226.12</v>
      </c>
      <c r="D31">
        <v>16.7</v>
      </c>
      <c r="E31">
        <v>0.97194100000000005</v>
      </c>
      <c r="F31">
        <v>187.7</v>
      </c>
      <c r="G31">
        <v>2</v>
      </c>
      <c r="H31">
        <v>91.1</v>
      </c>
    </row>
    <row r="32" spans="1:8">
      <c r="A32" s="1">
        <v>27</v>
      </c>
      <c r="B32" t="s">
        <v>1532</v>
      </c>
      <c r="C32">
        <v>207.42</v>
      </c>
      <c r="D32">
        <v>16.63</v>
      </c>
      <c r="E32">
        <v>0.99999499999999997</v>
      </c>
      <c r="F32">
        <v>206.98</v>
      </c>
      <c r="G32">
        <v>2</v>
      </c>
      <c r="H32">
        <v>73.989999999999995</v>
      </c>
    </row>
    <row r="33" spans="1:8">
      <c r="A33" s="1">
        <v>28</v>
      </c>
      <c r="B33" t="s">
        <v>1535</v>
      </c>
      <c r="C33">
        <v>228.1</v>
      </c>
      <c r="D33">
        <v>16.52</v>
      </c>
      <c r="E33">
        <v>0.73169099999999998</v>
      </c>
      <c r="F33">
        <v>89.97</v>
      </c>
      <c r="G33">
        <v>0</v>
      </c>
      <c r="H33">
        <v>79.08</v>
      </c>
    </row>
    <row r="34" spans="1:8">
      <c r="A34" s="1">
        <v>29</v>
      </c>
      <c r="B34" t="s">
        <v>1538</v>
      </c>
      <c r="C34">
        <v>238.68</v>
      </c>
      <c r="D34">
        <v>16.670000000000002</v>
      </c>
      <c r="E34">
        <v>0.85452799999999995</v>
      </c>
      <c r="F34">
        <v>140.19999999999999</v>
      </c>
      <c r="G34">
        <v>0</v>
      </c>
      <c r="H34">
        <v>89.35</v>
      </c>
    </row>
    <row r="35" spans="1:8">
      <c r="A35" s="1">
        <v>30</v>
      </c>
      <c r="B35" t="s">
        <v>1541</v>
      </c>
      <c r="C35">
        <v>295.33</v>
      </c>
      <c r="D35">
        <v>16.690000000000001</v>
      </c>
      <c r="E35">
        <v>0.693832</v>
      </c>
      <c r="F35">
        <v>99.15</v>
      </c>
      <c r="G35">
        <v>2</v>
      </c>
      <c r="H35">
        <v>76.28</v>
      </c>
    </row>
    <row r="36" spans="1:8">
      <c r="A36" s="1">
        <v>31</v>
      </c>
      <c r="B36" t="s">
        <v>1544</v>
      </c>
      <c r="C36">
        <v>247.6</v>
      </c>
      <c r="D36">
        <v>16.77</v>
      </c>
      <c r="E36">
        <v>0.96684700000000001</v>
      </c>
      <c r="F36">
        <v>201.75</v>
      </c>
      <c r="G36">
        <v>0</v>
      </c>
      <c r="H36">
        <v>73.010000000000005</v>
      </c>
    </row>
    <row r="37" spans="1:8">
      <c r="A37" s="1">
        <v>32</v>
      </c>
      <c r="B37" t="s">
        <v>1547</v>
      </c>
      <c r="C37">
        <v>135.22999999999999</v>
      </c>
      <c r="D37">
        <v>16.23</v>
      </c>
      <c r="E37">
        <v>0.93759599999999998</v>
      </c>
      <c r="F37">
        <v>100.34</v>
      </c>
      <c r="G37">
        <v>2</v>
      </c>
      <c r="H37">
        <v>28.5</v>
      </c>
    </row>
    <row r="38" spans="1:8">
      <c r="A38" s="1">
        <v>33</v>
      </c>
      <c r="B38" t="s">
        <v>1550</v>
      </c>
      <c r="C38">
        <v>356.77</v>
      </c>
      <c r="D38">
        <v>17.100000000000001</v>
      </c>
      <c r="E38">
        <v>0.99913700000000005</v>
      </c>
      <c r="F38">
        <v>346.29</v>
      </c>
      <c r="G38">
        <v>2</v>
      </c>
      <c r="H38">
        <v>104.62</v>
      </c>
    </row>
    <row r="39" spans="1:8">
      <c r="A39" s="1">
        <v>34</v>
      </c>
      <c r="B39" t="s">
        <v>1553</v>
      </c>
      <c r="C39">
        <v>90.2</v>
      </c>
      <c r="D39">
        <v>15.91</v>
      </c>
      <c r="E39">
        <v>0.988622</v>
      </c>
      <c r="F39">
        <v>80.52</v>
      </c>
      <c r="G39">
        <v>0</v>
      </c>
      <c r="H39">
        <v>19.39</v>
      </c>
    </row>
    <row r="40" spans="1:8">
      <c r="A40" s="1">
        <v>35</v>
      </c>
      <c r="B40" t="s">
        <v>1556</v>
      </c>
      <c r="C40">
        <v>242.61</v>
      </c>
      <c r="D40">
        <v>16.68</v>
      </c>
      <c r="E40">
        <v>0.84353999999999996</v>
      </c>
      <c r="F40">
        <v>138.12</v>
      </c>
      <c r="G40">
        <v>0</v>
      </c>
      <c r="H40">
        <v>54.29</v>
      </c>
    </row>
    <row r="41" spans="1:8">
      <c r="A41" s="1">
        <v>36</v>
      </c>
      <c r="B41" t="s">
        <v>1559</v>
      </c>
      <c r="C41">
        <v>332.41</v>
      </c>
      <c r="D41">
        <v>17.04</v>
      </c>
      <c r="E41">
        <v>1</v>
      </c>
      <c r="F41">
        <v>332.2</v>
      </c>
      <c r="G41">
        <v>0</v>
      </c>
      <c r="H41">
        <v>140.55000000000001</v>
      </c>
    </row>
    <row r="42" spans="1:8">
      <c r="A42" s="1">
        <v>37</v>
      </c>
      <c r="B42" t="s">
        <v>1562</v>
      </c>
      <c r="C42">
        <v>243.21</v>
      </c>
      <c r="D42">
        <v>16.68</v>
      </c>
      <c r="E42">
        <v>0.84548999999999996</v>
      </c>
      <c r="F42">
        <v>139.24</v>
      </c>
      <c r="G42">
        <v>0</v>
      </c>
      <c r="H42">
        <v>54.3</v>
      </c>
    </row>
    <row r="43" spans="1:8">
      <c r="A43" s="1">
        <v>38</v>
      </c>
      <c r="B43" t="s">
        <v>1565</v>
      </c>
      <c r="C43">
        <v>173.36</v>
      </c>
      <c r="D43">
        <v>16.46</v>
      </c>
      <c r="E43">
        <v>0.96383399999999997</v>
      </c>
      <c r="F43">
        <v>139.78</v>
      </c>
      <c r="G43">
        <v>0</v>
      </c>
      <c r="H43">
        <v>56.04</v>
      </c>
    </row>
    <row r="44" spans="1:8">
      <c r="A44" s="1">
        <v>39</v>
      </c>
      <c r="B44" t="s">
        <v>1568</v>
      </c>
      <c r="C44">
        <v>341.53</v>
      </c>
      <c r="D44">
        <v>17.059999999999999</v>
      </c>
      <c r="E44">
        <v>0.995008</v>
      </c>
      <c r="F44">
        <v>317.33999999999997</v>
      </c>
      <c r="G44">
        <v>0</v>
      </c>
      <c r="H44">
        <v>105</v>
      </c>
    </row>
    <row r="45" spans="1:8">
      <c r="A45" s="1">
        <v>40</v>
      </c>
      <c r="B45" t="s">
        <v>1571</v>
      </c>
      <c r="C45">
        <v>331.18</v>
      </c>
      <c r="D45">
        <v>16.97</v>
      </c>
      <c r="E45">
        <v>0.87702599999999997</v>
      </c>
      <c r="F45">
        <v>207.17</v>
      </c>
      <c r="G45">
        <v>0</v>
      </c>
      <c r="H45">
        <v>104.56</v>
      </c>
    </row>
    <row r="46" spans="1:8">
      <c r="A46" s="1">
        <v>41</v>
      </c>
      <c r="B46" t="s">
        <v>1574</v>
      </c>
      <c r="C46">
        <v>223.26</v>
      </c>
      <c r="D46">
        <v>16.47</v>
      </c>
      <c r="E46">
        <v>0.71196599999999999</v>
      </c>
      <c r="F46">
        <v>81.25</v>
      </c>
      <c r="G46">
        <v>0</v>
      </c>
      <c r="H46">
        <v>79.13</v>
      </c>
    </row>
    <row r="47" spans="1:8">
      <c r="A47" s="1">
        <v>42</v>
      </c>
      <c r="B47" t="s">
        <v>1577</v>
      </c>
      <c r="C47">
        <v>143.94</v>
      </c>
      <c r="D47">
        <v>16.22</v>
      </c>
      <c r="E47">
        <v>0.83612600000000004</v>
      </c>
      <c r="F47">
        <v>80.22</v>
      </c>
      <c r="G47">
        <v>0</v>
      </c>
      <c r="H47">
        <v>46.72</v>
      </c>
    </row>
    <row r="48" spans="1:8">
      <c r="A48" s="1">
        <v>43</v>
      </c>
      <c r="B48" t="s">
        <v>1580</v>
      </c>
      <c r="C48">
        <v>185.2</v>
      </c>
      <c r="D48">
        <v>16.37</v>
      </c>
      <c r="E48">
        <v>0.757212</v>
      </c>
      <c r="F48">
        <v>80.33</v>
      </c>
      <c r="G48">
        <v>2</v>
      </c>
      <c r="H48">
        <v>45.78</v>
      </c>
    </row>
    <row r="49" spans="1:10">
      <c r="A49" s="1">
        <v>44</v>
      </c>
      <c r="B49" t="s">
        <v>1583</v>
      </c>
      <c r="C49">
        <v>223.26</v>
      </c>
      <c r="D49">
        <v>16.47</v>
      </c>
      <c r="E49">
        <v>0.71196599999999999</v>
      </c>
      <c r="F49">
        <v>81.25</v>
      </c>
      <c r="G49">
        <v>0</v>
      </c>
      <c r="H49">
        <v>79.13</v>
      </c>
    </row>
    <row r="50" spans="1:10">
      <c r="A50" s="1">
        <v>45</v>
      </c>
      <c r="B50" t="s">
        <v>1586</v>
      </c>
      <c r="C50">
        <v>340.8</v>
      </c>
      <c r="D50">
        <v>17.059999999999999</v>
      </c>
      <c r="E50">
        <v>0.99487499999999995</v>
      </c>
      <c r="F50">
        <v>316.33999999999997</v>
      </c>
      <c r="G50">
        <v>2</v>
      </c>
      <c r="H50">
        <v>104.98</v>
      </c>
    </row>
    <row r="51" spans="1:10">
      <c r="A51" s="1">
        <v>46</v>
      </c>
      <c r="B51" t="s">
        <v>1589</v>
      </c>
      <c r="C51">
        <v>348.25</v>
      </c>
      <c r="D51">
        <v>17.010000000000002</v>
      </c>
      <c r="E51">
        <v>0.85816099999999995</v>
      </c>
      <c r="F51">
        <v>206.67</v>
      </c>
      <c r="G51">
        <v>0</v>
      </c>
      <c r="H51">
        <v>103.61</v>
      </c>
      <c r="J51" s="1">
        <v>0</v>
      </c>
    </row>
    <row r="52" spans="1:10">
      <c r="A52" s="1">
        <v>47</v>
      </c>
      <c r="B52" t="s">
        <v>1592</v>
      </c>
      <c r="C52">
        <v>143.94</v>
      </c>
      <c r="D52">
        <v>16.22</v>
      </c>
      <c r="E52">
        <v>0.83612600000000004</v>
      </c>
      <c r="F52">
        <v>80.22</v>
      </c>
      <c r="G52">
        <v>0</v>
      </c>
      <c r="H52">
        <v>46.72</v>
      </c>
    </row>
    <row r="53" spans="1:10">
      <c r="A53" s="1">
        <v>48</v>
      </c>
      <c r="B53" t="s">
        <v>1595</v>
      </c>
      <c r="C53">
        <v>153.6</v>
      </c>
      <c r="D53">
        <v>16.37</v>
      </c>
      <c r="E53">
        <v>0.99999899999999997</v>
      </c>
      <c r="F53">
        <v>153.47999999999999</v>
      </c>
      <c r="G53">
        <v>0</v>
      </c>
      <c r="H53">
        <v>37.909999999999997</v>
      </c>
    </row>
    <row r="54" spans="1:10">
      <c r="A54" s="1">
        <v>49</v>
      </c>
      <c r="B54" t="s">
        <v>1598</v>
      </c>
      <c r="C54">
        <v>364.61</v>
      </c>
      <c r="D54">
        <v>17.12</v>
      </c>
      <c r="E54">
        <v>0.99998600000000004</v>
      </c>
      <c r="F54">
        <v>363.23</v>
      </c>
      <c r="G54">
        <v>0</v>
      </c>
      <c r="H54">
        <v>138.76</v>
      </c>
    </row>
    <row r="55" spans="1:10">
      <c r="A55" s="1">
        <v>50</v>
      </c>
      <c r="B55" t="s">
        <v>1601</v>
      </c>
      <c r="C55">
        <v>277.45999999999998</v>
      </c>
      <c r="D55">
        <v>16.89</v>
      </c>
      <c r="E55">
        <v>0.99834199999999995</v>
      </c>
      <c r="F55">
        <v>266.14999999999998</v>
      </c>
      <c r="G55">
        <v>2</v>
      </c>
      <c r="H55">
        <v>72.400000000000006</v>
      </c>
    </row>
    <row r="56" spans="1:10">
      <c r="B56" s="1" t="s">
        <v>19</v>
      </c>
      <c r="C56" s="1">
        <f>AVERAGE(C6:C55)</f>
        <v>214.57660000000004</v>
      </c>
      <c r="D56" s="1">
        <f t="shared" ref="D56:H56" si="0">AVERAGE(D6:D55)</f>
        <v>16.530799999999996</v>
      </c>
      <c r="E56" s="1">
        <f t="shared" si="0"/>
        <v>0.89637113999999984</v>
      </c>
      <c r="F56" s="1">
        <f t="shared" si="0"/>
        <v>152.16499999999999</v>
      </c>
      <c r="G56" s="1">
        <f t="shared" si="0"/>
        <v>0.72</v>
      </c>
      <c r="H56" s="1">
        <f t="shared" si="0"/>
        <v>65.547200000000004</v>
      </c>
    </row>
    <row r="57" spans="1:10">
      <c r="B57" s="1" t="s">
        <v>20</v>
      </c>
      <c r="C57" s="1">
        <f>MIN(C5:C55)</f>
        <v>90.2</v>
      </c>
      <c r="D57" s="1">
        <f t="shared" ref="D57:H57" si="1">MIN(D5:D55)</f>
        <v>15.91</v>
      </c>
      <c r="E57" s="1">
        <f t="shared" si="1"/>
        <v>0.693832</v>
      </c>
      <c r="F57" s="1">
        <f t="shared" si="1"/>
        <v>80.22</v>
      </c>
      <c r="H57" s="1">
        <f t="shared" si="1"/>
        <v>19.36</v>
      </c>
    </row>
    <row r="58" spans="1:10">
      <c r="B58" s="1" t="s">
        <v>3</v>
      </c>
      <c r="C58" s="1">
        <f>STDEV(C6:C55)</f>
        <v>80.418929734439075</v>
      </c>
      <c r="D58" s="1">
        <f t="shared" ref="D58:E58" si="2">STDEV(D6:D55)</f>
        <v>0.34573105036109486</v>
      </c>
      <c r="E58" s="1">
        <f t="shared" si="2"/>
        <v>0.10003818996335111</v>
      </c>
      <c r="F58" s="1">
        <f>STDEV(F6:F55)</f>
        <v>85.427032839704268</v>
      </c>
      <c r="H58" s="1">
        <f>STDEV(H6:H55)</f>
        <v>32.541330582531984</v>
      </c>
    </row>
    <row r="60" spans="1:10">
      <c r="H60" s="21" t="s">
        <v>1435</v>
      </c>
    </row>
    <row r="61" spans="1:10" ht="14.4" customHeight="1">
      <c r="A61" s="21" t="s">
        <v>7</v>
      </c>
      <c r="B61" s="3" t="s">
        <v>8</v>
      </c>
      <c r="C61" s="21" t="s">
        <v>4</v>
      </c>
      <c r="D61" s="21" t="s">
        <v>322</v>
      </c>
      <c r="E61" s="21" t="s">
        <v>321</v>
      </c>
      <c r="F61" s="21" t="s">
        <v>324</v>
      </c>
      <c r="G61" s="21" t="s">
        <v>323</v>
      </c>
      <c r="H61" s="21" t="s">
        <v>1436</v>
      </c>
    </row>
    <row r="62" spans="1:10">
      <c r="A62" s="1">
        <v>1</v>
      </c>
      <c r="B62" t="s">
        <v>3772</v>
      </c>
      <c r="C62">
        <v>187.38</v>
      </c>
      <c r="D62">
        <v>41.13</v>
      </c>
      <c r="E62">
        <v>0.79827099999999995</v>
      </c>
      <c r="F62">
        <v>90.39</v>
      </c>
      <c r="G62">
        <v>0</v>
      </c>
      <c r="H62">
        <v>54.3</v>
      </c>
    </row>
    <row r="63" spans="1:10">
      <c r="A63" s="1">
        <v>2</v>
      </c>
      <c r="B63" t="s">
        <v>3773</v>
      </c>
      <c r="C63">
        <v>144.53</v>
      </c>
      <c r="D63">
        <v>40.549999999999997</v>
      </c>
      <c r="E63">
        <v>0.78264100000000003</v>
      </c>
      <c r="F63">
        <v>80.91</v>
      </c>
      <c r="G63">
        <v>2</v>
      </c>
      <c r="H63">
        <v>33.61</v>
      </c>
    </row>
    <row r="64" spans="1:10">
      <c r="A64" s="1">
        <v>3</v>
      </c>
      <c r="B64" t="s">
        <v>3774</v>
      </c>
      <c r="C64">
        <v>348.94</v>
      </c>
      <c r="D64">
        <v>42.61</v>
      </c>
      <c r="E64">
        <v>0.91473000000000004</v>
      </c>
      <c r="F64">
        <v>206.28</v>
      </c>
      <c r="G64">
        <v>2</v>
      </c>
      <c r="H64">
        <v>110.84</v>
      </c>
    </row>
    <row r="65" spans="1:8">
      <c r="A65" s="1">
        <v>4</v>
      </c>
      <c r="B65" t="s">
        <v>3775</v>
      </c>
      <c r="C65">
        <v>164.84</v>
      </c>
      <c r="D65">
        <v>41.02</v>
      </c>
      <c r="E65">
        <v>0.95110600000000001</v>
      </c>
      <c r="F65">
        <v>99.3</v>
      </c>
      <c r="G65">
        <v>8</v>
      </c>
      <c r="H65">
        <v>41.95</v>
      </c>
    </row>
    <row r="66" spans="1:8">
      <c r="A66" s="1">
        <v>5</v>
      </c>
      <c r="B66" t="s">
        <v>3776</v>
      </c>
      <c r="C66">
        <v>147.13999999999999</v>
      </c>
      <c r="D66">
        <v>40.67</v>
      </c>
      <c r="E66">
        <v>0.84860899999999995</v>
      </c>
      <c r="F66">
        <v>91.62</v>
      </c>
      <c r="G66">
        <v>2</v>
      </c>
      <c r="H66">
        <v>37.51</v>
      </c>
    </row>
    <row r="67" spans="1:8">
      <c r="A67" s="1">
        <v>6</v>
      </c>
      <c r="B67" t="s">
        <v>3777</v>
      </c>
      <c r="C67">
        <v>227.18</v>
      </c>
      <c r="D67">
        <v>41.41</v>
      </c>
      <c r="E67">
        <v>0.73011899999999996</v>
      </c>
      <c r="F67">
        <v>81.14</v>
      </c>
      <c r="G67">
        <v>8</v>
      </c>
      <c r="H67">
        <v>67.650000000000006</v>
      </c>
    </row>
    <row r="68" spans="1:8">
      <c r="A68" s="1">
        <v>7</v>
      </c>
      <c r="B68" t="s">
        <v>3778</v>
      </c>
      <c r="C68">
        <v>129.93</v>
      </c>
      <c r="D68">
        <v>40.28</v>
      </c>
      <c r="E68">
        <v>0.72615099999999999</v>
      </c>
      <c r="F68">
        <v>79.260000000000005</v>
      </c>
      <c r="G68">
        <v>2</v>
      </c>
      <c r="H68">
        <v>30.03</v>
      </c>
    </row>
    <row r="69" spans="1:8">
      <c r="A69" s="1">
        <v>8</v>
      </c>
      <c r="B69" t="s">
        <v>3779</v>
      </c>
      <c r="C69">
        <v>250.06</v>
      </c>
      <c r="D69">
        <v>41.63</v>
      </c>
      <c r="E69">
        <v>0.78817400000000004</v>
      </c>
      <c r="F69">
        <v>80.91</v>
      </c>
      <c r="G69">
        <v>8</v>
      </c>
      <c r="H69">
        <v>67.44</v>
      </c>
    </row>
    <row r="70" spans="1:8">
      <c r="A70" s="1">
        <v>9</v>
      </c>
      <c r="B70" t="s">
        <v>3780</v>
      </c>
      <c r="C70">
        <v>148.4</v>
      </c>
      <c r="D70">
        <v>40.51</v>
      </c>
      <c r="E70">
        <v>0.72370599999999996</v>
      </c>
      <c r="F70">
        <v>80.989999999999995</v>
      </c>
      <c r="G70">
        <v>2</v>
      </c>
      <c r="H70">
        <v>33.42</v>
      </c>
    </row>
    <row r="71" spans="1:8">
      <c r="A71" s="1">
        <v>10</v>
      </c>
      <c r="B71" t="s">
        <v>3781</v>
      </c>
      <c r="C71">
        <v>162.47</v>
      </c>
      <c r="D71">
        <v>40.71</v>
      </c>
      <c r="E71">
        <v>0.72888200000000003</v>
      </c>
      <c r="F71">
        <v>89.09</v>
      </c>
      <c r="G71">
        <v>4</v>
      </c>
      <c r="H71">
        <v>33.19</v>
      </c>
    </row>
    <row r="72" spans="1:8">
      <c r="A72" s="1">
        <v>11</v>
      </c>
      <c r="B72" t="s">
        <v>3782</v>
      </c>
      <c r="C72">
        <v>165.03</v>
      </c>
      <c r="D72">
        <v>40.9</v>
      </c>
      <c r="E72">
        <v>0.84508399999999995</v>
      </c>
      <c r="F72">
        <v>90.47</v>
      </c>
      <c r="G72">
        <v>6</v>
      </c>
      <c r="H72">
        <v>41.05</v>
      </c>
    </row>
    <row r="73" spans="1:8">
      <c r="A73" s="1">
        <v>12</v>
      </c>
      <c r="B73" t="s">
        <v>3783</v>
      </c>
      <c r="C73">
        <v>199.62</v>
      </c>
      <c r="D73">
        <v>41.17</v>
      </c>
      <c r="E73">
        <v>0.77060899999999999</v>
      </c>
      <c r="F73">
        <v>90.85</v>
      </c>
      <c r="G73">
        <v>4</v>
      </c>
      <c r="H73">
        <v>57.46</v>
      </c>
    </row>
    <row r="74" spans="1:8">
      <c r="A74" s="1">
        <v>13</v>
      </c>
      <c r="B74" t="s">
        <v>3784</v>
      </c>
      <c r="C74">
        <v>174.04</v>
      </c>
      <c r="D74">
        <v>41.01</v>
      </c>
      <c r="E74">
        <v>0.85241800000000001</v>
      </c>
      <c r="F74">
        <v>80.099999999999994</v>
      </c>
      <c r="G74">
        <v>4</v>
      </c>
      <c r="H74">
        <v>48.47</v>
      </c>
    </row>
    <row r="75" spans="1:8">
      <c r="A75" s="1">
        <v>14</v>
      </c>
      <c r="B75" t="s">
        <v>3785</v>
      </c>
      <c r="C75">
        <v>165.7</v>
      </c>
      <c r="D75">
        <v>40.85</v>
      </c>
      <c r="E75">
        <v>0.78243799999999997</v>
      </c>
      <c r="F75">
        <v>90.32</v>
      </c>
      <c r="G75">
        <v>8</v>
      </c>
      <c r="H75">
        <v>51</v>
      </c>
    </row>
    <row r="76" spans="1:8">
      <c r="A76" s="1">
        <v>15</v>
      </c>
      <c r="B76" t="s">
        <v>3786</v>
      </c>
      <c r="C76">
        <v>114.8</v>
      </c>
      <c r="D76">
        <v>40.26</v>
      </c>
      <c r="E76">
        <v>0.95939200000000002</v>
      </c>
      <c r="F76">
        <v>90.2</v>
      </c>
      <c r="G76">
        <v>2</v>
      </c>
      <c r="H76">
        <v>32.79</v>
      </c>
    </row>
    <row r="77" spans="1:8">
      <c r="A77" s="1">
        <v>16</v>
      </c>
      <c r="B77" t="s">
        <v>3787</v>
      </c>
      <c r="C77">
        <v>228.99</v>
      </c>
      <c r="D77">
        <v>41.09</v>
      </c>
      <c r="E77">
        <v>0.65602499999999997</v>
      </c>
      <c r="F77">
        <v>61.36</v>
      </c>
      <c r="G77">
        <v>6</v>
      </c>
      <c r="H77">
        <v>53.89</v>
      </c>
    </row>
    <row r="78" spans="1:8">
      <c r="A78" s="1">
        <v>17</v>
      </c>
      <c r="B78" t="s">
        <v>3788</v>
      </c>
      <c r="C78">
        <v>220.72</v>
      </c>
      <c r="D78">
        <v>41.33</v>
      </c>
      <c r="E78">
        <v>0.710372</v>
      </c>
      <c r="F78">
        <v>80.91</v>
      </c>
      <c r="G78">
        <v>2</v>
      </c>
      <c r="H78">
        <v>60.39</v>
      </c>
    </row>
    <row r="79" spans="1:8">
      <c r="A79" s="1">
        <v>18</v>
      </c>
      <c r="B79" t="s">
        <v>3789</v>
      </c>
      <c r="C79">
        <v>168.24</v>
      </c>
      <c r="D79">
        <v>40.79</v>
      </c>
      <c r="E79">
        <v>0.72825399999999996</v>
      </c>
      <c r="F79">
        <v>82.06</v>
      </c>
      <c r="G79">
        <v>8</v>
      </c>
      <c r="H79">
        <v>54.59</v>
      </c>
    </row>
    <row r="80" spans="1:8">
      <c r="A80" s="1">
        <v>19</v>
      </c>
      <c r="B80" t="s">
        <v>3790</v>
      </c>
      <c r="C80">
        <v>256.14</v>
      </c>
      <c r="D80">
        <v>41.94</v>
      </c>
      <c r="E80">
        <v>0.91774500000000003</v>
      </c>
      <c r="F80">
        <v>153.02000000000001</v>
      </c>
      <c r="G80">
        <v>0</v>
      </c>
      <c r="H80">
        <v>71.55</v>
      </c>
    </row>
    <row r="81" spans="1:8">
      <c r="A81" s="1">
        <v>20</v>
      </c>
      <c r="B81" t="s">
        <v>3791</v>
      </c>
      <c r="C81">
        <v>260.18</v>
      </c>
      <c r="D81">
        <v>42.04</v>
      </c>
      <c r="E81">
        <v>0.96563100000000002</v>
      </c>
      <c r="F81">
        <v>206.13</v>
      </c>
      <c r="G81">
        <v>4</v>
      </c>
      <c r="H81">
        <v>86.54</v>
      </c>
    </row>
    <row r="82" spans="1:8">
      <c r="A82" s="1">
        <v>21</v>
      </c>
      <c r="B82" t="s">
        <v>3792</v>
      </c>
      <c r="C82">
        <v>261.88</v>
      </c>
      <c r="D82">
        <v>41.91</v>
      </c>
      <c r="E82">
        <v>0.89930900000000003</v>
      </c>
      <c r="F82">
        <v>100.15</v>
      </c>
      <c r="G82">
        <v>0</v>
      </c>
      <c r="H82">
        <v>74.900000000000006</v>
      </c>
    </row>
    <row r="83" spans="1:8">
      <c r="A83" s="1">
        <v>22</v>
      </c>
      <c r="B83" t="s">
        <v>3793</v>
      </c>
      <c r="C83">
        <v>282.06</v>
      </c>
      <c r="D83">
        <v>42.03</v>
      </c>
      <c r="E83">
        <v>0.83014900000000003</v>
      </c>
      <c r="F83">
        <v>139.88999999999999</v>
      </c>
      <c r="G83">
        <v>6</v>
      </c>
      <c r="H83">
        <v>91.5</v>
      </c>
    </row>
    <row r="84" spans="1:8">
      <c r="A84" s="1">
        <v>23</v>
      </c>
      <c r="B84" t="s">
        <v>3794</v>
      </c>
      <c r="C84">
        <v>199.03</v>
      </c>
      <c r="D84">
        <v>41.11</v>
      </c>
      <c r="E84">
        <v>0.75988500000000003</v>
      </c>
      <c r="F84">
        <v>80.290000000000006</v>
      </c>
      <c r="G84">
        <v>0</v>
      </c>
      <c r="H84">
        <v>57.44</v>
      </c>
    </row>
    <row r="85" spans="1:8">
      <c r="A85" s="1">
        <v>24</v>
      </c>
      <c r="B85" t="s">
        <v>3795</v>
      </c>
      <c r="C85">
        <v>159.47999999999999</v>
      </c>
      <c r="D85">
        <v>40.9</v>
      </c>
      <c r="E85">
        <v>0.89069200000000004</v>
      </c>
      <c r="F85">
        <v>97.96</v>
      </c>
      <c r="G85">
        <v>6</v>
      </c>
      <c r="H85">
        <v>41.26</v>
      </c>
    </row>
    <row r="86" spans="1:8">
      <c r="A86" s="1">
        <v>25</v>
      </c>
      <c r="B86" t="s">
        <v>3796</v>
      </c>
      <c r="C86">
        <v>133.53</v>
      </c>
      <c r="D86">
        <v>40.54</v>
      </c>
      <c r="E86">
        <v>0.92916100000000001</v>
      </c>
      <c r="F86">
        <v>78.84</v>
      </c>
      <c r="G86">
        <v>6</v>
      </c>
      <c r="H86">
        <v>34.33</v>
      </c>
    </row>
    <row r="87" spans="1:8">
      <c r="A87" s="1">
        <v>26</v>
      </c>
      <c r="B87" t="s">
        <v>3797</v>
      </c>
      <c r="C87">
        <v>151.41999999999999</v>
      </c>
      <c r="D87">
        <v>40.81</v>
      </c>
      <c r="E87">
        <v>0.93410499999999996</v>
      </c>
      <c r="F87">
        <v>81.14</v>
      </c>
      <c r="G87">
        <v>6</v>
      </c>
      <c r="H87">
        <v>48.18</v>
      </c>
    </row>
    <row r="88" spans="1:8">
      <c r="A88" s="1">
        <v>27</v>
      </c>
      <c r="B88" t="s">
        <v>3798</v>
      </c>
      <c r="C88">
        <v>144.54</v>
      </c>
      <c r="D88">
        <v>39.93</v>
      </c>
      <c r="E88">
        <v>0.59576600000000002</v>
      </c>
      <c r="F88">
        <v>19.32</v>
      </c>
      <c r="G88">
        <v>8</v>
      </c>
      <c r="H88">
        <v>46.9</v>
      </c>
    </row>
    <row r="89" spans="1:8">
      <c r="A89" s="1">
        <v>28</v>
      </c>
      <c r="B89" t="s">
        <v>3799</v>
      </c>
      <c r="C89">
        <v>252.24</v>
      </c>
      <c r="D89">
        <v>41.46</v>
      </c>
      <c r="E89">
        <v>0.72021900000000005</v>
      </c>
      <c r="F89">
        <v>78.989999999999995</v>
      </c>
      <c r="G89">
        <v>6</v>
      </c>
      <c r="H89">
        <v>62.96</v>
      </c>
    </row>
    <row r="90" spans="1:8">
      <c r="A90" s="1">
        <v>29</v>
      </c>
      <c r="B90" t="s">
        <v>3800</v>
      </c>
      <c r="C90">
        <v>160.02000000000001</v>
      </c>
      <c r="D90">
        <v>40.479999999999997</v>
      </c>
      <c r="E90">
        <v>0.653227</v>
      </c>
      <c r="F90">
        <v>63.36</v>
      </c>
      <c r="G90">
        <v>2</v>
      </c>
      <c r="H90">
        <v>51.79</v>
      </c>
    </row>
    <row r="91" spans="1:8">
      <c r="A91" s="1">
        <v>30</v>
      </c>
      <c r="B91" t="s">
        <v>3801</v>
      </c>
      <c r="C91">
        <v>211.34</v>
      </c>
      <c r="D91">
        <v>41.48</v>
      </c>
      <c r="E91">
        <v>0.86651900000000004</v>
      </c>
      <c r="F91">
        <v>139.81</v>
      </c>
      <c r="G91">
        <v>6</v>
      </c>
      <c r="H91">
        <v>62.53</v>
      </c>
    </row>
    <row r="92" spans="1:8">
      <c r="A92" s="1">
        <v>31</v>
      </c>
      <c r="B92" t="s">
        <v>3802</v>
      </c>
      <c r="C92">
        <v>208.13</v>
      </c>
      <c r="D92">
        <v>41.38</v>
      </c>
      <c r="E92">
        <v>0.843642</v>
      </c>
      <c r="F92">
        <v>90.93</v>
      </c>
      <c r="G92">
        <v>4</v>
      </c>
      <c r="H92">
        <v>68.72</v>
      </c>
    </row>
    <row r="93" spans="1:8">
      <c r="A93" s="1">
        <v>32</v>
      </c>
      <c r="B93" t="s">
        <v>3803</v>
      </c>
      <c r="C93">
        <v>155.38999999999999</v>
      </c>
      <c r="D93">
        <v>40.76</v>
      </c>
      <c r="E93">
        <v>0.83645800000000003</v>
      </c>
      <c r="F93">
        <v>99.3</v>
      </c>
      <c r="G93">
        <v>8</v>
      </c>
      <c r="H93">
        <v>43.88</v>
      </c>
    </row>
    <row r="94" spans="1:8">
      <c r="A94" s="1">
        <v>33</v>
      </c>
      <c r="B94" t="s">
        <v>3804</v>
      </c>
      <c r="C94">
        <v>119.27</v>
      </c>
      <c r="D94">
        <v>40.270000000000003</v>
      </c>
      <c r="E94">
        <v>0.90674900000000003</v>
      </c>
      <c r="F94">
        <v>80.099999999999994</v>
      </c>
      <c r="G94">
        <v>2</v>
      </c>
      <c r="H94">
        <v>30.69</v>
      </c>
    </row>
    <row r="95" spans="1:8">
      <c r="A95" s="1">
        <v>34</v>
      </c>
      <c r="B95" t="s">
        <v>3805</v>
      </c>
      <c r="C95">
        <v>126</v>
      </c>
      <c r="D95">
        <v>40.4</v>
      </c>
      <c r="E95">
        <v>0.91237800000000002</v>
      </c>
      <c r="F95">
        <v>81.06</v>
      </c>
      <c r="G95">
        <v>4</v>
      </c>
      <c r="H95">
        <v>30.56</v>
      </c>
    </row>
    <row r="96" spans="1:8">
      <c r="A96" s="1">
        <v>35</v>
      </c>
      <c r="B96" t="s">
        <v>3806</v>
      </c>
      <c r="C96">
        <v>135.54</v>
      </c>
      <c r="D96">
        <v>40.53</v>
      </c>
      <c r="E96">
        <v>0.89522599999999997</v>
      </c>
      <c r="F96">
        <v>81.180000000000007</v>
      </c>
      <c r="G96">
        <v>8</v>
      </c>
      <c r="H96">
        <v>38.130000000000003</v>
      </c>
    </row>
    <row r="97" spans="1:8">
      <c r="A97" s="1">
        <v>36</v>
      </c>
      <c r="B97" t="s">
        <v>3807</v>
      </c>
      <c r="C97">
        <v>210.36</v>
      </c>
      <c r="D97">
        <v>41.53</v>
      </c>
      <c r="E97">
        <v>0.92772500000000002</v>
      </c>
      <c r="F97">
        <v>138.05000000000001</v>
      </c>
      <c r="G97">
        <v>4</v>
      </c>
      <c r="H97">
        <v>73.319999999999993</v>
      </c>
    </row>
    <row r="98" spans="1:8">
      <c r="A98" s="1">
        <v>37</v>
      </c>
      <c r="B98" t="s">
        <v>3808</v>
      </c>
      <c r="C98">
        <v>145.47</v>
      </c>
      <c r="D98">
        <v>40.630000000000003</v>
      </c>
      <c r="E98">
        <v>0.83473699999999995</v>
      </c>
      <c r="F98">
        <v>81.45</v>
      </c>
      <c r="G98">
        <v>6</v>
      </c>
      <c r="H98">
        <v>37.65</v>
      </c>
    </row>
    <row r="99" spans="1:8">
      <c r="A99" s="1">
        <v>38</v>
      </c>
      <c r="B99" t="s">
        <v>3809</v>
      </c>
      <c r="C99">
        <v>104.75</v>
      </c>
      <c r="D99">
        <v>40.049999999999997</v>
      </c>
      <c r="E99">
        <v>0.94616900000000004</v>
      </c>
      <c r="F99">
        <v>81.290000000000006</v>
      </c>
      <c r="G99">
        <v>4</v>
      </c>
      <c r="H99">
        <v>23.14</v>
      </c>
    </row>
    <row r="100" spans="1:8">
      <c r="A100" s="1">
        <v>39</v>
      </c>
      <c r="B100" t="s">
        <v>3810</v>
      </c>
      <c r="C100">
        <v>209.78</v>
      </c>
      <c r="D100">
        <v>41.45</v>
      </c>
      <c r="E100">
        <v>0.86214000000000002</v>
      </c>
      <c r="F100">
        <v>137.88999999999999</v>
      </c>
      <c r="G100">
        <v>0</v>
      </c>
      <c r="H100">
        <v>51.67</v>
      </c>
    </row>
    <row r="101" spans="1:8">
      <c r="A101" s="1">
        <v>40</v>
      </c>
      <c r="B101" t="s">
        <v>3811</v>
      </c>
      <c r="C101">
        <v>139.57</v>
      </c>
      <c r="D101">
        <v>40.65</v>
      </c>
      <c r="E101">
        <v>0.93092299999999994</v>
      </c>
      <c r="F101">
        <v>92.89</v>
      </c>
      <c r="G101">
        <v>4</v>
      </c>
      <c r="H101">
        <v>39.950000000000003</v>
      </c>
    </row>
    <row r="102" spans="1:8">
      <c r="A102" s="1">
        <v>41</v>
      </c>
      <c r="B102" t="s">
        <v>3812</v>
      </c>
      <c r="C102">
        <v>166.9</v>
      </c>
      <c r="D102">
        <v>41.04</v>
      </c>
      <c r="E102">
        <v>0.95043299999999997</v>
      </c>
      <c r="F102">
        <v>99.19</v>
      </c>
      <c r="G102">
        <v>2</v>
      </c>
      <c r="H102">
        <v>41.2</v>
      </c>
    </row>
    <row r="103" spans="1:8">
      <c r="A103" s="1">
        <v>42</v>
      </c>
      <c r="B103" t="s">
        <v>3813</v>
      </c>
      <c r="C103">
        <v>164.51</v>
      </c>
      <c r="D103">
        <v>40.71</v>
      </c>
      <c r="E103">
        <v>0.70864199999999999</v>
      </c>
      <c r="F103">
        <v>81.02</v>
      </c>
      <c r="G103">
        <v>8</v>
      </c>
      <c r="H103">
        <v>50.67</v>
      </c>
    </row>
    <row r="104" spans="1:8">
      <c r="A104" s="1">
        <v>43</v>
      </c>
      <c r="B104" t="s">
        <v>3814</v>
      </c>
      <c r="C104">
        <v>210.51</v>
      </c>
      <c r="D104">
        <v>41.51</v>
      </c>
      <c r="E104">
        <v>0.89561100000000005</v>
      </c>
      <c r="F104">
        <v>139.97</v>
      </c>
      <c r="G104">
        <v>2</v>
      </c>
      <c r="H104">
        <v>51.51</v>
      </c>
    </row>
    <row r="105" spans="1:8">
      <c r="A105" s="1">
        <v>44</v>
      </c>
      <c r="B105" t="s">
        <v>3815</v>
      </c>
      <c r="C105">
        <v>148.65</v>
      </c>
      <c r="D105">
        <v>40.700000000000003</v>
      </c>
      <c r="E105">
        <v>0.85192500000000004</v>
      </c>
      <c r="F105">
        <v>98.88</v>
      </c>
      <c r="G105">
        <v>8</v>
      </c>
      <c r="H105">
        <v>37.75</v>
      </c>
    </row>
    <row r="106" spans="1:8">
      <c r="A106" s="1">
        <v>45</v>
      </c>
      <c r="B106" t="s">
        <v>3816</v>
      </c>
      <c r="C106">
        <v>154.01</v>
      </c>
      <c r="D106">
        <v>40.880000000000003</v>
      </c>
      <c r="E106">
        <v>0.94924799999999998</v>
      </c>
      <c r="F106">
        <v>99.53</v>
      </c>
      <c r="G106">
        <v>8</v>
      </c>
      <c r="H106">
        <v>41.38</v>
      </c>
    </row>
    <row r="107" spans="1:8">
      <c r="A107" s="1">
        <v>46</v>
      </c>
      <c r="B107" t="s">
        <v>3817</v>
      </c>
      <c r="C107">
        <v>208.34</v>
      </c>
      <c r="D107">
        <v>39.65</v>
      </c>
      <c r="E107">
        <v>0.54057200000000005</v>
      </c>
      <c r="F107">
        <v>2.27</v>
      </c>
      <c r="G107">
        <v>0</v>
      </c>
      <c r="H107">
        <v>44.58</v>
      </c>
    </row>
    <row r="108" spans="1:8">
      <c r="A108" s="1">
        <v>47</v>
      </c>
      <c r="B108" t="s">
        <v>3818</v>
      </c>
      <c r="C108">
        <v>190.58</v>
      </c>
      <c r="D108">
        <v>40.85</v>
      </c>
      <c r="E108">
        <v>0.60679499999999997</v>
      </c>
      <c r="F108">
        <v>87.55</v>
      </c>
      <c r="G108">
        <v>6</v>
      </c>
      <c r="H108">
        <v>49.04</v>
      </c>
    </row>
    <row r="109" spans="1:8">
      <c r="A109" s="1">
        <v>48</v>
      </c>
      <c r="B109" t="s">
        <v>3819</v>
      </c>
      <c r="C109">
        <v>204.93</v>
      </c>
      <c r="D109">
        <v>41.46</v>
      </c>
      <c r="E109">
        <v>0.91406900000000002</v>
      </c>
      <c r="F109">
        <v>139.62</v>
      </c>
      <c r="G109">
        <v>0</v>
      </c>
      <c r="H109">
        <v>58.98</v>
      </c>
    </row>
    <row r="110" spans="1:8">
      <c r="A110" s="1">
        <v>49</v>
      </c>
      <c r="B110" t="s">
        <v>3820</v>
      </c>
      <c r="C110">
        <v>159.47999999999999</v>
      </c>
      <c r="D110">
        <v>40.46</v>
      </c>
      <c r="E110">
        <v>0.65543399999999996</v>
      </c>
      <c r="F110">
        <v>57.95</v>
      </c>
      <c r="G110">
        <v>8</v>
      </c>
      <c r="H110">
        <v>55.72</v>
      </c>
    </row>
    <row r="111" spans="1:8">
      <c r="A111" s="1">
        <v>50</v>
      </c>
      <c r="B111" t="s">
        <v>3821</v>
      </c>
      <c r="C111">
        <v>244.48</v>
      </c>
      <c r="D111">
        <v>41.74</v>
      </c>
      <c r="E111">
        <v>0.86845799999999995</v>
      </c>
      <c r="F111">
        <v>102.3</v>
      </c>
      <c r="G111">
        <v>0</v>
      </c>
      <c r="H111">
        <v>99.53</v>
      </c>
    </row>
    <row r="112" spans="1:8">
      <c r="B112" s="1" t="s">
        <v>19</v>
      </c>
      <c r="C112" s="1">
        <f>AVERAGE(C62:C111)</f>
        <v>184.53039999999999</v>
      </c>
      <c r="D112" s="1">
        <f t="shared" ref="D112:H112" si="3">AVERAGE(D62:D111)</f>
        <v>40.984000000000016</v>
      </c>
      <c r="E112" s="1">
        <f t="shared" si="3"/>
        <v>0.8219344599999997</v>
      </c>
      <c r="F112" s="1">
        <f t="shared" si="3"/>
        <v>95.149599999999992</v>
      </c>
      <c r="G112" s="1">
        <f t="shared" si="3"/>
        <v>4.28</v>
      </c>
      <c r="H112" s="1">
        <f t="shared" si="3"/>
        <v>52.150600000000011</v>
      </c>
    </row>
    <row r="113" spans="1:8">
      <c r="B113" s="1" t="s">
        <v>20</v>
      </c>
      <c r="C113" s="1">
        <f>MIN(C61:C111)</f>
        <v>104.75</v>
      </c>
      <c r="D113" s="1">
        <f t="shared" ref="D113:F113" si="4">MIN(D61:D111)</f>
        <v>39.65</v>
      </c>
      <c r="E113" s="1">
        <f t="shared" si="4"/>
        <v>0.54057200000000005</v>
      </c>
      <c r="F113" s="1">
        <f t="shared" si="4"/>
        <v>2.27</v>
      </c>
      <c r="H113" s="1">
        <f t="shared" ref="H113" si="5">MIN(H61:H111)</f>
        <v>23.14</v>
      </c>
    </row>
    <row r="114" spans="1:8">
      <c r="B114" s="1" t="s">
        <v>3</v>
      </c>
      <c r="C114" s="1">
        <f>STDEV(C62:C111)</f>
        <v>49.638681590477653</v>
      </c>
      <c r="D114" s="1">
        <f t="shared" ref="D114:E114" si="6">STDEV(D62:D111)</f>
        <v>0.5954624339141884</v>
      </c>
      <c r="E114" s="1">
        <f t="shared" si="6"/>
        <v>0.10845625125070536</v>
      </c>
      <c r="F114" s="1">
        <f>STDEV(F62:F111)</f>
        <v>35.509747093048254</v>
      </c>
      <c r="H114" s="1">
        <f>STDEV(H62:H111)</f>
        <v>18.456987660780491</v>
      </c>
    </row>
    <row r="116" spans="1:8">
      <c r="H116" s="21" t="s">
        <v>1435</v>
      </c>
    </row>
    <row r="117" spans="1:8" ht="14.4" customHeight="1">
      <c r="A117" s="21" t="s">
        <v>7</v>
      </c>
      <c r="B117" s="3" t="s">
        <v>1</v>
      </c>
      <c r="C117" s="21" t="s">
        <v>4</v>
      </c>
      <c r="D117" s="21" t="s">
        <v>322</v>
      </c>
      <c r="E117" s="21" t="s">
        <v>321</v>
      </c>
      <c r="F117" s="21" t="s">
        <v>324</v>
      </c>
      <c r="G117" s="21" t="s">
        <v>323</v>
      </c>
      <c r="H117" s="21" t="s">
        <v>1436</v>
      </c>
    </row>
    <row r="118" spans="1:8">
      <c r="A118" s="1">
        <v>1</v>
      </c>
      <c r="B118" t="s">
        <v>1854</v>
      </c>
      <c r="C118">
        <v>183.99</v>
      </c>
      <c r="D118">
        <v>81.540000000000006</v>
      </c>
      <c r="E118">
        <v>0.71742499999999998</v>
      </c>
      <c r="F118">
        <v>38.44</v>
      </c>
      <c r="G118">
        <v>6</v>
      </c>
      <c r="H118">
        <v>48.6</v>
      </c>
    </row>
    <row r="119" spans="1:8">
      <c r="A119" s="1">
        <v>2</v>
      </c>
      <c r="B119" t="s">
        <v>1855</v>
      </c>
      <c r="C119">
        <v>137.1</v>
      </c>
      <c r="D119">
        <v>80.91</v>
      </c>
      <c r="E119">
        <v>0.78207300000000002</v>
      </c>
      <c r="F119">
        <v>68.849999999999994</v>
      </c>
      <c r="G119">
        <v>18</v>
      </c>
      <c r="H119">
        <v>39.97</v>
      </c>
    </row>
    <row r="120" spans="1:8">
      <c r="A120" s="1">
        <v>3</v>
      </c>
      <c r="B120" t="s">
        <v>1856</v>
      </c>
      <c r="C120">
        <v>162.35</v>
      </c>
      <c r="D120">
        <v>81.849999999999994</v>
      </c>
      <c r="E120">
        <v>0.89393199999999995</v>
      </c>
      <c r="F120">
        <v>89.86</v>
      </c>
      <c r="G120">
        <v>0</v>
      </c>
      <c r="H120">
        <v>44.24</v>
      </c>
    </row>
    <row r="121" spans="1:8">
      <c r="A121" s="1">
        <v>4</v>
      </c>
      <c r="B121" t="s">
        <v>1857</v>
      </c>
      <c r="C121">
        <v>118.94</v>
      </c>
      <c r="D121">
        <v>79.900000000000006</v>
      </c>
      <c r="E121">
        <v>0.62403699999999995</v>
      </c>
      <c r="F121">
        <v>51.57</v>
      </c>
      <c r="G121">
        <v>12</v>
      </c>
      <c r="H121">
        <v>39.53</v>
      </c>
    </row>
    <row r="122" spans="1:8">
      <c r="A122" s="1">
        <v>5</v>
      </c>
      <c r="B122" t="s">
        <v>1858</v>
      </c>
      <c r="C122">
        <v>169.07</v>
      </c>
      <c r="D122">
        <v>81.180000000000007</v>
      </c>
      <c r="E122">
        <v>0.82583600000000001</v>
      </c>
      <c r="F122">
        <v>9.1</v>
      </c>
      <c r="G122">
        <v>14</v>
      </c>
      <c r="H122">
        <v>49.77</v>
      </c>
    </row>
    <row r="123" spans="1:8">
      <c r="A123" s="1">
        <v>6</v>
      </c>
      <c r="B123" t="s">
        <v>1859</v>
      </c>
      <c r="C123">
        <v>188.54</v>
      </c>
      <c r="D123">
        <v>81.84</v>
      </c>
      <c r="E123">
        <v>0.676423</v>
      </c>
      <c r="F123">
        <v>80.33</v>
      </c>
      <c r="G123">
        <v>10</v>
      </c>
      <c r="H123">
        <v>53.23</v>
      </c>
    </row>
    <row r="124" spans="1:8">
      <c r="A124" s="1">
        <v>7</v>
      </c>
      <c r="B124" t="s">
        <v>1860</v>
      </c>
      <c r="C124">
        <v>149.37</v>
      </c>
      <c r="D124">
        <v>81.11</v>
      </c>
      <c r="E124">
        <v>0.73490999999999995</v>
      </c>
      <c r="F124">
        <v>74.5</v>
      </c>
      <c r="G124">
        <v>16</v>
      </c>
      <c r="H124">
        <v>50.61</v>
      </c>
    </row>
    <row r="125" spans="1:8">
      <c r="A125" s="1">
        <v>8</v>
      </c>
      <c r="B125" t="s">
        <v>1861</v>
      </c>
      <c r="C125">
        <v>109.05</v>
      </c>
      <c r="D125">
        <v>80.13</v>
      </c>
      <c r="E125">
        <v>0.88102999999999998</v>
      </c>
      <c r="F125">
        <v>67.2</v>
      </c>
      <c r="G125">
        <v>6</v>
      </c>
      <c r="H125">
        <v>32.61</v>
      </c>
    </row>
    <row r="126" spans="1:8">
      <c r="A126" s="1">
        <v>9</v>
      </c>
      <c r="B126" t="s">
        <v>1862</v>
      </c>
      <c r="C126">
        <v>148.69999999999999</v>
      </c>
      <c r="D126">
        <v>81.53</v>
      </c>
      <c r="E126">
        <v>0.92715000000000003</v>
      </c>
      <c r="F126">
        <v>81.41</v>
      </c>
      <c r="G126">
        <v>2</v>
      </c>
      <c r="H126">
        <v>42.87</v>
      </c>
    </row>
    <row r="127" spans="1:8">
      <c r="A127" s="1">
        <v>10</v>
      </c>
      <c r="B127" t="s">
        <v>1863</v>
      </c>
      <c r="C127">
        <v>132.56</v>
      </c>
      <c r="D127">
        <v>80.569999999999993</v>
      </c>
      <c r="E127">
        <v>0.71221900000000005</v>
      </c>
      <c r="F127">
        <v>55.91</v>
      </c>
      <c r="G127">
        <v>12</v>
      </c>
      <c r="H127">
        <v>30.86</v>
      </c>
    </row>
    <row r="128" spans="1:8">
      <c r="A128" s="1">
        <v>11</v>
      </c>
      <c r="B128" t="s">
        <v>1864</v>
      </c>
      <c r="C128">
        <v>170.07</v>
      </c>
      <c r="D128">
        <v>81.73</v>
      </c>
      <c r="E128">
        <v>0.78505599999999998</v>
      </c>
      <c r="F128">
        <v>80.760000000000005</v>
      </c>
      <c r="G128">
        <v>6</v>
      </c>
      <c r="H128">
        <v>51.38</v>
      </c>
    </row>
    <row r="129" spans="1:8">
      <c r="A129" s="1">
        <v>12</v>
      </c>
      <c r="B129" t="s">
        <v>1865</v>
      </c>
      <c r="C129">
        <v>171.26</v>
      </c>
      <c r="D129">
        <v>81.86</v>
      </c>
      <c r="E129">
        <v>0.83522200000000002</v>
      </c>
      <c r="F129">
        <v>86.9</v>
      </c>
      <c r="G129">
        <v>12</v>
      </c>
      <c r="H129">
        <v>44.52</v>
      </c>
    </row>
    <row r="130" spans="1:8">
      <c r="A130" s="1">
        <v>13</v>
      </c>
      <c r="B130" t="s">
        <v>1866</v>
      </c>
      <c r="C130">
        <v>125.94</v>
      </c>
      <c r="D130">
        <v>80.09</v>
      </c>
      <c r="E130">
        <v>0.66153300000000004</v>
      </c>
      <c r="F130">
        <v>45.85</v>
      </c>
      <c r="G130">
        <v>16</v>
      </c>
      <c r="H130">
        <v>33.049999999999997</v>
      </c>
    </row>
    <row r="131" spans="1:8">
      <c r="A131" s="1">
        <v>14</v>
      </c>
      <c r="B131" t="s">
        <v>1867</v>
      </c>
      <c r="C131">
        <v>149.30000000000001</v>
      </c>
      <c r="D131">
        <v>81.31</v>
      </c>
      <c r="E131">
        <v>0.78656800000000004</v>
      </c>
      <c r="F131">
        <v>80.489999999999995</v>
      </c>
      <c r="G131">
        <v>2</v>
      </c>
      <c r="H131">
        <v>40.54</v>
      </c>
    </row>
    <row r="132" spans="1:8">
      <c r="A132" s="1">
        <v>15</v>
      </c>
      <c r="B132" t="s">
        <v>1868</v>
      </c>
      <c r="C132">
        <v>135.16</v>
      </c>
      <c r="D132">
        <v>80.95</v>
      </c>
      <c r="E132">
        <v>0.84252400000000005</v>
      </c>
      <c r="F132">
        <v>81.25</v>
      </c>
      <c r="G132">
        <v>18</v>
      </c>
      <c r="H132">
        <v>35.79</v>
      </c>
    </row>
    <row r="133" spans="1:8">
      <c r="A133" s="1">
        <v>16</v>
      </c>
      <c r="B133" t="s">
        <v>1869</v>
      </c>
      <c r="C133">
        <v>117.35</v>
      </c>
      <c r="D133">
        <v>79.040000000000006</v>
      </c>
      <c r="E133">
        <v>0.60743899999999995</v>
      </c>
      <c r="F133">
        <v>5.53</v>
      </c>
      <c r="G133">
        <v>8</v>
      </c>
      <c r="H133">
        <v>35.57</v>
      </c>
    </row>
    <row r="134" spans="1:8">
      <c r="A134" s="1">
        <v>17</v>
      </c>
      <c r="B134" t="s">
        <v>1870</v>
      </c>
      <c r="C134">
        <v>119.61</v>
      </c>
      <c r="D134">
        <v>80.39</v>
      </c>
      <c r="E134">
        <v>0.85206000000000004</v>
      </c>
      <c r="F134">
        <v>58.75</v>
      </c>
      <c r="G134">
        <v>12</v>
      </c>
      <c r="H134">
        <v>29.03</v>
      </c>
    </row>
    <row r="135" spans="1:8">
      <c r="A135" s="1">
        <v>18</v>
      </c>
      <c r="B135" t="s">
        <v>1871</v>
      </c>
      <c r="C135">
        <v>174.07</v>
      </c>
      <c r="D135">
        <v>81.44</v>
      </c>
      <c r="E135">
        <v>0.78001799999999999</v>
      </c>
      <c r="F135">
        <v>17.43</v>
      </c>
      <c r="G135">
        <v>18</v>
      </c>
      <c r="H135">
        <v>52.18</v>
      </c>
    </row>
    <row r="136" spans="1:8">
      <c r="A136" s="1">
        <v>19</v>
      </c>
      <c r="B136" t="s">
        <v>1872</v>
      </c>
      <c r="C136">
        <v>190.38</v>
      </c>
      <c r="D136">
        <v>82.14</v>
      </c>
      <c r="E136">
        <v>0.73313300000000003</v>
      </c>
      <c r="F136">
        <v>93.73</v>
      </c>
      <c r="G136">
        <v>12</v>
      </c>
      <c r="H136">
        <v>55.12</v>
      </c>
    </row>
    <row r="137" spans="1:8">
      <c r="A137" s="1">
        <v>20</v>
      </c>
      <c r="B137" t="s">
        <v>1873</v>
      </c>
      <c r="C137">
        <v>143.4</v>
      </c>
      <c r="D137">
        <v>81.180000000000007</v>
      </c>
      <c r="E137">
        <v>0.82778499999999999</v>
      </c>
      <c r="F137">
        <v>81.290000000000006</v>
      </c>
      <c r="G137">
        <v>0</v>
      </c>
      <c r="H137">
        <v>38.21</v>
      </c>
    </row>
    <row r="138" spans="1:8">
      <c r="A138" s="1">
        <v>21</v>
      </c>
      <c r="B138" t="s">
        <v>1874</v>
      </c>
      <c r="C138">
        <v>157.93</v>
      </c>
      <c r="D138">
        <v>80.63</v>
      </c>
      <c r="E138">
        <v>0.68179900000000004</v>
      </c>
      <c r="F138">
        <v>16.63</v>
      </c>
      <c r="G138">
        <v>6</v>
      </c>
      <c r="H138">
        <v>44.21</v>
      </c>
    </row>
    <row r="139" spans="1:8">
      <c r="A139" s="1">
        <v>22</v>
      </c>
      <c r="B139" t="s">
        <v>1875</v>
      </c>
      <c r="C139">
        <v>182.45</v>
      </c>
      <c r="D139">
        <v>81.89</v>
      </c>
      <c r="E139">
        <v>0.72622399999999998</v>
      </c>
      <c r="F139">
        <v>86.86</v>
      </c>
      <c r="G139">
        <v>4</v>
      </c>
      <c r="H139">
        <v>49.8</v>
      </c>
    </row>
    <row r="140" spans="1:8">
      <c r="A140" s="1">
        <v>23</v>
      </c>
      <c r="B140" t="s">
        <v>1876</v>
      </c>
      <c r="C140">
        <v>158.78</v>
      </c>
      <c r="D140">
        <v>79.260000000000005</v>
      </c>
      <c r="E140">
        <v>0.51181399999999999</v>
      </c>
      <c r="F140">
        <v>5.1100000000000003</v>
      </c>
      <c r="G140">
        <v>2</v>
      </c>
      <c r="H140">
        <v>44.14</v>
      </c>
    </row>
    <row r="141" spans="1:8">
      <c r="A141" s="1">
        <v>24</v>
      </c>
      <c r="B141" t="s">
        <v>1877</v>
      </c>
      <c r="C141">
        <v>137.82</v>
      </c>
      <c r="D141">
        <v>81.099999999999994</v>
      </c>
      <c r="E141">
        <v>0.88299799999999995</v>
      </c>
      <c r="F141">
        <v>76.84</v>
      </c>
      <c r="G141">
        <v>2</v>
      </c>
      <c r="H141">
        <v>37.33</v>
      </c>
    </row>
    <row r="142" spans="1:8">
      <c r="A142" s="1">
        <v>25</v>
      </c>
      <c r="B142" t="s">
        <v>1878</v>
      </c>
      <c r="C142">
        <v>138.41</v>
      </c>
      <c r="D142">
        <v>81.05</v>
      </c>
      <c r="E142">
        <v>0.850298</v>
      </c>
      <c r="F142">
        <v>80.14</v>
      </c>
      <c r="G142">
        <v>18</v>
      </c>
      <c r="H142">
        <v>34.15</v>
      </c>
    </row>
    <row r="143" spans="1:8">
      <c r="A143" s="1">
        <v>26</v>
      </c>
      <c r="B143" t="s">
        <v>1879</v>
      </c>
      <c r="C143">
        <v>130.83000000000001</v>
      </c>
      <c r="D143">
        <v>80.94</v>
      </c>
      <c r="E143">
        <v>0.90857600000000005</v>
      </c>
      <c r="F143">
        <v>80.06</v>
      </c>
      <c r="G143">
        <v>0</v>
      </c>
      <c r="H143">
        <v>34.19</v>
      </c>
    </row>
    <row r="144" spans="1:8">
      <c r="A144" s="1">
        <v>27</v>
      </c>
      <c r="B144" t="s">
        <v>1880</v>
      </c>
      <c r="C144">
        <v>122.54</v>
      </c>
      <c r="D144">
        <v>80.709999999999994</v>
      </c>
      <c r="E144">
        <v>0.92671499999999996</v>
      </c>
      <c r="F144">
        <v>68.739999999999995</v>
      </c>
      <c r="G144">
        <v>16</v>
      </c>
      <c r="H144">
        <v>32.340000000000003</v>
      </c>
    </row>
    <row r="145" spans="1:8">
      <c r="A145" s="1">
        <v>28</v>
      </c>
      <c r="B145" t="s">
        <v>1881</v>
      </c>
      <c r="C145">
        <v>114.93</v>
      </c>
      <c r="D145">
        <v>80.34</v>
      </c>
      <c r="E145">
        <v>0.89680000000000004</v>
      </c>
      <c r="F145">
        <v>62.75</v>
      </c>
      <c r="G145">
        <v>16</v>
      </c>
      <c r="H145">
        <v>27.74</v>
      </c>
    </row>
    <row r="146" spans="1:8">
      <c r="A146" s="1">
        <v>29</v>
      </c>
      <c r="B146" t="s">
        <v>1882</v>
      </c>
      <c r="C146">
        <v>180.48</v>
      </c>
      <c r="D146">
        <v>82</v>
      </c>
      <c r="E146">
        <v>0.80201100000000003</v>
      </c>
      <c r="F146">
        <v>65.930000000000007</v>
      </c>
      <c r="G146">
        <v>4</v>
      </c>
      <c r="H146">
        <v>51.65</v>
      </c>
    </row>
    <row r="147" spans="1:8">
      <c r="A147" s="1">
        <v>30</v>
      </c>
      <c r="B147" t="s">
        <v>1883</v>
      </c>
      <c r="C147">
        <v>138.16</v>
      </c>
      <c r="D147">
        <v>80.98</v>
      </c>
      <c r="E147">
        <v>0.80047299999999999</v>
      </c>
      <c r="F147">
        <v>79.72</v>
      </c>
      <c r="G147">
        <v>6</v>
      </c>
      <c r="H147">
        <v>33.71</v>
      </c>
    </row>
    <row r="148" spans="1:8">
      <c r="A148" s="1">
        <v>31</v>
      </c>
      <c r="B148" t="s">
        <v>1884</v>
      </c>
      <c r="C148">
        <v>156.22</v>
      </c>
      <c r="D148">
        <v>81.53</v>
      </c>
      <c r="E148">
        <v>0.84392400000000001</v>
      </c>
      <c r="F148">
        <v>81.06</v>
      </c>
      <c r="G148">
        <v>0</v>
      </c>
      <c r="H148">
        <v>42.64</v>
      </c>
    </row>
    <row r="149" spans="1:8">
      <c r="A149" s="1">
        <v>32</v>
      </c>
      <c r="B149" t="s">
        <v>1885</v>
      </c>
      <c r="C149">
        <v>191.36</v>
      </c>
      <c r="D149">
        <v>82.02</v>
      </c>
      <c r="E149">
        <v>0.70883200000000002</v>
      </c>
      <c r="F149">
        <v>79.45</v>
      </c>
      <c r="G149">
        <v>18</v>
      </c>
      <c r="H149">
        <v>50.55</v>
      </c>
    </row>
    <row r="150" spans="1:8">
      <c r="A150" s="1">
        <v>33</v>
      </c>
      <c r="B150" t="s">
        <v>1886</v>
      </c>
      <c r="C150">
        <v>147.71</v>
      </c>
      <c r="D150">
        <v>80.97</v>
      </c>
      <c r="E150">
        <v>0.84778399999999998</v>
      </c>
      <c r="F150">
        <v>19.47</v>
      </c>
      <c r="G150">
        <v>8</v>
      </c>
      <c r="H150">
        <v>45.49</v>
      </c>
    </row>
    <row r="151" spans="1:8">
      <c r="A151" s="1">
        <v>34</v>
      </c>
      <c r="B151" t="s">
        <v>1887</v>
      </c>
      <c r="C151">
        <v>168.5</v>
      </c>
      <c r="D151">
        <v>80.36</v>
      </c>
      <c r="E151">
        <v>0.70207600000000003</v>
      </c>
      <c r="F151">
        <v>3.57</v>
      </c>
      <c r="G151">
        <v>16</v>
      </c>
      <c r="H151">
        <v>44.1</v>
      </c>
    </row>
    <row r="152" spans="1:8">
      <c r="A152" s="1">
        <v>35</v>
      </c>
      <c r="B152" t="s">
        <v>1888</v>
      </c>
      <c r="C152">
        <v>182.49</v>
      </c>
      <c r="D152">
        <v>82.03</v>
      </c>
      <c r="E152">
        <v>0.78300499999999995</v>
      </c>
      <c r="F152">
        <v>61.9</v>
      </c>
      <c r="G152">
        <v>4</v>
      </c>
      <c r="H152">
        <v>53.01</v>
      </c>
    </row>
    <row r="153" spans="1:8">
      <c r="A153" s="1">
        <v>36</v>
      </c>
      <c r="B153" t="s">
        <v>1889</v>
      </c>
      <c r="C153">
        <v>133.91999999999999</v>
      </c>
      <c r="D153">
        <v>80.150000000000006</v>
      </c>
      <c r="E153">
        <v>0.64180400000000004</v>
      </c>
      <c r="F153">
        <v>25.34</v>
      </c>
      <c r="G153">
        <v>12</v>
      </c>
      <c r="H153">
        <v>37.47</v>
      </c>
    </row>
    <row r="154" spans="1:8">
      <c r="A154" s="1">
        <v>37</v>
      </c>
      <c r="B154" t="s">
        <v>1890</v>
      </c>
      <c r="C154">
        <v>122.98</v>
      </c>
      <c r="D154">
        <v>80.040000000000006</v>
      </c>
      <c r="E154">
        <v>0.64412100000000005</v>
      </c>
      <c r="F154">
        <v>45.89</v>
      </c>
      <c r="G154">
        <v>8</v>
      </c>
      <c r="H154">
        <v>37.450000000000003</v>
      </c>
    </row>
    <row r="155" spans="1:8">
      <c r="A155" s="1">
        <v>38</v>
      </c>
      <c r="B155" t="s">
        <v>1891</v>
      </c>
      <c r="C155">
        <v>154.94999999999999</v>
      </c>
      <c r="D155">
        <v>81.459999999999994</v>
      </c>
      <c r="E155">
        <v>0.83812500000000001</v>
      </c>
      <c r="F155">
        <v>75.459999999999994</v>
      </c>
      <c r="G155">
        <v>8</v>
      </c>
      <c r="H155">
        <v>42.66</v>
      </c>
    </row>
    <row r="156" spans="1:8">
      <c r="A156" s="1">
        <v>39</v>
      </c>
      <c r="B156" t="s">
        <v>1892</v>
      </c>
      <c r="C156">
        <v>141.07</v>
      </c>
      <c r="D156">
        <v>81.23</v>
      </c>
      <c r="E156">
        <v>0.89363199999999998</v>
      </c>
      <c r="F156">
        <v>80.14</v>
      </c>
      <c r="G156">
        <v>10</v>
      </c>
      <c r="H156">
        <v>41.26</v>
      </c>
    </row>
    <row r="157" spans="1:8">
      <c r="A157" s="1">
        <v>40</v>
      </c>
      <c r="B157" t="s">
        <v>1893</v>
      </c>
      <c r="C157">
        <v>138.84</v>
      </c>
      <c r="D157">
        <v>81.239999999999995</v>
      </c>
      <c r="E157">
        <v>0.92884800000000001</v>
      </c>
      <c r="F157">
        <v>80.290000000000006</v>
      </c>
      <c r="G157">
        <v>0</v>
      </c>
      <c r="H157">
        <v>38.92</v>
      </c>
    </row>
    <row r="158" spans="1:8">
      <c r="A158" s="1">
        <v>41</v>
      </c>
      <c r="B158" t="s">
        <v>1894</v>
      </c>
      <c r="C158">
        <v>114.44</v>
      </c>
      <c r="D158">
        <v>80.28</v>
      </c>
      <c r="E158">
        <v>0.86205699999999996</v>
      </c>
      <c r="F158">
        <v>61.56</v>
      </c>
      <c r="G158">
        <v>4</v>
      </c>
      <c r="H158">
        <v>31.71</v>
      </c>
    </row>
    <row r="159" spans="1:8">
      <c r="A159" s="1">
        <v>42</v>
      </c>
      <c r="B159" t="s">
        <v>1895</v>
      </c>
      <c r="C159">
        <v>196.63</v>
      </c>
      <c r="D159">
        <v>81.96</v>
      </c>
      <c r="E159">
        <v>0.680033</v>
      </c>
      <c r="F159">
        <v>78.11</v>
      </c>
      <c r="G159">
        <v>8</v>
      </c>
      <c r="H159">
        <v>60.44</v>
      </c>
    </row>
    <row r="160" spans="1:8">
      <c r="A160" s="1">
        <v>43</v>
      </c>
      <c r="B160" t="s">
        <v>1896</v>
      </c>
      <c r="C160">
        <v>156.55000000000001</v>
      </c>
      <c r="D160">
        <v>81.14</v>
      </c>
      <c r="E160">
        <v>0.73025499999999999</v>
      </c>
      <c r="F160">
        <v>60.33</v>
      </c>
      <c r="G160">
        <v>10</v>
      </c>
      <c r="H160">
        <v>40.79</v>
      </c>
    </row>
    <row r="161" spans="1:8">
      <c r="A161" s="1">
        <v>44</v>
      </c>
      <c r="B161" t="s">
        <v>1897</v>
      </c>
      <c r="C161">
        <v>142.44999999999999</v>
      </c>
      <c r="D161">
        <v>80.61</v>
      </c>
      <c r="E161">
        <v>0.61866900000000002</v>
      </c>
      <c r="F161">
        <v>70.959999999999994</v>
      </c>
      <c r="G161">
        <v>8</v>
      </c>
      <c r="H161">
        <v>43.02</v>
      </c>
    </row>
    <row r="162" spans="1:8">
      <c r="A162" s="1">
        <v>45</v>
      </c>
      <c r="B162" t="s">
        <v>1898</v>
      </c>
      <c r="C162">
        <v>174.98</v>
      </c>
      <c r="D162">
        <v>81.95</v>
      </c>
      <c r="E162">
        <v>0.75774399999999997</v>
      </c>
      <c r="F162">
        <v>99.3</v>
      </c>
      <c r="G162">
        <v>0</v>
      </c>
      <c r="H162">
        <v>47.25</v>
      </c>
    </row>
    <row r="163" spans="1:8">
      <c r="A163" s="1">
        <v>46</v>
      </c>
      <c r="B163" t="s">
        <v>1899</v>
      </c>
      <c r="C163">
        <v>159.01</v>
      </c>
      <c r="D163">
        <v>81.23</v>
      </c>
      <c r="E163">
        <v>0.78853600000000001</v>
      </c>
      <c r="F163">
        <v>22.69</v>
      </c>
      <c r="G163">
        <v>12</v>
      </c>
      <c r="H163">
        <v>46.94</v>
      </c>
    </row>
    <row r="164" spans="1:8">
      <c r="A164" s="1">
        <v>47</v>
      </c>
      <c r="B164" t="s">
        <v>1900</v>
      </c>
      <c r="C164">
        <v>156.32</v>
      </c>
      <c r="D164">
        <v>81.53</v>
      </c>
      <c r="E164">
        <v>0.83192299999999997</v>
      </c>
      <c r="F164">
        <v>80.989999999999995</v>
      </c>
      <c r="G164">
        <v>4</v>
      </c>
      <c r="H164">
        <v>40.97</v>
      </c>
    </row>
    <row r="165" spans="1:8">
      <c r="A165" s="1">
        <v>48</v>
      </c>
      <c r="B165" t="s">
        <v>1901</v>
      </c>
      <c r="C165">
        <v>174.69</v>
      </c>
      <c r="D165">
        <v>81.48</v>
      </c>
      <c r="E165">
        <v>0.81120199999999998</v>
      </c>
      <c r="F165">
        <v>16.13</v>
      </c>
      <c r="G165">
        <v>14</v>
      </c>
      <c r="H165">
        <v>46.53</v>
      </c>
    </row>
    <row r="166" spans="1:8">
      <c r="A166" s="1">
        <v>49</v>
      </c>
      <c r="B166" t="s">
        <v>1902</v>
      </c>
      <c r="C166">
        <v>115.36</v>
      </c>
      <c r="D166">
        <v>79.8</v>
      </c>
      <c r="E166">
        <v>0.80609500000000001</v>
      </c>
      <c r="F166">
        <v>14.44</v>
      </c>
      <c r="G166">
        <v>16</v>
      </c>
      <c r="H166">
        <v>31.86</v>
      </c>
    </row>
    <row r="167" spans="1:8">
      <c r="A167" s="1">
        <v>50</v>
      </c>
      <c r="B167" t="s">
        <v>1903</v>
      </c>
      <c r="C167">
        <v>166.47</v>
      </c>
      <c r="D167">
        <v>81.87</v>
      </c>
      <c r="E167">
        <v>0.84912900000000002</v>
      </c>
      <c r="F167">
        <v>79.180000000000007</v>
      </c>
      <c r="G167">
        <v>0</v>
      </c>
      <c r="H167">
        <v>44.64</v>
      </c>
    </row>
    <row r="168" spans="1:8">
      <c r="B168" s="1" t="s">
        <v>19</v>
      </c>
      <c r="C168" s="1">
        <f>AVERAGE(C118:C167)</f>
        <v>151.06959999999995</v>
      </c>
      <c r="D168" s="1">
        <f t="shared" ref="D168:H168" si="7">AVERAGE(D118:D167)</f>
        <v>81.04940000000002</v>
      </c>
      <c r="E168" s="1">
        <f t="shared" si="7"/>
        <v>0.78083750000000007</v>
      </c>
      <c r="F168" s="1">
        <f t="shared" si="7"/>
        <v>60.163800000000002</v>
      </c>
      <c r="G168" s="1">
        <f t="shared" si="7"/>
        <v>8.68</v>
      </c>
      <c r="H168" s="1">
        <f t="shared" si="7"/>
        <v>42.092800000000004</v>
      </c>
    </row>
    <row r="169" spans="1:8">
      <c r="B169" s="1" t="s">
        <v>20</v>
      </c>
      <c r="C169" s="1">
        <f>MIN(C117:C167)</f>
        <v>109.05</v>
      </c>
      <c r="D169" s="1">
        <f>MIN(D117:D167)</f>
        <v>79.040000000000006</v>
      </c>
      <c r="E169" s="1">
        <f>MIN(E117:E167)</f>
        <v>0.51181399999999999</v>
      </c>
      <c r="F169" s="1">
        <f>MIN(F117:F167)</f>
        <v>3.57</v>
      </c>
      <c r="H169" s="1">
        <f>MIN(H117:H167)</f>
        <v>27.74</v>
      </c>
    </row>
    <row r="170" spans="1:8">
      <c r="B170" s="1" t="s">
        <v>3</v>
      </c>
      <c r="C170" s="1">
        <f>STDEV(C118:C167)</f>
        <v>23.794281508165042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1" t="s">
        <v>1435</v>
      </c>
    </row>
    <row r="173" spans="1:8" ht="14.4" customHeight="1">
      <c r="A173" s="21" t="s">
        <v>7</v>
      </c>
      <c r="B173" s="3" t="s">
        <v>9</v>
      </c>
      <c r="C173" s="21" t="s">
        <v>4</v>
      </c>
      <c r="D173" s="21" t="s">
        <v>322</v>
      </c>
      <c r="E173" s="21" t="s">
        <v>321</v>
      </c>
      <c r="F173" s="21" t="s">
        <v>324</v>
      </c>
      <c r="G173" s="21" t="s">
        <v>323</v>
      </c>
      <c r="H173" s="21" t="s">
        <v>1436</v>
      </c>
    </row>
    <row r="174" spans="1:8">
      <c r="A174" s="1">
        <v>1</v>
      </c>
      <c r="B174" t="s">
        <v>1904</v>
      </c>
      <c r="C174">
        <v>115.17</v>
      </c>
      <c r="D174">
        <v>159.86000000000001</v>
      </c>
      <c r="E174">
        <v>0.69433</v>
      </c>
      <c r="F174">
        <v>56.79</v>
      </c>
      <c r="G174">
        <v>6</v>
      </c>
      <c r="H174">
        <v>28.83</v>
      </c>
    </row>
    <row r="175" spans="1:8">
      <c r="A175" s="1">
        <v>2</v>
      </c>
      <c r="B175" t="s">
        <v>1905</v>
      </c>
      <c r="C175">
        <v>98.2</v>
      </c>
      <c r="D175">
        <v>158.55000000000001</v>
      </c>
      <c r="E175">
        <v>0.80076000000000003</v>
      </c>
      <c r="F175">
        <v>28.99</v>
      </c>
      <c r="G175">
        <v>28</v>
      </c>
      <c r="H175">
        <v>25.16</v>
      </c>
    </row>
    <row r="176" spans="1:8">
      <c r="A176" s="1">
        <v>3</v>
      </c>
      <c r="B176" t="s">
        <v>1906</v>
      </c>
      <c r="C176">
        <v>127.35</v>
      </c>
      <c r="D176">
        <v>160.13999999999999</v>
      </c>
      <c r="E176">
        <v>0.70394999999999996</v>
      </c>
      <c r="F176">
        <v>28.15</v>
      </c>
      <c r="G176">
        <v>22</v>
      </c>
      <c r="H176">
        <v>35.58</v>
      </c>
    </row>
    <row r="177" spans="1:8">
      <c r="A177" s="1">
        <v>4</v>
      </c>
      <c r="B177" t="s">
        <v>1907</v>
      </c>
      <c r="C177">
        <v>110.11</v>
      </c>
      <c r="D177">
        <v>158.46</v>
      </c>
      <c r="E177">
        <v>0.68265100000000001</v>
      </c>
      <c r="F177">
        <v>11.33</v>
      </c>
      <c r="G177">
        <v>26</v>
      </c>
      <c r="H177">
        <v>30.4</v>
      </c>
    </row>
    <row r="178" spans="1:8">
      <c r="A178" s="1">
        <v>5</v>
      </c>
      <c r="B178" t="s">
        <v>1908</v>
      </c>
      <c r="C178">
        <v>103.43</v>
      </c>
      <c r="D178">
        <v>158.43</v>
      </c>
      <c r="E178">
        <v>0.67559999999999998</v>
      </c>
      <c r="F178">
        <v>26.27</v>
      </c>
      <c r="G178">
        <v>22</v>
      </c>
      <c r="H178">
        <v>25.05</v>
      </c>
    </row>
    <row r="179" spans="1:8">
      <c r="A179" s="1">
        <v>6</v>
      </c>
      <c r="B179" t="s">
        <v>1909</v>
      </c>
      <c r="C179">
        <v>130.12</v>
      </c>
      <c r="D179">
        <v>160.27000000000001</v>
      </c>
      <c r="E179">
        <v>0.78804700000000005</v>
      </c>
      <c r="F179">
        <v>3.69</v>
      </c>
      <c r="G179">
        <v>8</v>
      </c>
      <c r="H179">
        <v>33.31</v>
      </c>
    </row>
    <row r="180" spans="1:8">
      <c r="A180" s="1">
        <v>7</v>
      </c>
      <c r="B180" t="s">
        <v>1910</v>
      </c>
      <c r="C180">
        <v>120.25</v>
      </c>
      <c r="D180">
        <v>160.04</v>
      </c>
      <c r="E180">
        <v>0.80529799999999996</v>
      </c>
      <c r="F180">
        <v>8.7200000000000006</v>
      </c>
      <c r="G180">
        <v>2</v>
      </c>
      <c r="H180">
        <v>29.2</v>
      </c>
    </row>
    <row r="181" spans="1:8">
      <c r="A181" s="1">
        <v>8</v>
      </c>
      <c r="B181" t="s">
        <v>1911</v>
      </c>
      <c r="C181">
        <v>86.72</v>
      </c>
      <c r="D181">
        <v>157.22</v>
      </c>
      <c r="E181">
        <v>0.75434999999999997</v>
      </c>
      <c r="F181">
        <v>11.21</v>
      </c>
      <c r="G181">
        <v>18</v>
      </c>
      <c r="H181">
        <v>22</v>
      </c>
    </row>
    <row r="182" spans="1:8">
      <c r="A182" s="1">
        <v>9</v>
      </c>
      <c r="B182" t="s">
        <v>1912</v>
      </c>
      <c r="C182">
        <v>97.14</v>
      </c>
      <c r="D182">
        <v>159.19999999999999</v>
      </c>
      <c r="E182">
        <v>0.88398900000000002</v>
      </c>
      <c r="F182">
        <v>50.76</v>
      </c>
      <c r="G182">
        <v>34</v>
      </c>
      <c r="H182">
        <v>24.78</v>
      </c>
    </row>
    <row r="183" spans="1:8">
      <c r="A183" s="1">
        <v>10</v>
      </c>
      <c r="B183" t="s">
        <v>1913</v>
      </c>
      <c r="C183">
        <v>118.54</v>
      </c>
      <c r="D183">
        <v>160.57</v>
      </c>
      <c r="E183">
        <v>0.818994</v>
      </c>
      <c r="F183">
        <v>41.09</v>
      </c>
      <c r="G183">
        <v>30</v>
      </c>
      <c r="H183">
        <v>30.49</v>
      </c>
    </row>
    <row r="184" spans="1:8">
      <c r="A184" s="1">
        <v>11</v>
      </c>
      <c r="B184" t="s">
        <v>1914</v>
      </c>
      <c r="C184">
        <v>118.74</v>
      </c>
      <c r="D184">
        <v>158.30000000000001</v>
      </c>
      <c r="E184">
        <v>0.71265999999999996</v>
      </c>
      <c r="F184">
        <v>1.54</v>
      </c>
      <c r="G184">
        <v>18</v>
      </c>
      <c r="H184">
        <v>29.5</v>
      </c>
    </row>
    <row r="185" spans="1:8">
      <c r="A185" s="1">
        <v>12</v>
      </c>
      <c r="B185" t="s">
        <v>1915</v>
      </c>
      <c r="C185">
        <v>105.39</v>
      </c>
      <c r="D185">
        <v>159.71</v>
      </c>
      <c r="E185">
        <v>0.85114100000000004</v>
      </c>
      <c r="F185">
        <v>34.1</v>
      </c>
      <c r="G185">
        <v>8</v>
      </c>
      <c r="H185">
        <v>28.79</v>
      </c>
    </row>
    <row r="186" spans="1:8">
      <c r="A186" s="1">
        <v>13</v>
      </c>
      <c r="B186" t="s">
        <v>1916</v>
      </c>
      <c r="C186">
        <v>111.71</v>
      </c>
      <c r="D186">
        <v>158.47999999999999</v>
      </c>
      <c r="E186">
        <v>0.71974300000000002</v>
      </c>
      <c r="F186">
        <v>3.88</v>
      </c>
      <c r="G186">
        <v>4</v>
      </c>
      <c r="H186">
        <v>30.07</v>
      </c>
    </row>
    <row r="187" spans="1:8">
      <c r="A187" s="1">
        <v>14</v>
      </c>
      <c r="B187" t="s">
        <v>1917</v>
      </c>
      <c r="C187">
        <v>98.15</v>
      </c>
      <c r="D187">
        <v>158.52000000000001</v>
      </c>
      <c r="E187">
        <v>0.74339599999999995</v>
      </c>
      <c r="F187">
        <v>40.78</v>
      </c>
      <c r="G187">
        <v>16</v>
      </c>
      <c r="H187">
        <v>25.53</v>
      </c>
    </row>
    <row r="188" spans="1:8">
      <c r="A188" s="1">
        <v>15</v>
      </c>
      <c r="B188" t="s">
        <v>1918</v>
      </c>
      <c r="C188">
        <v>121.43</v>
      </c>
      <c r="D188">
        <v>159.63999999999999</v>
      </c>
      <c r="E188">
        <v>0.74937799999999999</v>
      </c>
      <c r="F188">
        <v>7.8</v>
      </c>
      <c r="G188">
        <v>20</v>
      </c>
      <c r="H188">
        <v>31.77</v>
      </c>
    </row>
    <row r="189" spans="1:8">
      <c r="A189" s="1">
        <v>16</v>
      </c>
      <c r="B189" t="s">
        <v>1919</v>
      </c>
      <c r="C189">
        <v>102.78</v>
      </c>
      <c r="D189">
        <v>159.5</v>
      </c>
      <c r="E189">
        <v>0.87240499999999999</v>
      </c>
      <c r="F189">
        <v>21.16</v>
      </c>
      <c r="G189">
        <v>18</v>
      </c>
      <c r="H189">
        <v>25.46</v>
      </c>
    </row>
    <row r="190" spans="1:8">
      <c r="A190" s="1">
        <v>17</v>
      </c>
      <c r="B190" t="s">
        <v>1920</v>
      </c>
      <c r="C190">
        <v>111.35</v>
      </c>
      <c r="D190">
        <v>159.91999999999999</v>
      </c>
      <c r="E190">
        <v>0.76600800000000002</v>
      </c>
      <c r="F190">
        <v>45.85</v>
      </c>
      <c r="G190">
        <v>20</v>
      </c>
      <c r="H190">
        <v>29.19</v>
      </c>
    </row>
    <row r="191" spans="1:8">
      <c r="A191" s="1">
        <v>18</v>
      </c>
      <c r="B191" t="s">
        <v>1921</v>
      </c>
      <c r="C191">
        <v>96.36</v>
      </c>
      <c r="D191">
        <v>158.65</v>
      </c>
      <c r="E191">
        <v>0.81921600000000006</v>
      </c>
      <c r="F191">
        <v>25.69</v>
      </c>
      <c r="G191">
        <v>32</v>
      </c>
      <c r="H191">
        <v>24.4</v>
      </c>
    </row>
    <row r="192" spans="1:8">
      <c r="A192" s="1">
        <v>19</v>
      </c>
      <c r="B192" t="s">
        <v>1922</v>
      </c>
      <c r="C192">
        <v>92.61</v>
      </c>
      <c r="D192">
        <v>157.01</v>
      </c>
      <c r="E192">
        <v>0.78654400000000002</v>
      </c>
      <c r="F192">
        <v>2.65</v>
      </c>
      <c r="G192">
        <v>20</v>
      </c>
      <c r="H192">
        <v>22.37</v>
      </c>
    </row>
    <row r="193" spans="1:8">
      <c r="A193" s="1">
        <v>20</v>
      </c>
      <c r="B193" t="s">
        <v>1923</v>
      </c>
      <c r="C193">
        <v>132.87</v>
      </c>
      <c r="D193">
        <v>159.83000000000001</v>
      </c>
      <c r="E193">
        <v>0.72213899999999998</v>
      </c>
      <c r="F193">
        <v>2.65</v>
      </c>
      <c r="G193">
        <v>24</v>
      </c>
      <c r="H193">
        <v>33.76</v>
      </c>
    </row>
    <row r="194" spans="1:8">
      <c r="A194" s="1">
        <v>21</v>
      </c>
      <c r="B194" t="s">
        <v>1924</v>
      </c>
      <c r="C194">
        <v>111.2</v>
      </c>
      <c r="D194">
        <v>160.25</v>
      </c>
      <c r="E194">
        <v>0.86407800000000001</v>
      </c>
      <c r="F194">
        <v>41.28</v>
      </c>
      <c r="G194">
        <v>18</v>
      </c>
      <c r="H194">
        <v>31</v>
      </c>
    </row>
    <row r="195" spans="1:8">
      <c r="A195" s="1">
        <v>22</v>
      </c>
      <c r="B195" t="s">
        <v>1925</v>
      </c>
      <c r="C195">
        <v>113.36</v>
      </c>
      <c r="D195">
        <v>160.01</v>
      </c>
      <c r="E195">
        <v>0.81172299999999997</v>
      </c>
      <c r="F195">
        <v>38.090000000000003</v>
      </c>
      <c r="G195">
        <v>6</v>
      </c>
      <c r="H195">
        <v>31.03</v>
      </c>
    </row>
    <row r="196" spans="1:8">
      <c r="A196" s="1">
        <v>23</v>
      </c>
      <c r="B196" t="s">
        <v>1926</v>
      </c>
      <c r="C196">
        <v>107.61</v>
      </c>
      <c r="D196">
        <v>158.71</v>
      </c>
      <c r="E196">
        <v>0.76635299999999995</v>
      </c>
      <c r="F196">
        <v>4.34</v>
      </c>
      <c r="G196">
        <v>12</v>
      </c>
      <c r="H196">
        <v>27.38</v>
      </c>
    </row>
    <row r="197" spans="1:8">
      <c r="A197" s="1">
        <v>24</v>
      </c>
      <c r="B197" t="s">
        <v>1927</v>
      </c>
      <c r="C197">
        <v>116.22</v>
      </c>
      <c r="D197">
        <v>160.81</v>
      </c>
      <c r="E197">
        <v>0.85933099999999996</v>
      </c>
      <c r="F197">
        <v>79.45</v>
      </c>
      <c r="G197">
        <v>0</v>
      </c>
      <c r="H197">
        <v>27.63</v>
      </c>
    </row>
    <row r="198" spans="1:8">
      <c r="A198" s="1">
        <v>25</v>
      </c>
      <c r="B198" t="s">
        <v>1928</v>
      </c>
      <c r="C198">
        <v>116.97</v>
      </c>
      <c r="D198">
        <v>157.53</v>
      </c>
      <c r="E198">
        <v>0.76664100000000002</v>
      </c>
      <c r="F198">
        <v>1.04</v>
      </c>
      <c r="G198">
        <v>28</v>
      </c>
      <c r="H198">
        <v>31.66</v>
      </c>
    </row>
    <row r="199" spans="1:8">
      <c r="A199" s="1">
        <v>26</v>
      </c>
      <c r="B199" t="s">
        <v>1929</v>
      </c>
      <c r="C199">
        <v>127.64</v>
      </c>
      <c r="D199">
        <v>160.63999999999999</v>
      </c>
      <c r="E199">
        <v>0.72724</v>
      </c>
      <c r="F199">
        <v>45.31</v>
      </c>
      <c r="G199">
        <v>0</v>
      </c>
      <c r="H199">
        <v>32.08</v>
      </c>
    </row>
    <row r="200" spans="1:8">
      <c r="A200" s="1">
        <v>27</v>
      </c>
      <c r="B200" t="s">
        <v>1930</v>
      </c>
      <c r="C200">
        <v>111.65</v>
      </c>
      <c r="D200">
        <v>157.24</v>
      </c>
      <c r="E200">
        <v>0.69159599999999999</v>
      </c>
      <c r="F200">
        <v>1.31</v>
      </c>
      <c r="G200">
        <v>4</v>
      </c>
      <c r="H200">
        <v>29.48</v>
      </c>
    </row>
    <row r="201" spans="1:8">
      <c r="A201" s="1">
        <v>28</v>
      </c>
      <c r="B201" t="s">
        <v>1931</v>
      </c>
      <c r="C201">
        <v>138.44</v>
      </c>
      <c r="D201">
        <v>160.19999999999999</v>
      </c>
      <c r="E201">
        <v>0.714364</v>
      </c>
      <c r="F201">
        <v>4.76</v>
      </c>
      <c r="G201">
        <v>4</v>
      </c>
      <c r="H201">
        <v>38.83</v>
      </c>
    </row>
    <row r="202" spans="1:8">
      <c r="A202" s="1">
        <v>29</v>
      </c>
      <c r="B202" t="s">
        <v>1932</v>
      </c>
      <c r="C202">
        <v>111.33</v>
      </c>
      <c r="D202">
        <v>159.69</v>
      </c>
      <c r="E202">
        <v>0.74665700000000002</v>
      </c>
      <c r="F202">
        <v>21.35</v>
      </c>
      <c r="G202">
        <v>32</v>
      </c>
      <c r="H202">
        <v>32.950000000000003</v>
      </c>
    </row>
    <row r="203" spans="1:8">
      <c r="A203" s="1">
        <v>30</v>
      </c>
      <c r="B203" t="s">
        <v>1933</v>
      </c>
      <c r="C203">
        <v>107.48</v>
      </c>
      <c r="D203">
        <v>156.96</v>
      </c>
      <c r="E203">
        <v>0.65367200000000003</v>
      </c>
      <c r="F203">
        <v>2</v>
      </c>
      <c r="G203">
        <v>16</v>
      </c>
      <c r="H203">
        <v>31.74</v>
      </c>
    </row>
    <row r="204" spans="1:8">
      <c r="A204" s="1">
        <v>31</v>
      </c>
      <c r="B204" t="s">
        <v>1934</v>
      </c>
      <c r="C204">
        <v>97.67</v>
      </c>
      <c r="D204">
        <v>158.88999999999999</v>
      </c>
      <c r="E204">
        <v>0.82510300000000003</v>
      </c>
      <c r="F204">
        <v>40.090000000000003</v>
      </c>
      <c r="G204">
        <v>18</v>
      </c>
      <c r="H204">
        <v>25.78</v>
      </c>
    </row>
    <row r="205" spans="1:8">
      <c r="A205" s="1">
        <v>32</v>
      </c>
      <c r="B205" t="s">
        <v>1935</v>
      </c>
      <c r="C205">
        <v>103.59</v>
      </c>
      <c r="D205">
        <v>159.06</v>
      </c>
      <c r="E205">
        <v>0.76179799999999998</v>
      </c>
      <c r="F205">
        <v>34.33</v>
      </c>
      <c r="G205">
        <v>26</v>
      </c>
      <c r="H205">
        <v>25.46</v>
      </c>
    </row>
    <row r="206" spans="1:8">
      <c r="A206" s="1">
        <v>33</v>
      </c>
      <c r="B206" t="s">
        <v>1936</v>
      </c>
      <c r="C206">
        <v>128.05000000000001</v>
      </c>
      <c r="D206">
        <v>160.1</v>
      </c>
      <c r="E206">
        <v>0.76967600000000003</v>
      </c>
      <c r="F206">
        <v>11.67</v>
      </c>
      <c r="G206">
        <v>24</v>
      </c>
      <c r="H206">
        <v>35.369999999999997</v>
      </c>
    </row>
    <row r="207" spans="1:8">
      <c r="A207" s="1">
        <v>34</v>
      </c>
      <c r="B207" t="s">
        <v>1937</v>
      </c>
      <c r="C207">
        <v>125.65</v>
      </c>
      <c r="D207">
        <v>159.78</v>
      </c>
      <c r="E207">
        <v>0.83164800000000005</v>
      </c>
      <c r="F207">
        <v>1.38</v>
      </c>
      <c r="G207">
        <v>26</v>
      </c>
      <c r="H207">
        <v>32.54</v>
      </c>
    </row>
    <row r="208" spans="1:8">
      <c r="A208" s="1">
        <v>35</v>
      </c>
      <c r="B208" t="s">
        <v>1938</v>
      </c>
      <c r="C208">
        <v>106.68</v>
      </c>
      <c r="D208">
        <v>158.26</v>
      </c>
      <c r="E208">
        <v>0.64468199999999998</v>
      </c>
      <c r="F208">
        <v>15.86</v>
      </c>
      <c r="G208">
        <v>10</v>
      </c>
      <c r="H208">
        <v>30.25</v>
      </c>
    </row>
    <row r="209" spans="1:8">
      <c r="A209" s="1">
        <v>36</v>
      </c>
      <c r="B209" t="s">
        <v>1939</v>
      </c>
      <c r="C209">
        <v>130.43</v>
      </c>
      <c r="D209">
        <v>159.80000000000001</v>
      </c>
      <c r="E209">
        <v>0.80216399999999999</v>
      </c>
      <c r="F209">
        <v>3.72</v>
      </c>
      <c r="G209">
        <v>2</v>
      </c>
      <c r="H209">
        <v>35.33</v>
      </c>
    </row>
    <row r="210" spans="1:8">
      <c r="A210" s="1">
        <v>37</v>
      </c>
      <c r="B210" t="s">
        <v>1940</v>
      </c>
      <c r="C210">
        <v>109.67</v>
      </c>
      <c r="D210">
        <v>160.01</v>
      </c>
      <c r="E210">
        <v>0.84999800000000003</v>
      </c>
      <c r="F210">
        <v>46.85</v>
      </c>
      <c r="G210">
        <v>24</v>
      </c>
      <c r="H210">
        <v>27.45</v>
      </c>
    </row>
    <row r="211" spans="1:8">
      <c r="A211" s="1">
        <v>38</v>
      </c>
      <c r="B211" t="s">
        <v>1941</v>
      </c>
      <c r="C211">
        <v>91.87</v>
      </c>
      <c r="D211">
        <v>157.79</v>
      </c>
      <c r="E211">
        <v>0.70312600000000003</v>
      </c>
      <c r="F211">
        <v>30.76</v>
      </c>
      <c r="G211">
        <v>6</v>
      </c>
      <c r="H211">
        <v>23.24</v>
      </c>
    </row>
    <row r="212" spans="1:8">
      <c r="A212" s="1">
        <v>39</v>
      </c>
      <c r="B212" t="s">
        <v>1942</v>
      </c>
      <c r="C212">
        <v>103.44</v>
      </c>
      <c r="D212">
        <v>159.19999999999999</v>
      </c>
      <c r="E212">
        <v>0.86903399999999997</v>
      </c>
      <c r="F212">
        <v>8.33</v>
      </c>
      <c r="G212">
        <v>12</v>
      </c>
      <c r="H212">
        <v>26.71</v>
      </c>
    </row>
    <row r="213" spans="1:8">
      <c r="A213" s="1">
        <v>40</v>
      </c>
      <c r="B213" t="s">
        <v>1943</v>
      </c>
      <c r="C213">
        <v>112.77</v>
      </c>
      <c r="D213">
        <v>159.29</v>
      </c>
      <c r="E213">
        <v>0.74778800000000001</v>
      </c>
      <c r="F213">
        <v>10.14</v>
      </c>
      <c r="G213">
        <v>8</v>
      </c>
      <c r="H213">
        <v>27.54</v>
      </c>
    </row>
    <row r="214" spans="1:8">
      <c r="A214" s="1">
        <v>41</v>
      </c>
      <c r="B214" t="s">
        <v>1944</v>
      </c>
      <c r="C214">
        <v>104.36</v>
      </c>
      <c r="D214">
        <v>157.96</v>
      </c>
      <c r="E214">
        <v>0.78115299999999999</v>
      </c>
      <c r="F214">
        <v>3.19</v>
      </c>
      <c r="G214">
        <v>4</v>
      </c>
      <c r="H214">
        <v>26.19</v>
      </c>
    </row>
    <row r="215" spans="1:8">
      <c r="A215" s="1">
        <v>42</v>
      </c>
      <c r="B215" t="s">
        <v>1945</v>
      </c>
      <c r="C215">
        <v>118.09</v>
      </c>
      <c r="D215">
        <v>160.4</v>
      </c>
      <c r="E215">
        <v>0.75105599999999995</v>
      </c>
      <c r="F215">
        <v>41.32</v>
      </c>
      <c r="G215">
        <v>6</v>
      </c>
      <c r="H215">
        <v>31.56</v>
      </c>
    </row>
    <row r="216" spans="1:8">
      <c r="A216" s="1">
        <v>43</v>
      </c>
      <c r="B216" t="s">
        <v>1946</v>
      </c>
      <c r="C216">
        <v>89.07</v>
      </c>
      <c r="D216">
        <v>156.77000000000001</v>
      </c>
      <c r="E216">
        <v>0.64190400000000003</v>
      </c>
      <c r="F216">
        <v>6.95</v>
      </c>
      <c r="G216">
        <v>22</v>
      </c>
      <c r="H216">
        <v>23.84</v>
      </c>
    </row>
    <row r="217" spans="1:8">
      <c r="A217" s="1">
        <v>44</v>
      </c>
      <c r="B217" t="s">
        <v>1947</v>
      </c>
      <c r="C217">
        <v>135.22999999999999</v>
      </c>
      <c r="D217">
        <v>160.55000000000001</v>
      </c>
      <c r="E217">
        <v>0.76968999999999999</v>
      </c>
      <c r="F217">
        <v>3.19</v>
      </c>
      <c r="G217">
        <v>34</v>
      </c>
      <c r="H217">
        <v>35.47</v>
      </c>
    </row>
    <row r="218" spans="1:8">
      <c r="A218" s="1">
        <v>45</v>
      </c>
      <c r="B218" t="s">
        <v>1948</v>
      </c>
      <c r="C218">
        <v>141</v>
      </c>
      <c r="D218">
        <v>160.86000000000001</v>
      </c>
      <c r="E218">
        <v>0.73663999999999996</v>
      </c>
      <c r="F218">
        <v>16.7</v>
      </c>
      <c r="G218">
        <v>24</v>
      </c>
      <c r="H218">
        <v>33.99</v>
      </c>
    </row>
    <row r="219" spans="1:8">
      <c r="A219" s="1">
        <v>46</v>
      </c>
      <c r="B219" t="s">
        <v>1949</v>
      </c>
      <c r="C219">
        <v>104.85</v>
      </c>
      <c r="D219">
        <v>156.36000000000001</v>
      </c>
      <c r="E219">
        <v>0.69468600000000003</v>
      </c>
      <c r="F219">
        <v>2.0699999999999998</v>
      </c>
      <c r="G219">
        <v>32</v>
      </c>
      <c r="H219">
        <v>27.49</v>
      </c>
    </row>
    <row r="220" spans="1:8">
      <c r="A220" s="1">
        <v>47</v>
      </c>
      <c r="B220" t="s">
        <v>1950</v>
      </c>
      <c r="C220">
        <v>121.01</v>
      </c>
      <c r="D220">
        <v>160.08000000000001</v>
      </c>
      <c r="E220">
        <v>0.75615900000000003</v>
      </c>
      <c r="F220">
        <v>30.99</v>
      </c>
      <c r="G220">
        <v>18</v>
      </c>
      <c r="H220">
        <v>33.6</v>
      </c>
    </row>
    <row r="221" spans="1:8">
      <c r="A221" s="1">
        <v>48</v>
      </c>
      <c r="B221" t="s">
        <v>1951</v>
      </c>
      <c r="C221">
        <v>94.87</v>
      </c>
      <c r="D221">
        <v>157.75</v>
      </c>
      <c r="E221">
        <v>0.76565700000000003</v>
      </c>
      <c r="F221">
        <v>7.33</v>
      </c>
      <c r="G221">
        <v>34</v>
      </c>
      <c r="H221">
        <v>26.8</v>
      </c>
    </row>
    <row r="222" spans="1:8">
      <c r="A222" s="1">
        <v>49</v>
      </c>
      <c r="B222" t="s">
        <v>1952</v>
      </c>
      <c r="C222">
        <v>98.36</v>
      </c>
      <c r="D222">
        <v>157.47</v>
      </c>
      <c r="E222">
        <v>0.76255099999999998</v>
      </c>
      <c r="F222">
        <v>4.49</v>
      </c>
      <c r="G222">
        <v>0</v>
      </c>
      <c r="H222">
        <v>25.88</v>
      </c>
    </row>
    <row r="223" spans="1:8">
      <c r="A223" s="1">
        <v>50</v>
      </c>
      <c r="B223" t="s">
        <v>1953</v>
      </c>
      <c r="C223">
        <v>93.12</v>
      </c>
      <c r="D223">
        <v>158.01</v>
      </c>
      <c r="E223">
        <v>0.83845999999999998</v>
      </c>
      <c r="F223">
        <v>11.37</v>
      </c>
      <c r="G223">
        <v>2</v>
      </c>
      <c r="H223">
        <v>24.96</v>
      </c>
    </row>
    <row r="224" spans="1:8">
      <c r="B224" s="1" t="s">
        <v>19</v>
      </c>
      <c r="C224" s="1">
        <f>AVERAGE(C174:C223)</f>
        <v>111.40199999999997</v>
      </c>
      <c r="D224" s="1">
        <f t="shared" ref="D224" si="8">AVERAGE(D174:D223)</f>
        <v>159.05460000000002</v>
      </c>
      <c r="E224" s="1">
        <f t="shared" ref="E224" si="9">AVERAGE(E174:E223)</f>
        <v>0.76510453999999972</v>
      </c>
      <c r="F224" s="1">
        <f t="shared" ref="F224" si="10">AVERAGE(F174:F223)</f>
        <v>20.455200000000012</v>
      </c>
      <c r="G224" s="1">
        <f t="shared" ref="G224" si="11">AVERAGE(G174:G223)</f>
        <v>16.559999999999999</v>
      </c>
      <c r="H224" s="1">
        <f t="shared" ref="H224" si="12">AVERAGE(H174:H223)</f>
        <v>29.177400000000002</v>
      </c>
    </row>
    <row r="225" spans="1:8">
      <c r="B225" s="1" t="s">
        <v>20</v>
      </c>
      <c r="C225" s="1">
        <f>MIN(C173:C223)</f>
        <v>86.72</v>
      </c>
      <c r="D225" s="1">
        <f>MIN(D173:D223)</f>
        <v>156.36000000000001</v>
      </c>
      <c r="E225" s="1">
        <f>MIN(E173:E223)</f>
        <v>0.64190400000000003</v>
      </c>
      <c r="F225" s="1">
        <f>MIN(F173:F223)</f>
        <v>1.04</v>
      </c>
      <c r="H225" s="1">
        <f>MIN(H173:H223)</f>
        <v>22</v>
      </c>
    </row>
    <row r="226" spans="1:8">
      <c r="B226" s="1" t="s">
        <v>3</v>
      </c>
      <c r="C226" s="1">
        <f>STDEV(C174:C223)</f>
        <v>13.459987567086733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1" t="s">
        <v>1435</v>
      </c>
    </row>
    <row r="229" spans="1:8" ht="14.4" customHeight="1">
      <c r="A229" s="21" t="s">
        <v>7</v>
      </c>
      <c r="B229" s="3" t="s">
        <v>2</v>
      </c>
      <c r="C229" s="21" t="s">
        <v>4</v>
      </c>
      <c r="D229" s="21" t="s">
        <v>322</v>
      </c>
      <c r="E229" s="21" t="s">
        <v>321</v>
      </c>
      <c r="F229" s="21" t="s">
        <v>324</v>
      </c>
      <c r="G229" s="21" t="s">
        <v>323</v>
      </c>
      <c r="H229" s="21" t="s">
        <v>1436</v>
      </c>
    </row>
    <row r="230" spans="1:8">
      <c r="A230" s="1">
        <v>1</v>
      </c>
      <c r="B230" t="s">
        <v>1954</v>
      </c>
      <c r="C230">
        <v>94.59</v>
      </c>
      <c r="D230">
        <v>234.81</v>
      </c>
      <c r="E230">
        <v>0.81273200000000001</v>
      </c>
      <c r="F230">
        <v>1.1499999999999999</v>
      </c>
      <c r="G230">
        <v>50</v>
      </c>
      <c r="H230">
        <v>23.3</v>
      </c>
    </row>
    <row r="231" spans="1:8">
      <c r="A231" s="1">
        <v>2</v>
      </c>
      <c r="B231" t="s">
        <v>1955</v>
      </c>
      <c r="C231">
        <v>94.98</v>
      </c>
      <c r="D231">
        <v>235.9</v>
      </c>
      <c r="E231">
        <v>0.80999900000000002</v>
      </c>
      <c r="F231">
        <v>2.34</v>
      </c>
      <c r="G231">
        <v>32</v>
      </c>
      <c r="H231">
        <v>22.85</v>
      </c>
    </row>
    <row r="232" spans="1:8">
      <c r="A232" s="1">
        <v>3</v>
      </c>
      <c r="B232" t="s">
        <v>1956</v>
      </c>
      <c r="C232">
        <v>98.36</v>
      </c>
      <c r="D232">
        <v>237.7</v>
      </c>
      <c r="E232">
        <v>0.73852300000000004</v>
      </c>
      <c r="F232">
        <v>30.07</v>
      </c>
      <c r="G232">
        <v>20</v>
      </c>
      <c r="H232">
        <v>24.65</v>
      </c>
    </row>
    <row r="233" spans="1:8">
      <c r="A233" s="1">
        <v>4</v>
      </c>
      <c r="B233" t="s">
        <v>1957</v>
      </c>
      <c r="C233">
        <v>92.21</v>
      </c>
      <c r="D233">
        <v>236.16</v>
      </c>
      <c r="E233">
        <v>0.805508</v>
      </c>
      <c r="F233">
        <v>5.15</v>
      </c>
      <c r="G233">
        <v>54</v>
      </c>
      <c r="H233">
        <v>22.34</v>
      </c>
    </row>
    <row r="234" spans="1:8">
      <c r="A234" s="1">
        <v>5</v>
      </c>
      <c r="B234" t="s">
        <v>1958</v>
      </c>
      <c r="C234">
        <v>91.75</v>
      </c>
      <c r="D234">
        <v>235.69</v>
      </c>
      <c r="E234">
        <v>0.82057000000000002</v>
      </c>
      <c r="F234">
        <v>2.23</v>
      </c>
      <c r="G234">
        <v>0</v>
      </c>
      <c r="H234">
        <v>22.02</v>
      </c>
    </row>
    <row r="235" spans="1:8">
      <c r="A235" s="1">
        <v>6</v>
      </c>
      <c r="B235" t="s">
        <v>1959</v>
      </c>
      <c r="C235">
        <v>79.11</v>
      </c>
      <c r="D235">
        <v>233.79</v>
      </c>
      <c r="E235">
        <v>0.77460499999999999</v>
      </c>
      <c r="F235">
        <v>2.88</v>
      </c>
      <c r="G235">
        <v>46</v>
      </c>
      <c r="H235">
        <v>19.3</v>
      </c>
    </row>
    <row r="236" spans="1:8">
      <c r="A236" s="1">
        <v>7</v>
      </c>
      <c r="B236" t="s">
        <v>1960</v>
      </c>
      <c r="C236">
        <v>96.18</v>
      </c>
      <c r="D236">
        <v>236.37</v>
      </c>
      <c r="E236">
        <v>0.73036800000000002</v>
      </c>
      <c r="F236">
        <v>8.99</v>
      </c>
      <c r="G236">
        <v>8</v>
      </c>
      <c r="H236">
        <v>24.99</v>
      </c>
    </row>
    <row r="237" spans="1:8">
      <c r="A237" s="1">
        <v>8</v>
      </c>
      <c r="B237" t="s">
        <v>1961</v>
      </c>
      <c r="C237">
        <v>94.78</v>
      </c>
      <c r="D237">
        <v>236.77</v>
      </c>
      <c r="E237">
        <v>0.77714399999999995</v>
      </c>
      <c r="F237">
        <v>14.28</v>
      </c>
      <c r="G237">
        <v>12</v>
      </c>
      <c r="H237">
        <v>23.38</v>
      </c>
    </row>
    <row r="238" spans="1:8">
      <c r="A238" s="1">
        <v>9</v>
      </c>
      <c r="B238" t="s">
        <v>1962</v>
      </c>
      <c r="C238">
        <v>95.99</v>
      </c>
      <c r="D238">
        <v>234.1</v>
      </c>
      <c r="E238">
        <v>0.75579200000000002</v>
      </c>
      <c r="F238">
        <v>1.57</v>
      </c>
      <c r="G238">
        <v>4</v>
      </c>
      <c r="H238">
        <v>22.97</v>
      </c>
    </row>
    <row r="239" spans="1:8">
      <c r="A239" s="1">
        <v>10</v>
      </c>
      <c r="B239" t="s">
        <v>1963</v>
      </c>
      <c r="C239">
        <v>86.61</v>
      </c>
      <c r="D239">
        <v>236.02</v>
      </c>
      <c r="E239">
        <v>0.75577399999999995</v>
      </c>
      <c r="F239">
        <v>10.06</v>
      </c>
      <c r="G239">
        <v>4</v>
      </c>
      <c r="H239">
        <v>20.94</v>
      </c>
    </row>
    <row r="240" spans="1:8">
      <c r="A240" s="1">
        <v>11</v>
      </c>
      <c r="B240" t="s">
        <v>1964</v>
      </c>
      <c r="C240">
        <v>96</v>
      </c>
      <c r="D240">
        <v>236.61</v>
      </c>
      <c r="E240">
        <v>0.67283499999999996</v>
      </c>
      <c r="F240">
        <v>6.99</v>
      </c>
      <c r="G240">
        <v>36</v>
      </c>
      <c r="H240">
        <v>24.35</v>
      </c>
    </row>
    <row r="241" spans="1:8">
      <c r="A241" s="1">
        <v>12</v>
      </c>
      <c r="B241" t="s">
        <v>1965</v>
      </c>
      <c r="C241">
        <v>103.39</v>
      </c>
      <c r="D241">
        <v>236.37</v>
      </c>
      <c r="E241">
        <v>0.66454199999999997</v>
      </c>
      <c r="F241">
        <v>5.07</v>
      </c>
      <c r="G241">
        <v>26</v>
      </c>
      <c r="H241">
        <v>26.35</v>
      </c>
    </row>
    <row r="242" spans="1:8">
      <c r="A242" s="1">
        <v>13</v>
      </c>
      <c r="B242" t="s">
        <v>1966</v>
      </c>
      <c r="C242">
        <v>85.37</v>
      </c>
      <c r="D242">
        <v>236.07</v>
      </c>
      <c r="E242">
        <v>0.837449</v>
      </c>
      <c r="F242">
        <v>5.1100000000000003</v>
      </c>
      <c r="G242">
        <v>4</v>
      </c>
      <c r="H242">
        <v>21.78</v>
      </c>
    </row>
    <row r="243" spans="1:8">
      <c r="A243" s="1">
        <v>14</v>
      </c>
      <c r="B243" t="s">
        <v>1967</v>
      </c>
      <c r="C243">
        <v>101.12</v>
      </c>
      <c r="D243">
        <v>237.47</v>
      </c>
      <c r="E243">
        <v>0.75706300000000004</v>
      </c>
      <c r="F243">
        <v>3.03</v>
      </c>
      <c r="G243">
        <v>6</v>
      </c>
      <c r="H243">
        <v>22.96</v>
      </c>
    </row>
    <row r="244" spans="1:8">
      <c r="A244" s="1">
        <v>15</v>
      </c>
      <c r="B244" t="s">
        <v>1968</v>
      </c>
      <c r="C244">
        <v>87.68</v>
      </c>
      <c r="D244">
        <v>234.98</v>
      </c>
      <c r="E244">
        <v>0.81367900000000004</v>
      </c>
      <c r="F244">
        <v>1</v>
      </c>
      <c r="G244">
        <v>34</v>
      </c>
      <c r="H244">
        <v>20.73</v>
      </c>
    </row>
    <row r="245" spans="1:8">
      <c r="A245" s="1">
        <v>16</v>
      </c>
      <c r="B245" t="s">
        <v>1969</v>
      </c>
      <c r="C245">
        <v>92.58</v>
      </c>
      <c r="D245">
        <v>236.7</v>
      </c>
      <c r="E245">
        <v>0.76832299999999998</v>
      </c>
      <c r="F245">
        <v>9.41</v>
      </c>
      <c r="G245">
        <v>0</v>
      </c>
      <c r="H245">
        <v>22.71</v>
      </c>
    </row>
    <row r="246" spans="1:8">
      <c r="A246" s="1">
        <v>17</v>
      </c>
      <c r="B246" t="s">
        <v>1970</v>
      </c>
      <c r="C246">
        <v>91.72</v>
      </c>
      <c r="D246">
        <v>235.79</v>
      </c>
      <c r="E246">
        <v>0.73698200000000003</v>
      </c>
      <c r="F246">
        <v>5.26</v>
      </c>
      <c r="G246">
        <v>44</v>
      </c>
      <c r="H246">
        <v>23.65</v>
      </c>
    </row>
    <row r="247" spans="1:8">
      <c r="A247" s="1">
        <v>18</v>
      </c>
      <c r="B247" t="s">
        <v>1971</v>
      </c>
      <c r="C247">
        <v>97.49</v>
      </c>
      <c r="D247">
        <v>236.09</v>
      </c>
      <c r="E247">
        <v>0.79044099999999995</v>
      </c>
      <c r="F247">
        <v>2.5299999999999998</v>
      </c>
      <c r="G247">
        <v>36</v>
      </c>
      <c r="H247">
        <v>23.6</v>
      </c>
    </row>
    <row r="248" spans="1:8">
      <c r="A248" s="1">
        <v>19</v>
      </c>
      <c r="B248" t="s">
        <v>1972</v>
      </c>
      <c r="C248">
        <v>108.15</v>
      </c>
      <c r="D248">
        <v>238.34</v>
      </c>
      <c r="E248">
        <v>0.725441</v>
      </c>
      <c r="F248">
        <v>12.06</v>
      </c>
      <c r="G248">
        <v>18</v>
      </c>
      <c r="H248">
        <v>27.2</v>
      </c>
    </row>
    <row r="249" spans="1:8">
      <c r="A249" s="1">
        <v>20</v>
      </c>
      <c r="B249" t="s">
        <v>1973</v>
      </c>
      <c r="C249">
        <v>93.49</v>
      </c>
      <c r="D249">
        <v>235.67</v>
      </c>
      <c r="E249">
        <v>0.74590100000000004</v>
      </c>
      <c r="F249">
        <v>2.8</v>
      </c>
      <c r="G249">
        <v>28</v>
      </c>
      <c r="H249">
        <v>22.82</v>
      </c>
    </row>
    <row r="250" spans="1:8">
      <c r="A250" s="1">
        <v>21</v>
      </c>
      <c r="B250" t="s">
        <v>1974</v>
      </c>
      <c r="C250">
        <v>89.84</v>
      </c>
      <c r="D250">
        <v>234.21</v>
      </c>
      <c r="E250">
        <v>0.64044999999999996</v>
      </c>
      <c r="F250">
        <v>2.19</v>
      </c>
      <c r="G250">
        <v>40</v>
      </c>
      <c r="H250">
        <v>22.66</v>
      </c>
    </row>
    <row r="251" spans="1:8">
      <c r="A251" s="1">
        <v>22</v>
      </c>
      <c r="B251" t="s">
        <v>1975</v>
      </c>
      <c r="C251">
        <v>102.55</v>
      </c>
      <c r="D251">
        <v>237.39</v>
      </c>
      <c r="E251">
        <v>0.60047499999999998</v>
      </c>
      <c r="F251">
        <v>17.86</v>
      </c>
      <c r="G251">
        <v>0</v>
      </c>
      <c r="H251">
        <v>24.79</v>
      </c>
    </row>
    <row r="252" spans="1:8">
      <c r="A252" s="1">
        <v>23</v>
      </c>
      <c r="B252" t="s">
        <v>1976</v>
      </c>
      <c r="C252">
        <v>97.04</v>
      </c>
      <c r="D252">
        <v>235.41</v>
      </c>
      <c r="E252">
        <v>0.70025300000000001</v>
      </c>
      <c r="F252">
        <v>4.1500000000000004</v>
      </c>
      <c r="G252">
        <v>40</v>
      </c>
      <c r="H252">
        <v>24.87</v>
      </c>
    </row>
    <row r="253" spans="1:8">
      <c r="A253" s="1">
        <v>24</v>
      </c>
      <c r="B253" t="s">
        <v>1977</v>
      </c>
      <c r="C253">
        <v>77.430000000000007</v>
      </c>
      <c r="D253">
        <v>235.05</v>
      </c>
      <c r="E253">
        <v>0.80559899999999995</v>
      </c>
      <c r="F253">
        <v>22.39</v>
      </c>
      <c r="G253">
        <v>54</v>
      </c>
      <c r="H253">
        <v>20.440000000000001</v>
      </c>
    </row>
    <row r="254" spans="1:8">
      <c r="A254" s="1">
        <v>25</v>
      </c>
      <c r="B254" t="s">
        <v>1978</v>
      </c>
      <c r="C254">
        <v>96.4</v>
      </c>
      <c r="D254">
        <v>235.46</v>
      </c>
      <c r="E254">
        <v>0.66833299999999995</v>
      </c>
      <c r="F254">
        <v>5.53</v>
      </c>
      <c r="G254">
        <v>8</v>
      </c>
      <c r="H254">
        <v>26.51</v>
      </c>
    </row>
    <row r="255" spans="1:8">
      <c r="A255" s="1">
        <v>26</v>
      </c>
      <c r="B255" t="s">
        <v>1979</v>
      </c>
      <c r="C255">
        <v>98.32</v>
      </c>
      <c r="D255">
        <v>237.98</v>
      </c>
      <c r="E255">
        <v>0.823739</v>
      </c>
      <c r="F255">
        <v>12.21</v>
      </c>
      <c r="G255">
        <v>42</v>
      </c>
      <c r="H255">
        <v>23.54</v>
      </c>
    </row>
    <row r="256" spans="1:8">
      <c r="A256" s="1">
        <v>27</v>
      </c>
      <c r="B256" t="s">
        <v>1980</v>
      </c>
      <c r="C256">
        <v>83.96</v>
      </c>
      <c r="D256">
        <v>235.34</v>
      </c>
      <c r="E256">
        <v>0.88744199999999995</v>
      </c>
      <c r="F256">
        <v>0.46</v>
      </c>
      <c r="G256">
        <v>58</v>
      </c>
      <c r="H256">
        <v>19.82</v>
      </c>
    </row>
    <row r="257" spans="1:8">
      <c r="A257" s="1">
        <v>28</v>
      </c>
      <c r="B257" t="s">
        <v>1981</v>
      </c>
      <c r="C257">
        <v>87.38</v>
      </c>
      <c r="D257">
        <v>233.07</v>
      </c>
      <c r="E257">
        <v>0.67677900000000002</v>
      </c>
      <c r="F257">
        <v>1.46</v>
      </c>
      <c r="G257">
        <v>32</v>
      </c>
      <c r="H257">
        <v>23.43</v>
      </c>
    </row>
    <row r="258" spans="1:8">
      <c r="A258" s="1">
        <v>29</v>
      </c>
      <c r="B258" t="s">
        <v>1982</v>
      </c>
      <c r="C258">
        <v>101.81</v>
      </c>
      <c r="D258">
        <v>236.91</v>
      </c>
      <c r="E258">
        <v>0.71679499999999996</v>
      </c>
      <c r="F258">
        <v>3.69</v>
      </c>
      <c r="G258">
        <v>30</v>
      </c>
      <c r="H258">
        <v>24.34</v>
      </c>
    </row>
    <row r="259" spans="1:8">
      <c r="A259" s="1">
        <v>30</v>
      </c>
      <c r="B259" t="s">
        <v>1983</v>
      </c>
      <c r="C259">
        <v>112.73</v>
      </c>
      <c r="D259">
        <v>238.24</v>
      </c>
      <c r="E259">
        <v>0.69711100000000004</v>
      </c>
      <c r="F259">
        <v>5.38</v>
      </c>
      <c r="G259">
        <v>42</v>
      </c>
      <c r="H259">
        <v>28.03</v>
      </c>
    </row>
    <row r="260" spans="1:8">
      <c r="A260" s="1">
        <v>31</v>
      </c>
      <c r="B260" t="s">
        <v>1984</v>
      </c>
      <c r="C260">
        <v>94.98</v>
      </c>
      <c r="D260">
        <v>235.46</v>
      </c>
      <c r="E260">
        <v>0.77942900000000004</v>
      </c>
      <c r="F260">
        <v>2.76</v>
      </c>
      <c r="G260">
        <v>46</v>
      </c>
      <c r="H260">
        <v>24.75</v>
      </c>
    </row>
    <row r="261" spans="1:8">
      <c r="A261" s="1">
        <v>32</v>
      </c>
      <c r="B261" t="s">
        <v>1985</v>
      </c>
      <c r="C261">
        <v>93.38</v>
      </c>
      <c r="D261">
        <v>236.4</v>
      </c>
      <c r="E261">
        <v>0.78308599999999995</v>
      </c>
      <c r="F261">
        <v>7.1</v>
      </c>
      <c r="G261">
        <v>26</v>
      </c>
      <c r="H261">
        <v>23.86</v>
      </c>
    </row>
    <row r="262" spans="1:8">
      <c r="A262" s="1">
        <v>33</v>
      </c>
      <c r="B262" t="s">
        <v>1986</v>
      </c>
      <c r="C262">
        <v>97.57</v>
      </c>
      <c r="D262">
        <v>234.94</v>
      </c>
      <c r="E262">
        <v>0.68085499999999999</v>
      </c>
      <c r="F262">
        <v>2.5</v>
      </c>
      <c r="G262">
        <v>10</v>
      </c>
      <c r="H262">
        <v>24.76</v>
      </c>
    </row>
    <row r="263" spans="1:8">
      <c r="A263" s="1">
        <v>34</v>
      </c>
      <c r="B263" t="s">
        <v>1987</v>
      </c>
      <c r="C263">
        <v>91.28</v>
      </c>
      <c r="D263">
        <v>236.32</v>
      </c>
      <c r="E263">
        <v>0.73457899999999998</v>
      </c>
      <c r="F263">
        <v>18.82</v>
      </c>
      <c r="G263">
        <v>56</v>
      </c>
      <c r="H263">
        <v>22.58</v>
      </c>
    </row>
    <row r="264" spans="1:8">
      <c r="A264" s="1">
        <v>35</v>
      </c>
      <c r="B264" t="s">
        <v>1988</v>
      </c>
      <c r="C264">
        <v>99.55</v>
      </c>
      <c r="D264">
        <v>236.85</v>
      </c>
      <c r="E264">
        <v>0.80911200000000005</v>
      </c>
      <c r="F264">
        <v>1.69</v>
      </c>
      <c r="G264">
        <v>0</v>
      </c>
      <c r="H264">
        <v>24.68</v>
      </c>
    </row>
    <row r="265" spans="1:8">
      <c r="A265" s="1">
        <v>36</v>
      </c>
      <c r="B265" t="s">
        <v>1989</v>
      </c>
      <c r="C265">
        <v>83.13</v>
      </c>
      <c r="D265">
        <v>235.06</v>
      </c>
      <c r="E265">
        <v>0.83477999999999997</v>
      </c>
      <c r="F265">
        <v>3.46</v>
      </c>
      <c r="G265">
        <v>42</v>
      </c>
      <c r="H265">
        <v>20.64</v>
      </c>
    </row>
    <row r="266" spans="1:8">
      <c r="A266" s="1">
        <v>37</v>
      </c>
      <c r="B266" t="s">
        <v>1990</v>
      </c>
      <c r="C266">
        <v>94.63</v>
      </c>
      <c r="D266">
        <v>237.54</v>
      </c>
      <c r="E266">
        <v>0.83191300000000001</v>
      </c>
      <c r="F266">
        <v>15.82</v>
      </c>
      <c r="G266">
        <v>4</v>
      </c>
      <c r="H266">
        <v>22.74</v>
      </c>
    </row>
    <row r="267" spans="1:8">
      <c r="A267" s="1">
        <v>38</v>
      </c>
      <c r="B267" t="s">
        <v>1991</v>
      </c>
      <c r="C267">
        <v>104.13</v>
      </c>
      <c r="D267">
        <v>238.03</v>
      </c>
      <c r="E267">
        <v>0.81273899999999999</v>
      </c>
      <c r="F267">
        <v>2.73</v>
      </c>
      <c r="G267">
        <v>16</v>
      </c>
      <c r="H267">
        <v>24.25</v>
      </c>
    </row>
    <row r="268" spans="1:8">
      <c r="A268" s="1">
        <v>39</v>
      </c>
      <c r="B268" t="s">
        <v>1992</v>
      </c>
      <c r="C268">
        <v>87.62</v>
      </c>
      <c r="D268">
        <v>235.03</v>
      </c>
      <c r="E268">
        <v>0.76795400000000003</v>
      </c>
      <c r="F268">
        <v>4.6500000000000004</v>
      </c>
      <c r="G268">
        <v>38</v>
      </c>
      <c r="H268">
        <v>23.97</v>
      </c>
    </row>
    <row r="269" spans="1:8">
      <c r="A269" s="1">
        <v>40</v>
      </c>
      <c r="B269" t="s">
        <v>1993</v>
      </c>
      <c r="C269">
        <v>91.29</v>
      </c>
      <c r="D269">
        <v>236.01</v>
      </c>
      <c r="E269">
        <v>0.73746299999999998</v>
      </c>
      <c r="F269">
        <v>4.26</v>
      </c>
      <c r="G269">
        <v>34</v>
      </c>
      <c r="H269">
        <v>22.66</v>
      </c>
    </row>
    <row r="270" spans="1:8">
      <c r="A270" s="1">
        <v>41</v>
      </c>
      <c r="B270" t="s">
        <v>1994</v>
      </c>
      <c r="C270">
        <v>104.48</v>
      </c>
      <c r="D270">
        <v>237.05</v>
      </c>
      <c r="E270">
        <v>0.64658400000000005</v>
      </c>
      <c r="F270">
        <v>13.25</v>
      </c>
      <c r="G270">
        <v>18</v>
      </c>
      <c r="H270">
        <v>24.1</v>
      </c>
    </row>
    <row r="271" spans="1:8">
      <c r="A271" s="1">
        <v>42</v>
      </c>
      <c r="B271" t="s">
        <v>1995</v>
      </c>
      <c r="C271">
        <v>98.85</v>
      </c>
      <c r="D271">
        <v>235.28</v>
      </c>
      <c r="E271">
        <v>0.66069699999999998</v>
      </c>
      <c r="F271">
        <v>8.1</v>
      </c>
      <c r="G271">
        <v>48</v>
      </c>
      <c r="H271">
        <v>25.13</v>
      </c>
    </row>
    <row r="272" spans="1:8">
      <c r="A272" s="1">
        <v>43</v>
      </c>
      <c r="B272" t="s">
        <v>1996</v>
      </c>
      <c r="C272">
        <v>95.46</v>
      </c>
      <c r="D272">
        <v>236.97</v>
      </c>
      <c r="E272">
        <v>0.82974099999999995</v>
      </c>
      <c r="F272">
        <v>3.15</v>
      </c>
      <c r="G272">
        <v>34</v>
      </c>
      <c r="H272">
        <v>22.98</v>
      </c>
    </row>
    <row r="273" spans="1:8">
      <c r="A273" s="1">
        <v>44</v>
      </c>
      <c r="B273" t="s">
        <v>1997</v>
      </c>
      <c r="C273">
        <v>85.56</v>
      </c>
      <c r="D273" t="e">
        <f>-inf</f>
        <v>#NAME?</v>
      </c>
      <c r="E273">
        <v>0.73972199999999999</v>
      </c>
      <c r="F273">
        <v>0</v>
      </c>
      <c r="G273">
        <v>28</v>
      </c>
      <c r="H273">
        <v>21.88</v>
      </c>
    </row>
    <row r="274" spans="1:8">
      <c r="A274" s="1">
        <v>45</v>
      </c>
      <c r="B274" t="s">
        <v>1998</v>
      </c>
      <c r="C274">
        <v>97.82</v>
      </c>
      <c r="D274">
        <v>236.64</v>
      </c>
      <c r="E274">
        <v>0.687554</v>
      </c>
      <c r="F274">
        <v>7.56</v>
      </c>
      <c r="G274">
        <v>58</v>
      </c>
      <c r="H274">
        <v>23.85</v>
      </c>
    </row>
    <row r="275" spans="1:8">
      <c r="A275" s="1">
        <v>46</v>
      </c>
      <c r="B275" t="s">
        <v>1999</v>
      </c>
      <c r="C275">
        <v>103.22</v>
      </c>
      <c r="D275">
        <v>238.81</v>
      </c>
      <c r="E275">
        <v>0.843418</v>
      </c>
      <c r="F275">
        <v>18.62</v>
      </c>
      <c r="G275">
        <v>10</v>
      </c>
      <c r="H275">
        <v>24.47</v>
      </c>
    </row>
    <row r="276" spans="1:8">
      <c r="A276" s="1">
        <v>47</v>
      </c>
      <c r="B276" t="s">
        <v>2000</v>
      </c>
      <c r="C276">
        <v>105.77</v>
      </c>
      <c r="D276">
        <v>238.82</v>
      </c>
      <c r="E276">
        <v>0.82451099999999999</v>
      </c>
      <c r="F276">
        <v>3.76</v>
      </c>
      <c r="G276">
        <v>32</v>
      </c>
      <c r="H276">
        <v>25.42</v>
      </c>
    </row>
    <row r="277" spans="1:8">
      <c r="A277" s="1">
        <v>48</v>
      </c>
      <c r="B277" t="s">
        <v>2001</v>
      </c>
      <c r="C277">
        <v>87.39</v>
      </c>
      <c r="D277">
        <v>235.96</v>
      </c>
      <c r="E277">
        <v>0.77656199999999997</v>
      </c>
      <c r="F277">
        <v>11.4</v>
      </c>
      <c r="G277">
        <v>54</v>
      </c>
      <c r="H277">
        <v>21.09</v>
      </c>
    </row>
    <row r="278" spans="1:8">
      <c r="A278" s="1">
        <v>49</v>
      </c>
      <c r="B278" t="s">
        <v>2002</v>
      </c>
      <c r="C278">
        <v>77.56</v>
      </c>
      <c r="D278">
        <v>235.76</v>
      </c>
      <c r="E278">
        <v>0.86626599999999998</v>
      </c>
      <c r="F278">
        <v>37.82</v>
      </c>
      <c r="G278">
        <v>38</v>
      </c>
      <c r="H278">
        <v>18.52</v>
      </c>
    </row>
    <row r="279" spans="1:8">
      <c r="A279" s="1">
        <v>50</v>
      </c>
      <c r="B279" t="s">
        <v>2003</v>
      </c>
      <c r="C279">
        <v>95.72</v>
      </c>
      <c r="D279">
        <v>237.55</v>
      </c>
      <c r="E279">
        <v>0.81684000000000001</v>
      </c>
      <c r="F279">
        <v>14.55</v>
      </c>
      <c r="G279">
        <v>14</v>
      </c>
      <c r="H279">
        <v>25.06</v>
      </c>
    </row>
    <row r="280" spans="1:8">
      <c r="B280" s="1" t="s">
        <v>19</v>
      </c>
      <c r="C280" s="1">
        <f>AVERAGE(C230:C279)</f>
        <v>94.368000000000052</v>
      </c>
      <c r="D280" s="1" t="e">
        <f t="shared" ref="D280:E280" si="13">AVERAGE(D230:D279)</f>
        <v>#NAME?</v>
      </c>
      <c r="E280" s="1">
        <f t="shared" si="13"/>
        <v>0.75948904000000017</v>
      </c>
      <c r="F280" s="1">
        <f t="shared" ref="F280" si="14">AVERAGE(F230:F279)</f>
        <v>7.7860000000000005</v>
      </c>
      <c r="G280" s="1">
        <f t="shared" ref="G280" si="15">AVERAGE(G230:G279)</f>
        <v>28.28</v>
      </c>
      <c r="H280" s="1">
        <f t="shared" ref="H280" si="16">AVERAGE(H230:H279)</f>
        <v>23.374200000000002</v>
      </c>
    </row>
    <row r="281" spans="1:8">
      <c r="B281" s="1" t="s">
        <v>20</v>
      </c>
      <c r="C281" s="1">
        <f>MIN(C229:C279)</f>
        <v>77.430000000000007</v>
      </c>
      <c r="D281" s="1" t="e">
        <f>MIN(D229:D279)</f>
        <v>#NAME?</v>
      </c>
      <c r="E281" s="1">
        <f>MIN(E229:E279)</f>
        <v>0.60047499999999998</v>
      </c>
      <c r="F281" s="1">
        <f>MIN(F229:F279)</f>
        <v>0</v>
      </c>
      <c r="H281" s="1">
        <f>MIN(H229:H279)</f>
        <v>18.52</v>
      </c>
    </row>
    <row r="282" spans="1:8">
      <c r="B282" s="1" t="s">
        <v>3</v>
      </c>
      <c r="C282" s="1" t="e">
        <f>STDEV(#REF!)</f>
        <v>#REF!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1" t="s">
        <v>1435</v>
      </c>
    </row>
    <row r="285" spans="1:8" ht="14.4" customHeight="1">
      <c r="A285" s="21" t="s">
        <v>7</v>
      </c>
      <c r="B285" s="3" t="s">
        <v>10</v>
      </c>
      <c r="C285" s="21" t="s">
        <v>4</v>
      </c>
      <c r="D285" s="21" t="s">
        <v>322</v>
      </c>
      <c r="E285" s="21" t="s">
        <v>321</v>
      </c>
      <c r="F285" s="21" t="s">
        <v>324</v>
      </c>
      <c r="G285" s="21" t="s">
        <v>323</v>
      </c>
      <c r="H285" s="21" t="s">
        <v>1436</v>
      </c>
    </row>
    <row r="286" spans="1:8">
      <c r="A286" s="1">
        <v>1</v>
      </c>
      <c r="B286" t="s">
        <v>2004</v>
      </c>
      <c r="C286">
        <v>78.33</v>
      </c>
      <c r="D286">
        <v>311.49</v>
      </c>
      <c r="E286">
        <v>0.733734</v>
      </c>
      <c r="F286">
        <v>2.65</v>
      </c>
      <c r="G286">
        <v>46</v>
      </c>
      <c r="H286">
        <v>18.100000000000001</v>
      </c>
    </row>
    <row r="287" spans="1:8">
      <c r="A287" s="1">
        <v>2</v>
      </c>
      <c r="B287" t="s">
        <v>2005</v>
      </c>
      <c r="C287">
        <v>85.45</v>
      </c>
      <c r="D287">
        <v>310.79000000000002</v>
      </c>
      <c r="E287">
        <v>0.68040500000000004</v>
      </c>
      <c r="F287">
        <v>2.34</v>
      </c>
      <c r="G287">
        <v>20</v>
      </c>
      <c r="H287">
        <v>19.64</v>
      </c>
    </row>
    <row r="288" spans="1:8">
      <c r="A288" s="1">
        <v>3</v>
      </c>
      <c r="B288" t="s">
        <v>2006</v>
      </c>
      <c r="C288">
        <v>92.69</v>
      </c>
      <c r="D288">
        <v>313.72000000000003</v>
      </c>
      <c r="E288">
        <v>0.67412099999999997</v>
      </c>
      <c r="F288">
        <v>7.56</v>
      </c>
      <c r="G288">
        <v>14</v>
      </c>
      <c r="H288">
        <v>21.3</v>
      </c>
    </row>
    <row r="289" spans="1:8">
      <c r="A289" s="1">
        <v>4</v>
      </c>
      <c r="B289" t="s">
        <v>2007</v>
      </c>
      <c r="C289">
        <v>77.3</v>
      </c>
      <c r="D289">
        <v>310.67</v>
      </c>
      <c r="E289">
        <v>0.75576500000000002</v>
      </c>
      <c r="F289">
        <v>0.77</v>
      </c>
      <c r="G289">
        <v>40</v>
      </c>
      <c r="H289">
        <v>18.670000000000002</v>
      </c>
    </row>
    <row r="290" spans="1:8">
      <c r="A290" s="1">
        <v>5</v>
      </c>
      <c r="B290" t="s">
        <v>2008</v>
      </c>
      <c r="C290">
        <v>78.11</v>
      </c>
      <c r="D290">
        <v>311.22000000000003</v>
      </c>
      <c r="E290">
        <v>0.71025199999999999</v>
      </c>
      <c r="F290">
        <v>3.72</v>
      </c>
      <c r="G290">
        <v>36</v>
      </c>
      <c r="H290">
        <v>18.18</v>
      </c>
    </row>
    <row r="291" spans="1:8">
      <c r="A291" s="1">
        <v>6</v>
      </c>
      <c r="B291" t="s">
        <v>2009</v>
      </c>
      <c r="C291">
        <v>81.42</v>
      </c>
      <c r="D291">
        <v>310.45</v>
      </c>
      <c r="E291">
        <v>0.73141599999999996</v>
      </c>
      <c r="F291">
        <v>1.65</v>
      </c>
      <c r="G291">
        <v>26</v>
      </c>
      <c r="H291">
        <v>19.46</v>
      </c>
    </row>
    <row r="292" spans="1:8">
      <c r="A292" s="1">
        <v>7</v>
      </c>
      <c r="B292" t="s">
        <v>2010</v>
      </c>
      <c r="C292">
        <v>78.5</v>
      </c>
      <c r="D292">
        <v>313.23</v>
      </c>
      <c r="E292">
        <v>0.79930800000000002</v>
      </c>
      <c r="F292">
        <v>11.9</v>
      </c>
      <c r="G292">
        <v>58</v>
      </c>
      <c r="H292">
        <v>18.07</v>
      </c>
    </row>
    <row r="293" spans="1:8">
      <c r="A293" s="1">
        <v>8</v>
      </c>
      <c r="B293" t="s">
        <v>2011</v>
      </c>
      <c r="C293">
        <v>80.739999999999995</v>
      </c>
      <c r="D293">
        <v>309.48</v>
      </c>
      <c r="E293">
        <v>0.64689700000000006</v>
      </c>
      <c r="F293">
        <v>2.73</v>
      </c>
      <c r="G293">
        <v>0</v>
      </c>
      <c r="H293">
        <v>19.739999999999998</v>
      </c>
    </row>
    <row r="294" spans="1:8">
      <c r="A294" s="1">
        <v>9</v>
      </c>
      <c r="B294" t="s">
        <v>2012</v>
      </c>
      <c r="C294">
        <v>78.92</v>
      </c>
      <c r="D294">
        <v>313.27999999999997</v>
      </c>
      <c r="E294">
        <v>0.83460900000000005</v>
      </c>
      <c r="F294">
        <v>3.03</v>
      </c>
      <c r="G294">
        <v>74</v>
      </c>
      <c r="H294">
        <v>18.89</v>
      </c>
    </row>
    <row r="295" spans="1:8">
      <c r="A295" s="1">
        <v>10</v>
      </c>
      <c r="B295" t="s">
        <v>2013</v>
      </c>
      <c r="C295">
        <v>75.72</v>
      </c>
      <c r="D295">
        <v>308.5</v>
      </c>
      <c r="E295">
        <v>0.63972300000000004</v>
      </c>
      <c r="F295">
        <v>0.61</v>
      </c>
      <c r="G295">
        <v>52</v>
      </c>
      <c r="H295">
        <v>17.75</v>
      </c>
    </row>
    <row r="296" spans="1:8">
      <c r="A296" s="1">
        <v>11</v>
      </c>
      <c r="B296" t="s">
        <v>2014</v>
      </c>
      <c r="C296">
        <v>79.180000000000007</v>
      </c>
      <c r="D296">
        <v>312.04000000000002</v>
      </c>
      <c r="E296">
        <v>0.77361100000000005</v>
      </c>
      <c r="F296">
        <v>10.44</v>
      </c>
      <c r="G296">
        <v>76</v>
      </c>
      <c r="H296">
        <v>18.54</v>
      </c>
    </row>
    <row r="297" spans="1:8">
      <c r="A297" s="1">
        <v>12</v>
      </c>
      <c r="B297" t="s">
        <v>2015</v>
      </c>
      <c r="C297">
        <v>77.7</v>
      </c>
      <c r="D297">
        <v>313.25</v>
      </c>
      <c r="E297">
        <v>0.836785</v>
      </c>
      <c r="F297">
        <v>11.25</v>
      </c>
      <c r="G297">
        <v>8</v>
      </c>
      <c r="H297">
        <v>18.760000000000002</v>
      </c>
    </row>
    <row r="298" spans="1:8">
      <c r="A298" s="1">
        <v>13</v>
      </c>
      <c r="B298" t="s">
        <v>2016</v>
      </c>
      <c r="C298">
        <v>81.290000000000006</v>
      </c>
      <c r="D298">
        <v>311.62</v>
      </c>
      <c r="E298">
        <v>0.69936900000000002</v>
      </c>
      <c r="F298">
        <v>1.5</v>
      </c>
      <c r="G298">
        <v>74</v>
      </c>
      <c r="H298">
        <v>19.18</v>
      </c>
    </row>
    <row r="299" spans="1:8">
      <c r="A299" s="1">
        <v>14</v>
      </c>
      <c r="B299" t="s">
        <v>2017</v>
      </c>
      <c r="C299">
        <v>85.16</v>
      </c>
      <c r="D299">
        <v>312.7</v>
      </c>
      <c r="E299">
        <v>0.68928699999999998</v>
      </c>
      <c r="F299">
        <v>11.06</v>
      </c>
      <c r="G299">
        <v>4</v>
      </c>
      <c r="H299">
        <v>20.87</v>
      </c>
    </row>
    <row r="300" spans="1:8">
      <c r="A300" s="1">
        <v>15</v>
      </c>
      <c r="B300" t="s">
        <v>2018</v>
      </c>
      <c r="C300">
        <v>84.07</v>
      </c>
      <c r="D300">
        <v>310.88</v>
      </c>
      <c r="E300">
        <v>0.75315100000000001</v>
      </c>
      <c r="F300">
        <v>1.27</v>
      </c>
      <c r="G300">
        <v>36</v>
      </c>
      <c r="H300">
        <v>21.26</v>
      </c>
    </row>
    <row r="301" spans="1:8">
      <c r="A301" s="1">
        <v>16</v>
      </c>
      <c r="B301" t="s">
        <v>2019</v>
      </c>
      <c r="C301">
        <v>79.510000000000005</v>
      </c>
      <c r="D301">
        <v>312.8</v>
      </c>
      <c r="E301">
        <v>0.78784299999999996</v>
      </c>
      <c r="F301">
        <v>10.71</v>
      </c>
      <c r="G301">
        <v>78</v>
      </c>
      <c r="H301">
        <v>19.95</v>
      </c>
    </row>
    <row r="302" spans="1:8">
      <c r="A302" s="1">
        <v>17</v>
      </c>
      <c r="B302" t="s">
        <v>2020</v>
      </c>
      <c r="C302">
        <v>79.87</v>
      </c>
      <c r="D302">
        <v>310.92</v>
      </c>
      <c r="E302">
        <v>0.77435699999999996</v>
      </c>
      <c r="F302">
        <v>2.23</v>
      </c>
      <c r="G302">
        <v>40</v>
      </c>
      <c r="H302">
        <v>19.53</v>
      </c>
    </row>
    <row r="303" spans="1:8">
      <c r="A303" s="1">
        <v>18</v>
      </c>
      <c r="B303" t="s">
        <v>2021</v>
      </c>
      <c r="C303">
        <v>75.48</v>
      </c>
      <c r="D303">
        <v>308.8</v>
      </c>
      <c r="E303">
        <v>0.71607799999999999</v>
      </c>
      <c r="F303">
        <v>0.69</v>
      </c>
      <c r="G303">
        <v>4</v>
      </c>
      <c r="H303">
        <v>18.309999999999999</v>
      </c>
    </row>
    <row r="304" spans="1:8">
      <c r="A304" s="1">
        <v>19</v>
      </c>
      <c r="B304" t="s">
        <v>2022</v>
      </c>
      <c r="C304">
        <v>78.11</v>
      </c>
      <c r="D304">
        <v>312.62</v>
      </c>
      <c r="E304">
        <v>0.75164699999999995</v>
      </c>
      <c r="F304">
        <v>13.67</v>
      </c>
      <c r="G304">
        <v>16</v>
      </c>
      <c r="H304">
        <v>19.190000000000001</v>
      </c>
    </row>
    <row r="305" spans="1:8">
      <c r="A305" s="1">
        <v>20</v>
      </c>
      <c r="B305" t="s">
        <v>2023</v>
      </c>
      <c r="C305">
        <v>79.94</v>
      </c>
      <c r="D305">
        <v>310.82</v>
      </c>
      <c r="E305">
        <v>0.65064900000000003</v>
      </c>
      <c r="F305">
        <v>5.41</v>
      </c>
      <c r="G305">
        <v>46</v>
      </c>
      <c r="H305">
        <v>19.34</v>
      </c>
    </row>
    <row r="306" spans="1:8">
      <c r="A306" s="1">
        <v>21</v>
      </c>
      <c r="B306" t="s">
        <v>2024</v>
      </c>
      <c r="C306">
        <v>68.36</v>
      </c>
      <c r="D306">
        <v>308.37</v>
      </c>
      <c r="E306">
        <v>0.81406100000000003</v>
      </c>
      <c r="F306">
        <v>0.12</v>
      </c>
      <c r="G306">
        <v>38</v>
      </c>
      <c r="H306">
        <v>15.36</v>
      </c>
    </row>
    <row r="307" spans="1:8">
      <c r="A307" s="1">
        <v>22</v>
      </c>
      <c r="B307" t="s">
        <v>2025</v>
      </c>
      <c r="C307">
        <v>89.33</v>
      </c>
      <c r="D307">
        <v>311.86</v>
      </c>
      <c r="E307">
        <v>0.63742600000000005</v>
      </c>
      <c r="F307">
        <v>2.04</v>
      </c>
      <c r="G307">
        <v>22</v>
      </c>
      <c r="H307">
        <v>21.48</v>
      </c>
    </row>
    <row r="308" spans="1:8">
      <c r="A308" s="1">
        <v>23</v>
      </c>
      <c r="B308" t="s">
        <v>2026</v>
      </c>
      <c r="C308">
        <v>81.88</v>
      </c>
      <c r="D308">
        <v>311.8</v>
      </c>
      <c r="E308">
        <v>0.72104699999999999</v>
      </c>
      <c r="F308">
        <v>4.07</v>
      </c>
      <c r="G308">
        <v>52</v>
      </c>
      <c r="H308">
        <v>20.04</v>
      </c>
    </row>
    <row r="309" spans="1:8">
      <c r="A309" s="1">
        <v>24</v>
      </c>
      <c r="B309" t="s">
        <v>2027</v>
      </c>
      <c r="C309">
        <v>81.72</v>
      </c>
      <c r="D309">
        <v>312.11</v>
      </c>
      <c r="E309">
        <v>0.75617699999999999</v>
      </c>
      <c r="F309">
        <v>1.92</v>
      </c>
      <c r="G309">
        <v>66</v>
      </c>
      <c r="H309">
        <v>19.079999999999998</v>
      </c>
    </row>
    <row r="310" spans="1:8">
      <c r="A310" s="1">
        <v>25</v>
      </c>
      <c r="B310" t="s">
        <v>2028</v>
      </c>
      <c r="C310">
        <v>90.47</v>
      </c>
      <c r="D310">
        <v>312.7</v>
      </c>
      <c r="E310">
        <v>0.71260199999999996</v>
      </c>
      <c r="F310">
        <v>1.08</v>
      </c>
      <c r="G310">
        <v>56</v>
      </c>
      <c r="H310">
        <v>23.23</v>
      </c>
    </row>
    <row r="311" spans="1:8">
      <c r="A311" s="1">
        <v>26</v>
      </c>
      <c r="B311" t="s">
        <v>2029</v>
      </c>
      <c r="C311">
        <v>85.94</v>
      </c>
      <c r="D311">
        <v>314.18</v>
      </c>
      <c r="E311">
        <v>0.757965</v>
      </c>
      <c r="F311">
        <v>7.56</v>
      </c>
      <c r="G311">
        <v>2</v>
      </c>
      <c r="H311">
        <v>20.32</v>
      </c>
    </row>
    <row r="312" spans="1:8">
      <c r="A312" s="1">
        <v>27</v>
      </c>
      <c r="B312" t="s">
        <v>2030</v>
      </c>
      <c r="C312">
        <v>80.760000000000005</v>
      </c>
      <c r="D312">
        <v>309.89</v>
      </c>
      <c r="E312">
        <v>0.68847499999999995</v>
      </c>
      <c r="F312">
        <v>1.84</v>
      </c>
      <c r="G312">
        <v>40</v>
      </c>
      <c r="H312">
        <v>19.61</v>
      </c>
    </row>
    <row r="313" spans="1:8">
      <c r="A313" s="1">
        <v>28</v>
      </c>
      <c r="B313" t="s">
        <v>2031</v>
      </c>
      <c r="C313">
        <v>83.67</v>
      </c>
      <c r="D313">
        <v>311.60000000000002</v>
      </c>
      <c r="E313">
        <v>0.70819600000000005</v>
      </c>
      <c r="F313">
        <v>2.27</v>
      </c>
      <c r="G313">
        <v>40</v>
      </c>
      <c r="H313">
        <v>20.56</v>
      </c>
    </row>
    <row r="314" spans="1:8">
      <c r="A314" s="1">
        <v>29</v>
      </c>
      <c r="B314" t="s">
        <v>2032</v>
      </c>
      <c r="C314">
        <v>83</v>
      </c>
      <c r="D314">
        <v>312.07</v>
      </c>
      <c r="E314">
        <v>0.72887500000000005</v>
      </c>
      <c r="F314">
        <v>3.57</v>
      </c>
      <c r="G314">
        <v>40</v>
      </c>
      <c r="H314">
        <v>19.149999999999999</v>
      </c>
    </row>
    <row r="315" spans="1:8">
      <c r="A315" s="1">
        <v>30</v>
      </c>
      <c r="B315" t="s">
        <v>2033</v>
      </c>
      <c r="C315">
        <v>76.58</v>
      </c>
      <c r="D315">
        <v>310.36</v>
      </c>
      <c r="E315">
        <v>0.66843300000000005</v>
      </c>
      <c r="F315">
        <v>3.03</v>
      </c>
      <c r="G315">
        <v>56</v>
      </c>
      <c r="H315">
        <v>18.510000000000002</v>
      </c>
    </row>
    <row r="316" spans="1:8">
      <c r="A316" s="1">
        <v>31</v>
      </c>
      <c r="B316" t="s">
        <v>2034</v>
      </c>
      <c r="C316">
        <v>79.900000000000006</v>
      </c>
      <c r="D316">
        <v>312.22000000000003</v>
      </c>
      <c r="E316">
        <v>0.78569999999999995</v>
      </c>
      <c r="F316">
        <v>1.46</v>
      </c>
      <c r="G316">
        <v>32</v>
      </c>
      <c r="H316">
        <v>19.690000000000001</v>
      </c>
    </row>
    <row r="317" spans="1:8">
      <c r="A317" s="1">
        <v>32</v>
      </c>
      <c r="B317" t="s">
        <v>2035</v>
      </c>
      <c r="C317">
        <v>94.1</v>
      </c>
      <c r="D317">
        <v>312.39999999999998</v>
      </c>
      <c r="E317">
        <v>0.64423699999999995</v>
      </c>
      <c r="F317">
        <v>0.69</v>
      </c>
      <c r="G317">
        <v>58</v>
      </c>
      <c r="H317">
        <v>22.27</v>
      </c>
    </row>
    <row r="318" spans="1:8">
      <c r="A318" s="1">
        <v>33</v>
      </c>
      <c r="B318" t="s">
        <v>2036</v>
      </c>
      <c r="C318">
        <v>83.01</v>
      </c>
      <c r="D318">
        <v>309.45</v>
      </c>
      <c r="E318">
        <v>0.71534200000000003</v>
      </c>
      <c r="F318">
        <v>0.84</v>
      </c>
      <c r="G318">
        <v>40</v>
      </c>
      <c r="H318">
        <v>18.989999999999998</v>
      </c>
    </row>
    <row r="319" spans="1:8">
      <c r="A319" s="1">
        <v>34</v>
      </c>
      <c r="B319" t="s">
        <v>2037</v>
      </c>
      <c r="C319">
        <v>79.319999999999993</v>
      </c>
      <c r="D319">
        <v>312.57</v>
      </c>
      <c r="E319">
        <v>0.75004999999999999</v>
      </c>
      <c r="F319">
        <v>7.33</v>
      </c>
      <c r="G319">
        <v>14</v>
      </c>
      <c r="H319">
        <v>18.739999999999998</v>
      </c>
    </row>
    <row r="320" spans="1:8">
      <c r="A320" s="1">
        <v>35</v>
      </c>
      <c r="B320" t="s">
        <v>2038</v>
      </c>
      <c r="C320">
        <v>80.38</v>
      </c>
      <c r="D320">
        <v>310.22000000000003</v>
      </c>
      <c r="E320">
        <v>0.69706699999999999</v>
      </c>
      <c r="F320">
        <v>0.81</v>
      </c>
      <c r="G320">
        <v>34</v>
      </c>
      <c r="H320">
        <v>19.23</v>
      </c>
    </row>
    <row r="321" spans="1:8">
      <c r="A321" s="1">
        <v>36</v>
      </c>
      <c r="B321" t="s">
        <v>2039</v>
      </c>
      <c r="C321">
        <v>85.14</v>
      </c>
      <c r="D321">
        <v>308.33999999999997</v>
      </c>
      <c r="E321">
        <v>0.60302699999999998</v>
      </c>
      <c r="F321">
        <v>0.23</v>
      </c>
      <c r="G321">
        <v>34</v>
      </c>
      <c r="H321">
        <v>21.14</v>
      </c>
    </row>
    <row r="322" spans="1:8">
      <c r="A322" s="1">
        <v>37</v>
      </c>
      <c r="B322" t="s">
        <v>2040</v>
      </c>
      <c r="C322">
        <v>84.23</v>
      </c>
      <c r="D322">
        <v>312.5</v>
      </c>
      <c r="E322">
        <v>0.72126599999999996</v>
      </c>
      <c r="F322">
        <v>5.84</v>
      </c>
      <c r="G322">
        <v>44</v>
      </c>
      <c r="H322">
        <v>20.29</v>
      </c>
    </row>
    <row r="323" spans="1:8">
      <c r="A323" s="1">
        <v>38</v>
      </c>
      <c r="B323" t="s">
        <v>2041</v>
      </c>
      <c r="C323">
        <v>78.27</v>
      </c>
      <c r="D323">
        <v>312.27</v>
      </c>
      <c r="E323">
        <v>0.80252999999999997</v>
      </c>
      <c r="F323">
        <v>3.11</v>
      </c>
      <c r="G323">
        <v>6</v>
      </c>
      <c r="H323">
        <v>18.98</v>
      </c>
    </row>
    <row r="324" spans="1:8">
      <c r="A324" s="1">
        <v>39</v>
      </c>
      <c r="B324" t="s">
        <v>2042</v>
      </c>
      <c r="C324">
        <v>83.43</v>
      </c>
      <c r="D324">
        <v>313.70999999999998</v>
      </c>
      <c r="E324">
        <v>0.73002999999999996</v>
      </c>
      <c r="F324">
        <v>4.45</v>
      </c>
      <c r="G324">
        <v>4</v>
      </c>
      <c r="H324">
        <v>20.09</v>
      </c>
    </row>
    <row r="325" spans="1:8">
      <c r="A325" s="1">
        <v>40</v>
      </c>
      <c r="B325" t="s">
        <v>2043</v>
      </c>
      <c r="C325">
        <v>76.75</v>
      </c>
      <c r="D325">
        <v>312.27999999999997</v>
      </c>
      <c r="E325">
        <v>0.77806900000000001</v>
      </c>
      <c r="F325">
        <v>9.14</v>
      </c>
      <c r="G325">
        <v>44</v>
      </c>
      <c r="H325">
        <v>18.96</v>
      </c>
    </row>
    <row r="326" spans="1:8">
      <c r="A326" s="1">
        <v>41</v>
      </c>
      <c r="B326" t="s">
        <v>2044</v>
      </c>
      <c r="C326">
        <v>79.33</v>
      </c>
      <c r="D326">
        <v>310.55</v>
      </c>
      <c r="E326">
        <v>0.61415799999999998</v>
      </c>
      <c r="F326">
        <v>3.03</v>
      </c>
      <c r="G326">
        <v>0</v>
      </c>
      <c r="H326">
        <v>18.57</v>
      </c>
    </row>
    <row r="327" spans="1:8">
      <c r="A327" s="1">
        <v>42</v>
      </c>
      <c r="B327" t="s">
        <v>2045</v>
      </c>
      <c r="C327">
        <v>74.13</v>
      </c>
      <c r="D327">
        <v>310.33</v>
      </c>
      <c r="E327">
        <v>0.72722200000000004</v>
      </c>
      <c r="F327">
        <v>1.42</v>
      </c>
      <c r="G327">
        <v>64</v>
      </c>
      <c r="H327">
        <v>17.78</v>
      </c>
    </row>
    <row r="328" spans="1:8">
      <c r="A328" s="1">
        <v>43</v>
      </c>
      <c r="B328" t="s">
        <v>2046</v>
      </c>
      <c r="C328">
        <v>74.819999999999993</v>
      </c>
      <c r="D328">
        <v>311.75</v>
      </c>
      <c r="E328">
        <v>0.78554999999999997</v>
      </c>
      <c r="F328">
        <v>10.91</v>
      </c>
      <c r="G328">
        <v>44</v>
      </c>
      <c r="H328">
        <v>17.3</v>
      </c>
    </row>
    <row r="329" spans="1:8">
      <c r="A329" s="1">
        <v>44</v>
      </c>
      <c r="B329" t="s">
        <v>2047</v>
      </c>
      <c r="C329">
        <v>74.31</v>
      </c>
      <c r="D329">
        <v>311.01</v>
      </c>
      <c r="E329">
        <v>0.77925800000000001</v>
      </c>
      <c r="F329">
        <v>4.1900000000000004</v>
      </c>
      <c r="G329">
        <v>76</v>
      </c>
      <c r="H329">
        <v>17.22</v>
      </c>
    </row>
    <row r="330" spans="1:8">
      <c r="A330" s="1">
        <v>45</v>
      </c>
      <c r="B330" t="s">
        <v>2048</v>
      </c>
      <c r="C330">
        <v>82.87</v>
      </c>
      <c r="D330">
        <v>311.37</v>
      </c>
      <c r="E330">
        <v>0.72054700000000005</v>
      </c>
      <c r="F330">
        <v>3.92</v>
      </c>
      <c r="G330">
        <v>32</v>
      </c>
      <c r="H330">
        <v>19.760000000000002</v>
      </c>
    </row>
    <row r="331" spans="1:8">
      <c r="A331" s="1">
        <v>46</v>
      </c>
      <c r="B331" t="s">
        <v>2049</v>
      </c>
      <c r="C331">
        <v>78.8</v>
      </c>
      <c r="D331">
        <v>313.14999999999998</v>
      </c>
      <c r="E331">
        <v>0.77465600000000001</v>
      </c>
      <c r="F331">
        <v>14.94</v>
      </c>
      <c r="G331">
        <v>60</v>
      </c>
      <c r="H331">
        <v>18.829999999999998</v>
      </c>
    </row>
    <row r="332" spans="1:8">
      <c r="A332" s="1">
        <v>47</v>
      </c>
      <c r="B332" t="s">
        <v>2050</v>
      </c>
      <c r="C332">
        <v>77.23</v>
      </c>
      <c r="D332">
        <v>310.82</v>
      </c>
      <c r="E332">
        <v>0.77634099999999995</v>
      </c>
      <c r="F332">
        <v>0.46</v>
      </c>
      <c r="G332">
        <v>22</v>
      </c>
      <c r="H332">
        <v>20.100000000000001</v>
      </c>
    </row>
    <row r="333" spans="1:8">
      <c r="A333" s="1">
        <v>48</v>
      </c>
      <c r="B333" t="s">
        <v>2051</v>
      </c>
      <c r="C333">
        <v>81.72</v>
      </c>
      <c r="D333">
        <v>313.14999999999998</v>
      </c>
      <c r="E333">
        <v>0.73312299999999997</v>
      </c>
      <c r="F333">
        <v>12.13</v>
      </c>
      <c r="G333">
        <v>32</v>
      </c>
      <c r="H333">
        <v>20.14</v>
      </c>
    </row>
    <row r="334" spans="1:8">
      <c r="A334" s="1">
        <v>49</v>
      </c>
      <c r="B334" t="s">
        <v>2052</v>
      </c>
      <c r="C334">
        <v>86.04</v>
      </c>
      <c r="D334">
        <v>309.42</v>
      </c>
      <c r="E334">
        <v>0.65221399999999996</v>
      </c>
      <c r="F334">
        <v>1</v>
      </c>
      <c r="G334">
        <v>4</v>
      </c>
      <c r="H334">
        <v>23.23</v>
      </c>
    </row>
    <row r="335" spans="1:8">
      <c r="A335" s="1">
        <v>50</v>
      </c>
      <c r="B335" t="s">
        <v>2053</v>
      </c>
      <c r="C335">
        <v>77.05</v>
      </c>
      <c r="D335">
        <v>312.48</v>
      </c>
      <c r="E335">
        <v>0.80842499999999995</v>
      </c>
      <c r="F335">
        <v>6.49</v>
      </c>
      <c r="G335">
        <v>66</v>
      </c>
      <c r="H335">
        <v>18.02</v>
      </c>
    </row>
    <row r="336" spans="1:8">
      <c r="B336" s="1" t="s">
        <v>19</v>
      </c>
      <c r="C336" s="1">
        <f>AVERAGE(C286:C335)</f>
        <v>80.800600000000017</v>
      </c>
      <c r="D336" s="1">
        <f t="shared" ref="D336:H336" si="17">AVERAGE(D286:D335)</f>
        <v>311.48419999999993</v>
      </c>
      <c r="E336" s="1">
        <f t="shared" si="17"/>
        <v>0.72862152000000013</v>
      </c>
      <c r="F336" s="1">
        <f t="shared" si="17"/>
        <v>4.5015999999999998</v>
      </c>
      <c r="G336" s="1">
        <f t="shared" si="17"/>
        <v>37.4</v>
      </c>
      <c r="H336" s="1">
        <f t="shared" si="17"/>
        <v>19.428000000000001</v>
      </c>
    </row>
    <row r="337" spans="1:8">
      <c r="B337" s="1" t="s">
        <v>20</v>
      </c>
      <c r="C337" s="1">
        <f>MIN(C285:C335)</f>
        <v>68.36</v>
      </c>
      <c r="D337" s="1">
        <f t="shared" ref="D337:F337" si="18">MIN(D285:D335)</f>
        <v>308.33999999999997</v>
      </c>
      <c r="E337" s="1">
        <f t="shared" si="18"/>
        <v>0.60302699999999998</v>
      </c>
      <c r="F337" s="1">
        <f t="shared" si="18"/>
        <v>0.12</v>
      </c>
      <c r="H337" s="1">
        <f t="shared" ref="H337" si="19">MIN(H285:H335)</f>
        <v>15.36</v>
      </c>
    </row>
    <row r="338" spans="1:8">
      <c r="B338" s="1" t="s">
        <v>3</v>
      </c>
      <c r="C338" s="1">
        <f>STDEV(C286:C335)</f>
        <v>4.7769119091474952</v>
      </c>
      <c r="D338" s="1">
        <f t="shared" ref="D338:E338" si="20">STDEV(D286:D335)</f>
        <v>1.4650041304068404</v>
      </c>
      <c r="E338" s="1">
        <f t="shared" si="20"/>
        <v>5.729559857342597E-2</v>
      </c>
      <c r="F338" s="1">
        <f>STDEV(F286:F335)</f>
        <v>4.1035988983290448</v>
      </c>
      <c r="H338" s="1">
        <f>STDEV(H286:H335)</f>
        <v>1.4545060175544167</v>
      </c>
    </row>
    <row r="340" spans="1:8">
      <c r="H340" s="21" t="s">
        <v>1435</v>
      </c>
    </row>
    <row r="341" spans="1:8" ht="14.4" customHeight="1">
      <c r="A341" s="21" t="s">
        <v>7</v>
      </c>
      <c r="B341" s="3" t="s">
        <v>6</v>
      </c>
      <c r="C341" s="21" t="s">
        <v>4</v>
      </c>
      <c r="D341" s="21" t="s">
        <v>322</v>
      </c>
      <c r="E341" s="21" t="s">
        <v>321</v>
      </c>
      <c r="F341" s="21" t="s">
        <v>324</v>
      </c>
      <c r="G341" s="21" t="s">
        <v>323</v>
      </c>
      <c r="H341" s="21" t="s">
        <v>1436</v>
      </c>
    </row>
    <row r="342" spans="1:8">
      <c r="A342" s="1">
        <v>1</v>
      </c>
      <c r="B342" t="s">
        <v>3722</v>
      </c>
      <c r="C342">
        <v>71.91</v>
      </c>
      <c r="D342">
        <v>389.17</v>
      </c>
      <c r="E342">
        <v>0.75782700000000003</v>
      </c>
      <c r="F342">
        <v>6.68</v>
      </c>
      <c r="G342">
        <v>36</v>
      </c>
      <c r="H342">
        <v>17.3</v>
      </c>
    </row>
    <row r="343" spans="1:8">
      <c r="A343" s="1">
        <v>2</v>
      </c>
      <c r="B343" t="s">
        <v>3723</v>
      </c>
      <c r="C343">
        <v>63.84</v>
      </c>
      <c r="D343">
        <v>384.22</v>
      </c>
      <c r="E343">
        <v>0.75637799999999999</v>
      </c>
      <c r="F343">
        <v>2.65</v>
      </c>
      <c r="G343">
        <v>84</v>
      </c>
      <c r="H343">
        <v>15.99</v>
      </c>
    </row>
    <row r="344" spans="1:8">
      <c r="A344" s="1">
        <v>3</v>
      </c>
      <c r="B344" t="s">
        <v>3724</v>
      </c>
      <c r="C344">
        <v>70.849999999999994</v>
      </c>
      <c r="D344">
        <v>386.77</v>
      </c>
      <c r="E344">
        <v>0.78562699999999996</v>
      </c>
      <c r="F344">
        <v>0.77</v>
      </c>
      <c r="G344">
        <v>32</v>
      </c>
      <c r="H344">
        <v>16.600000000000001</v>
      </c>
    </row>
    <row r="345" spans="1:8">
      <c r="A345" s="1">
        <v>4</v>
      </c>
      <c r="B345" t="s">
        <v>3725</v>
      </c>
      <c r="C345">
        <v>67.95</v>
      </c>
      <c r="D345">
        <v>386.6</v>
      </c>
      <c r="E345">
        <v>0.78273199999999998</v>
      </c>
      <c r="F345">
        <v>1.38</v>
      </c>
      <c r="G345">
        <v>44</v>
      </c>
      <c r="H345">
        <v>15.51</v>
      </c>
    </row>
    <row r="346" spans="1:8">
      <c r="A346" s="1">
        <v>5</v>
      </c>
      <c r="B346" t="s">
        <v>3726</v>
      </c>
      <c r="C346">
        <v>72.260000000000005</v>
      </c>
      <c r="D346">
        <v>388.24</v>
      </c>
      <c r="E346">
        <v>0.76116200000000001</v>
      </c>
      <c r="F346">
        <v>3.07</v>
      </c>
      <c r="G346">
        <v>22</v>
      </c>
      <c r="H346">
        <v>17.61</v>
      </c>
    </row>
    <row r="347" spans="1:8">
      <c r="A347" s="1">
        <v>6</v>
      </c>
      <c r="B347" t="s">
        <v>3727</v>
      </c>
      <c r="C347">
        <v>73.959999999999994</v>
      </c>
      <c r="D347">
        <v>384.49</v>
      </c>
      <c r="E347">
        <v>0.637957</v>
      </c>
      <c r="F347">
        <v>3.15</v>
      </c>
      <c r="G347">
        <v>68</v>
      </c>
      <c r="H347">
        <v>17.95</v>
      </c>
    </row>
    <row r="348" spans="1:8">
      <c r="A348" s="1">
        <v>7</v>
      </c>
      <c r="B348" t="s">
        <v>3728</v>
      </c>
      <c r="C348">
        <v>69.25</v>
      </c>
      <c r="D348">
        <v>386.3</v>
      </c>
      <c r="E348">
        <v>0.75085999999999997</v>
      </c>
      <c r="F348">
        <v>2.04</v>
      </c>
      <c r="G348">
        <v>2</v>
      </c>
      <c r="H348">
        <v>16.18</v>
      </c>
    </row>
    <row r="349" spans="1:8">
      <c r="A349" s="1">
        <v>8</v>
      </c>
      <c r="B349" t="s">
        <v>3729</v>
      </c>
      <c r="C349">
        <v>70.58</v>
      </c>
      <c r="D349">
        <v>385.83</v>
      </c>
      <c r="E349">
        <v>0.71503799999999995</v>
      </c>
      <c r="F349">
        <v>1.27</v>
      </c>
      <c r="G349">
        <v>74</v>
      </c>
      <c r="H349">
        <v>16.239999999999998</v>
      </c>
    </row>
    <row r="350" spans="1:8">
      <c r="A350" s="1">
        <v>9</v>
      </c>
      <c r="B350" t="s">
        <v>3730</v>
      </c>
      <c r="C350">
        <v>68.650000000000006</v>
      </c>
      <c r="D350">
        <v>383.49</v>
      </c>
      <c r="E350">
        <v>0.65906500000000001</v>
      </c>
      <c r="F350">
        <v>2.15</v>
      </c>
      <c r="G350">
        <v>70</v>
      </c>
      <c r="H350">
        <v>16.43</v>
      </c>
    </row>
    <row r="351" spans="1:8">
      <c r="A351" s="1">
        <v>10</v>
      </c>
      <c r="B351" t="s">
        <v>3731</v>
      </c>
      <c r="C351">
        <v>78.400000000000006</v>
      </c>
      <c r="D351" t="e">
        <f>-inf</f>
        <v>#NAME?</v>
      </c>
      <c r="E351">
        <v>0.65003200000000005</v>
      </c>
      <c r="F351">
        <v>0</v>
      </c>
      <c r="G351">
        <v>86</v>
      </c>
      <c r="H351">
        <v>19.95</v>
      </c>
    </row>
    <row r="352" spans="1:8">
      <c r="A352" s="1">
        <v>11</v>
      </c>
      <c r="B352" t="s">
        <v>3732</v>
      </c>
      <c r="C352">
        <v>66.03</v>
      </c>
      <c r="D352">
        <v>386.23</v>
      </c>
      <c r="E352">
        <v>0.76222199999999996</v>
      </c>
      <c r="F352">
        <v>6.03</v>
      </c>
      <c r="G352">
        <v>36</v>
      </c>
      <c r="H352">
        <v>15.6</v>
      </c>
    </row>
    <row r="353" spans="1:8">
      <c r="A353" s="1">
        <v>12</v>
      </c>
      <c r="B353" t="s">
        <v>3733</v>
      </c>
      <c r="C353">
        <v>72.819999999999993</v>
      </c>
      <c r="D353">
        <v>386.16</v>
      </c>
      <c r="E353">
        <v>0.711202</v>
      </c>
      <c r="F353">
        <v>4.84</v>
      </c>
      <c r="G353">
        <v>12</v>
      </c>
      <c r="H353">
        <v>17.21</v>
      </c>
    </row>
    <row r="354" spans="1:8">
      <c r="A354" s="1">
        <v>13</v>
      </c>
      <c r="B354" t="s">
        <v>3734</v>
      </c>
      <c r="C354">
        <v>80.14</v>
      </c>
      <c r="D354">
        <v>388.84</v>
      </c>
      <c r="E354">
        <v>0.70645599999999997</v>
      </c>
      <c r="F354">
        <v>2.46</v>
      </c>
      <c r="G354">
        <v>96</v>
      </c>
      <c r="H354">
        <v>18.53</v>
      </c>
    </row>
    <row r="355" spans="1:8">
      <c r="A355" s="1">
        <v>14</v>
      </c>
      <c r="B355" t="s">
        <v>3735</v>
      </c>
      <c r="C355">
        <v>77.17</v>
      </c>
      <c r="D355">
        <v>382.48</v>
      </c>
      <c r="E355">
        <v>0.63564799999999999</v>
      </c>
      <c r="F355">
        <v>0.12</v>
      </c>
      <c r="G355">
        <v>86</v>
      </c>
      <c r="H355">
        <v>18.57</v>
      </c>
    </row>
    <row r="356" spans="1:8">
      <c r="A356" s="1">
        <v>15</v>
      </c>
      <c r="B356" t="s">
        <v>3736</v>
      </c>
      <c r="C356">
        <v>75.16</v>
      </c>
      <c r="D356">
        <v>387.5</v>
      </c>
      <c r="E356">
        <v>0.68584199999999995</v>
      </c>
      <c r="F356">
        <v>2.61</v>
      </c>
      <c r="G356">
        <v>62</v>
      </c>
      <c r="H356">
        <v>17.100000000000001</v>
      </c>
    </row>
    <row r="357" spans="1:8">
      <c r="A357" s="1">
        <v>16</v>
      </c>
      <c r="B357" t="s">
        <v>3737</v>
      </c>
      <c r="C357">
        <v>64.72</v>
      </c>
      <c r="D357">
        <v>383.16</v>
      </c>
      <c r="E357">
        <v>0.78699300000000005</v>
      </c>
      <c r="F357">
        <v>0.04</v>
      </c>
      <c r="G357">
        <v>28</v>
      </c>
      <c r="H357">
        <v>15.26</v>
      </c>
    </row>
    <row r="358" spans="1:8">
      <c r="A358" s="1">
        <v>17</v>
      </c>
      <c r="B358" t="s">
        <v>3738</v>
      </c>
      <c r="C358">
        <v>70.55</v>
      </c>
      <c r="D358">
        <v>385.02</v>
      </c>
      <c r="E358">
        <v>0.73926999999999998</v>
      </c>
      <c r="F358">
        <v>1.61</v>
      </c>
      <c r="G358">
        <v>94</v>
      </c>
      <c r="H358">
        <v>16.37</v>
      </c>
    </row>
    <row r="359" spans="1:8">
      <c r="A359" s="1">
        <v>18</v>
      </c>
      <c r="B359" t="s">
        <v>3739</v>
      </c>
      <c r="C359">
        <v>67.349999999999994</v>
      </c>
      <c r="D359">
        <v>383.18</v>
      </c>
      <c r="E359">
        <v>0.70483799999999996</v>
      </c>
      <c r="F359">
        <v>1.46</v>
      </c>
      <c r="G359">
        <v>6</v>
      </c>
      <c r="H359">
        <v>15.81</v>
      </c>
    </row>
    <row r="360" spans="1:8">
      <c r="A360" s="1">
        <v>19</v>
      </c>
      <c r="B360" t="s">
        <v>3740</v>
      </c>
      <c r="C360">
        <v>63.21</v>
      </c>
      <c r="D360">
        <v>385.51</v>
      </c>
      <c r="E360">
        <v>0.74297899999999995</v>
      </c>
      <c r="F360">
        <v>3.8</v>
      </c>
      <c r="G360">
        <v>40</v>
      </c>
      <c r="H360">
        <v>14.72</v>
      </c>
    </row>
    <row r="361" spans="1:8">
      <c r="A361" s="1">
        <v>20</v>
      </c>
      <c r="B361" t="s">
        <v>3741</v>
      </c>
      <c r="C361">
        <v>74.040000000000006</v>
      </c>
      <c r="D361">
        <v>389.06</v>
      </c>
      <c r="E361">
        <v>0.75092999999999999</v>
      </c>
      <c r="F361">
        <v>3.26</v>
      </c>
      <c r="G361">
        <v>70</v>
      </c>
      <c r="H361">
        <v>18.55</v>
      </c>
    </row>
    <row r="362" spans="1:8">
      <c r="A362" s="1">
        <v>21</v>
      </c>
      <c r="B362" t="s">
        <v>3742</v>
      </c>
      <c r="C362">
        <v>80.150000000000006</v>
      </c>
      <c r="D362">
        <v>387.37</v>
      </c>
      <c r="E362">
        <v>0.62206899999999998</v>
      </c>
      <c r="F362">
        <v>3.3</v>
      </c>
      <c r="G362">
        <v>14</v>
      </c>
      <c r="H362">
        <v>19.09</v>
      </c>
    </row>
    <row r="363" spans="1:8">
      <c r="A363" s="1">
        <v>22</v>
      </c>
      <c r="B363" t="s">
        <v>3743</v>
      </c>
      <c r="C363">
        <v>63.17</v>
      </c>
      <c r="D363">
        <v>386.59</v>
      </c>
      <c r="E363">
        <v>0.786798</v>
      </c>
      <c r="F363">
        <v>15.09</v>
      </c>
      <c r="G363">
        <v>28</v>
      </c>
      <c r="H363">
        <v>15.32</v>
      </c>
    </row>
    <row r="364" spans="1:8">
      <c r="A364" s="1">
        <v>23</v>
      </c>
      <c r="B364" t="s">
        <v>3744</v>
      </c>
      <c r="C364">
        <v>65.459999999999994</v>
      </c>
      <c r="D364">
        <v>383.85</v>
      </c>
      <c r="E364">
        <v>0.66476000000000002</v>
      </c>
      <c r="F364">
        <v>1.27</v>
      </c>
      <c r="G364">
        <v>38</v>
      </c>
      <c r="H364">
        <v>15.42</v>
      </c>
    </row>
    <row r="365" spans="1:8">
      <c r="A365" s="1">
        <v>24</v>
      </c>
      <c r="B365" t="s">
        <v>3745</v>
      </c>
      <c r="C365">
        <v>74.47</v>
      </c>
      <c r="D365">
        <v>386.49</v>
      </c>
      <c r="E365">
        <v>0.68060399999999999</v>
      </c>
      <c r="F365">
        <v>4.76</v>
      </c>
      <c r="G365">
        <v>36</v>
      </c>
      <c r="H365">
        <v>17.84</v>
      </c>
    </row>
    <row r="366" spans="1:8">
      <c r="A366" s="1">
        <v>25</v>
      </c>
      <c r="B366" t="s">
        <v>3746</v>
      </c>
      <c r="C366">
        <v>76.11</v>
      </c>
      <c r="D366">
        <v>388.74</v>
      </c>
      <c r="E366">
        <v>0.75265400000000005</v>
      </c>
      <c r="F366">
        <v>2.65</v>
      </c>
      <c r="G366">
        <v>30</v>
      </c>
      <c r="H366">
        <v>17.53</v>
      </c>
    </row>
    <row r="367" spans="1:8">
      <c r="A367" s="1">
        <v>26</v>
      </c>
      <c r="B367" t="s">
        <v>3747</v>
      </c>
      <c r="C367">
        <v>71.959999999999994</v>
      </c>
      <c r="D367">
        <v>389.66</v>
      </c>
      <c r="E367">
        <v>0.76404099999999997</v>
      </c>
      <c r="F367">
        <v>13.21</v>
      </c>
      <c r="G367">
        <v>12</v>
      </c>
      <c r="H367">
        <v>16.559999999999999</v>
      </c>
    </row>
    <row r="368" spans="1:8">
      <c r="A368" s="1">
        <v>27</v>
      </c>
      <c r="B368" t="s">
        <v>3748</v>
      </c>
      <c r="C368">
        <v>68.09</v>
      </c>
      <c r="D368">
        <v>384.7</v>
      </c>
      <c r="E368">
        <v>0.66133500000000001</v>
      </c>
      <c r="F368">
        <v>4.72</v>
      </c>
      <c r="G368">
        <v>6</v>
      </c>
      <c r="H368">
        <v>16.14</v>
      </c>
    </row>
    <row r="369" spans="1:8">
      <c r="A369" s="1">
        <v>28</v>
      </c>
      <c r="B369" t="s">
        <v>3749</v>
      </c>
      <c r="C369">
        <v>67.86</v>
      </c>
      <c r="D369">
        <v>386.93</v>
      </c>
      <c r="E369">
        <v>0.71787400000000001</v>
      </c>
      <c r="F369">
        <v>5.88</v>
      </c>
      <c r="G369">
        <v>98</v>
      </c>
      <c r="H369">
        <v>16.23</v>
      </c>
    </row>
    <row r="370" spans="1:8">
      <c r="A370" s="1">
        <v>29</v>
      </c>
      <c r="B370" t="s">
        <v>3750</v>
      </c>
      <c r="C370">
        <v>67.72</v>
      </c>
      <c r="D370">
        <v>387.13</v>
      </c>
      <c r="E370">
        <v>0.79476999999999998</v>
      </c>
      <c r="F370">
        <v>1.19</v>
      </c>
      <c r="G370">
        <v>90</v>
      </c>
      <c r="H370">
        <v>15.87</v>
      </c>
    </row>
    <row r="371" spans="1:8">
      <c r="A371" s="1">
        <v>30</v>
      </c>
      <c r="B371" t="s">
        <v>3751</v>
      </c>
      <c r="C371">
        <v>72.25</v>
      </c>
      <c r="D371">
        <v>385.71</v>
      </c>
      <c r="E371">
        <v>0.65407800000000005</v>
      </c>
      <c r="F371">
        <v>3.03</v>
      </c>
      <c r="G371">
        <v>52</v>
      </c>
      <c r="H371">
        <v>17.47</v>
      </c>
    </row>
    <row r="372" spans="1:8">
      <c r="A372" s="1">
        <v>31</v>
      </c>
      <c r="B372" t="s">
        <v>3752</v>
      </c>
      <c r="C372">
        <v>63.65</v>
      </c>
      <c r="D372">
        <v>385.28</v>
      </c>
      <c r="E372">
        <v>0.78042299999999998</v>
      </c>
      <c r="F372">
        <v>1.61</v>
      </c>
      <c r="G372">
        <v>12</v>
      </c>
      <c r="H372">
        <v>15.14</v>
      </c>
    </row>
    <row r="373" spans="1:8">
      <c r="A373" s="1">
        <v>32</v>
      </c>
      <c r="B373" t="s">
        <v>3753</v>
      </c>
      <c r="C373">
        <v>76.47</v>
      </c>
      <c r="D373">
        <v>387.47</v>
      </c>
      <c r="E373">
        <v>0.74450099999999997</v>
      </c>
      <c r="F373">
        <v>1.54</v>
      </c>
      <c r="G373">
        <v>26</v>
      </c>
      <c r="H373">
        <v>17.97</v>
      </c>
    </row>
    <row r="374" spans="1:8">
      <c r="A374" s="1">
        <v>33</v>
      </c>
      <c r="B374" t="s">
        <v>3754</v>
      </c>
      <c r="C374">
        <v>73.91</v>
      </c>
      <c r="D374">
        <v>388.68</v>
      </c>
      <c r="E374">
        <v>0.76214199999999999</v>
      </c>
      <c r="F374">
        <v>3.3</v>
      </c>
      <c r="G374">
        <v>70</v>
      </c>
      <c r="H374">
        <v>17.2</v>
      </c>
    </row>
    <row r="375" spans="1:8">
      <c r="A375" s="1">
        <v>34</v>
      </c>
      <c r="B375" t="s">
        <v>3755</v>
      </c>
      <c r="C375">
        <v>68.56</v>
      </c>
      <c r="D375">
        <v>386.79</v>
      </c>
      <c r="E375">
        <v>0.71057700000000001</v>
      </c>
      <c r="F375">
        <v>7.26</v>
      </c>
      <c r="G375">
        <v>30</v>
      </c>
      <c r="H375">
        <v>16.579999999999998</v>
      </c>
    </row>
    <row r="376" spans="1:8">
      <c r="A376" s="1">
        <v>35</v>
      </c>
      <c r="B376" t="s">
        <v>3756</v>
      </c>
      <c r="C376">
        <v>74.86</v>
      </c>
      <c r="D376">
        <v>386.14</v>
      </c>
      <c r="E376">
        <v>0.66213999999999995</v>
      </c>
      <c r="F376">
        <v>2.27</v>
      </c>
      <c r="G376">
        <v>72</v>
      </c>
      <c r="H376">
        <v>17.66</v>
      </c>
    </row>
    <row r="377" spans="1:8">
      <c r="A377" s="1">
        <v>36</v>
      </c>
      <c r="B377" t="s">
        <v>3757</v>
      </c>
      <c r="C377">
        <v>67.239999999999995</v>
      </c>
      <c r="D377">
        <v>383.86</v>
      </c>
      <c r="E377">
        <v>0.70696099999999995</v>
      </c>
      <c r="F377">
        <v>1.77</v>
      </c>
      <c r="G377">
        <v>0</v>
      </c>
      <c r="H377">
        <v>15.64</v>
      </c>
    </row>
    <row r="378" spans="1:8">
      <c r="A378" s="1">
        <v>37</v>
      </c>
      <c r="B378" t="s">
        <v>3758</v>
      </c>
      <c r="C378">
        <v>69.84</v>
      </c>
      <c r="D378">
        <v>386.57</v>
      </c>
      <c r="E378">
        <v>0.76299899999999998</v>
      </c>
      <c r="F378">
        <v>2.61</v>
      </c>
      <c r="G378">
        <v>56</v>
      </c>
      <c r="H378">
        <v>16.52</v>
      </c>
    </row>
    <row r="379" spans="1:8">
      <c r="A379" s="1">
        <v>38</v>
      </c>
      <c r="B379" t="s">
        <v>3759</v>
      </c>
      <c r="C379">
        <v>70.55</v>
      </c>
      <c r="D379">
        <v>385.09</v>
      </c>
      <c r="E379">
        <v>0.73272700000000002</v>
      </c>
      <c r="F379">
        <v>0.81</v>
      </c>
      <c r="G379">
        <v>72</v>
      </c>
      <c r="H379">
        <v>16.62</v>
      </c>
    </row>
    <row r="380" spans="1:8">
      <c r="A380" s="1">
        <v>39</v>
      </c>
      <c r="B380" t="s">
        <v>3760</v>
      </c>
      <c r="C380">
        <v>69.06</v>
      </c>
      <c r="D380">
        <v>386.46</v>
      </c>
      <c r="E380">
        <v>0.66799399999999998</v>
      </c>
      <c r="F380">
        <v>12.06</v>
      </c>
      <c r="G380">
        <v>10</v>
      </c>
      <c r="H380">
        <v>17.52</v>
      </c>
    </row>
    <row r="381" spans="1:8">
      <c r="A381" s="1">
        <v>40</v>
      </c>
      <c r="B381" t="s">
        <v>3761</v>
      </c>
      <c r="C381">
        <v>65.75</v>
      </c>
      <c r="D381">
        <v>387.26</v>
      </c>
      <c r="E381">
        <v>0.70012799999999997</v>
      </c>
      <c r="F381">
        <v>12.33</v>
      </c>
      <c r="G381">
        <v>28</v>
      </c>
      <c r="H381">
        <v>15.25</v>
      </c>
    </row>
    <row r="382" spans="1:8">
      <c r="A382" s="1">
        <v>41</v>
      </c>
      <c r="B382" t="s">
        <v>3762</v>
      </c>
      <c r="C382">
        <v>61.27</v>
      </c>
      <c r="D382">
        <v>384.71</v>
      </c>
      <c r="E382">
        <v>0.73799899999999996</v>
      </c>
      <c r="F382">
        <v>2.5299999999999998</v>
      </c>
      <c r="G382">
        <v>62</v>
      </c>
      <c r="H382">
        <v>14.69</v>
      </c>
    </row>
    <row r="383" spans="1:8">
      <c r="A383" s="1">
        <v>42</v>
      </c>
      <c r="B383" t="s">
        <v>3763</v>
      </c>
      <c r="C383">
        <v>69.92</v>
      </c>
      <c r="D383">
        <v>386.66</v>
      </c>
      <c r="E383">
        <v>0.703009</v>
      </c>
      <c r="F383">
        <v>2.88</v>
      </c>
      <c r="G383">
        <v>96</v>
      </c>
      <c r="H383">
        <v>16.54</v>
      </c>
    </row>
    <row r="384" spans="1:8">
      <c r="A384" s="1">
        <v>43</v>
      </c>
      <c r="B384" t="s">
        <v>3764</v>
      </c>
      <c r="C384">
        <v>74.81</v>
      </c>
      <c r="D384">
        <v>388.18</v>
      </c>
      <c r="E384">
        <v>0.72975299999999999</v>
      </c>
      <c r="F384">
        <v>4.26</v>
      </c>
      <c r="G384">
        <v>16</v>
      </c>
      <c r="H384">
        <v>17.68</v>
      </c>
    </row>
    <row r="385" spans="1:8">
      <c r="A385" s="1">
        <v>44</v>
      </c>
      <c r="B385" t="s">
        <v>3765</v>
      </c>
      <c r="C385">
        <v>71.959999999999994</v>
      </c>
      <c r="D385">
        <v>386.88</v>
      </c>
      <c r="E385">
        <v>0.69675500000000001</v>
      </c>
      <c r="F385">
        <v>4.1900000000000004</v>
      </c>
      <c r="G385">
        <v>76</v>
      </c>
      <c r="H385">
        <v>17.71</v>
      </c>
    </row>
    <row r="386" spans="1:8">
      <c r="A386" s="1">
        <v>45</v>
      </c>
      <c r="B386" t="s">
        <v>3766</v>
      </c>
      <c r="C386">
        <v>66.55</v>
      </c>
      <c r="D386">
        <v>385.72</v>
      </c>
      <c r="E386">
        <v>0.79176599999999997</v>
      </c>
      <c r="F386">
        <v>2.84</v>
      </c>
      <c r="G386">
        <v>2</v>
      </c>
      <c r="H386">
        <v>15.71</v>
      </c>
    </row>
    <row r="387" spans="1:8">
      <c r="A387" s="1">
        <v>46</v>
      </c>
      <c r="B387" t="s">
        <v>3767</v>
      </c>
      <c r="C387">
        <v>72.39</v>
      </c>
      <c r="D387">
        <v>382.91</v>
      </c>
      <c r="E387">
        <v>0.68982699999999997</v>
      </c>
      <c r="F387">
        <v>0.08</v>
      </c>
      <c r="G387">
        <v>28</v>
      </c>
      <c r="H387">
        <v>18.170000000000002</v>
      </c>
    </row>
    <row r="388" spans="1:8">
      <c r="A388" s="1">
        <v>47</v>
      </c>
      <c r="B388" t="s">
        <v>3768</v>
      </c>
      <c r="C388">
        <v>68.78</v>
      </c>
      <c r="D388">
        <v>385.93</v>
      </c>
      <c r="E388">
        <v>0.713889</v>
      </c>
      <c r="F388">
        <v>4.57</v>
      </c>
      <c r="G388">
        <v>24</v>
      </c>
      <c r="H388">
        <v>15.79</v>
      </c>
    </row>
    <row r="389" spans="1:8">
      <c r="A389" s="1">
        <v>48</v>
      </c>
      <c r="B389" t="s">
        <v>3769</v>
      </c>
      <c r="C389">
        <v>72.400000000000006</v>
      </c>
      <c r="D389">
        <v>386.67</v>
      </c>
      <c r="E389">
        <v>0.67004399999999997</v>
      </c>
      <c r="F389">
        <v>2.57</v>
      </c>
      <c r="G389">
        <v>50</v>
      </c>
      <c r="H389">
        <v>16.690000000000001</v>
      </c>
    </row>
    <row r="390" spans="1:8">
      <c r="A390" s="1">
        <v>49</v>
      </c>
      <c r="B390" t="s">
        <v>3770</v>
      </c>
      <c r="C390">
        <v>68.209999999999994</v>
      </c>
      <c r="D390">
        <v>386.71</v>
      </c>
      <c r="E390">
        <v>0.73660800000000004</v>
      </c>
      <c r="F390">
        <v>8.4499999999999993</v>
      </c>
      <c r="G390">
        <v>42</v>
      </c>
      <c r="H390">
        <v>16.68</v>
      </c>
    </row>
    <row r="391" spans="1:8">
      <c r="A391" s="1">
        <v>50</v>
      </c>
      <c r="B391" t="s">
        <v>3771</v>
      </c>
      <c r="C391">
        <v>64.86</v>
      </c>
      <c r="D391">
        <v>385</v>
      </c>
      <c r="E391">
        <v>0.71974000000000005</v>
      </c>
      <c r="F391">
        <v>3.84</v>
      </c>
      <c r="G391">
        <v>48</v>
      </c>
      <c r="H391">
        <v>16.03</v>
      </c>
    </row>
    <row r="392" spans="1:8">
      <c r="B392" s="1" t="s">
        <v>19</v>
      </c>
      <c r="C392" s="1">
        <f>AVERAGE(C342:C391)</f>
        <v>70.342400000000012</v>
      </c>
      <c r="D392" s="1" t="e">
        <f t="shared" ref="D392:F392" si="21">AVERAGE(D342:D391)</f>
        <v>#NAME?</v>
      </c>
      <c r="E392" s="1">
        <f t="shared" si="21"/>
        <v>0.72004045999999988</v>
      </c>
      <c r="F392" s="1">
        <f t="shared" si="21"/>
        <v>3.7251999999999992</v>
      </c>
      <c r="H392" s="1">
        <f t="shared" ref="H392" si="22">AVERAGE(H342:H391)</f>
        <v>16.7348</v>
      </c>
    </row>
    <row r="393" spans="1:8">
      <c r="B393" s="1" t="s">
        <v>20</v>
      </c>
      <c r="C393" s="1">
        <f>MIN(C341:C391)</f>
        <v>61.27</v>
      </c>
      <c r="D393" s="1" t="e">
        <f t="shared" ref="D393:F393" si="23">MIN(D341:D391)</f>
        <v>#NAME?</v>
      </c>
      <c r="E393" s="1">
        <f t="shared" si="23"/>
        <v>0.62206899999999998</v>
      </c>
      <c r="F393" s="1">
        <f t="shared" si="23"/>
        <v>0</v>
      </c>
      <c r="H393" s="1">
        <f t="shared" ref="H393" si="24">MIN(H341:H391)</f>
        <v>14.69</v>
      </c>
    </row>
    <row r="394" spans="1:8">
      <c r="B394" s="1" t="s">
        <v>3</v>
      </c>
      <c r="C394" s="1">
        <f>STDEV(C342:C391)</f>
        <v>4.5053037044562778</v>
      </c>
      <c r="D394" s="1" t="e">
        <f t="shared" ref="D394:E394" si="25">STDEV(D342:D391)</f>
        <v>#NAME?</v>
      </c>
      <c r="E394" s="1">
        <f t="shared" si="25"/>
        <v>4.646986177289894E-2</v>
      </c>
      <c r="F394" s="1">
        <f>STDEV(F342:F391)</f>
        <v>3.3752703534952091</v>
      </c>
      <c r="H394" s="1">
        <f>STDEV(H342:H391)</f>
        <v>1.1714708006325161</v>
      </c>
    </row>
    <row r="397" spans="1:8" ht="14.4" customHeight="1">
      <c r="A397" s="21"/>
      <c r="B397" s="3"/>
      <c r="C397" s="21"/>
      <c r="D397" s="21"/>
      <c r="E397" s="21"/>
      <c r="F397" s="21"/>
      <c r="G397" s="21"/>
    </row>
    <row r="421" spans="2:4" ht="14.4" customHeight="1">
      <c r="B421" s="3"/>
      <c r="C421" s="21"/>
      <c r="D421" s="21"/>
    </row>
    <row r="445" spans="2:4" ht="14.4" customHeight="1">
      <c r="B445" s="3"/>
      <c r="C445" s="21"/>
      <c r="D445" s="21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45"/>
  <sheetViews>
    <sheetView topLeftCell="A352" zoomScale="50" zoomScaleNormal="50" workbookViewId="0">
      <selection activeCell="P375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3271</v>
      </c>
      <c r="C1" s="25"/>
      <c r="D1" s="25"/>
    </row>
    <row r="2" spans="1:8">
      <c r="B2" s="25"/>
      <c r="C2" s="25"/>
      <c r="D2" s="25"/>
    </row>
    <row r="4" spans="1:8">
      <c r="H4" s="21" t="s">
        <v>1435</v>
      </c>
    </row>
    <row r="5" spans="1:8" ht="18">
      <c r="A5" s="21" t="s">
        <v>7</v>
      </c>
      <c r="B5" s="3" t="s">
        <v>0</v>
      </c>
      <c r="C5" s="21" t="s">
        <v>4</v>
      </c>
      <c r="D5" s="21" t="s">
        <v>322</v>
      </c>
      <c r="E5" s="21" t="s">
        <v>321</v>
      </c>
      <c r="F5" s="21" t="s">
        <v>324</v>
      </c>
      <c r="G5" s="21" t="s">
        <v>323</v>
      </c>
      <c r="H5" s="21" t="s">
        <v>1436</v>
      </c>
    </row>
    <row r="6" spans="1:8">
      <c r="A6" s="1">
        <v>1</v>
      </c>
      <c r="B6" t="s">
        <v>1455</v>
      </c>
      <c r="C6">
        <v>90.39</v>
      </c>
      <c r="D6">
        <v>15.91</v>
      </c>
      <c r="E6">
        <v>0.989456</v>
      </c>
      <c r="F6">
        <v>81.06</v>
      </c>
      <c r="G6">
        <v>0</v>
      </c>
      <c r="H6">
        <v>19.39</v>
      </c>
    </row>
    <row r="7" spans="1:8">
      <c r="A7" s="1">
        <v>2</v>
      </c>
      <c r="B7" t="s">
        <v>1458</v>
      </c>
      <c r="C7">
        <v>106.96</v>
      </c>
      <c r="D7">
        <v>16.03</v>
      </c>
      <c r="E7">
        <v>0.94476800000000005</v>
      </c>
      <c r="F7">
        <v>81.099999999999994</v>
      </c>
      <c r="G7">
        <v>0</v>
      </c>
      <c r="H7">
        <v>27.96</v>
      </c>
    </row>
    <row r="8" spans="1:8">
      <c r="A8" s="1">
        <v>3</v>
      </c>
      <c r="B8" t="s">
        <v>1461</v>
      </c>
      <c r="C8">
        <v>133.32</v>
      </c>
      <c r="D8">
        <v>16.23</v>
      </c>
      <c r="E8">
        <v>0.94946600000000003</v>
      </c>
      <c r="F8">
        <v>102.57</v>
      </c>
      <c r="G8">
        <v>0</v>
      </c>
      <c r="H8">
        <v>29.52</v>
      </c>
    </row>
    <row r="9" spans="1:8">
      <c r="A9" s="1">
        <v>4</v>
      </c>
      <c r="B9" t="s">
        <v>1464</v>
      </c>
      <c r="C9">
        <v>149.4</v>
      </c>
      <c r="D9">
        <v>16.350000000000001</v>
      </c>
      <c r="E9">
        <v>0.99543400000000004</v>
      </c>
      <c r="F9">
        <v>139.28</v>
      </c>
      <c r="G9">
        <v>0</v>
      </c>
      <c r="H9">
        <v>33.56</v>
      </c>
    </row>
    <row r="10" spans="1:8" s="19" customFormat="1">
      <c r="A10" s="19">
        <v>5</v>
      </c>
      <c r="B10" t="s">
        <v>1467</v>
      </c>
      <c r="C10">
        <v>107.04</v>
      </c>
      <c r="D10">
        <v>16.059999999999999</v>
      </c>
      <c r="E10">
        <v>0.99520399999999998</v>
      </c>
      <c r="F10">
        <v>99.61</v>
      </c>
      <c r="G10">
        <v>2</v>
      </c>
      <c r="H10">
        <v>22.85</v>
      </c>
    </row>
    <row r="11" spans="1:8">
      <c r="A11" s="1">
        <v>6</v>
      </c>
      <c r="B11" t="s">
        <v>1470</v>
      </c>
      <c r="C11">
        <v>136.38</v>
      </c>
      <c r="D11">
        <v>16.260000000000002</v>
      </c>
      <c r="E11">
        <v>0.97527299999999995</v>
      </c>
      <c r="F11">
        <v>114.66</v>
      </c>
      <c r="G11">
        <v>2</v>
      </c>
      <c r="H11">
        <v>37.18</v>
      </c>
    </row>
    <row r="12" spans="1:8">
      <c r="A12" s="1">
        <v>7</v>
      </c>
      <c r="B12" t="s">
        <v>1473</v>
      </c>
      <c r="C12">
        <v>119.87</v>
      </c>
      <c r="D12">
        <v>16.11</v>
      </c>
      <c r="E12">
        <v>0.90138099999999999</v>
      </c>
      <c r="F12">
        <v>80.22</v>
      </c>
      <c r="G12">
        <v>0</v>
      </c>
      <c r="H12">
        <v>26.82</v>
      </c>
    </row>
    <row r="13" spans="1:8">
      <c r="A13" s="1">
        <v>8</v>
      </c>
      <c r="B13" t="s">
        <v>1476</v>
      </c>
      <c r="C13">
        <v>121.46</v>
      </c>
      <c r="D13">
        <v>16.170000000000002</v>
      </c>
      <c r="E13">
        <v>0.99982400000000005</v>
      </c>
      <c r="F13">
        <v>119.85</v>
      </c>
      <c r="G13">
        <v>2</v>
      </c>
      <c r="H13">
        <v>31.21</v>
      </c>
    </row>
    <row r="14" spans="1:8">
      <c r="A14" s="1">
        <v>9</v>
      </c>
      <c r="B14" t="s">
        <v>1479</v>
      </c>
      <c r="C14">
        <v>100.88</v>
      </c>
      <c r="D14">
        <v>16.010000000000002</v>
      </c>
      <c r="E14">
        <v>0.99997899999999995</v>
      </c>
      <c r="F14">
        <v>100.42</v>
      </c>
      <c r="G14">
        <v>0</v>
      </c>
      <c r="H14">
        <v>22.69</v>
      </c>
    </row>
    <row r="15" spans="1:8">
      <c r="A15" s="1">
        <v>10</v>
      </c>
      <c r="B15" t="s">
        <v>1482</v>
      </c>
      <c r="C15">
        <v>95.65</v>
      </c>
      <c r="D15">
        <v>15.96</v>
      </c>
      <c r="E15">
        <v>0.99832600000000005</v>
      </c>
      <c r="F15">
        <v>91.74</v>
      </c>
      <c r="G15">
        <v>2</v>
      </c>
      <c r="H15">
        <v>19.45</v>
      </c>
    </row>
    <row r="16" spans="1:8">
      <c r="A16" s="1">
        <v>11</v>
      </c>
      <c r="B16" t="s">
        <v>1485</v>
      </c>
      <c r="C16">
        <v>102.68</v>
      </c>
      <c r="D16">
        <v>16.02</v>
      </c>
      <c r="E16">
        <v>0.98773299999999997</v>
      </c>
      <c r="F16">
        <v>91.24</v>
      </c>
      <c r="G16">
        <v>0</v>
      </c>
      <c r="H16">
        <v>22.88</v>
      </c>
    </row>
    <row r="17" spans="1:8">
      <c r="A17" s="1">
        <v>12</v>
      </c>
      <c r="B17" t="s">
        <v>1488</v>
      </c>
      <c r="C17">
        <v>104.79</v>
      </c>
      <c r="D17">
        <v>16.02</v>
      </c>
      <c r="E17">
        <v>0.94600200000000001</v>
      </c>
      <c r="F17">
        <v>79.760000000000005</v>
      </c>
      <c r="G17">
        <v>0</v>
      </c>
      <c r="H17">
        <v>22.45</v>
      </c>
    </row>
    <row r="18" spans="1:8">
      <c r="A18" s="1">
        <v>13</v>
      </c>
      <c r="B18" t="s">
        <v>1491</v>
      </c>
      <c r="C18">
        <v>145.4</v>
      </c>
      <c r="D18">
        <v>16.28</v>
      </c>
      <c r="E18">
        <v>0.90824700000000003</v>
      </c>
      <c r="F18">
        <v>99.19</v>
      </c>
      <c r="G18">
        <v>2</v>
      </c>
      <c r="H18">
        <v>32.380000000000003</v>
      </c>
    </row>
    <row r="19" spans="1:8">
      <c r="A19" s="1">
        <v>14</v>
      </c>
      <c r="B19" t="s">
        <v>1494</v>
      </c>
      <c r="C19">
        <v>147.13</v>
      </c>
      <c r="D19">
        <v>16.329999999999998</v>
      </c>
      <c r="E19">
        <v>0.99043599999999998</v>
      </c>
      <c r="F19">
        <v>132.66999999999999</v>
      </c>
      <c r="G19">
        <v>2</v>
      </c>
      <c r="H19">
        <v>41.72</v>
      </c>
    </row>
    <row r="20" spans="1:8">
      <c r="A20" s="1">
        <v>15</v>
      </c>
      <c r="B20" t="s">
        <v>1497</v>
      </c>
      <c r="C20">
        <v>112.44</v>
      </c>
      <c r="D20">
        <v>16.07</v>
      </c>
      <c r="E20">
        <v>0.92760200000000004</v>
      </c>
      <c r="F20">
        <v>81.02</v>
      </c>
      <c r="G20">
        <v>2</v>
      </c>
      <c r="H20">
        <v>33.03</v>
      </c>
    </row>
    <row r="21" spans="1:8">
      <c r="A21" s="1">
        <v>16</v>
      </c>
      <c r="B21" t="s">
        <v>1500</v>
      </c>
      <c r="C21">
        <v>112.22</v>
      </c>
      <c r="D21">
        <v>16.100000000000001</v>
      </c>
      <c r="E21">
        <v>0.99119199999999996</v>
      </c>
      <c r="F21">
        <v>101.64</v>
      </c>
      <c r="G21">
        <v>2</v>
      </c>
      <c r="H21">
        <v>30.92</v>
      </c>
    </row>
    <row r="22" spans="1:8">
      <c r="A22" s="1">
        <v>17</v>
      </c>
      <c r="B22" t="s">
        <v>1503</v>
      </c>
      <c r="C22">
        <v>91.58</v>
      </c>
      <c r="D22">
        <v>15.92</v>
      </c>
      <c r="E22">
        <v>0.98503200000000002</v>
      </c>
      <c r="F22">
        <v>80.290000000000006</v>
      </c>
      <c r="G22">
        <v>2</v>
      </c>
      <c r="H22">
        <v>22.83</v>
      </c>
    </row>
    <row r="23" spans="1:8">
      <c r="A23" s="1">
        <v>18</v>
      </c>
      <c r="B23" t="s">
        <v>1506</v>
      </c>
      <c r="C23">
        <v>100.3</v>
      </c>
      <c r="D23">
        <v>16</v>
      </c>
      <c r="E23">
        <v>0.99966200000000005</v>
      </c>
      <c r="F23">
        <v>98.46</v>
      </c>
      <c r="G23">
        <v>2</v>
      </c>
      <c r="H23">
        <v>22.8</v>
      </c>
    </row>
    <row r="24" spans="1:8">
      <c r="A24" s="1">
        <v>19</v>
      </c>
      <c r="B24" t="s">
        <v>1509</v>
      </c>
      <c r="C24">
        <v>114.99</v>
      </c>
      <c r="D24">
        <v>16.11</v>
      </c>
      <c r="E24">
        <v>0.98285500000000003</v>
      </c>
      <c r="F24">
        <v>99.8</v>
      </c>
      <c r="G24">
        <v>0</v>
      </c>
      <c r="H24">
        <v>33.83</v>
      </c>
    </row>
    <row r="25" spans="1:8">
      <c r="A25" s="1">
        <v>20</v>
      </c>
      <c r="B25" t="s">
        <v>1512</v>
      </c>
      <c r="C25">
        <v>119.37</v>
      </c>
      <c r="D25">
        <v>16.14</v>
      </c>
      <c r="E25">
        <v>0.971387</v>
      </c>
      <c r="F25">
        <v>98.88</v>
      </c>
      <c r="G25">
        <v>0</v>
      </c>
      <c r="H25">
        <v>26.87</v>
      </c>
    </row>
    <row r="26" spans="1:8">
      <c r="A26" s="1">
        <v>21</v>
      </c>
      <c r="B26" t="s">
        <v>1515</v>
      </c>
      <c r="C26">
        <v>152.35</v>
      </c>
      <c r="D26">
        <v>16.37</v>
      </c>
      <c r="E26">
        <v>0.99883500000000003</v>
      </c>
      <c r="F26">
        <v>147.15</v>
      </c>
      <c r="G26">
        <v>0</v>
      </c>
      <c r="H26">
        <v>47.42</v>
      </c>
    </row>
    <row r="27" spans="1:8">
      <c r="A27" s="1">
        <v>22</v>
      </c>
      <c r="B27" t="s">
        <v>1518</v>
      </c>
      <c r="C27">
        <v>94.58</v>
      </c>
      <c r="D27">
        <v>15.95</v>
      </c>
      <c r="E27">
        <v>0.99804499999999996</v>
      </c>
      <c r="F27">
        <v>90.39</v>
      </c>
      <c r="G27">
        <v>0</v>
      </c>
      <c r="H27">
        <v>19.36</v>
      </c>
    </row>
    <row r="28" spans="1:8">
      <c r="A28" s="1">
        <v>23</v>
      </c>
      <c r="B28" t="s">
        <v>1521</v>
      </c>
      <c r="C28">
        <v>133.65</v>
      </c>
      <c r="D28">
        <v>16.25</v>
      </c>
      <c r="E28">
        <v>0.99143499999999996</v>
      </c>
      <c r="F28">
        <v>121.23</v>
      </c>
      <c r="G28">
        <v>0</v>
      </c>
      <c r="H28">
        <v>37.03</v>
      </c>
    </row>
    <row r="29" spans="1:8">
      <c r="A29" s="1">
        <v>24</v>
      </c>
      <c r="B29" t="s">
        <v>1524</v>
      </c>
      <c r="C29">
        <v>122.19</v>
      </c>
      <c r="D29">
        <v>16.12</v>
      </c>
      <c r="E29">
        <v>0.89618600000000004</v>
      </c>
      <c r="F29">
        <v>80.599999999999994</v>
      </c>
      <c r="G29">
        <v>0</v>
      </c>
      <c r="H29">
        <v>26.57</v>
      </c>
    </row>
    <row r="30" spans="1:8">
      <c r="A30" s="1">
        <v>25</v>
      </c>
      <c r="B30" t="s">
        <v>1527</v>
      </c>
      <c r="C30">
        <v>131.37</v>
      </c>
      <c r="D30">
        <v>16.22</v>
      </c>
      <c r="E30">
        <v>0.95506999999999997</v>
      </c>
      <c r="F30">
        <v>102.87</v>
      </c>
      <c r="G30">
        <v>0</v>
      </c>
      <c r="H30">
        <v>30.37</v>
      </c>
    </row>
    <row r="31" spans="1:8">
      <c r="A31" s="1">
        <v>26</v>
      </c>
      <c r="B31" t="s">
        <v>1530</v>
      </c>
      <c r="C31">
        <v>130.85</v>
      </c>
      <c r="D31">
        <v>16.23</v>
      </c>
      <c r="E31">
        <v>0.99984399999999996</v>
      </c>
      <c r="F31">
        <v>129.22</v>
      </c>
      <c r="G31">
        <v>2</v>
      </c>
      <c r="H31">
        <v>37.72</v>
      </c>
    </row>
    <row r="32" spans="1:8">
      <c r="A32" s="1">
        <v>27</v>
      </c>
      <c r="B32" t="s">
        <v>1533</v>
      </c>
      <c r="C32">
        <v>124.36</v>
      </c>
      <c r="D32">
        <v>16.190000000000001</v>
      </c>
      <c r="E32">
        <v>0.99437799999999998</v>
      </c>
      <c r="F32">
        <v>115.01</v>
      </c>
      <c r="G32">
        <v>2</v>
      </c>
      <c r="H32">
        <v>36.520000000000003</v>
      </c>
    </row>
    <row r="33" spans="1:8">
      <c r="A33" s="1">
        <v>28</v>
      </c>
      <c r="B33" t="s">
        <v>1536</v>
      </c>
      <c r="C33">
        <v>127.66</v>
      </c>
      <c r="D33">
        <v>16.170000000000002</v>
      </c>
      <c r="E33">
        <v>0.92072600000000004</v>
      </c>
      <c r="F33">
        <v>90.2</v>
      </c>
      <c r="G33">
        <v>0</v>
      </c>
      <c r="H33">
        <v>32.79</v>
      </c>
    </row>
    <row r="34" spans="1:8">
      <c r="A34" s="1">
        <v>29</v>
      </c>
      <c r="B34" t="s">
        <v>1539</v>
      </c>
      <c r="C34">
        <v>124.99</v>
      </c>
      <c r="D34">
        <v>16.18</v>
      </c>
      <c r="E34">
        <v>0.96901999999999999</v>
      </c>
      <c r="F34">
        <v>102.64</v>
      </c>
      <c r="G34">
        <v>0</v>
      </c>
      <c r="H34">
        <v>36.979999999999997</v>
      </c>
    </row>
    <row r="35" spans="1:8">
      <c r="A35" s="1">
        <v>30</v>
      </c>
      <c r="B35" t="s">
        <v>1542</v>
      </c>
      <c r="C35">
        <v>147.57</v>
      </c>
      <c r="D35">
        <v>16.29</v>
      </c>
      <c r="E35">
        <v>0.90363099999999996</v>
      </c>
      <c r="F35">
        <v>99.38</v>
      </c>
      <c r="G35">
        <v>2</v>
      </c>
      <c r="H35">
        <v>31.62</v>
      </c>
    </row>
    <row r="36" spans="1:8">
      <c r="A36" s="1">
        <v>31</v>
      </c>
      <c r="B36" t="s">
        <v>1545</v>
      </c>
      <c r="C36">
        <v>136.53</v>
      </c>
      <c r="D36">
        <v>16.260000000000002</v>
      </c>
      <c r="E36">
        <v>0.96923099999999995</v>
      </c>
      <c r="F36">
        <v>112.2</v>
      </c>
      <c r="G36">
        <v>0</v>
      </c>
      <c r="H36">
        <v>35.24</v>
      </c>
    </row>
    <row r="37" spans="1:8">
      <c r="A37" s="1">
        <v>32</v>
      </c>
      <c r="B37" t="s">
        <v>1548</v>
      </c>
      <c r="C37">
        <v>112.57</v>
      </c>
      <c r="D37">
        <v>16.100000000000001</v>
      </c>
      <c r="E37">
        <v>0.98637799999999998</v>
      </c>
      <c r="F37">
        <v>99.34</v>
      </c>
      <c r="G37">
        <v>2</v>
      </c>
      <c r="H37">
        <v>22.73</v>
      </c>
    </row>
    <row r="38" spans="1:8">
      <c r="A38" s="1">
        <v>33</v>
      </c>
      <c r="B38" t="s">
        <v>1551</v>
      </c>
      <c r="C38">
        <v>161.26</v>
      </c>
      <c r="D38">
        <v>16.41</v>
      </c>
      <c r="E38">
        <v>0.99977899999999997</v>
      </c>
      <c r="F38">
        <v>158.86000000000001</v>
      </c>
      <c r="G38">
        <v>0</v>
      </c>
      <c r="H38">
        <v>39.85</v>
      </c>
    </row>
    <row r="39" spans="1:8">
      <c r="A39" s="1">
        <v>34</v>
      </c>
      <c r="B39" t="s">
        <v>1554</v>
      </c>
      <c r="C39">
        <v>90.39</v>
      </c>
      <c r="D39">
        <v>15.91</v>
      </c>
      <c r="E39">
        <v>0.989456</v>
      </c>
      <c r="F39">
        <v>81.06</v>
      </c>
      <c r="G39">
        <v>0</v>
      </c>
      <c r="H39">
        <v>19.39</v>
      </c>
    </row>
    <row r="40" spans="1:8">
      <c r="A40" s="1">
        <v>35</v>
      </c>
      <c r="B40" t="s">
        <v>1557</v>
      </c>
      <c r="C40">
        <v>133.32</v>
      </c>
      <c r="D40">
        <v>16.23</v>
      </c>
      <c r="E40">
        <v>0.94946600000000003</v>
      </c>
      <c r="F40">
        <v>102.57</v>
      </c>
      <c r="G40">
        <v>0</v>
      </c>
      <c r="H40">
        <v>29.52</v>
      </c>
    </row>
    <row r="41" spans="1:8">
      <c r="A41" s="1">
        <v>36</v>
      </c>
      <c r="B41" t="s">
        <v>1560</v>
      </c>
      <c r="C41">
        <v>145.59</v>
      </c>
      <c r="D41">
        <v>16.329999999999998</v>
      </c>
      <c r="E41">
        <v>0.99998699999999996</v>
      </c>
      <c r="F41">
        <v>145.08000000000001</v>
      </c>
      <c r="G41">
        <v>0</v>
      </c>
      <c r="H41">
        <v>46.95</v>
      </c>
    </row>
    <row r="42" spans="1:8">
      <c r="A42" s="1">
        <v>37</v>
      </c>
      <c r="B42" t="s">
        <v>1563</v>
      </c>
      <c r="C42">
        <v>133.29</v>
      </c>
      <c r="D42">
        <v>16.23</v>
      </c>
      <c r="E42">
        <v>0.94907799999999998</v>
      </c>
      <c r="F42">
        <v>102.41</v>
      </c>
      <c r="G42">
        <v>0</v>
      </c>
      <c r="H42">
        <v>29.35</v>
      </c>
    </row>
    <row r="43" spans="1:8">
      <c r="A43" s="1">
        <v>38</v>
      </c>
      <c r="B43" t="s">
        <v>1566</v>
      </c>
      <c r="C43">
        <v>113.66</v>
      </c>
      <c r="D43">
        <v>16.11</v>
      </c>
      <c r="E43">
        <v>0.99156500000000003</v>
      </c>
      <c r="F43">
        <v>103.18</v>
      </c>
      <c r="G43">
        <v>0</v>
      </c>
      <c r="H43">
        <v>31.47</v>
      </c>
    </row>
    <row r="44" spans="1:8">
      <c r="A44" s="1">
        <v>39</v>
      </c>
      <c r="B44" t="s">
        <v>1569</v>
      </c>
      <c r="C44">
        <v>154.35</v>
      </c>
      <c r="D44">
        <v>16.38</v>
      </c>
      <c r="E44">
        <v>0.99731700000000001</v>
      </c>
      <c r="F44">
        <v>146.34</v>
      </c>
      <c r="G44">
        <v>2</v>
      </c>
      <c r="H44">
        <v>39.700000000000003</v>
      </c>
    </row>
    <row r="45" spans="1:8">
      <c r="A45" s="1">
        <v>40</v>
      </c>
      <c r="B45" t="s">
        <v>1572</v>
      </c>
      <c r="C45">
        <v>156.15</v>
      </c>
      <c r="D45">
        <v>16.37</v>
      </c>
      <c r="E45">
        <v>0.95704599999999995</v>
      </c>
      <c r="F45">
        <v>123.07</v>
      </c>
      <c r="G45">
        <v>0</v>
      </c>
      <c r="H45">
        <v>40.049999999999997</v>
      </c>
    </row>
    <row r="46" spans="1:8">
      <c r="A46" s="1">
        <v>41</v>
      </c>
      <c r="B46" t="s">
        <v>1575</v>
      </c>
      <c r="C46">
        <v>118.83</v>
      </c>
      <c r="D46">
        <v>16.100000000000001</v>
      </c>
      <c r="E46">
        <v>0.90587300000000004</v>
      </c>
      <c r="F46">
        <v>80.52</v>
      </c>
      <c r="G46">
        <v>0</v>
      </c>
      <c r="H46">
        <v>33.270000000000003</v>
      </c>
    </row>
    <row r="47" spans="1:8">
      <c r="A47" s="1">
        <v>42</v>
      </c>
      <c r="B47" t="s">
        <v>1578</v>
      </c>
      <c r="C47">
        <v>101.45</v>
      </c>
      <c r="D47">
        <v>15.99</v>
      </c>
      <c r="E47">
        <v>0.95947099999999996</v>
      </c>
      <c r="F47">
        <v>80.599999999999994</v>
      </c>
      <c r="G47">
        <v>0</v>
      </c>
      <c r="H47">
        <v>27.74</v>
      </c>
    </row>
    <row r="48" spans="1:8">
      <c r="A48" s="1">
        <v>43</v>
      </c>
      <c r="B48" t="s">
        <v>1581</v>
      </c>
      <c r="C48">
        <v>117.83</v>
      </c>
      <c r="D48">
        <v>16.100000000000001</v>
      </c>
      <c r="E48">
        <v>0.90872399999999998</v>
      </c>
      <c r="F48">
        <v>80.489999999999995</v>
      </c>
      <c r="G48">
        <v>2</v>
      </c>
      <c r="H48">
        <v>26.72</v>
      </c>
    </row>
    <row r="49" spans="1:10">
      <c r="A49" s="1">
        <v>44</v>
      </c>
      <c r="B49" t="s">
        <v>1584</v>
      </c>
      <c r="C49">
        <v>122.61</v>
      </c>
      <c r="D49">
        <v>16.12</v>
      </c>
      <c r="E49">
        <v>0.89373599999999997</v>
      </c>
      <c r="F49">
        <v>80.33</v>
      </c>
      <c r="G49">
        <v>0</v>
      </c>
      <c r="H49">
        <v>32.65</v>
      </c>
    </row>
    <row r="50" spans="1:10">
      <c r="A50" s="1">
        <v>45</v>
      </c>
      <c r="B50" t="s">
        <v>1587</v>
      </c>
      <c r="C50">
        <v>153.41</v>
      </c>
      <c r="D50">
        <v>16.37</v>
      </c>
      <c r="E50">
        <v>0.99686600000000003</v>
      </c>
      <c r="F50">
        <v>144.81</v>
      </c>
      <c r="G50">
        <v>0</v>
      </c>
      <c r="H50">
        <v>39.43</v>
      </c>
    </row>
    <row r="51" spans="1:10">
      <c r="A51" s="1">
        <v>46</v>
      </c>
      <c r="B51" t="s">
        <v>1590</v>
      </c>
      <c r="C51">
        <v>153.85</v>
      </c>
      <c r="D51">
        <v>16.34</v>
      </c>
      <c r="E51">
        <v>0.93020000000000003</v>
      </c>
      <c r="F51">
        <v>111.71</v>
      </c>
      <c r="G51">
        <v>0</v>
      </c>
      <c r="H51">
        <v>39.51</v>
      </c>
      <c r="J51" s="1">
        <v>0</v>
      </c>
    </row>
    <row r="52" spans="1:10">
      <c r="A52" s="1">
        <v>47</v>
      </c>
      <c r="B52" t="s">
        <v>1593</v>
      </c>
      <c r="C52">
        <v>101.45</v>
      </c>
      <c r="D52">
        <v>15.99</v>
      </c>
      <c r="E52">
        <v>0.95947099999999996</v>
      </c>
      <c r="F52">
        <v>80.599999999999994</v>
      </c>
      <c r="G52">
        <v>0</v>
      </c>
      <c r="H52">
        <v>27.74</v>
      </c>
    </row>
    <row r="53" spans="1:10">
      <c r="A53" s="1">
        <v>48</v>
      </c>
      <c r="B53" t="s">
        <v>1596</v>
      </c>
      <c r="C53">
        <v>120.33</v>
      </c>
      <c r="D53">
        <v>16.16</v>
      </c>
      <c r="E53">
        <v>0.99998399999999998</v>
      </c>
      <c r="F53">
        <v>119.85</v>
      </c>
      <c r="G53">
        <v>2</v>
      </c>
      <c r="H53">
        <v>26.63</v>
      </c>
    </row>
    <row r="54" spans="1:10">
      <c r="A54" s="1">
        <v>49</v>
      </c>
      <c r="B54" t="s">
        <v>1599</v>
      </c>
      <c r="C54">
        <v>169.54</v>
      </c>
      <c r="D54">
        <v>16.46</v>
      </c>
      <c r="E54">
        <v>0.999749</v>
      </c>
      <c r="F54">
        <v>166.85</v>
      </c>
      <c r="G54">
        <v>0</v>
      </c>
      <c r="H54">
        <v>46.96</v>
      </c>
    </row>
    <row r="55" spans="1:10">
      <c r="A55" s="1">
        <v>50</v>
      </c>
      <c r="B55" t="s">
        <v>1602</v>
      </c>
      <c r="C55">
        <v>149.11000000000001</v>
      </c>
      <c r="D55">
        <v>16.350000000000001</v>
      </c>
      <c r="E55">
        <v>0.99727399999999999</v>
      </c>
      <c r="F55">
        <v>141.31</v>
      </c>
      <c r="G55">
        <v>2</v>
      </c>
      <c r="H55">
        <v>34.159999999999997</v>
      </c>
    </row>
    <row r="56" spans="1:10">
      <c r="B56" s="1" t="s">
        <v>19</v>
      </c>
      <c r="C56" s="1">
        <f>AVERAGE(C6:C55)</f>
        <v>124.94679999999997</v>
      </c>
      <c r="D56" s="1">
        <f t="shared" ref="D56:H56" si="0">AVERAGE(D6:D55)</f>
        <v>16.167200000000005</v>
      </c>
      <c r="E56" s="1">
        <f t="shared" si="0"/>
        <v>0.96814159999999971</v>
      </c>
      <c r="F56" s="1">
        <f t="shared" si="0"/>
        <v>106.26660000000004</v>
      </c>
      <c r="H56" s="1">
        <f t="shared" si="0"/>
        <v>31.315600000000007</v>
      </c>
    </row>
    <row r="57" spans="1:10">
      <c r="B57" s="1" t="s">
        <v>20</v>
      </c>
      <c r="C57" s="1">
        <f>MIN(C5:C55)</f>
        <v>90.39</v>
      </c>
      <c r="D57" s="1">
        <f t="shared" ref="D57:H57" si="1">MIN(D5:D55)</f>
        <v>15.91</v>
      </c>
      <c r="E57" s="1">
        <f t="shared" si="1"/>
        <v>0.89373599999999997</v>
      </c>
      <c r="F57" s="1">
        <f t="shared" si="1"/>
        <v>79.760000000000005</v>
      </c>
      <c r="H57" s="1">
        <f t="shared" si="1"/>
        <v>19.36</v>
      </c>
    </row>
    <row r="58" spans="1:10">
      <c r="B58" s="1" t="s">
        <v>3</v>
      </c>
      <c r="C58" s="1">
        <f>STDEV(C6:C55)</f>
        <v>20.807779494944025</v>
      </c>
      <c r="D58" s="1">
        <f t="shared" ref="D58:E58" si="2">STDEV(D6:D55)</f>
        <v>0.14634373849202656</v>
      </c>
      <c r="E58" s="1">
        <f t="shared" si="2"/>
        <v>3.4402285914799741E-2</v>
      </c>
      <c r="F58" s="1">
        <f>STDEV(F6:F55)</f>
        <v>23.618802922023349</v>
      </c>
      <c r="H58" s="1">
        <f>STDEV(H6:H55)</f>
        <v>7.3668419174524011</v>
      </c>
    </row>
    <row r="60" spans="1:10">
      <c r="H60" s="21" t="s">
        <v>1435</v>
      </c>
    </row>
    <row r="61" spans="1:10" ht="18">
      <c r="A61" s="21" t="s">
        <v>7</v>
      </c>
      <c r="B61" s="3" t="s">
        <v>8</v>
      </c>
      <c r="C61" s="21" t="s">
        <v>4</v>
      </c>
      <c r="D61" s="21" t="s">
        <v>322</v>
      </c>
      <c r="E61" s="21" t="s">
        <v>321</v>
      </c>
      <c r="F61" s="21" t="s">
        <v>324</v>
      </c>
      <c r="G61" s="21" t="s">
        <v>323</v>
      </c>
      <c r="H61" s="21" t="s">
        <v>1436</v>
      </c>
    </row>
    <row r="62" spans="1:10">
      <c r="A62" s="1">
        <v>1</v>
      </c>
      <c r="B62" t="s">
        <v>3872</v>
      </c>
      <c r="C62">
        <v>118.88</v>
      </c>
      <c r="D62">
        <v>40.340000000000003</v>
      </c>
      <c r="E62">
        <v>0.96287800000000001</v>
      </c>
      <c r="F62">
        <v>90.97</v>
      </c>
      <c r="G62">
        <v>0</v>
      </c>
      <c r="H62">
        <v>28.96</v>
      </c>
    </row>
    <row r="63" spans="1:10">
      <c r="A63" s="1">
        <v>2</v>
      </c>
      <c r="B63" t="s">
        <v>3873</v>
      </c>
      <c r="C63">
        <v>110.7</v>
      </c>
      <c r="D63">
        <v>40.17</v>
      </c>
      <c r="E63">
        <v>0.94857000000000002</v>
      </c>
      <c r="F63">
        <v>81.02</v>
      </c>
      <c r="G63">
        <v>2</v>
      </c>
      <c r="H63">
        <v>23.66</v>
      </c>
    </row>
    <row r="64" spans="1:10">
      <c r="A64" s="1">
        <v>3</v>
      </c>
      <c r="B64" t="s">
        <v>3874</v>
      </c>
      <c r="C64">
        <v>158.04</v>
      </c>
      <c r="D64">
        <v>40.96</v>
      </c>
      <c r="E64">
        <v>0.97082500000000005</v>
      </c>
      <c r="F64">
        <v>125.3</v>
      </c>
      <c r="G64">
        <v>2</v>
      </c>
      <c r="H64">
        <v>40.92</v>
      </c>
    </row>
    <row r="65" spans="1:8">
      <c r="A65" s="1">
        <v>4</v>
      </c>
      <c r="B65" t="s">
        <v>3875</v>
      </c>
      <c r="C65">
        <v>123.02</v>
      </c>
      <c r="D65">
        <v>40.44</v>
      </c>
      <c r="E65">
        <v>0.99022699999999997</v>
      </c>
      <c r="F65">
        <v>99.65</v>
      </c>
      <c r="G65">
        <v>8</v>
      </c>
      <c r="H65">
        <v>26.85</v>
      </c>
    </row>
    <row r="66" spans="1:8">
      <c r="A66" s="1">
        <v>5</v>
      </c>
      <c r="B66" t="s">
        <v>3876</v>
      </c>
      <c r="C66">
        <v>107.53</v>
      </c>
      <c r="D66">
        <v>40.130000000000003</v>
      </c>
      <c r="E66">
        <v>0.97457700000000003</v>
      </c>
      <c r="F66">
        <v>89.66</v>
      </c>
      <c r="G66">
        <v>2</v>
      </c>
      <c r="H66">
        <v>25.17</v>
      </c>
    </row>
    <row r="67" spans="1:8">
      <c r="A67" s="1">
        <v>6</v>
      </c>
      <c r="B67" t="s">
        <v>3877</v>
      </c>
      <c r="C67">
        <v>129.03</v>
      </c>
      <c r="D67">
        <v>40.47</v>
      </c>
      <c r="E67">
        <v>0.92442000000000002</v>
      </c>
      <c r="F67">
        <v>80.489999999999995</v>
      </c>
      <c r="G67">
        <v>8</v>
      </c>
      <c r="H67">
        <v>32.24</v>
      </c>
    </row>
    <row r="68" spans="1:8">
      <c r="A68" s="1">
        <v>7</v>
      </c>
      <c r="B68" t="s">
        <v>3878</v>
      </c>
      <c r="C68">
        <v>104.02</v>
      </c>
      <c r="D68">
        <v>40.020000000000003</v>
      </c>
      <c r="E68">
        <v>0.932805</v>
      </c>
      <c r="F68">
        <v>80.680000000000007</v>
      </c>
      <c r="G68">
        <v>2</v>
      </c>
      <c r="H68">
        <v>22.35</v>
      </c>
    </row>
    <row r="69" spans="1:8">
      <c r="A69" s="1">
        <v>8</v>
      </c>
      <c r="B69" t="s">
        <v>3879</v>
      </c>
      <c r="C69">
        <v>135.44</v>
      </c>
      <c r="D69">
        <v>40.56</v>
      </c>
      <c r="E69">
        <v>0.92473499999999997</v>
      </c>
      <c r="F69">
        <v>79.91</v>
      </c>
      <c r="G69">
        <v>8</v>
      </c>
      <c r="H69">
        <v>31.81</v>
      </c>
    </row>
    <row r="70" spans="1:8">
      <c r="A70" s="1">
        <v>9</v>
      </c>
      <c r="B70" t="s">
        <v>3880</v>
      </c>
      <c r="C70">
        <v>108.39</v>
      </c>
      <c r="D70">
        <v>40.090000000000003</v>
      </c>
      <c r="E70">
        <v>0.91898999999999997</v>
      </c>
      <c r="F70">
        <v>80.099999999999994</v>
      </c>
      <c r="G70">
        <v>4</v>
      </c>
      <c r="H70">
        <v>23.52</v>
      </c>
    </row>
    <row r="71" spans="1:8">
      <c r="A71" s="1">
        <v>10</v>
      </c>
      <c r="B71" t="s">
        <v>3881</v>
      </c>
      <c r="C71">
        <v>114.94</v>
      </c>
      <c r="D71">
        <v>40.24</v>
      </c>
      <c r="E71">
        <v>0.93930400000000003</v>
      </c>
      <c r="F71">
        <v>89.2</v>
      </c>
      <c r="G71">
        <v>0</v>
      </c>
      <c r="H71">
        <v>23.31</v>
      </c>
    </row>
    <row r="72" spans="1:8">
      <c r="A72" s="1">
        <v>11</v>
      </c>
      <c r="B72" t="s">
        <v>3882</v>
      </c>
      <c r="C72">
        <v>116.08</v>
      </c>
      <c r="D72">
        <v>40.28</v>
      </c>
      <c r="E72">
        <v>0.95785900000000002</v>
      </c>
      <c r="F72">
        <v>90.89</v>
      </c>
      <c r="G72">
        <v>6</v>
      </c>
      <c r="H72">
        <v>26.62</v>
      </c>
    </row>
    <row r="73" spans="1:8">
      <c r="A73" s="1">
        <v>12</v>
      </c>
      <c r="B73" t="s">
        <v>3883</v>
      </c>
      <c r="C73">
        <v>124.3</v>
      </c>
      <c r="D73">
        <v>40.409999999999997</v>
      </c>
      <c r="E73">
        <v>0.94494199999999995</v>
      </c>
      <c r="F73">
        <v>89.63</v>
      </c>
      <c r="G73">
        <v>4</v>
      </c>
      <c r="H73">
        <v>29.05</v>
      </c>
    </row>
    <row r="74" spans="1:8">
      <c r="A74" s="1">
        <v>13</v>
      </c>
      <c r="B74" t="s">
        <v>3884</v>
      </c>
      <c r="C74">
        <v>116.96</v>
      </c>
      <c r="D74">
        <v>40.29</v>
      </c>
      <c r="E74">
        <v>0.95307500000000001</v>
      </c>
      <c r="F74">
        <v>80.52</v>
      </c>
      <c r="G74">
        <v>4</v>
      </c>
      <c r="H74">
        <v>28.53</v>
      </c>
    </row>
    <row r="75" spans="1:8">
      <c r="A75" s="1">
        <v>14</v>
      </c>
      <c r="B75" t="s">
        <v>3885</v>
      </c>
      <c r="C75">
        <v>112.55</v>
      </c>
      <c r="D75">
        <v>40.229999999999997</v>
      </c>
      <c r="E75">
        <v>0.97159700000000004</v>
      </c>
      <c r="F75">
        <v>89.86</v>
      </c>
      <c r="G75">
        <v>8</v>
      </c>
      <c r="H75">
        <v>27.61</v>
      </c>
    </row>
    <row r="76" spans="1:8">
      <c r="A76" s="1">
        <v>15</v>
      </c>
      <c r="B76" t="s">
        <v>3886</v>
      </c>
      <c r="C76">
        <v>94.86</v>
      </c>
      <c r="D76">
        <v>39.880000000000003</v>
      </c>
      <c r="E76">
        <v>0.99656299999999998</v>
      </c>
      <c r="F76">
        <v>89.78</v>
      </c>
      <c r="G76">
        <v>6</v>
      </c>
      <c r="H76">
        <v>20.84</v>
      </c>
    </row>
    <row r="77" spans="1:8">
      <c r="A77" s="1">
        <v>16</v>
      </c>
      <c r="B77" t="s">
        <v>3887</v>
      </c>
      <c r="C77">
        <v>118.5</v>
      </c>
      <c r="D77">
        <v>40.06</v>
      </c>
      <c r="E77">
        <v>0.81172100000000003</v>
      </c>
      <c r="F77">
        <v>50.69</v>
      </c>
      <c r="G77">
        <v>2</v>
      </c>
      <c r="H77">
        <v>25.02</v>
      </c>
    </row>
    <row r="78" spans="1:8">
      <c r="A78" s="1">
        <v>17</v>
      </c>
      <c r="B78" t="s">
        <v>3888</v>
      </c>
      <c r="C78">
        <v>124.23</v>
      </c>
      <c r="D78">
        <v>40.380000000000003</v>
      </c>
      <c r="E78">
        <v>0.91326399999999996</v>
      </c>
      <c r="F78">
        <v>80.760000000000005</v>
      </c>
      <c r="G78">
        <v>2</v>
      </c>
      <c r="H78">
        <v>30.12</v>
      </c>
    </row>
    <row r="79" spans="1:8">
      <c r="A79" s="1">
        <v>18</v>
      </c>
      <c r="B79" t="s">
        <v>3889</v>
      </c>
      <c r="C79">
        <v>103.66</v>
      </c>
      <c r="D79">
        <v>39.99</v>
      </c>
      <c r="E79">
        <v>0.91284299999999996</v>
      </c>
      <c r="F79">
        <v>80.22</v>
      </c>
      <c r="G79">
        <v>8</v>
      </c>
      <c r="H79">
        <v>24.88</v>
      </c>
    </row>
    <row r="80" spans="1:8">
      <c r="A80" s="1">
        <v>19</v>
      </c>
      <c r="B80" t="s">
        <v>3890</v>
      </c>
      <c r="C80">
        <v>143.29</v>
      </c>
      <c r="D80">
        <v>40.770000000000003</v>
      </c>
      <c r="E80">
        <v>0.98983600000000005</v>
      </c>
      <c r="F80">
        <v>121.8</v>
      </c>
      <c r="G80">
        <v>0</v>
      </c>
      <c r="H80">
        <v>33.450000000000003</v>
      </c>
    </row>
    <row r="81" spans="1:8">
      <c r="A81" s="1">
        <v>20</v>
      </c>
      <c r="B81" t="s">
        <v>3891</v>
      </c>
      <c r="C81">
        <v>136.44999999999999</v>
      </c>
      <c r="D81">
        <v>40.659999999999997</v>
      </c>
      <c r="E81">
        <v>0.99045300000000003</v>
      </c>
      <c r="F81">
        <v>121.04</v>
      </c>
      <c r="G81">
        <v>8</v>
      </c>
      <c r="H81">
        <v>37.25</v>
      </c>
    </row>
    <row r="82" spans="1:8">
      <c r="A82" s="1">
        <v>21</v>
      </c>
      <c r="B82" t="s">
        <v>3892</v>
      </c>
      <c r="C82">
        <v>144.53</v>
      </c>
      <c r="D82">
        <v>40.76</v>
      </c>
      <c r="E82">
        <v>0.97206700000000001</v>
      </c>
      <c r="F82">
        <v>100.45</v>
      </c>
      <c r="G82">
        <v>0</v>
      </c>
      <c r="H82">
        <v>33.83</v>
      </c>
    </row>
    <row r="83" spans="1:8">
      <c r="A83" s="1">
        <v>22</v>
      </c>
      <c r="B83" t="s">
        <v>3893</v>
      </c>
      <c r="C83">
        <v>143.99</v>
      </c>
      <c r="D83">
        <v>40.74</v>
      </c>
      <c r="E83">
        <v>0.951098</v>
      </c>
      <c r="F83">
        <v>102.99</v>
      </c>
      <c r="G83">
        <v>6</v>
      </c>
      <c r="H83">
        <v>37.270000000000003</v>
      </c>
    </row>
    <row r="84" spans="1:8">
      <c r="A84" s="1">
        <v>23</v>
      </c>
      <c r="B84" t="s">
        <v>3894</v>
      </c>
      <c r="C84">
        <v>120.45</v>
      </c>
      <c r="D84">
        <v>40.33</v>
      </c>
      <c r="E84">
        <v>0.94121500000000002</v>
      </c>
      <c r="F84">
        <v>81.06</v>
      </c>
      <c r="G84">
        <v>0</v>
      </c>
      <c r="H84">
        <v>29</v>
      </c>
    </row>
    <row r="85" spans="1:8">
      <c r="A85" s="1">
        <v>24</v>
      </c>
      <c r="B85" t="s">
        <v>3895</v>
      </c>
      <c r="C85">
        <v>114.31</v>
      </c>
      <c r="D85">
        <v>40.270000000000003</v>
      </c>
      <c r="E85">
        <v>0.97560500000000006</v>
      </c>
      <c r="F85">
        <v>99.23</v>
      </c>
      <c r="G85">
        <v>6</v>
      </c>
      <c r="H85">
        <v>26.92</v>
      </c>
    </row>
    <row r="86" spans="1:8">
      <c r="A86" s="1">
        <v>25</v>
      </c>
      <c r="B86" t="s">
        <v>3896</v>
      </c>
      <c r="C86">
        <v>105.55</v>
      </c>
      <c r="D86">
        <v>40.08</v>
      </c>
      <c r="E86">
        <v>0.97100699999999995</v>
      </c>
      <c r="F86">
        <v>80.989999999999995</v>
      </c>
      <c r="G86">
        <v>6</v>
      </c>
      <c r="H86">
        <v>25.13</v>
      </c>
    </row>
    <row r="87" spans="1:8">
      <c r="A87" s="1">
        <v>26</v>
      </c>
      <c r="B87" t="s">
        <v>3897</v>
      </c>
      <c r="C87">
        <v>93.8</v>
      </c>
      <c r="D87">
        <v>39.81</v>
      </c>
      <c r="E87">
        <v>0.95632499999999998</v>
      </c>
      <c r="F87">
        <v>75.84</v>
      </c>
      <c r="G87">
        <v>0</v>
      </c>
      <c r="H87">
        <v>24.95</v>
      </c>
    </row>
    <row r="88" spans="1:8">
      <c r="A88" s="1">
        <v>27</v>
      </c>
      <c r="B88" t="s">
        <v>3898</v>
      </c>
      <c r="C88">
        <v>89.24</v>
      </c>
      <c r="D88">
        <v>38.5</v>
      </c>
      <c r="E88">
        <v>0.75120399999999998</v>
      </c>
      <c r="F88">
        <v>2.42</v>
      </c>
      <c r="G88">
        <v>8</v>
      </c>
      <c r="H88">
        <v>23.97</v>
      </c>
    </row>
    <row r="89" spans="1:8">
      <c r="A89" s="1">
        <v>28</v>
      </c>
      <c r="B89" t="s">
        <v>3899</v>
      </c>
      <c r="C89">
        <v>133.16999999999999</v>
      </c>
      <c r="D89">
        <v>40.479999999999997</v>
      </c>
      <c r="E89">
        <v>0.89619800000000005</v>
      </c>
      <c r="F89">
        <v>81.41</v>
      </c>
      <c r="G89">
        <v>6</v>
      </c>
      <c r="H89">
        <v>29.76</v>
      </c>
    </row>
    <row r="90" spans="1:8">
      <c r="A90" s="1">
        <v>29</v>
      </c>
      <c r="B90" t="s">
        <v>3900</v>
      </c>
      <c r="C90">
        <v>106.05</v>
      </c>
      <c r="D90">
        <v>39.89</v>
      </c>
      <c r="E90">
        <v>0.82641200000000004</v>
      </c>
      <c r="F90">
        <v>54.8</v>
      </c>
      <c r="G90">
        <v>0</v>
      </c>
      <c r="H90">
        <v>25.42</v>
      </c>
    </row>
    <row r="91" spans="1:8">
      <c r="A91" s="1">
        <v>30</v>
      </c>
      <c r="B91" t="s">
        <v>3901</v>
      </c>
      <c r="C91">
        <v>118.23</v>
      </c>
      <c r="D91">
        <v>40.33</v>
      </c>
      <c r="E91">
        <v>0.97393399999999997</v>
      </c>
      <c r="F91">
        <v>93</v>
      </c>
      <c r="G91">
        <v>2</v>
      </c>
      <c r="H91">
        <v>29.1</v>
      </c>
    </row>
    <row r="92" spans="1:8">
      <c r="A92" s="1">
        <v>31</v>
      </c>
      <c r="B92" t="s">
        <v>3902</v>
      </c>
      <c r="C92">
        <v>128.25</v>
      </c>
      <c r="D92">
        <v>40.5</v>
      </c>
      <c r="E92">
        <v>0.965144</v>
      </c>
      <c r="F92">
        <v>90.28</v>
      </c>
      <c r="G92">
        <v>4</v>
      </c>
      <c r="H92">
        <v>32.96</v>
      </c>
    </row>
    <row r="93" spans="1:8">
      <c r="A93" s="1">
        <v>32</v>
      </c>
      <c r="B93" t="s">
        <v>3903</v>
      </c>
      <c r="C93">
        <v>97.94</v>
      </c>
      <c r="D93">
        <v>39.869999999999997</v>
      </c>
      <c r="E93">
        <v>0.924844</v>
      </c>
      <c r="F93">
        <v>67.7</v>
      </c>
      <c r="G93">
        <v>6</v>
      </c>
      <c r="H93">
        <v>24.37</v>
      </c>
    </row>
    <row r="94" spans="1:8">
      <c r="A94" s="1">
        <v>33</v>
      </c>
      <c r="B94" t="s">
        <v>3904</v>
      </c>
      <c r="C94">
        <v>99.22</v>
      </c>
      <c r="D94">
        <v>39.950000000000003</v>
      </c>
      <c r="E94">
        <v>0.96734699999999996</v>
      </c>
      <c r="F94">
        <v>80.790000000000006</v>
      </c>
      <c r="G94">
        <v>2</v>
      </c>
      <c r="H94">
        <v>23.78</v>
      </c>
    </row>
    <row r="95" spans="1:8">
      <c r="A95" s="1">
        <v>34</v>
      </c>
      <c r="B95" t="s">
        <v>3905</v>
      </c>
      <c r="C95">
        <v>104.27</v>
      </c>
      <c r="D95">
        <v>40.06</v>
      </c>
      <c r="E95">
        <v>0.97127200000000002</v>
      </c>
      <c r="F95">
        <v>80.83</v>
      </c>
      <c r="G95">
        <v>4</v>
      </c>
      <c r="H95">
        <v>23.79</v>
      </c>
    </row>
    <row r="96" spans="1:8">
      <c r="A96" s="1">
        <v>35</v>
      </c>
      <c r="B96" t="s">
        <v>3906</v>
      </c>
      <c r="C96">
        <v>99.76</v>
      </c>
      <c r="D96">
        <v>39.979999999999997</v>
      </c>
      <c r="E96">
        <v>0.983931</v>
      </c>
      <c r="F96">
        <v>80.56</v>
      </c>
      <c r="G96">
        <v>8</v>
      </c>
      <c r="H96">
        <v>25.48</v>
      </c>
    </row>
    <row r="97" spans="1:8">
      <c r="A97" s="1">
        <v>36</v>
      </c>
      <c r="B97" t="s">
        <v>3907</v>
      </c>
      <c r="C97">
        <v>128.86000000000001</v>
      </c>
      <c r="D97">
        <v>40.53</v>
      </c>
      <c r="E97">
        <v>0.98305200000000004</v>
      </c>
      <c r="F97">
        <v>102.72</v>
      </c>
      <c r="G97">
        <v>4</v>
      </c>
      <c r="H97">
        <v>34.56</v>
      </c>
    </row>
    <row r="98" spans="1:8">
      <c r="A98" s="1">
        <v>37</v>
      </c>
      <c r="B98" t="s">
        <v>3908</v>
      </c>
      <c r="C98">
        <v>105.88</v>
      </c>
      <c r="D98">
        <v>40.090000000000003</v>
      </c>
      <c r="E98">
        <v>0.96421599999999996</v>
      </c>
      <c r="F98">
        <v>81.33</v>
      </c>
      <c r="G98">
        <v>6</v>
      </c>
      <c r="H98">
        <v>25.22</v>
      </c>
    </row>
    <row r="99" spans="1:8">
      <c r="A99" s="1">
        <v>38</v>
      </c>
      <c r="B99" t="s">
        <v>3909</v>
      </c>
      <c r="C99">
        <v>96.51</v>
      </c>
      <c r="D99">
        <v>39.909999999999997</v>
      </c>
      <c r="E99">
        <v>0.98788900000000002</v>
      </c>
      <c r="F99">
        <v>81.06</v>
      </c>
      <c r="G99">
        <v>4</v>
      </c>
      <c r="H99">
        <v>20.77</v>
      </c>
    </row>
    <row r="100" spans="1:8">
      <c r="A100" s="1">
        <v>39</v>
      </c>
      <c r="B100" t="s">
        <v>3910</v>
      </c>
      <c r="C100">
        <v>130.44</v>
      </c>
      <c r="D100">
        <v>40.549999999999997</v>
      </c>
      <c r="E100">
        <v>0.974387</v>
      </c>
      <c r="F100">
        <v>103.83</v>
      </c>
      <c r="G100">
        <v>0</v>
      </c>
      <c r="H100">
        <v>31.02</v>
      </c>
    </row>
    <row r="101" spans="1:8">
      <c r="A101" s="1">
        <v>40</v>
      </c>
      <c r="B101" t="s">
        <v>3911</v>
      </c>
      <c r="C101">
        <v>100.62</v>
      </c>
      <c r="D101">
        <v>39.99</v>
      </c>
      <c r="E101">
        <v>0.97686799999999996</v>
      </c>
      <c r="F101">
        <v>74.34</v>
      </c>
      <c r="G101">
        <v>4</v>
      </c>
      <c r="H101">
        <v>25.14</v>
      </c>
    </row>
    <row r="102" spans="1:8">
      <c r="A102" s="1">
        <v>41</v>
      </c>
      <c r="B102" t="s">
        <v>3912</v>
      </c>
      <c r="C102">
        <v>121.2</v>
      </c>
      <c r="D102">
        <v>40.4</v>
      </c>
      <c r="E102">
        <v>0.98919100000000004</v>
      </c>
      <c r="F102">
        <v>100.07</v>
      </c>
      <c r="G102">
        <v>2</v>
      </c>
      <c r="H102">
        <v>26.68</v>
      </c>
    </row>
    <row r="103" spans="1:8">
      <c r="A103" s="1">
        <v>42</v>
      </c>
      <c r="B103" t="s">
        <v>3913</v>
      </c>
      <c r="C103">
        <v>107.68</v>
      </c>
      <c r="D103">
        <v>40.1</v>
      </c>
      <c r="E103">
        <v>0.94315899999999997</v>
      </c>
      <c r="F103">
        <v>80.83</v>
      </c>
      <c r="G103">
        <v>8</v>
      </c>
      <c r="H103">
        <v>27.69</v>
      </c>
    </row>
    <row r="104" spans="1:8">
      <c r="A104" s="1">
        <v>43</v>
      </c>
      <c r="B104" t="s">
        <v>3914</v>
      </c>
      <c r="C104">
        <v>130.99</v>
      </c>
      <c r="D104">
        <v>40.56</v>
      </c>
      <c r="E104">
        <v>0.97749600000000003</v>
      </c>
      <c r="F104">
        <v>102.03</v>
      </c>
      <c r="G104">
        <v>2</v>
      </c>
      <c r="H104">
        <v>29.49</v>
      </c>
    </row>
    <row r="105" spans="1:8">
      <c r="A105" s="1">
        <v>44</v>
      </c>
      <c r="B105" t="s">
        <v>3915</v>
      </c>
      <c r="C105">
        <v>110.88</v>
      </c>
      <c r="D105">
        <v>40.200000000000003</v>
      </c>
      <c r="E105">
        <v>0.97854699999999994</v>
      </c>
      <c r="F105">
        <v>97.15</v>
      </c>
      <c r="G105">
        <v>6</v>
      </c>
      <c r="H105">
        <v>26.4</v>
      </c>
    </row>
    <row r="106" spans="1:8">
      <c r="A106" s="1">
        <v>45</v>
      </c>
      <c r="B106" t="s">
        <v>3916</v>
      </c>
      <c r="C106">
        <v>113.67</v>
      </c>
      <c r="D106">
        <v>40.270000000000003</v>
      </c>
      <c r="E106">
        <v>0.99104499999999995</v>
      </c>
      <c r="F106">
        <v>99.15</v>
      </c>
      <c r="G106">
        <v>8</v>
      </c>
      <c r="H106">
        <v>26.73</v>
      </c>
    </row>
    <row r="107" spans="1:8">
      <c r="A107" s="1">
        <v>46</v>
      </c>
      <c r="B107" t="s">
        <v>3917</v>
      </c>
      <c r="C107">
        <v>110.49</v>
      </c>
      <c r="D107">
        <v>39.880000000000003</v>
      </c>
      <c r="E107">
        <v>0.80761700000000003</v>
      </c>
      <c r="F107">
        <v>33.68</v>
      </c>
      <c r="G107">
        <v>0</v>
      </c>
      <c r="H107">
        <v>22.18</v>
      </c>
    </row>
    <row r="108" spans="1:8">
      <c r="A108" s="1">
        <v>47</v>
      </c>
      <c r="B108" t="s">
        <v>3918</v>
      </c>
      <c r="C108">
        <v>117.16</v>
      </c>
      <c r="D108">
        <v>40.22</v>
      </c>
      <c r="E108">
        <v>0.88645099999999999</v>
      </c>
      <c r="F108">
        <v>80.56</v>
      </c>
      <c r="G108">
        <v>6</v>
      </c>
      <c r="H108">
        <v>25.43</v>
      </c>
    </row>
    <row r="109" spans="1:8">
      <c r="A109" s="1">
        <v>48</v>
      </c>
      <c r="B109" t="s">
        <v>3919</v>
      </c>
      <c r="C109">
        <v>124.74</v>
      </c>
      <c r="D109">
        <v>40.450000000000003</v>
      </c>
      <c r="E109">
        <v>0.97428800000000004</v>
      </c>
      <c r="F109">
        <v>101.45</v>
      </c>
      <c r="G109">
        <v>0</v>
      </c>
      <c r="H109">
        <v>31.33</v>
      </c>
    </row>
    <row r="110" spans="1:8">
      <c r="A110" s="1">
        <v>49</v>
      </c>
      <c r="B110" t="s">
        <v>3920</v>
      </c>
      <c r="C110">
        <v>99.41</v>
      </c>
      <c r="D110">
        <v>39.76</v>
      </c>
      <c r="E110">
        <v>0.83075299999999996</v>
      </c>
      <c r="F110">
        <v>53.34</v>
      </c>
      <c r="G110">
        <v>8</v>
      </c>
      <c r="H110">
        <v>26.95</v>
      </c>
    </row>
    <row r="111" spans="1:8">
      <c r="A111" s="1">
        <v>50</v>
      </c>
      <c r="B111" t="s">
        <v>3921</v>
      </c>
      <c r="C111">
        <v>135.28</v>
      </c>
      <c r="D111">
        <v>40.619999999999997</v>
      </c>
      <c r="E111">
        <v>0.96800799999999998</v>
      </c>
      <c r="F111">
        <v>97.5</v>
      </c>
      <c r="G111">
        <v>0</v>
      </c>
      <c r="H111">
        <v>40.81</v>
      </c>
    </row>
    <row r="112" spans="1:8">
      <c r="B112" s="1" t="s">
        <v>19</v>
      </c>
      <c r="C112" s="1">
        <f>AVERAGE(C62:C111)</f>
        <v>116.66879999999996</v>
      </c>
      <c r="D112" s="1">
        <f t="shared" ref="D112:F112" si="3">AVERAGE(D62:D111)</f>
        <v>40.228999999999999</v>
      </c>
      <c r="E112" s="1">
        <f t="shared" si="3"/>
        <v>0.94380108000000018</v>
      </c>
      <c r="F112" s="1">
        <f t="shared" si="3"/>
        <v>85.071200000000005</v>
      </c>
      <c r="H112" s="1">
        <f t="shared" ref="H112" si="4">AVERAGE(H62:H111)</f>
        <v>27.965800000000009</v>
      </c>
    </row>
    <row r="113" spans="1:8">
      <c r="B113" s="1" t="s">
        <v>20</v>
      </c>
      <c r="C113" s="1">
        <f>MIN(C61:C111)</f>
        <v>89.24</v>
      </c>
      <c r="D113" s="1">
        <f t="shared" ref="D113:F113" si="5">MIN(D61:D111)</f>
        <v>38.5</v>
      </c>
      <c r="E113" s="1">
        <f t="shared" si="5"/>
        <v>0.75120399999999998</v>
      </c>
      <c r="F113" s="1">
        <f t="shared" si="5"/>
        <v>2.42</v>
      </c>
      <c r="H113" s="1">
        <f t="shared" ref="H113" si="6">MIN(H61:H111)</f>
        <v>20.77</v>
      </c>
    </row>
    <row r="114" spans="1:8">
      <c r="B114" s="1" t="s">
        <v>3</v>
      </c>
      <c r="C114" s="1">
        <f>STDEV(C62:C111)</f>
        <v>15.16369531721973</v>
      </c>
      <c r="D114" s="1">
        <f t="shared" ref="D114:E114" si="7">STDEV(D62:D111)</f>
        <v>0.37681397998327071</v>
      </c>
      <c r="E114" s="1">
        <f t="shared" si="7"/>
        <v>5.3914862452375228E-2</v>
      </c>
      <c r="F114" s="1">
        <f>STDEV(F62:F111)</f>
        <v>20.632326096765365</v>
      </c>
      <c r="H114" s="1">
        <f>STDEV(H62:H111)</f>
        <v>4.7106999739844859</v>
      </c>
    </row>
    <row r="116" spans="1:8">
      <c r="H116" s="21" t="s">
        <v>1435</v>
      </c>
    </row>
    <row r="117" spans="1:8" ht="18">
      <c r="A117" s="21" t="s">
        <v>7</v>
      </c>
      <c r="B117" s="3" t="s">
        <v>1</v>
      </c>
      <c r="C117" s="21" t="s">
        <v>4</v>
      </c>
      <c r="D117" s="21" t="s">
        <v>322</v>
      </c>
      <c r="E117" s="21" t="s">
        <v>321</v>
      </c>
      <c r="F117" s="21" t="s">
        <v>324</v>
      </c>
      <c r="G117" s="21" t="s">
        <v>323</v>
      </c>
      <c r="H117" s="21" t="s">
        <v>1436</v>
      </c>
    </row>
    <row r="118" spans="1:8">
      <c r="A118" s="1">
        <v>1</v>
      </c>
      <c r="B118" t="s">
        <v>2106</v>
      </c>
      <c r="C118">
        <v>113.16</v>
      </c>
      <c r="D118">
        <v>80.11</v>
      </c>
      <c r="E118">
        <v>0.86764399999999997</v>
      </c>
      <c r="F118">
        <v>41.4</v>
      </c>
      <c r="G118">
        <v>6</v>
      </c>
      <c r="H118">
        <v>26.61</v>
      </c>
    </row>
    <row r="119" spans="1:8">
      <c r="A119" s="1">
        <v>2</v>
      </c>
      <c r="B119" t="s">
        <v>2107</v>
      </c>
      <c r="C119">
        <v>105.57</v>
      </c>
      <c r="D119">
        <v>80.16</v>
      </c>
      <c r="E119">
        <v>0.96446799999999999</v>
      </c>
      <c r="F119">
        <v>80.52</v>
      </c>
      <c r="G119">
        <v>0</v>
      </c>
      <c r="H119">
        <v>25.19</v>
      </c>
    </row>
    <row r="120" spans="1:8">
      <c r="A120" s="1">
        <v>3</v>
      </c>
      <c r="B120" t="s">
        <v>2108</v>
      </c>
      <c r="C120">
        <v>115.9</v>
      </c>
      <c r="D120">
        <v>80.58</v>
      </c>
      <c r="E120">
        <v>0.97067199999999998</v>
      </c>
      <c r="F120">
        <v>89.82</v>
      </c>
      <c r="G120">
        <v>0</v>
      </c>
      <c r="H120">
        <v>26.95</v>
      </c>
    </row>
    <row r="121" spans="1:8">
      <c r="A121" s="1">
        <v>4</v>
      </c>
      <c r="B121" t="s">
        <v>2109</v>
      </c>
      <c r="C121">
        <v>90.55</v>
      </c>
      <c r="D121">
        <v>79.349999999999994</v>
      </c>
      <c r="E121">
        <v>0.900864</v>
      </c>
      <c r="F121">
        <v>49.73</v>
      </c>
      <c r="G121">
        <v>12</v>
      </c>
      <c r="H121">
        <v>22.69</v>
      </c>
    </row>
    <row r="122" spans="1:8">
      <c r="A122" s="1">
        <v>5</v>
      </c>
      <c r="B122" t="s">
        <v>2110</v>
      </c>
      <c r="C122">
        <v>111.55</v>
      </c>
      <c r="D122">
        <v>80.39</v>
      </c>
      <c r="E122">
        <v>0.96172500000000005</v>
      </c>
      <c r="F122">
        <v>81.099999999999994</v>
      </c>
      <c r="G122">
        <v>0</v>
      </c>
      <c r="H122">
        <v>28.03</v>
      </c>
    </row>
    <row r="123" spans="1:8">
      <c r="A123" s="1">
        <v>6</v>
      </c>
      <c r="B123" t="s">
        <v>2111</v>
      </c>
      <c r="C123">
        <v>117.92</v>
      </c>
      <c r="D123">
        <v>80.5</v>
      </c>
      <c r="E123">
        <v>0.90337999999999996</v>
      </c>
      <c r="F123">
        <v>80.64</v>
      </c>
      <c r="G123">
        <v>18</v>
      </c>
      <c r="H123">
        <v>27.38</v>
      </c>
    </row>
    <row r="124" spans="1:8">
      <c r="A124" s="1">
        <v>7</v>
      </c>
      <c r="B124" t="s">
        <v>2112</v>
      </c>
      <c r="C124">
        <v>101.73</v>
      </c>
      <c r="D124">
        <v>79.81</v>
      </c>
      <c r="E124">
        <v>0.88874500000000001</v>
      </c>
      <c r="F124">
        <v>53.26</v>
      </c>
      <c r="G124">
        <v>16</v>
      </c>
      <c r="H124">
        <v>26.59</v>
      </c>
    </row>
    <row r="125" spans="1:8">
      <c r="A125" s="1">
        <v>8</v>
      </c>
      <c r="B125" t="s">
        <v>2113</v>
      </c>
      <c r="C125">
        <v>97.24</v>
      </c>
      <c r="D125">
        <v>79.8</v>
      </c>
      <c r="E125">
        <v>0.96497200000000005</v>
      </c>
      <c r="F125">
        <v>72.540000000000006</v>
      </c>
      <c r="G125">
        <v>6</v>
      </c>
      <c r="H125">
        <v>24.42</v>
      </c>
    </row>
    <row r="126" spans="1:8">
      <c r="A126" s="1">
        <v>9</v>
      </c>
      <c r="B126" t="s">
        <v>2114</v>
      </c>
      <c r="C126">
        <v>108.19</v>
      </c>
      <c r="D126">
        <v>80.2</v>
      </c>
      <c r="E126">
        <v>0.94939499999999999</v>
      </c>
      <c r="F126">
        <v>57.02</v>
      </c>
      <c r="G126">
        <v>2</v>
      </c>
      <c r="H126">
        <v>25.39</v>
      </c>
    </row>
    <row r="127" spans="1:8">
      <c r="A127" s="1">
        <v>10</v>
      </c>
      <c r="B127" t="s">
        <v>2115</v>
      </c>
      <c r="C127">
        <v>104.03</v>
      </c>
      <c r="D127">
        <v>80.05</v>
      </c>
      <c r="E127">
        <v>0.94376499999999997</v>
      </c>
      <c r="F127">
        <v>65.739999999999995</v>
      </c>
      <c r="G127">
        <v>12</v>
      </c>
      <c r="H127">
        <v>22.66</v>
      </c>
    </row>
    <row r="128" spans="1:8">
      <c r="A128" s="1">
        <v>11</v>
      </c>
      <c r="B128" t="s">
        <v>2116</v>
      </c>
      <c r="C128">
        <v>112.88</v>
      </c>
      <c r="D128">
        <v>80.400000000000006</v>
      </c>
      <c r="E128">
        <v>0.94417700000000004</v>
      </c>
      <c r="F128">
        <v>80.72</v>
      </c>
      <c r="G128">
        <v>2</v>
      </c>
      <c r="H128">
        <v>28.43</v>
      </c>
    </row>
    <row r="129" spans="1:8">
      <c r="A129" s="1">
        <v>12</v>
      </c>
      <c r="B129" t="s">
        <v>2117</v>
      </c>
      <c r="C129">
        <v>118.74</v>
      </c>
      <c r="D129">
        <v>80.650000000000006</v>
      </c>
      <c r="E129">
        <v>0.95992900000000003</v>
      </c>
      <c r="F129">
        <v>90.24</v>
      </c>
      <c r="G129">
        <v>16</v>
      </c>
      <c r="H129">
        <v>27</v>
      </c>
    </row>
    <row r="130" spans="1:8">
      <c r="A130" s="1">
        <v>13</v>
      </c>
      <c r="B130" t="s">
        <v>2118</v>
      </c>
      <c r="C130">
        <v>95.59</v>
      </c>
      <c r="D130">
        <v>79.540000000000006</v>
      </c>
      <c r="E130">
        <v>0.90132199999999996</v>
      </c>
      <c r="F130">
        <v>46.96</v>
      </c>
      <c r="G130">
        <v>2</v>
      </c>
      <c r="H130">
        <v>21.86</v>
      </c>
    </row>
    <row r="131" spans="1:8">
      <c r="A131" s="1">
        <v>14</v>
      </c>
      <c r="B131" t="s">
        <v>2119</v>
      </c>
      <c r="C131">
        <v>109.51</v>
      </c>
      <c r="D131">
        <v>80.319999999999993</v>
      </c>
      <c r="E131">
        <v>0.96487699999999998</v>
      </c>
      <c r="F131">
        <v>80.91</v>
      </c>
      <c r="G131">
        <v>2</v>
      </c>
      <c r="H131">
        <v>25.68</v>
      </c>
    </row>
    <row r="132" spans="1:8">
      <c r="A132" s="1">
        <v>15</v>
      </c>
      <c r="B132" t="s">
        <v>2120</v>
      </c>
      <c r="C132">
        <v>104.11</v>
      </c>
      <c r="D132">
        <v>80.09</v>
      </c>
      <c r="E132">
        <v>0.95921500000000004</v>
      </c>
      <c r="F132">
        <v>80.33</v>
      </c>
      <c r="G132">
        <v>0</v>
      </c>
      <c r="H132">
        <v>24.7</v>
      </c>
    </row>
    <row r="133" spans="1:8">
      <c r="A133" s="1">
        <v>16</v>
      </c>
      <c r="B133" t="s">
        <v>2121</v>
      </c>
      <c r="C133">
        <v>87.48</v>
      </c>
      <c r="D133">
        <v>79.069999999999993</v>
      </c>
      <c r="E133">
        <v>0.867062</v>
      </c>
      <c r="F133">
        <v>44.74</v>
      </c>
      <c r="G133">
        <v>8</v>
      </c>
      <c r="H133">
        <v>22.09</v>
      </c>
    </row>
    <row r="134" spans="1:8">
      <c r="A134" s="1">
        <v>17</v>
      </c>
      <c r="B134" t="s">
        <v>2122</v>
      </c>
      <c r="C134">
        <v>92.79</v>
      </c>
      <c r="D134">
        <v>79.400000000000006</v>
      </c>
      <c r="E134">
        <v>0.89933300000000005</v>
      </c>
      <c r="F134">
        <v>51.34</v>
      </c>
      <c r="G134">
        <v>12</v>
      </c>
      <c r="H134">
        <v>20.66</v>
      </c>
    </row>
    <row r="135" spans="1:8">
      <c r="A135" s="1">
        <v>18</v>
      </c>
      <c r="B135" t="s">
        <v>2123</v>
      </c>
      <c r="C135">
        <v>119.75</v>
      </c>
      <c r="D135">
        <v>80.73</v>
      </c>
      <c r="E135">
        <v>0.97793099999999999</v>
      </c>
      <c r="F135">
        <v>90.43</v>
      </c>
      <c r="G135">
        <v>4</v>
      </c>
      <c r="H135">
        <v>28.16</v>
      </c>
    </row>
    <row r="136" spans="1:8">
      <c r="A136" s="1">
        <v>19</v>
      </c>
      <c r="B136" t="s">
        <v>2124</v>
      </c>
      <c r="C136">
        <v>113.34</v>
      </c>
      <c r="D136">
        <v>80.31</v>
      </c>
      <c r="E136">
        <v>0.89788699999999999</v>
      </c>
      <c r="F136">
        <v>74.3</v>
      </c>
      <c r="G136">
        <v>8</v>
      </c>
      <c r="H136">
        <v>27.23</v>
      </c>
    </row>
    <row r="137" spans="1:8">
      <c r="A137" s="1">
        <v>20</v>
      </c>
      <c r="B137" t="s">
        <v>2125</v>
      </c>
      <c r="C137">
        <v>106.84</v>
      </c>
      <c r="D137">
        <v>80.17</v>
      </c>
      <c r="E137">
        <v>0.94681499999999996</v>
      </c>
      <c r="F137">
        <v>80.41</v>
      </c>
      <c r="G137">
        <v>18</v>
      </c>
      <c r="H137">
        <v>24.63</v>
      </c>
    </row>
    <row r="138" spans="1:8">
      <c r="A138" s="1">
        <v>21</v>
      </c>
      <c r="B138" t="s">
        <v>2126</v>
      </c>
      <c r="C138">
        <v>91.64</v>
      </c>
      <c r="D138">
        <v>79.37</v>
      </c>
      <c r="E138">
        <v>0.90201500000000001</v>
      </c>
      <c r="F138">
        <v>45.31</v>
      </c>
      <c r="G138">
        <v>18</v>
      </c>
      <c r="H138">
        <v>20.38</v>
      </c>
    </row>
    <row r="139" spans="1:8">
      <c r="A139" s="1">
        <v>22</v>
      </c>
      <c r="B139" t="s">
        <v>2127</v>
      </c>
      <c r="C139">
        <v>113.56</v>
      </c>
      <c r="D139">
        <v>80.290000000000006</v>
      </c>
      <c r="E139">
        <v>0.89259100000000002</v>
      </c>
      <c r="F139">
        <v>62.48</v>
      </c>
      <c r="G139">
        <v>2</v>
      </c>
      <c r="H139">
        <v>25.86</v>
      </c>
    </row>
    <row r="140" spans="1:8">
      <c r="A140" s="1">
        <v>23</v>
      </c>
      <c r="B140" t="s">
        <v>2128</v>
      </c>
      <c r="C140">
        <v>96.7</v>
      </c>
      <c r="D140">
        <v>79.11</v>
      </c>
      <c r="E140">
        <v>0.77951400000000004</v>
      </c>
      <c r="F140">
        <v>27.88</v>
      </c>
      <c r="G140">
        <v>0</v>
      </c>
      <c r="H140">
        <v>22.96</v>
      </c>
    </row>
    <row r="141" spans="1:8">
      <c r="A141" s="1">
        <v>24</v>
      </c>
      <c r="B141" t="s">
        <v>2129</v>
      </c>
      <c r="C141">
        <v>106.79</v>
      </c>
      <c r="D141">
        <v>80.22</v>
      </c>
      <c r="E141">
        <v>0.973078</v>
      </c>
      <c r="F141">
        <v>80.790000000000006</v>
      </c>
      <c r="G141">
        <v>2</v>
      </c>
      <c r="H141">
        <v>24.64</v>
      </c>
    </row>
    <row r="142" spans="1:8">
      <c r="A142" s="1">
        <v>25</v>
      </c>
      <c r="B142" t="s">
        <v>2130</v>
      </c>
      <c r="C142">
        <v>106.47</v>
      </c>
      <c r="D142">
        <v>80.180000000000007</v>
      </c>
      <c r="E142">
        <v>0.95822200000000002</v>
      </c>
      <c r="F142">
        <v>79.760000000000005</v>
      </c>
      <c r="G142">
        <v>14</v>
      </c>
      <c r="H142">
        <v>24.45</v>
      </c>
    </row>
    <row r="143" spans="1:8">
      <c r="A143" s="1">
        <v>26</v>
      </c>
      <c r="B143" t="s">
        <v>2131</v>
      </c>
      <c r="C143">
        <v>103.25</v>
      </c>
      <c r="D143">
        <v>80.069999999999993</v>
      </c>
      <c r="E143">
        <v>0.97065100000000004</v>
      </c>
      <c r="F143">
        <v>79.989999999999995</v>
      </c>
      <c r="G143">
        <v>14</v>
      </c>
      <c r="H143">
        <v>24.54</v>
      </c>
    </row>
    <row r="144" spans="1:8">
      <c r="A144" s="1">
        <v>27</v>
      </c>
      <c r="B144" t="s">
        <v>2132</v>
      </c>
      <c r="C144">
        <v>95.72</v>
      </c>
      <c r="D144">
        <v>79.69</v>
      </c>
      <c r="E144">
        <v>0.95148999999999995</v>
      </c>
      <c r="F144">
        <v>63.13</v>
      </c>
      <c r="G144">
        <v>16</v>
      </c>
      <c r="H144">
        <v>22.53</v>
      </c>
    </row>
    <row r="145" spans="1:8">
      <c r="A145" s="1">
        <v>28</v>
      </c>
      <c r="B145" t="s">
        <v>2133</v>
      </c>
      <c r="C145">
        <v>95.44</v>
      </c>
      <c r="D145">
        <v>79.64</v>
      </c>
      <c r="E145">
        <v>0.94074199999999997</v>
      </c>
      <c r="F145">
        <v>55.07</v>
      </c>
      <c r="G145">
        <v>16</v>
      </c>
      <c r="H145">
        <v>21.54</v>
      </c>
    </row>
    <row r="146" spans="1:8">
      <c r="A146" s="1">
        <v>29</v>
      </c>
      <c r="B146" t="s">
        <v>2134</v>
      </c>
      <c r="C146">
        <v>118.59</v>
      </c>
      <c r="D146">
        <v>80.58</v>
      </c>
      <c r="E146">
        <v>0.94225199999999998</v>
      </c>
      <c r="F146">
        <v>61.29</v>
      </c>
      <c r="G146">
        <v>4</v>
      </c>
      <c r="H146">
        <v>28.24</v>
      </c>
    </row>
    <row r="147" spans="1:8">
      <c r="A147" s="1">
        <v>30</v>
      </c>
      <c r="B147" t="s">
        <v>2135</v>
      </c>
      <c r="C147">
        <v>103.18</v>
      </c>
      <c r="D147">
        <v>80.02</v>
      </c>
      <c r="E147">
        <v>0.94147400000000003</v>
      </c>
      <c r="F147">
        <v>75.3</v>
      </c>
      <c r="G147">
        <v>4</v>
      </c>
      <c r="H147">
        <v>23.64</v>
      </c>
    </row>
    <row r="148" spans="1:8">
      <c r="A148" s="1">
        <v>31</v>
      </c>
      <c r="B148" t="s">
        <v>2136</v>
      </c>
      <c r="C148">
        <v>110.66</v>
      </c>
      <c r="D148">
        <v>80.37</v>
      </c>
      <c r="E148">
        <v>0.96830400000000005</v>
      </c>
      <c r="F148">
        <v>80.14</v>
      </c>
      <c r="G148">
        <v>2</v>
      </c>
      <c r="H148">
        <v>26.06</v>
      </c>
    </row>
    <row r="149" spans="1:8">
      <c r="A149" s="1">
        <v>32</v>
      </c>
      <c r="B149" t="s">
        <v>2137</v>
      </c>
      <c r="C149">
        <v>122.77</v>
      </c>
      <c r="D149">
        <v>80.72</v>
      </c>
      <c r="E149">
        <v>0.92400199999999999</v>
      </c>
      <c r="F149">
        <v>79.64</v>
      </c>
      <c r="G149">
        <v>18</v>
      </c>
      <c r="H149">
        <v>27.85</v>
      </c>
    </row>
    <row r="150" spans="1:8">
      <c r="A150" s="1">
        <v>33</v>
      </c>
      <c r="B150" t="s">
        <v>2138</v>
      </c>
      <c r="C150">
        <v>105.05</v>
      </c>
      <c r="D150">
        <v>79.97</v>
      </c>
      <c r="E150">
        <v>0.92091400000000001</v>
      </c>
      <c r="F150">
        <v>44.04</v>
      </c>
      <c r="G150">
        <v>8</v>
      </c>
      <c r="H150">
        <v>26.43</v>
      </c>
    </row>
    <row r="151" spans="1:8">
      <c r="A151" s="1">
        <v>34</v>
      </c>
      <c r="B151" t="s">
        <v>2139</v>
      </c>
      <c r="C151">
        <v>107.7</v>
      </c>
      <c r="D151">
        <v>78.849999999999994</v>
      </c>
      <c r="E151">
        <v>0.83797200000000005</v>
      </c>
      <c r="F151">
        <v>2.15</v>
      </c>
      <c r="G151">
        <v>16</v>
      </c>
      <c r="H151">
        <v>23.98</v>
      </c>
    </row>
    <row r="152" spans="1:8">
      <c r="A152" s="1">
        <v>35</v>
      </c>
      <c r="B152" t="s">
        <v>2140</v>
      </c>
      <c r="C152">
        <v>122.39</v>
      </c>
      <c r="D152">
        <v>80.75</v>
      </c>
      <c r="E152">
        <v>0.94225700000000001</v>
      </c>
      <c r="F152">
        <v>78.260000000000005</v>
      </c>
      <c r="G152">
        <v>4</v>
      </c>
      <c r="H152">
        <v>30</v>
      </c>
    </row>
    <row r="153" spans="1:8">
      <c r="A153" s="1">
        <v>36</v>
      </c>
      <c r="B153" t="s">
        <v>2141</v>
      </c>
      <c r="C153">
        <v>92.59</v>
      </c>
      <c r="D153">
        <v>79.45</v>
      </c>
      <c r="E153">
        <v>0.90336899999999998</v>
      </c>
      <c r="F153">
        <v>57.56</v>
      </c>
      <c r="G153">
        <v>4</v>
      </c>
      <c r="H153">
        <v>22.4</v>
      </c>
    </row>
    <row r="154" spans="1:8">
      <c r="A154" s="1">
        <v>37</v>
      </c>
      <c r="B154" t="s">
        <v>2142</v>
      </c>
      <c r="C154">
        <v>88.75</v>
      </c>
      <c r="D154">
        <v>79.2</v>
      </c>
      <c r="E154">
        <v>0.88664600000000005</v>
      </c>
      <c r="F154">
        <v>49.19</v>
      </c>
      <c r="G154">
        <v>16</v>
      </c>
      <c r="H154">
        <v>21.59</v>
      </c>
    </row>
    <row r="155" spans="1:8">
      <c r="A155" s="1">
        <v>38</v>
      </c>
      <c r="B155" t="s">
        <v>2143</v>
      </c>
      <c r="C155">
        <v>110.2</v>
      </c>
      <c r="D155">
        <v>80.290000000000006</v>
      </c>
      <c r="E155">
        <v>0.94550199999999995</v>
      </c>
      <c r="F155">
        <v>80.64</v>
      </c>
      <c r="G155">
        <v>4</v>
      </c>
      <c r="H155">
        <v>26.12</v>
      </c>
    </row>
    <row r="156" spans="1:8">
      <c r="A156" s="1">
        <v>39</v>
      </c>
      <c r="B156" t="s">
        <v>2144</v>
      </c>
      <c r="C156">
        <v>105.74</v>
      </c>
      <c r="D156">
        <v>80.180000000000007</v>
      </c>
      <c r="E156">
        <v>0.97375100000000003</v>
      </c>
      <c r="F156">
        <v>80.83</v>
      </c>
      <c r="G156">
        <v>10</v>
      </c>
      <c r="H156">
        <v>26.47</v>
      </c>
    </row>
    <row r="157" spans="1:8">
      <c r="A157" s="1">
        <v>40</v>
      </c>
      <c r="B157" t="s">
        <v>2145</v>
      </c>
      <c r="C157">
        <v>101.2</v>
      </c>
      <c r="D157">
        <v>80.010000000000005</v>
      </c>
      <c r="E157">
        <v>0.97898700000000005</v>
      </c>
      <c r="F157">
        <v>80.680000000000007</v>
      </c>
      <c r="G157">
        <v>0</v>
      </c>
      <c r="H157">
        <v>23.78</v>
      </c>
    </row>
    <row r="158" spans="1:8">
      <c r="A158" s="1">
        <v>41</v>
      </c>
      <c r="B158" t="s">
        <v>2146</v>
      </c>
      <c r="C158">
        <v>96.25</v>
      </c>
      <c r="D158">
        <v>79.72</v>
      </c>
      <c r="E158">
        <v>0.95260900000000004</v>
      </c>
      <c r="F158">
        <v>59.06</v>
      </c>
      <c r="G158">
        <v>4</v>
      </c>
      <c r="H158">
        <v>23.45</v>
      </c>
    </row>
    <row r="159" spans="1:8">
      <c r="A159" s="1">
        <v>42</v>
      </c>
      <c r="B159" t="s">
        <v>2147</v>
      </c>
      <c r="C159">
        <v>109.61</v>
      </c>
      <c r="D159">
        <v>80.099999999999994</v>
      </c>
      <c r="E159">
        <v>0.88405100000000003</v>
      </c>
      <c r="F159">
        <v>58.91</v>
      </c>
      <c r="G159">
        <v>18</v>
      </c>
      <c r="H159">
        <v>28.07</v>
      </c>
    </row>
    <row r="160" spans="1:8">
      <c r="A160" s="1">
        <v>43</v>
      </c>
      <c r="B160" t="s">
        <v>2148</v>
      </c>
      <c r="C160">
        <v>104.38</v>
      </c>
      <c r="D160">
        <v>79.88</v>
      </c>
      <c r="E160">
        <v>0.88512500000000005</v>
      </c>
      <c r="F160">
        <v>52.11</v>
      </c>
      <c r="G160">
        <v>0</v>
      </c>
      <c r="H160">
        <v>24.11</v>
      </c>
    </row>
    <row r="161" spans="1:8">
      <c r="A161" s="1">
        <v>44</v>
      </c>
      <c r="B161" t="s">
        <v>2149</v>
      </c>
      <c r="C161">
        <v>99.99</v>
      </c>
      <c r="D161">
        <v>79.84</v>
      </c>
      <c r="E161">
        <v>0.92259400000000003</v>
      </c>
      <c r="F161">
        <v>68.62</v>
      </c>
      <c r="G161">
        <v>8</v>
      </c>
      <c r="H161">
        <v>24.73</v>
      </c>
    </row>
    <row r="162" spans="1:8">
      <c r="A162" s="1">
        <v>45</v>
      </c>
      <c r="B162" t="s">
        <v>2150</v>
      </c>
      <c r="C162">
        <v>112.5</v>
      </c>
      <c r="D162">
        <v>80.319999999999993</v>
      </c>
      <c r="E162">
        <v>0.92144499999999996</v>
      </c>
      <c r="F162">
        <v>57.72</v>
      </c>
      <c r="G162">
        <v>2</v>
      </c>
      <c r="H162">
        <v>26</v>
      </c>
    </row>
    <row r="163" spans="1:8">
      <c r="A163" s="1">
        <v>46</v>
      </c>
      <c r="B163" t="s">
        <v>2151</v>
      </c>
      <c r="C163">
        <v>108.94</v>
      </c>
      <c r="D163">
        <v>80.27</v>
      </c>
      <c r="E163">
        <v>0.96010399999999996</v>
      </c>
      <c r="F163">
        <v>70.92</v>
      </c>
      <c r="G163">
        <v>12</v>
      </c>
      <c r="H163">
        <v>25.76</v>
      </c>
    </row>
    <row r="164" spans="1:8">
      <c r="A164" s="1">
        <v>47</v>
      </c>
      <c r="B164" t="s">
        <v>2152</v>
      </c>
      <c r="C164">
        <v>111.27</v>
      </c>
      <c r="D164">
        <v>80.38</v>
      </c>
      <c r="E164">
        <v>0.96136999999999995</v>
      </c>
      <c r="F164">
        <v>81.33</v>
      </c>
      <c r="G164">
        <v>4</v>
      </c>
      <c r="H164">
        <v>26.1</v>
      </c>
    </row>
    <row r="165" spans="1:8">
      <c r="A165" s="1">
        <v>48</v>
      </c>
      <c r="B165" t="s">
        <v>2153</v>
      </c>
      <c r="C165">
        <v>109.61</v>
      </c>
      <c r="D165">
        <v>80.23</v>
      </c>
      <c r="E165">
        <v>0.93313599999999997</v>
      </c>
      <c r="F165">
        <v>63.05</v>
      </c>
      <c r="G165">
        <v>14</v>
      </c>
      <c r="H165">
        <v>26.56</v>
      </c>
    </row>
    <row r="166" spans="1:8">
      <c r="A166" s="1">
        <v>49</v>
      </c>
      <c r="B166" t="s">
        <v>2154</v>
      </c>
      <c r="C166">
        <v>89.87</v>
      </c>
      <c r="D166">
        <v>78.55</v>
      </c>
      <c r="E166">
        <v>0.87983299999999998</v>
      </c>
      <c r="F166">
        <v>4.3</v>
      </c>
      <c r="G166">
        <v>16</v>
      </c>
      <c r="H166">
        <v>22.43</v>
      </c>
    </row>
    <row r="167" spans="1:8">
      <c r="A167" s="1">
        <v>50</v>
      </c>
      <c r="B167" t="s">
        <v>2155</v>
      </c>
      <c r="C167">
        <v>114.95</v>
      </c>
      <c r="D167">
        <v>80.510000000000005</v>
      </c>
      <c r="E167">
        <v>0.95775900000000003</v>
      </c>
      <c r="F167">
        <v>81.33</v>
      </c>
      <c r="G167">
        <v>0</v>
      </c>
      <c r="H167">
        <v>26.21</v>
      </c>
    </row>
    <row r="168" spans="1:8">
      <c r="B168" s="1" t="s">
        <v>19</v>
      </c>
      <c r="C168" s="1">
        <f>AVERAGE(C118:C167)</f>
        <v>105.65259999999995</v>
      </c>
      <c r="D168" s="1">
        <f t="shared" ref="D168:F168" si="8">AVERAGE(D118:D167)</f>
        <v>80.007799999999975</v>
      </c>
      <c r="E168" s="1">
        <f t="shared" si="8"/>
        <v>0.92851873999999979</v>
      </c>
      <c r="F168" s="1">
        <f t="shared" si="8"/>
        <v>65.072599999999994</v>
      </c>
      <c r="H168" s="1">
        <f t="shared" ref="H168" si="9">AVERAGE(H118:H167)</f>
        <v>25.064599999999995</v>
      </c>
    </row>
    <row r="169" spans="1:8">
      <c r="B169" s="1" t="s">
        <v>20</v>
      </c>
      <c r="C169" s="1">
        <f>MIN(C117:C167)</f>
        <v>87.48</v>
      </c>
      <c r="D169" s="1">
        <f>MIN(D117:D167)</f>
        <v>78.55</v>
      </c>
      <c r="E169" s="1">
        <f>MIN(E117:E167)</f>
        <v>0.77951400000000004</v>
      </c>
      <c r="F169" s="1">
        <f>MIN(F117:F167)</f>
        <v>2.15</v>
      </c>
      <c r="H169" s="1">
        <f>MIN(H117:H167)</f>
        <v>20.38</v>
      </c>
    </row>
    <row r="170" spans="1:8">
      <c r="B170" s="1" t="s">
        <v>3</v>
      </c>
      <c r="C170" s="1">
        <f>STDEV(C118:C167)</f>
        <v>9.2228057641519658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1" t="s">
        <v>1435</v>
      </c>
    </row>
    <row r="173" spans="1:8" ht="18">
      <c r="A173" s="21" t="s">
        <v>7</v>
      </c>
      <c r="B173" s="3" t="s">
        <v>9</v>
      </c>
      <c r="C173" s="21" t="s">
        <v>4</v>
      </c>
      <c r="D173" s="21" t="s">
        <v>322</v>
      </c>
      <c r="E173" s="21" t="s">
        <v>321</v>
      </c>
      <c r="F173" s="21" t="s">
        <v>324</v>
      </c>
      <c r="G173" s="21" t="s">
        <v>323</v>
      </c>
      <c r="H173" s="21" t="s">
        <v>1436</v>
      </c>
    </row>
    <row r="174" spans="1:8">
      <c r="A174" s="1">
        <v>1</v>
      </c>
      <c r="B174" t="s">
        <v>2156</v>
      </c>
      <c r="C174">
        <v>91.9</v>
      </c>
      <c r="D174">
        <v>158.9</v>
      </c>
      <c r="E174">
        <v>0.91774500000000003</v>
      </c>
      <c r="F174">
        <v>54.49</v>
      </c>
      <c r="G174">
        <v>6</v>
      </c>
      <c r="H174">
        <v>20.71</v>
      </c>
    </row>
    <row r="175" spans="1:8">
      <c r="A175" s="1">
        <v>2</v>
      </c>
      <c r="B175" t="s">
        <v>2157</v>
      </c>
      <c r="C175">
        <v>81.489999999999995</v>
      </c>
      <c r="D175">
        <v>157.4</v>
      </c>
      <c r="E175">
        <v>0.87154500000000001</v>
      </c>
      <c r="F175">
        <v>27.53</v>
      </c>
      <c r="G175">
        <v>28</v>
      </c>
      <c r="H175">
        <v>18.96</v>
      </c>
    </row>
    <row r="176" spans="1:8">
      <c r="A176" s="1">
        <v>3</v>
      </c>
      <c r="B176" t="s">
        <v>2158</v>
      </c>
      <c r="C176">
        <v>90.01</v>
      </c>
      <c r="D176">
        <v>158.44</v>
      </c>
      <c r="E176">
        <v>0.88006600000000001</v>
      </c>
      <c r="F176">
        <v>40.78</v>
      </c>
      <c r="G176">
        <v>20</v>
      </c>
      <c r="H176">
        <v>21.62</v>
      </c>
    </row>
    <row r="177" spans="1:8">
      <c r="A177" s="1">
        <v>4</v>
      </c>
      <c r="B177" t="s">
        <v>2159</v>
      </c>
      <c r="C177">
        <v>82.35</v>
      </c>
      <c r="D177">
        <v>157.85</v>
      </c>
      <c r="E177">
        <v>0.912076</v>
      </c>
      <c r="F177">
        <v>39.44</v>
      </c>
      <c r="G177">
        <v>10</v>
      </c>
      <c r="H177">
        <v>19.170000000000002</v>
      </c>
    </row>
    <row r="178" spans="1:8">
      <c r="A178" s="1">
        <v>5</v>
      </c>
      <c r="B178" t="s">
        <v>2160</v>
      </c>
      <c r="C178">
        <v>81.62</v>
      </c>
      <c r="D178">
        <v>157.21</v>
      </c>
      <c r="E178">
        <v>0.81890399999999997</v>
      </c>
      <c r="F178">
        <v>27.57</v>
      </c>
      <c r="G178">
        <v>22</v>
      </c>
      <c r="H178">
        <v>18.5</v>
      </c>
    </row>
    <row r="179" spans="1:8">
      <c r="A179" s="1">
        <v>6</v>
      </c>
      <c r="B179" t="s">
        <v>2161</v>
      </c>
      <c r="C179">
        <v>98.06</v>
      </c>
      <c r="D179">
        <v>159.34</v>
      </c>
      <c r="E179">
        <v>0.91359100000000004</v>
      </c>
      <c r="F179">
        <v>39.86</v>
      </c>
      <c r="G179">
        <v>8</v>
      </c>
      <c r="H179">
        <v>22.6</v>
      </c>
    </row>
    <row r="180" spans="1:8">
      <c r="A180" s="1">
        <v>7</v>
      </c>
      <c r="B180" t="s">
        <v>2162</v>
      </c>
      <c r="C180">
        <v>91.67</v>
      </c>
      <c r="D180">
        <v>158.80000000000001</v>
      </c>
      <c r="E180">
        <v>0.91231399999999996</v>
      </c>
      <c r="F180">
        <v>45.89</v>
      </c>
      <c r="G180">
        <v>26</v>
      </c>
      <c r="H180">
        <v>20.63</v>
      </c>
    </row>
    <row r="181" spans="1:8">
      <c r="A181" s="1">
        <v>8</v>
      </c>
      <c r="B181" t="s">
        <v>2163</v>
      </c>
      <c r="C181">
        <v>77.95</v>
      </c>
      <c r="D181">
        <v>157.31</v>
      </c>
      <c r="E181">
        <v>0.89915699999999998</v>
      </c>
      <c r="F181">
        <v>41.89</v>
      </c>
      <c r="G181">
        <v>6</v>
      </c>
      <c r="H181">
        <v>17.52</v>
      </c>
    </row>
    <row r="182" spans="1:8">
      <c r="A182" s="1">
        <v>9</v>
      </c>
      <c r="B182" t="s">
        <v>2164</v>
      </c>
      <c r="C182">
        <v>82.16</v>
      </c>
      <c r="D182">
        <v>157.63999999999999</v>
      </c>
      <c r="E182">
        <v>0.89666999999999997</v>
      </c>
      <c r="F182">
        <v>19.7</v>
      </c>
      <c r="G182">
        <v>36</v>
      </c>
      <c r="H182">
        <v>19.059999999999999</v>
      </c>
    </row>
    <row r="183" spans="1:8">
      <c r="A183" s="1">
        <v>10</v>
      </c>
      <c r="B183" t="s">
        <v>2165</v>
      </c>
      <c r="C183">
        <v>96.34</v>
      </c>
      <c r="D183">
        <v>159.35</v>
      </c>
      <c r="E183">
        <v>0.93937899999999996</v>
      </c>
      <c r="F183">
        <v>44.97</v>
      </c>
      <c r="G183">
        <v>30</v>
      </c>
      <c r="H183">
        <v>22.07</v>
      </c>
    </row>
    <row r="184" spans="1:8">
      <c r="A184" s="1">
        <v>11</v>
      </c>
      <c r="B184" t="s">
        <v>2166</v>
      </c>
      <c r="C184">
        <v>91.91</v>
      </c>
      <c r="D184">
        <v>157.32</v>
      </c>
      <c r="E184">
        <v>0.85387199999999996</v>
      </c>
      <c r="F184">
        <v>1.77</v>
      </c>
      <c r="G184">
        <v>18</v>
      </c>
      <c r="H184">
        <v>20.55</v>
      </c>
    </row>
    <row r="185" spans="1:8">
      <c r="A185" s="1">
        <v>12</v>
      </c>
      <c r="B185" t="s">
        <v>2167</v>
      </c>
      <c r="C185">
        <v>84.81</v>
      </c>
      <c r="D185">
        <v>158.03</v>
      </c>
      <c r="E185">
        <v>0.90212999999999999</v>
      </c>
      <c r="F185">
        <v>34.79</v>
      </c>
      <c r="G185">
        <v>8</v>
      </c>
      <c r="H185">
        <v>20.51</v>
      </c>
    </row>
    <row r="186" spans="1:8">
      <c r="A186" s="1">
        <v>13</v>
      </c>
      <c r="B186" t="s">
        <v>2168</v>
      </c>
      <c r="C186">
        <v>92.18</v>
      </c>
      <c r="D186">
        <v>158.35</v>
      </c>
      <c r="E186">
        <v>0.89732100000000004</v>
      </c>
      <c r="F186">
        <v>9.14</v>
      </c>
      <c r="G186">
        <v>4</v>
      </c>
      <c r="H186">
        <v>21.26</v>
      </c>
    </row>
    <row r="187" spans="1:8">
      <c r="A187" s="1">
        <v>14</v>
      </c>
      <c r="B187" t="s">
        <v>2169</v>
      </c>
      <c r="C187">
        <v>78.02</v>
      </c>
      <c r="D187">
        <v>157.06</v>
      </c>
      <c r="E187">
        <v>0.85624999999999996</v>
      </c>
      <c r="F187">
        <v>33.979999999999997</v>
      </c>
      <c r="G187">
        <v>30</v>
      </c>
      <c r="H187">
        <v>18.260000000000002</v>
      </c>
    </row>
    <row r="188" spans="1:8">
      <c r="A188" s="1">
        <v>15</v>
      </c>
      <c r="B188" t="s">
        <v>2170</v>
      </c>
      <c r="C188">
        <v>89.61</v>
      </c>
      <c r="D188">
        <v>157.61000000000001</v>
      </c>
      <c r="E188">
        <v>0.88131800000000005</v>
      </c>
      <c r="F188">
        <v>2.76</v>
      </c>
      <c r="G188">
        <v>34</v>
      </c>
      <c r="H188">
        <v>20.64</v>
      </c>
    </row>
    <row r="189" spans="1:8">
      <c r="A189" s="1">
        <v>16</v>
      </c>
      <c r="B189" t="s">
        <v>2171</v>
      </c>
      <c r="C189">
        <v>92.27</v>
      </c>
      <c r="D189">
        <v>158.43</v>
      </c>
      <c r="E189">
        <v>0.93034300000000003</v>
      </c>
      <c r="F189">
        <v>6.49</v>
      </c>
      <c r="G189">
        <v>18</v>
      </c>
      <c r="H189">
        <v>21.22</v>
      </c>
    </row>
    <row r="190" spans="1:8">
      <c r="A190" s="1">
        <v>17</v>
      </c>
      <c r="B190" t="s">
        <v>2172</v>
      </c>
      <c r="C190">
        <v>85.21</v>
      </c>
      <c r="D190">
        <v>158.04</v>
      </c>
      <c r="E190">
        <v>0.88550300000000004</v>
      </c>
      <c r="F190">
        <v>40.82</v>
      </c>
      <c r="G190">
        <v>30</v>
      </c>
      <c r="H190">
        <v>19.809999999999999</v>
      </c>
    </row>
    <row r="191" spans="1:8">
      <c r="A191" s="1">
        <v>18</v>
      </c>
      <c r="B191" t="s">
        <v>2173</v>
      </c>
      <c r="C191">
        <v>82.22</v>
      </c>
      <c r="D191">
        <v>157.9</v>
      </c>
      <c r="E191">
        <v>0.92224200000000001</v>
      </c>
      <c r="F191">
        <v>45.31</v>
      </c>
      <c r="G191">
        <v>24</v>
      </c>
      <c r="H191">
        <v>19.41</v>
      </c>
    </row>
    <row r="192" spans="1:8">
      <c r="A192" s="1">
        <v>19</v>
      </c>
      <c r="B192" t="s">
        <v>2174</v>
      </c>
      <c r="C192">
        <v>81.760000000000005</v>
      </c>
      <c r="D192">
        <v>156.54</v>
      </c>
      <c r="E192">
        <v>0.87406099999999998</v>
      </c>
      <c r="F192">
        <v>2.2999999999999998</v>
      </c>
      <c r="G192">
        <v>20</v>
      </c>
      <c r="H192">
        <v>18.5</v>
      </c>
    </row>
    <row r="193" spans="1:8">
      <c r="A193" s="1">
        <v>20</v>
      </c>
      <c r="B193" t="s">
        <v>2175</v>
      </c>
      <c r="C193">
        <v>98.56</v>
      </c>
      <c r="D193">
        <v>159.22</v>
      </c>
      <c r="E193">
        <v>0.88909499999999997</v>
      </c>
      <c r="F193">
        <v>33.64</v>
      </c>
      <c r="G193">
        <v>24</v>
      </c>
      <c r="H193">
        <v>22.39</v>
      </c>
    </row>
    <row r="194" spans="1:8">
      <c r="A194" s="1">
        <v>21</v>
      </c>
      <c r="B194" t="s">
        <v>2176</v>
      </c>
      <c r="C194">
        <v>94.13</v>
      </c>
      <c r="D194">
        <v>159.27000000000001</v>
      </c>
      <c r="E194">
        <v>0.95933599999999997</v>
      </c>
      <c r="F194">
        <v>54.87</v>
      </c>
      <c r="G194">
        <v>6</v>
      </c>
      <c r="H194">
        <v>22.52</v>
      </c>
    </row>
    <row r="195" spans="1:8">
      <c r="A195" s="1">
        <v>22</v>
      </c>
      <c r="B195" t="s">
        <v>2177</v>
      </c>
      <c r="C195">
        <v>90.89</v>
      </c>
      <c r="D195">
        <v>158.78</v>
      </c>
      <c r="E195">
        <v>0.93135100000000004</v>
      </c>
      <c r="F195">
        <v>43.89</v>
      </c>
      <c r="G195">
        <v>34</v>
      </c>
      <c r="H195">
        <v>21.42</v>
      </c>
    </row>
    <row r="196" spans="1:8">
      <c r="A196" s="1">
        <v>23</v>
      </c>
      <c r="B196" t="s">
        <v>2178</v>
      </c>
      <c r="C196">
        <v>86.6</v>
      </c>
      <c r="D196">
        <v>158.19999999999999</v>
      </c>
      <c r="E196">
        <v>0.89286200000000004</v>
      </c>
      <c r="F196">
        <v>47.46</v>
      </c>
      <c r="G196">
        <v>12</v>
      </c>
      <c r="H196">
        <v>20.04</v>
      </c>
    </row>
    <row r="197" spans="1:8">
      <c r="A197" s="1">
        <v>24</v>
      </c>
      <c r="B197" t="s">
        <v>2179</v>
      </c>
      <c r="C197">
        <v>92.55</v>
      </c>
      <c r="D197">
        <v>159.11000000000001</v>
      </c>
      <c r="E197">
        <v>0.94851700000000005</v>
      </c>
      <c r="F197">
        <v>62.4</v>
      </c>
      <c r="G197">
        <v>34</v>
      </c>
      <c r="H197">
        <v>20.8</v>
      </c>
    </row>
    <row r="198" spans="1:8">
      <c r="A198" s="1">
        <v>25</v>
      </c>
      <c r="B198" t="s">
        <v>2180</v>
      </c>
      <c r="C198">
        <v>89.86</v>
      </c>
      <c r="D198">
        <v>156.86000000000001</v>
      </c>
      <c r="E198">
        <v>0.86307900000000004</v>
      </c>
      <c r="F198">
        <v>0.96</v>
      </c>
      <c r="G198">
        <v>28</v>
      </c>
      <c r="H198">
        <v>20.75</v>
      </c>
    </row>
    <row r="199" spans="1:8">
      <c r="A199" s="1">
        <v>26</v>
      </c>
      <c r="B199" t="s">
        <v>2181</v>
      </c>
      <c r="C199">
        <v>95.76</v>
      </c>
      <c r="D199">
        <v>159.03</v>
      </c>
      <c r="E199">
        <v>0.88879900000000001</v>
      </c>
      <c r="F199">
        <v>44.08</v>
      </c>
      <c r="G199">
        <v>24</v>
      </c>
      <c r="H199">
        <v>21.86</v>
      </c>
    </row>
    <row r="200" spans="1:8">
      <c r="A200" s="1">
        <v>27</v>
      </c>
      <c r="B200" t="s">
        <v>2182</v>
      </c>
      <c r="C200">
        <v>87.35</v>
      </c>
      <c r="D200">
        <v>156.4</v>
      </c>
      <c r="E200">
        <v>0.83934399999999998</v>
      </c>
      <c r="F200">
        <v>1.27</v>
      </c>
      <c r="G200">
        <v>4</v>
      </c>
      <c r="H200">
        <v>20.11</v>
      </c>
    </row>
    <row r="201" spans="1:8">
      <c r="A201" s="1">
        <v>28</v>
      </c>
      <c r="B201" t="s">
        <v>2183</v>
      </c>
      <c r="C201">
        <v>94.77</v>
      </c>
      <c r="D201">
        <v>158.97</v>
      </c>
      <c r="E201">
        <v>0.899366</v>
      </c>
      <c r="F201">
        <v>43.01</v>
      </c>
      <c r="G201">
        <v>18</v>
      </c>
      <c r="H201">
        <v>22.65</v>
      </c>
    </row>
    <row r="202" spans="1:8">
      <c r="A202" s="1">
        <v>29</v>
      </c>
      <c r="B202" t="s">
        <v>2184</v>
      </c>
      <c r="C202">
        <v>87.49</v>
      </c>
      <c r="D202">
        <v>158.27000000000001</v>
      </c>
      <c r="E202">
        <v>0.90208200000000005</v>
      </c>
      <c r="F202">
        <v>24.88</v>
      </c>
      <c r="G202">
        <v>24</v>
      </c>
      <c r="H202">
        <v>21.28</v>
      </c>
    </row>
    <row r="203" spans="1:8">
      <c r="A203" s="1">
        <v>30</v>
      </c>
      <c r="B203" t="s">
        <v>2185</v>
      </c>
      <c r="C203">
        <v>79.790000000000006</v>
      </c>
      <c r="D203">
        <v>156.07</v>
      </c>
      <c r="E203">
        <v>0.82322300000000004</v>
      </c>
      <c r="F203">
        <v>5.64</v>
      </c>
      <c r="G203">
        <v>16</v>
      </c>
      <c r="H203">
        <v>20.21</v>
      </c>
    </row>
    <row r="204" spans="1:8">
      <c r="A204" s="1">
        <v>31</v>
      </c>
      <c r="B204" t="s">
        <v>2186</v>
      </c>
      <c r="C204">
        <v>83.35</v>
      </c>
      <c r="D204">
        <v>157.72</v>
      </c>
      <c r="E204">
        <v>0.87841100000000005</v>
      </c>
      <c r="F204">
        <v>33.6</v>
      </c>
      <c r="G204">
        <v>18</v>
      </c>
      <c r="H204">
        <v>19.68</v>
      </c>
    </row>
    <row r="205" spans="1:8">
      <c r="A205" s="1">
        <v>32</v>
      </c>
      <c r="B205" t="s">
        <v>2187</v>
      </c>
      <c r="C205">
        <v>80.58</v>
      </c>
      <c r="D205">
        <v>157.33000000000001</v>
      </c>
      <c r="E205">
        <v>0.85758900000000005</v>
      </c>
      <c r="F205">
        <v>31.41</v>
      </c>
      <c r="G205">
        <v>26</v>
      </c>
      <c r="H205">
        <v>18.649999999999999</v>
      </c>
    </row>
    <row r="206" spans="1:8">
      <c r="A206" s="1">
        <v>33</v>
      </c>
      <c r="B206" t="s">
        <v>2188</v>
      </c>
      <c r="C206">
        <v>95.81</v>
      </c>
      <c r="D206">
        <v>158.81</v>
      </c>
      <c r="E206">
        <v>0.87973199999999996</v>
      </c>
      <c r="F206">
        <v>18.78</v>
      </c>
      <c r="G206">
        <v>34</v>
      </c>
      <c r="H206">
        <v>22.31</v>
      </c>
    </row>
    <row r="207" spans="1:8">
      <c r="A207" s="1">
        <v>34</v>
      </c>
      <c r="B207" t="s">
        <v>2189</v>
      </c>
      <c r="C207">
        <v>91.95</v>
      </c>
      <c r="D207">
        <v>158.59</v>
      </c>
      <c r="E207">
        <v>0.89442999999999995</v>
      </c>
      <c r="F207">
        <v>21.73</v>
      </c>
      <c r="G207">
        <v>26</v>
      </c>
      <c r="H207">
        <v>21.18</v>
      </c>
    </row>
    <row r="208" spans="1:8">
      <c r="A208" s="1">
        <v>35</v>
      </c>
      <c r="B208" t="s">
        <v>2190</v>
      </c>
      <c r="C208">
        <v>78.86</v>
      </c>
      <c r="D208">
        <v>156.55000000000001</v>
      </c>
      <c r="E208">
        <v>0.78828299999999996</v>
      </c>
      <c r="F208">
        <v>15.78</v>
      </c>
      <c r="G208">
        <v>10</v>
      </c>
      <c r="H208">
        <v>19.29</v>
      </c>
    </row>
    <row r="209" spans="1:8">
      <c r="A209" s="1">
        <v>36</v>
      </c>
      <c r="B209" t="s">
        <v>2191</v>
      </c>
      <c r="C209">
        <v>98.28</v>
      </c>
      <c r="D209">
        <v>159.19</v>
      </c>
      <c r="E209">
        <v>0.90859400000000001</v>
      </c>
      <c r="F209">
        <v>23.16</v>
      </c>
      <c r="G209">
        <v>2</v>
      </c>
      <c r="H209">
        <v>22.61</v>
      </c>
    </row>
    <row r="210" spans="1:8">
      <c r="A210" s="1">
        <v>37</v>
      </c>
      <c r="B210" t="s">
        <v>2192</v>
      </c>
      <c r="C210">
        <v>89.93</v>
      </c>
      <c r="D210">
        <v>158.46</v>
      </c>
      <c r="E210">
        <v>0.90425900000000003</v>
      </c>
      <c r="F210">
        <v>33.479999999999997</v>
      </c>
      <c r="G210">
        <v>24</v>
      </c>
      <c r="H210">
        <v>20.51</v>
      </c>
    </row>
    <row r="211" spans="1:8">
      <c r="A211" s="1">
        <v>38</v>
      </c>
      <c r="B211" t="s">
        <v>2193</v>
      </c>
      <c r="C211">
        <v>76.42</v>
      </c>
      <c r="D211">
        <v>156.01</v>
      </c>
      <c r="E211">
        <v>0.83320000000000005</v>
      </c>
      <c r="F211">
        <v>2.73</v>
      </c>
      <c r="G211">
        <v>6</v>
      </c>
      <c r="H211">
        <v>17.39</v>
      </c>
    </row>
    <row r="212" spans="1:8">
      <c r="A212" s="1">
        <v>39</v>
      </c>
      <c r="B212" t="s">
        <v>2194</v>
      </c>
      <c r="C212">
        <v>87.55</v>
      </c>
      <c r="D212">
        <v>158.41999999999999</v>
      </c>
      <c r="E212">
        <v>0.92492200000000002</v>
      </c>
      <c r="F212">
        <v>42.47</v>
      </c>
      <c r="G212">
        <v>12</v>
      </c>
      <c r="H212">
        <v>19.87</v>
      </c>
    </row>
    <row r="213" spans="1:8">
      <c r="A213" s="1">
        <v>40</v>
      </c>
      <c r="B213" t="s">
        <v>2195</v>
      </c>
      <c r="C213">
        <v>88.77</v>
      </c>
      <c r="D213">
        <v>158.12</v>
      </c>
      <c r="E213">
        <v>0.87810600000000005</v>
      </c>
      <c r="F213">
        <v>17.63</v>
      </c>
      <c r="G213">
        <v>4</v>
      </c>
      <c r="H213">
        <v>20.02</v>
      </c>
    </row>
    <row r="214" spans="1:8">
      <c r="A214" s="1">
        <v>41</v>
      </c>
      <c r="B214" t="s">
        <v>2196</v>
      </c>
      <c r="C214">
        <v>84.59</v>
      </c>
      <c r="D214">
        <v>158.1</v>
      </c>
      <c r="E214">
        <v>0.92232000000000003</v>
      </c>
      <c r="F214">
        <v>37.56</v>
      </c>
      <c r="G214">
        <v>14</v>
      </c>
      <c r="H214">
        <v>18.78</v>
      </c>
    </row>
    <row r="215" spans="1:8">
      <c r="A215" s="1">
        <v>42</v>
      </c>
      <c r="B215" t="s">
        <v>2197</v>
      </c>
      <c r="C215">
        <v>93.67</v>
      </c>
      <c r="D215">
        <v>159.07</v>
      </c>
      <c r="E215">
        <v>0.926956</v>
      </c>
      <c r="F215">
        <v>47.85</v>
      </c>
      <c r="G215">
        <v>16</v>
      </c>
      <c r="H215">
        <v>21.2</v>
      </c>
    </row>
    <row r="216" spans="1:8">
      <c r="A216" s="1">
        <v>43</v>
      </c>
      <c r="B216" t="s">
        <v>2198</v>
      </c>
      <c r="C216">
        <v>73.88</v>
      </c>
      <c r="D216">
        <v>156.69999999999999</v>
      </c>
      <c r="E216">
        <v>0.881633</v>
      </c>
      <c r="F216">
        <v>31.72</v>
      </c>
      <c r="G216">
        <v>22</v>
      </c>
      <c r="H216">
        <v>16.95</v>
      </c>
    </row>
    <row r="217" spans="1:8">
      <c r="A217" s="1">
        <v>44</v>
      </c>
      <c r="B217" t="s">
        <v>2199</v>
      </c>
      <c r="C217">
        <v>101.81</v>
      </c>
      <c r="D217">
        <v>158.44</v>
      </c>
      <c r="E217">
        <v>0.88294099999999998</v>
      </c>
      <c r="F217">
        <v>1.61</v>
      </c>
      <c r="G217">
        <v>34</v>
      </c>
      <c r="H217">
        <v>23.7</v>
      </c>
    </row>
    <row r="218" spans="1:8">
      <c r="A218" s="1">
        <v>45</v>
      </c>
      <c r="B218" t="s">
        <v>2200</v>
      </c>
      <c r="C218">
        <v>95.27</v>
      </c>
      <c r="D218">
        <v>158.62</v>
      </c>
      <c r="E218">
        <v>0.86018300000000003</v>
      </c>
      <c r="F218">
        <v>26.57</v>
      </c>
      <c r="G218">
        <v>4</v>
      </c>
      <c r="H218">
        <v>21.2</v>
      </c>
    </row>
    <row r="219" spans="1:8">
      <c r="A219" s="1">
        <v>46</v>
      </c>
      <c r="B219" t="s">
        <v>2201</v>
      </c>
      <c r="C219">
        <v>84.38</v>
      </c>
      <c r="D219">
        <v>155.49</v>
      </c>
      <c r="E219">
        <v>0.82158200000000003</v>
      </c>
      <c r="F219">
        <v>1.08</v>
      </c>
      <c r="G219">
        <v>32</v>
      </c>
      <c r="H219">
        <v>19.59</v>
      </c>
    </row>
    <row r="220" spans="1:8">
      <c r="A220" s="1">
        <v>47</v>
      </c>
      <c r="B220" t="s">
        <v>2202</v>
      </c>
      <c r="C220">
        <v>88.5</v>
      </c>
      <c r="D220">
        <v>158.08000000000001</v>
      </c>
      <c r="E220">
        <v>0.85752399999999995</v>
      </c>
      <c r="F220">
        <v>31.33</v>
      </c>
      <c r="G220">
        <v>20</v>
      </c>
      <c r="H220">
        <v>21.31</v>
      </c>
    </row>
    <row r="221" spans="1:8">
      <c r="A221" s="1">
        <v>48</v>
      </c>
      <c r="B221" t="s">
        <v>2203</v>
      </c>
      <c r="C221">
        <v>74.53</v>
      </c>
      <c r="D221">
        <v>156.66</v>
      </c>
      <c r="E221">
        <v>0.87793699999999997</v>
      </c>
      <c r="F221">
        <v>24.42</v>
      </c>
      <c r="G221">
        <v>32</v>
      </c>
      <c r="H221">
        <v>16.82</v>
      </c>
    </row>
    <row r="222" spans="1:8">
      <c r="A222" s="1">
        <v>49</v>
      </c>
      <c r="B222" t="s">
        <v>2204</v>
      </c>
      <c r="C222">
        <v>84.4</v>
      </c>
      <c r="D222">
        <v>157.78</v>
      </c>
      <c r="E222">
        <v>0.88667899999999999</v>
      </c>
      <c r="F222">
        <v>24.73</v>
      </c>
      <c r="G222">
        <v>0</v>
      </c>
      <c r="H222">
        <v>19.579999999999998</v>
      </c>
    </row>
    <row r="223" spans="1:8">
      <c r="A223" s="1">
        <v>50</v>
      </c>
      <c r="B223" t="s">
        <v>2205</v>
      </c>
      <c r="C223">
        <v>75.5</v>
      </c>
      <c r="D223">
        <v>156.05000000000001</v>
      </c>
      <c r="E223">
        <v>0.86330300000000004</v>
      </c>
      <c r="F223">
        <v>2.65</v>
      </c>
      <c r="G223">
        <v>2</v>
      </c>
      <c r="H223">
        <v>18.13</v>
      </c>
    </row>
    <row r="224" spans="1:8">
      <c r="B224" s="1" t="s">
        <v>19</v>
      </c>
      <c r="C224" s="1">
        <f>AVERAGE(C174:C223)</f>
        <v>87.546399999999991</v>
      </c>
      <c r="D224" s="1">
        <f t="shared" ref="D224:H224" si="10">AVERAGE(D174:D223)</f>
        <v>157.9178</v>
      </c>
      <c r="E224" s="1">
        <f t="shared" si="10"/>
        <v>0.88660250000000018</v>
      </c>
      <c r="F224" s="1">
        <f t="shared" si="10"/>
        <v>27.837399999999999</v>
      </c>
      <c r="G224" s="1">
        <f t="shared" si="10"/>
        <v>18.8</v>
      </c>
      <c r="H224" s="1">
        <f t="shared" si="10"/>
        <v>20.276</v>
      </c>
    </row>
    <row r="225" spans="1:8">
      <c r="B225" s="1" t="s">
        <v>20</v>
      </c>
      <c r="C225" s="1">
        <f>MIN(C173:C223)</f>
        <v>73.88</v>
      </c>
      <c r="D225" s="1">
        <f>MIN(D173:D223)</f>
        <v>155.49</v>
      </c>
      <c r="E225" s="1">
        <f>MIN(E173:E223)</f>
        <v>0.78828299999999996</v>
      </c>
      <c r="F225" s="1">
        <f>MIN(F173:F223)</f>
        <v>0.96</v>
      </c>
      <c r="H225" s="1">
        <f>MIN(H173:H223)</f>
        <v>16.82</v>
      </c>
    </row>
    <row r="226" spans="1:8">
      <c r="B226" s="1" t="s">
        <v>3</v>
      </c>
      <c r="C226" s="1">
        <f>STDEV(C174:C223)</f>
        <v>6.9639561123470974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1" t="s">
        <v>1435</v>
      </c>
    </row>
    <row r="229" spans="1:8" ht="18">
      <c r="A229" s="21" t="s">
        <v>7</v>
      </c>
      <c r="B229" s="3" t="s">
        <v>2</v>
      </c>
      <c r="C229" s="21" t="s">
        <v>4</v>
      </c>
      <c r="D229" s="21" t="s">
        <v>322</v>
      </c>
      <c r="E229" s="21" t="s">
        <v>321</v>
      </c>
      <c r="F229" s="21" t="s">
        <v>324</v>
      </c>
      <c r="G229" s="21" t="s">
        <v>323</v>
      </c>
      <c r="H229" s="21" t="s">
        <v>1436</v>
      </c>
    </row>
    <row r="230" spans="1:8">
      <c r="A230" s="1">
        <v>1</v>
      </c>
      <c r="B230" t="s">
        <v>2206</v>
      </c>
      <c r="C230">
        <v>79.900000000000006</v>
      </c>
      <c r="D230">
        <v>235.57</v>
      </c>
      <c r="E230">
        <v>0.89028300000000005</v>
      </c>
      <c r="F230">
        <v>4.57</v>
      </c>
      <c r="G230">
        <v>50</v>
      </c>
      <c r="H230">
        <v>18.260000000000002</v>
      </c>
    </row>
    <row r="231" spans="1:8">
      <c r="A231" s="1">
        <v>2</v>
      </c>
      <c r="B231" t="s">
        <v>2207</v>
      </c>
      <c r="C231">
        <v>80.569999999999993</v>
      </c>
      <c r="D231">
        <v>235.79</v>
      </c>
      <c r="E231">
        <v>0.893011</v>
      </c>
      <c r="F231">
        <v>5.18</v>
      </c>
      <c r="G231">
        <v>38</v>
      </c>
      <c r="H231">
        <v>18.32</v>
      </c>
    </row>
    <row r="232" spans="1:8">
      <c r="A232" s="1">
        <v>3</v>
      </c>
      <c r="B232" t="s">
        <v>2208</v>
      </c>
      <c r="C232">
        <v>80.069999999999993</v>
      </c>
      <c r="D232">
        <v>236.07</v>
      </c>
      <c r="E232">
        <v>0.86721700000000002</v>
      </c>
      <c r="F232">
        <v>35.64</v>
      </c>
      <c r="G232">
        <v>30</v>
      </c>
      <c r="H232">
        <v>18.29</v>
      </c>
    </row>
    <row r="233" spans="1:8">
      <c r="A233" s="1">
        <v>4</v>
      </c>
      <c r="B233" t="s">
        <v>2209</v>
      </c>
      <c r="C233">
        <v>77.72</v>
      </c>
      <c r="D233">
        <v>234.84</v>
      </c>
      <c r="E233">
        <v>0.88963400000000004</v>
      </c>
      <c r="F233">
        <v>1.61</v>
      </c>
      <c r="G233">
        <v>20</v>
      </c>
      <c r="H233">
        <v>17.5</v>
      </c>
    </row>
    <row r="234" spans="1:8">
      <c r="A234" s="1">
        <v>5</v>
      </c>
      <c r="B234" t="s">
        <v>2210</v>
      </c>
      <c r="C234">
        <v>80.989999999999995</v>
      </c>
      <c r="D234">
        <v>235.53</v>
      </c>
      <c r="E234">
        <v>0.89429400000000003</v>
      </c>
      <c r="F234">
        <v>3</v>
      </c>
      <c r="G234">
        <v>58</v>
      </c>
      <c r="H234">
        <v>18.39</v>
      </c>
    </row>
    <row r="235" spans="1:8">
      <c r="A235" s="1">
        <v>6</v>
      </c>
      <c r="B235" t="s">
        <v>2211</v>
      </c>
      <c r="C235">
        <v>72.510000000000005</v>
      </c>
      <c r="D235">
        <v>232.87</v>
      </c>
      <c r="E235">
        <v>0.853074</v>
      </c>
      <c r="F235">
        <v>1.88</v>
      </c>
      <c r="G235">
        <v>8</v>
      </c>
      <c r="H235">
        <v>16.29</v>
      </c>
    </row>
    <row r="236" spans="1:8">
      <c r="A236" s="1">
        <v>7</v>
      </c>
      <c r="B236" t="s">
        <v>2212</v>
      </c>
      <c r="C236">
        <v>78.760000000000005</v>
      </c>
      <c r="D236">
        <v>235.85</v>
      </c>
      <c r="E236">
        <v>0.88983599999999996</v>
      </c>
      <c r="F236">
        <v>26.27</v>
      </c>
      <c r="G236">
        <v>16</v>
      </c>
      <c r="H236">
        <v>18.13</v>
      </c>
    </row>
    <row r="237" spans="1:8">
      <c r="A237" s="1">
        <v>8</v>
      </c>
      <c r="B237" t="s">
        <v>2213</v>
      </c>
      <c r="C237">
        <v>74.400000000000006</v>
      </c>
      <c r="D237">
        <v>232.07</v>
      </c>
      <c r="E237">
        <v>0.79356700000000002</v>
      </c>
      <c r="F237">
        <v>2.65</v>
      </c>
      <c r="G237">
        <v>54</v>
      </c>
      <c r="H237">
        <v>16.940000000000001</v>
      </c>
    </row>
    <row r="238" spans="1:8">
      <c r="A238" s="1">
        <v>9</v>
      </c>
      <c r="B238" t="s">
        <v>2214</v>
      </c>
      <c r="C238">
        <v>79.67</v>
      </c>
      <c r="D238">
        <v>232.47</v>
      </c>
      <c r="E238">
        <v>0.822712</v>
      </c>
      <c r="F238">
        <v>1.08</v>
      </c>
      <c r="G238">
        <v>30</v>
      </c>
      <c r="H238">
        <v>17.899999999999999</v>
      </c>
    </row>
    <row r="239" spans="1:8">
      <c r="A239" s="1">
        <v>10</v>
      </c>
      <c r="B239" t="s">
        <v>2215</v>
      </c>
      <c r="C239">
        <v>74.42</v>
      </c>
      <c r="D239">
        <v>233.41</v>
      </c>
      <c r="E239">
        <v>0.81992600000000004</v>
      </c>
      <c r="F239">
        <v>2.0699999999999998</v>
      </c>
      <c r="G239">
        <v>28</v>
      </c>
      <c r="H239">
        <v>16.739999999999998</v>
      </c>
    </row>
    <row r="240" spans="1:8">
      <c r="A240" s="1">
        <v>11</v>
      </c>
      <c r="B240" t="s">
        <v>2216</v>
      </c>
      <c r="C240">
        <v>80.42</v>
      </c>
      <c r="D240">
        <v>235.91</v>
      </c>
      <c r="E240">
        <v>0.83986899999999998</v>
      </c>
      <c r="F240">
        <v>29.72</v>
      </c>
      <c r="G240">
        <v>44</v>
      </c>
      <c r="H240">
        <v>18.21</v>
      </c>
    </row>
    <row r="241" spans="1:8">
      <c r="A241" s="1">
        <v>12</v>
      </c>
      <c r="B241" t="s">
        <v>2217</v>
      </c>
      <c r="C241">
        <v>82.25</v>
      </c>
      <c r="D241">
        <v>235.55</v>
      </c>
      <c r="E241">
        <v>0.84606499999999996</v>
      </c>
      <c r="F241">
        <v>4.84</v>
      </c>
      <c r="G241">
        <v>58</v>
      </c>
      <c r="H241">
        <v>18.96</v>
      </c>
    </row>
    <row r="242" spans="1:8">
      <c r="A242" s="1">
        <v>13</v>
      </c>
      <c r="B242" t="s">
        <v>2218</v>
      </c>
      <c r="C242">
        <v>69.069999999999993</v>
      </c>
      <c r="D242">
        <v>232.82</v>
      </c>
      <c r="E242">
        <v>0.85216499999999995</v>
      </c>
      <c r="F242">
        <v>1.42</v>
      </c>
      <c r="G242">
        <v>4</v>
      </c>
      <c r="H242">
        <v>16.010000000000002</v>
      </c>
    </row>
    <row r="243" spans="1:8">
      <c r="A243" s="1">
        <v>14</v>
      </c>
      <c r="B243" t="s">
        <v>2219</v>
      </c>
      <c r="C243">
        <v>86.66</v>
      </c>
      <c r="D243">
        <v>236.13</v>
      </c>
      <c r="E243">
        <v>0.87828799999999996</v>
      </c>
      <c r="F243">
        <v>1.8</v>
      </c>
      <c r="G243">
        <v>6</v>
      </c>
      <c r="H243">
        <v>18.87</v>
      </c>
    </row>
    <row r="244" spans="1:8">
      <c r="A244" s="1">
        <v>15</v>
      </c>
      <c r="B244" t="s">
        <v>2220</v>
      </c>
      <c r="C244">
        <v>77.92</v>
      </c>
      <c r="D244">
        <v>233.32</v>
      </c>
      <c r="E244">
        <v>0.86825600000000003</v>
      </c>
      <c r="F244">
        <v>0.5</v>
      </c>
      <c r="G244">
        <v>34</v>
      </c>
      <c r="H244">
        <v>17.510000000000002</v>
      </c>
    </row>
    <row r="245" spans="1:8">
      <c r="A245" s="1">
        <v>16</v>
      </c>
      <c r="B245" t="s">
        <v>2221</v>
      </c>
      <c r="C245">
        <v>80.47</v>
      </c>
      <c r="D245">
        <v>235.85</v>
      </c>
      <c r="E245">
        <v>0.89215199999999995</v>
      </c>
      <c r="F245">
        <v>9.02</v>
      </c>
      <c r="G245">
        <v>2</v>
      </c>
      <c r="H245">
        <v>18.239999999999998</v>
      </c>
    </row>
    <row r="246" spans="1:8">
      <c r="A246" s="1">
        <v>17</v>
      </c>
      <c r="B246" t="s">
        <v>2222</v>
      </c>
      <c r="C246">
        <v>77.5</v>
      </c>
      <c r="D246">
        <v>235.01</v>
      </c>
      <c r="E246">
        <v>0.84856200000000004</v>
      </c>
      <c r="F246">
        <v>16.2</v>
      </c>
      <c r="G246">
        <v>32</v>
      </c>
      <c r="H246">
        <v>17.739999999999998</v>
      </c>
    </row>
    <row r="247" spans="1:8">
      <c r="A247" s="1">
        <v>18</v>
      </c>
      <c r="B247" t="s">
        <v>2223</v>
      </c>
      <c r="C247">
        <v>83.61</v>
      </c>
      <c r="D247">
        <v>235.27</v>
      </c>
      <c r="E247">
        <v>0.85819299999999998</v>
      </c>
      <c r="F247">
        <v>1.42</v>
      </c>
      <c r="G247">
        <v>36</v>
      </c>
      <c r="H247">
        <v>18.37</v>
      </c>
    </row>
    <row r="248" spans="1:8">
      <c r="A248" s="1">
        <v>19</v>
      </c>
      <c r="B248" t="s">
        <v>2224</v>
      </c>
      <c r="C248">
        <v>88.11</v>
      </c>
      <c r="D248">
        <v>235.99</v>
      </c>
      <c r="E248">
        <v>0.86998600000000004</v>
      </c>
      <c r="F248">
        <v>4.07</v>
      </c>
      <c r="G248">
        <v>6</v>
      </c>
      <c r="H248">
        <v>20.190000000000001</v>
      </c>
    </row>
    <row r="249" spans="1:8">
      <c r="A249" s="1">
        <v>20</v>
      </c>
      <c r="B249" t="s">
        <v>2225</v>
      </c>
      <c r="C249">
        <v>78.88</v>
      </c>
      <c r="D249">
        <v>235.01</v>
      </c>
      <c r="E249">
        <v>0.87498799999999999</v>
      </c>
      <c r="F249">
        <v>2.2999999999999998</v>
      </c>
      <c r="G249">
        <v>28</v>
      </c>
      <c r="H249">
        <v>17.73</v>
      </c>
    </row>
    <row r="250" spans="1:8">
      <c r="A250" s="1">
        <v>21</v>
      </c>
      <c r="B250" t="s">
        <v>2226</v>
      </c>
      <c r="C250">
        <v>72.62</v>
      </c>
      <c r="D250">
        <v>231.07</v>
      </c>
      <c r="E250">
        <v>0.77539000000000002</v>
      </c>
      <c r="F250">
        <v>0.35</v>
      </c>
      <c r="G250">
        <v>40</v>
      </c>
      <c r="H250">
        <v>16.440000000000001</v>
      </c>
    </row>
    <row r="251" spans="1:8">
      <c r="A251" s="1">
        <v>22</v>
      </c>
      <c r="B251" t="s">
        <v>2227</v>
      </c>
      <c r="C251">
        <v>82.02</v>
      </c>
      <c r="D251">
        <v>235.32</v>
      </c>
      <c r="E251">
        <v>0.82552400000000004</v>
      </c>
      <c r="F251">
        <v>3.38</v>
      </c>
      <c r="G251">
        <v>0</v>
      </c>
      <c r="H251">
        <v>18.420000000000002</v>
      </c>
    </row>
    <row r="252" spans="1:8">
      <c r="A252" s="1">
        <v>23</v>
      </c>
      <c r="B252" t="s">
        <v>2228</v>
      </c>
      <c r="C252">
        <v>83.51</v>
      </c>
      <c r="D252">
        <v>234</v>
      </c>
      <c r="E252">
        <v>0.85446699999999998</v>
      </c>
      <c r="F252">
        <v>1.04</v>
      </c>
      <c r="G252">
        <v>40</v>
      </c>
      <c r="H252">
        <v>19.39</v>
      </c>
    </row>
    <row r="253" spans="1:8">
      <c r="A253" s="1">
        <v>24</v>
      </c>
      <c r="B253" t="s">
        <v>2229</v>
      </c>
      <c r="C253">
        <v>69.97</v>
      </c>
      <c r="D253">
        <v>234.02</v>
      </c>
      <c r="E253">
        <v>0.86446199999999995</v>
      </c>
      <c r="F253">
        <v>22.5</v>
      </c>
      <c r="G253">
        <v>58</v>
      </c>
      <c r="H253">
        <v>16.46</v>
      </c>
    </row>
    <row r="254" spans="1:8">
      <c r="A254" s="1">
        <v>25</v>
      </c>
      <c r="B254" t="s">
        <v>2230</v>
      </c>
      <c r="C254">
        <v>76.180000000000007</v>
      </c>
      <c r="D254">
        <v>234.17</v>
      </c>
      <c r="E254">
        <v>0.83740499999999995</v>
      </c>
      <c r="F254">
        <v>2</v>
      </c>
      <c r="G254">
        <v>58</v>
      </c>
      <c r="H254">
        <v>18.100000000000001</v>
      </c>
    </row>
    <row r="255" spans="1:8">
      <c r="A255" s="1">
        <v>26</v>
      </c>
      <c r="B255" t="s">
        <v>2231</v>
      </c>
      <c r="C255">
        <v>83.41</v>
      </c>
      <c r="D255">
        <v>236.89</v>
      </c>
      <c r="E255">
        <v>0.914775</v>
      </c>
      <c r="F255">
        <v>31.83</v>
      </c>
      <c r="G255">
        <v>58</v>
      </c>
      <c r="H255">
        <v>18.829999999999998</v>
      </c>
    </row>
    <row r="256" spans="1:8">
      <c r="A256" s="1">
        <v>27</v>
      </c>
      <c r="B256" t="s">
        <v>2232</v>
      </c>
      <c r="C256">
        <v>77.69</v>
      </c>
      <c r="D256">
        <v>234.68</v>
      </c>
      <c r="E256">
        <v>0.89673999999999998</v>
      </c>
      <c r="F256">
        <v>0.96</v>
      </c>
      <c r="G256">
        <v>58</v>
      </c>
      <c r="H256">
        <v>17.34</v>
      </c>
    </row>
    <row r="257" spans="1:8">
      <c r="A257" s="1">
        <v>28</v>
      </c>
      <c r="B257" t="s">
        <v>2233</v>
      </c>
      <c r="C257">
        <v>73.09</v>
      </c>
      <c r="D257">
        <v>231.88</v>
      </c>
      <c r="E257">
        <v>0.78683999999999998</v>
      </c>
      <c r="F257">
        <v>1.23</v>
      </c>
      <c r="G257">
        <v>32</v>
      </c>
      <c r="H257">
        <v>17.04</v>
      </c>
    </row>
    <row r="258" spans="1:8">
      <c r="A258" s="1">
        <v>29</v>
      </c>
      <c r="B258" t="s">
        <v>2234</v>
      </c>
      <c r="C258">
        <v>84.28</v>
      </c>
      <c r="D258">
        <v>235.61</v>
      </c>
      <c r="E258">
        <v>0.85353100000000004</v>
      </c>
      <c r="F258">
        <v>2.69</v>
      </c>
      <c r="G258">
        <v>16</v>
      </c>
      <c r="H258">
        <v>18.66</v>
      </c>
    </row>
    <row r="259" spans="1:8">
      <c r="A259" s="1">
        <v>30</v>
      </c>
      <c r="B259" t="s">
        <v>2235</v>
      </c>
      <c r="C259">
        <v>87.92</v>
      </c>
      <c r="D259">
        <v>237.3</v>
      </c>
      <c r="E259">
        <v>0.88229000000000002</v>
      </c>
      <c r="F259">
        <v>30.68</v>
      </c>
      <c r="G259">
        <v>48</v>
      </c>
      <c r="H259">
        <v>20.059999999999999</v>
      </c>
    </row>
    <row r="260" spans="1:8">
      <c r="A260" s="1">
        <v>31</v>
      </c>
      <c r="B260" t="s">
        <v>2236</v>
      </c>
      <c r="C260">
        <v>80.55</v>
      </c>
      <c r="D260">
        <v>236.04</v>
      </c>
      <c r="E260">
        <v>0.89364900000000003</v>
      </c>
      <c r="F260">
        <v>17.59</v>
      </c>
      <c r="G260">
        <v>8</v>
      </c>
      <c r="H260">
        <v>18.559999999999999</v>
      </c>
    </row>
    <row r="261" spans="1:8">
      <c r="A261" s="1">
        <v>32</v>
      </c>
      <c r="B261" t="s">
        <v>2237</v>
      </c>
      <c r="C261">
        <v>77.59</v>
      </c>
      <c r="D261">
        <v>234.77</v>
      </c>
      <c r="E261">
        <v>0.85375800000000002</v>
      </c>
      <c r="F261">
        <v>4.26</v>
      </c>
      <c r="G261">
        <v>48</v>
      </c>
      <c r="H261">
        <v>17.64</v>
      </c>
    </row>
    <row r="262" spans="1:8">
      <c r="A262" s="1">
        <v>33</v>
      </c>
      <c r="B262" t="s">
        <v>2238</v>
      </c>
      <c r="C262">
        <v>80.709999999999994</v>
      </c>
      <c r="D262">
        <v>233.87</v>
      </c>
      <c r="E262">
        <v>0.83222499999999999</v>
      </c>
      <c r="F262">
        <v>1.46</v>
      </c>
      <c r="G262">
        <v>10</v>
      </c>
      <c r="H262">
        <v>18.55</v>
      </c>
    </row>
    <row r="263" spans="1:8">
      <c r="A263" s="1">
        <v>34</v>
      </c>
      <c r="B263" t="s">
        <v>2239</v>
      </c>
      <c r="C263">
        <v>79.599999999999994</v>
      </c>
      <c r="D263">
        <v>235.56</v>
      </c>
      <c r="E263">
        <v>0.854576</v>
      </c>
      <c r="F263">
        <v>16.899999999999999</v>
      </c>
      <c r="G263">
        <v>56</v>
      </c>
      <c r="H263">
        <v>18.21</v>
      </c>
    </row>
    <row r="264" spans="1:8">
      <c r="A264" s="1">
        <v>35</v>
      </c>
      <c r="B264" t="s">
        <v>2240</v>
      </c>
      <c r="C264">
        <v>87.8</v>
      </c>
      <c r="D264">
        <v>236.32</v>
      </c>
      <c r="E264">
        <v>0.90024999999999999</v>
      </c>
      <c r="F264">
        <v>1.27</v>
      </c>
      <c r="G264">
        <v>0</v>
      </c>
      <c r="H264">
        <v>19.46</v>
      </c>
    </row>
    <row r="265" spans="1:8">
      <c r="A265" s="1">
        <v>36</v>
      </c>
      <c r="B265" t="s">
        <v>2241</v>
      </c>
      <c r="C265">
        <v>76.459999999999994</v>
      </c>
      <c r="D265">
        <v>234.56</v>
      </c>
      <c r="E265">
        <v>0.88624000000000003</v>
      </c>
      <c r="F265">
        <v>2.2999999999999998</v>
      </c>
      <c r="G265">
        <v>46</v>
      </c>
      <c r="H265">
        <v>17.48</v>
      </c>
    </row>
    <row r="266" spans="1:8">
      <c r="A266" s="1">
        <v>37</v>
      </c>
      <c r="B266" t="s">
        <v>2242</v>
      </c>
      <c r="C266">
        <v>79.77</v>
      </c>
      <c r="D266">
        <v>235.39</v>
      </c>
      <c r="E266">
        <v>0.87812100000000004</v>
      </c>
      <c r="F266">
        <v>4.3</v>
      </c>
      <c r="G266">
        <v>8</v>
      </c>
      <c r="H266">
        <v>17.59</v>
      </c>
    </row>
    <row r="267" spans="1:8">
      <c r="A267" s="1">
        <v>38</v>
      </c>
      <c r="B267" t="s">
        <v>2243</v>
      </c>
      <c r="C267">
        <v>86.03</v>
      </c>
      <c r="D267">
        <v>235.98</v>
      </c>
      <c r="E267">
        <v>0.86688600000000005</v>
      </c>
      <c r="F267">
        <v>2.8</v>
      </c>
      <c r="G267">
        <v>16</v>
      </c>
      <c r="H267">
        <v>19.079999999999998</v>
      </c>
    </row>
    <row r="268" spans="1:8">
      <c r="A268" s="1">
        <v>39</v>
      </c>
      <c r="B268" t="s">
        <v>2244</v>
      </c>
      <c r="C268">
        <v>70.88</v>
      </c>
      <c r="D268">
        <v>234.42</v>
      </c>
      <c r="E268">
        <v>0.86480599999999996</v>
      </c>
      <c r="F268">
        <v>27.11</v>
      </c>
      <c r="G268">
        <v>48</v>
      </c>
      <c r="H268">
        <v>17.37</v>
      </c>
    </row>
    <row r="269" spans="1:8">
      <c r="A269" s="1">
        <v>40</v>
      </c>
      <c r="B269" t="s">
        <v>2245</v>
      </c>
      <c r="C269">
        <v>78.209999999999994</v>
      </c>
      <c r="D269">
        <v>234.56</v>
      </c>
      <c r="E269">
        <v>0.86246500000000004</v>
      </c>
      <c r="F269">
        <v>1.5</v>
      </c>
      <c r="G269">
        <v>34</v>
      </c>
      <c r="H269">
        <v>17.97</v>
      </c>
    </row>
    <row r="270" spans="1:8">
      <c r="A270" s="1">
        <v>41</v>
      </c>
      <c r="B270" t="s">
        <v>2246</v>
      </c>
      <c r="C270">
        <v>84.09</v>
      </c>
      <c r="D270">
        <v>234.98</v>
      </c>
      <c r="E270">
        <v>0.81353500000000001</v>
      </c>
      <c r="F270">
        <v>4.6500000000000004</v>
      </c>
      <c r="G270">
        <v>46</v>
      </c>
      <c r="H270">
        <v>18.12</v>
      </c>
    </row>
    <row r="271" spans="1:8">
      <c r="A271" s="1">
        <v>42</v>
      </c>
      <c r="B271" t="s">
        <v>2247</v>
      </c>
      <c r="C271">
        <v>77.790000000000006</v>
      </c>
      <c r="D271">
        <v>234.15</v>
      </c>
      <c r="E271">
        <v>0.80479599999999996</v>
      </c>
      <c r="F271">
        <v>8.49</v>
      </c>
      <c r="G271">
        <v>38</v>
      </c>
      <c r="H271">
        <v>17.600000000000001</v>
      </c>
    </row>
    <row r="272" spans="1:8">
      <c r="A272" s="1">
        <v>43</v>
      </c>
      <c r="B272" t="s">
        <v>2248</v>
      </c>
      <c r="C272">
        <v>79.81</v>
      </c>
      <c r="D272">
        <v>234.82</v>
      </c>
      <c r="E272">
        <v>0.88147399999999998</v>
      </c>
      <c r="F272">
        <v>1.57</v>
      </c>
      <c r="G272">
        <v>34</v>
      </c>
      <c r="H272">
        <v>17.760000000000002</v>
      </c>
    </row>
    <row r="273" spans="1:8">
      <c r="A273" s="1">
        <v>44</v>
      </c>
      <c r="B273" t="s">
        <v>2249</v>
      </c>
      <c r="C273">
        <v>74.55</v>
      </c>
      <c r="D273">
        <v>233.57</v>
      </c>
      <c r="E273">
        <v>0.84051500000000001</v>
      </c>
      <c r="F273">
        <v>2</v>
      </c>
      <c r="G273">
        <v>6</v>
      </c>
      <c r="H273">
        <v>17.46</v>
      </c>
    </row>
    <row r="274" spans="1:8">
      <c r="A274" s="1">
        <v>45</v>
      </c>
      <c r="B274" t="s">
        <v>2250</v>
      </c>
      <c r="C274">
        <v>75.510000000000005</v>
      </c>
      <c r="D274">
        <v>235.35</v>
      </c>
      <c r="E274">
        <v>0.86743700000000001</v>
      </c>
      <c r="F274">
        <v>32.72</v>
      </c>
      <c r="G274">
        <v>0</v>
      </c>
      <c r="H274">
        <v>16.739999999999998</v>
      </c>
    </row>
    <row r="275" spans="1:8">
      <c r="A275" s="1">
        <v>46</v>
      </c>
      <c r="B275" t="s">
        <v>2251</v>
      </c>
      <c r="C275">
        <v>88.44</v>
      </c>
      <c r="D275">
        <v>237.6</v>
      </c>
      <c r="E275">
        <v>0.91946300000000003</v>
      </c>
      <c r="F275">
        <v>24.19</v>
      </c>
      <c r="G275">
        <v>10</v>
      </c>
      <c r="H275">
        <v>19.66</v>
      </c>
    </row>
    <row r="276" spans="1:8">
      <c r="A276" s="1">
        <v>47</v>
      </c>
      <c r="B276" t="s">
        <v>2252</v>
      </c>
      <c r="C276">
        <v>87.75</v>
      </c>
      <c r="D276">
        <v>237.61</v>
      </c>
      <c r="E276">
        <v>0.91128799999999999</v>
      </c>
      <c r="F276">
        <v>42.28</v>
      </c>
      <c r="G276">
        <v>28</v>
      </c>
      <c r="H276">
        <v>19.420000000000002</v>
      </c>
    </row>
    <row r="277" spans="1:8">
      <c r="A277" s="1">
        <v>48</v>
      </c>
      <c r="B277" t="s">
        <v>2253</v>
      </c>
      <c r="C277">
        <v>77.64</v>
      </c>
      <c r="D277">
        <v>235.07</v>
      </c>
      <c r="E277">
        <v>0.85156100000000001</v>
      </c>
      <c r="F277">
        <v>6.26</v>
      </c>
      <c r="G277">
        <v>48</v>
      </c>
      <c r="H277">
        <v>17.649999999999999</v>
      </c>
    </row>
    <row r="278" spans="1:8">
      <c r="A278" s="1">
        <v>49</v>
      </c>
      <c r="B278" t="s">
        <v>2254</v>
      </c>
      <c r="C278">
        <v>71.959999999999994</v>
      </c>
      <c r="D278">
        <v>235.07</v>
      </c>
      <c r="E278">
        <v>0.90925599999999995</v>
      </c>
      <c r="F278">
        <v>43.78</v>
      </c>
      <c r="G278">
        <v>38</v>
      </c>
      <c r="H278">
        <v>16.04</v>
      </c>
    </row>
    <row r="279" spans="1:8">
      <c r="A279" s="1">
        <v>50</v>
      </c>
      <c r="B279" t="s">
        <v>2255</v>
      </c>
      <c r="C279">
        <v>78.59</v>
      </c>
      <c r="D279">
        <v>235.32</v>
      </c>
      <c r="E279">
        <v>0.87473100000000004</v>
      </c>
      <c r="F279">
        <v>6.22</v>
      </c>
      <c r="G279">
        <v>14</v>
      </c>
      <c r="H279">
        <v>18.36</v>
      </c>
    </row>
    <row r="280" spans="1:8">
      <c r="B280" s="1" t="s">
        <v>19</v>
      </c>
      <c r="C280" s="1">
        <f>AVERAGE(C230:C279)</f>
        <v>79.366400000000027</v>
      </c>
      <c r="D280" s="1">
        <f t="shared" ref="D280:F280" si="11">AVERAGE(D230:D279)</f>
        <v>234.90559999999996</v>
      </c>
      <c r="E280" s="1">
        <f t="shared" si="11"/>
        <v>0.86201068000000003</v>
      </c>
      <c r="F280" s="1">
        <f t="shared" si="11"/>
        <v>10.071</v>
      </c>
      <c r="G280" s="1">
        <f t="shared" ref="G280" si="12">AVERAGE(G230:G279)</f>
        <v>30.52</v>
      </c>
      <c r="H280" s="1">
        <f t="shared" ref="H280" si="13">AVERAGE(H230:H279)</f>
        <v>18.001000000000001</v>
      </c>
    </row>
    <row r="281" spans="1:8">
      <c r="B281" s="1" t="s">
        <v>20</v>
      </c>
      <c r="C281" s="1">
        <f>MIN(C229:C279)</f>
        <v>69.069999999999993</v>
      </c>
      <c r="D281" s="1">
        <f>MIN(D229:D279)</f>
        <v>231.07</v>
      </c>
      <c r="E281" s="1">
        <f>MIN(E229:E279)</f>
        <v>0.77539000000000002</v>
      </c>
      <c r="F281" s="1">
        <f>MIN(F229:F279)</f>
        <v>0.35</v>
      </c>
      <c r="H281" s="1">
        <f>MIN(H229:H279)</f>
        <v>16.010000000000002</v>
      </c>
    </row>
    <row r="282" spans="1:8">
      <c r="B282" s="1" t="s">
        <v>3</v>
      </c>
      <c r="C282" s="1" t="e">
        <f>STDEV(#REF!)</f>
        <v>#REF!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1" t="s">
        <v>1435</v>
      </c>
    </row>
    <row r="285" spans="1:8" ht="18">
      <c r="A285" s="21" t="s">
        <v>7</v>
      </c>
      <c r="B285" s="3" t="s">
        <v>10</v>
      </c>
      <c r="C285" s="21" t="s">
        <v>4</v>
      </c>
      <c r="D285" s="21" t="s">
        <v>322</v>
      </c>
      <c r="E285" s="21" t="s">
        <v>321</v>
      </c>
      <c r="F285" s="21" t="s">
        <v>324</v>
      </c>
      <c r="G285" s="21" t="s">
        <v>323</v>
      </c>
      <c r="H285" s="21" t="s">
        <v>1436</v>
      </c>
    </row>
    <row r="286" spans="1:8">
      <c r="A286" s="1">
        <v>1</v>
      </c>
      <c r="B286" t="s">
        <v>2256</v>
      </c>
      <c r="C286">
        <v>70.849999999999994</v>
      </c>
      <c r="D286">
        <v>311.91000000000003</v>
      </c>
      <c r="E286">
        <v>0.83536900000000003</v>
      </c>
      <c r="F286">
        <v>16.510000000000002</v>
      </c>
      <c r="G286">
        <v>30</v>
      </c>
      <c r="H286">
        <v>15.43</v>
      </c>
    </row>
    <row r="287" spans="1:8">
      <c r="A287" s="1">
        <v>2</v>
      </c>
      <c r="B287" t="s">
        <v>2257</v>
      </c>
      <c r="C287">
        <v>77.290000000000006</v>
      </c>
      <c r="D287">
        <v>310.69</v>
      </c>
      <c r="E287">
        <v>0.841534</v>
      </c>
      <c r="F287">
        <v>0.88</v>
      </c>
      <c r="G287">
        <v>50</v>
      </c>
      <c r="H287">
        <v>17.07</v>
      </c>
    </row>
    <row r="288" spans="1:8">
      <c r="A288" s="1">
        <v>3</v>
      </c>
      <c r="B288" t="s">
        <v>2258</v>
      </c>
      <c r="C288">
        <v>74.75</v>
      </c>
      <c r="D288">
        <v>312.13</v>
      </c>
      <c r="E288">
        <v>0.79739099999999996</v>
      </c>
      <c r="F288">
        <v>17.97</v>
      </c>
      <c r="G288">
        <v>68</v>
      </c>
      <c r="H288">
        <v>16.38</v>
      </c>
    </row>
    <row r="289" spans="1:8">
      <c r="A289" s="1">
        <v>4</v>
      </c>
      <c r="B289" t="s">
        <v>2259</v>
      </c>
      <c r="C289">
        <v>71.569999999999993</v>
      </c>
      <c r="D289">
        <v>310.58</v>
      </c>
      <c r="E289">
        <v>0.84790500000000002</v>
      </c>
      <c r="F289">
        <v>0.38</v>
      </c>
      <c r="G289">
        <v>40</v>
      </c>
      <c r="H289">
        <v>16.010000000000002</v>
      </c>
    </row>
    <row r="290" spans="1:8">
      <c r="A290" s="1">
        <v>5</v>
      </c>
      <c r="B290" t="s">
        <v>2260</v>
      </c>
      <c r="C290">
        <v>69.39</v>
      </c>
      <c r="D290">
        <v>311.17</v>
      </c>
      <c r="E290">
        <v>0.83202399999999999</v>
      </c>
      <c r="F290">
        <v>10.68</v>
      </c>
      <c r="G290">
        <v>38</v>
      </c>
      <c r="H290">
        <v>15.23</v>
      </c>
    </row>
    <row r="291" spans="1:8">
      <c r="A291" s="1">
        <v>6</v>
      </c>
      <c r="B291" t="s">
        <v>2261</v>
      </c>
      <c r="C291">
        <v>72.290000000000006</v>
      </c>
      <c r="D291">
        <v>311.44</v>
      </c>
      <c r="E291">
        <v>0.82721100000000003</v>
      </c>
      <c r="F291">
        <v>2</v>
      </c>
      <c r="G291">
        <v>26</v>
      </c>
      <c r="H291">
        <v>16.48</v>
      </c>
    </row>
    <row r="292" spans="1:8">
      <c r="A292" s="1">
        <v>7</v>
      </c>
      <c r="B292" t="s">
        <v>2262</v>
      </c>
      <c r="C292">
        <v>69.12</v>
      </c>
      <c r="D292">
        <v>311.79000000000002</v>
      </c>
      <c r="E292">
        <v>0.84260599999999997</v>
      </c>
      <c r="F292">
        <v>23.04</v>
      </c>
      <c r="G292">
        <v>12</v>
      </c>
      <c r="H292">
        <v>15.11</v>
      </c>
    </row>
    <row r="293" spans="1:8">
      <c r="A293" s="1">
        <v>8</v>
      </c>
      <c r="B293" t="s">
        <v>2263</v>
      </c>
      <c r="C293">
        <v>70.27</v>
      </c>
      <c r="D293">
        <v>310.85000000000002</v>
      </c>
      <c r="E293">
        <v>0.81120599999999998</v>
      </c>
      <c r="F293">
        <v>4.8</v>
      </c>
      <c r="G293">
        <v>0</v>
      </c>
      <c r="H293">
        <v>15.91</v>
      </c>
    </row>
    <row r="294" spans="1:8">
      <c r="A294" s="1">
        <v>9</v>
      </c>
      <c r="B294" t="s">
        <v>2264</v>
      </c>
      <c r="C294">
        <v>71.38</v>
      </c>
      <c r="D294">
        <v>311.93</v>
      </c>
      <c r="E294">
        <v>0.88765499999999997</v>
      </c>
      <c r="F294">
        <v>1.65</v>
      </c>
      <c r="G294">
        <v>74</v>
      </c>
      <c r="H294">
        <v>15.93</v>
      </c>
    </row>
    <row r="295" spans="1:8">
      <c r="A295" s="1">
        <v>10</v>
      </c>
      <c r="B295" t="s">
        <v>2265</v>
      </c>
      <c r="C295">
        <v>61.98</v>
      </c>
      <c r="D295">
        <v>305.5</v>
      </c>
      <c r="E295">
        <v>0.73874300000000004</v>
      </c>
      <c r="F295">
        <v>0.57999999999999996</v>
      </c>
      <c r="G295">
        <v>52</v>
      </c>
      <c r="H295">
        <v>13.75</v>
      </c>
    </row>
    <row r="296" spans="1:8">
      <c r="A296" s="1">
        <v>11</v>
      </c>
      <c r="B296" t="s">
        <v>2266</v>
      </c>
      <c r="C296">
        <v>73.48</v>
      </c>
      <c r="D296">
        <v>312.86</v>
      </c>
      <c r="E296">
        <v>0.86979200000000001</v>
      </c>
      <c r="F296">
        <v>17.36</v>
      </c>
      <c r="G296">
        <v>8</v>
      </c>
      <c r="H296">
        <v>16.21</v>
      </c>
    </row>
    <row r="297" spans="1:8">
      <c r="A297" s="1">
        <v>12</v>
      </c>
      <c r="B297" t="s">
        <v>2267</v>
      </c>
      <c r="C297">
        <v>73.099999999999994</v>
      </c>
      <c r="D297">
        <v>313.11</v>
      </c>
      <c r="E297">
        <v>0.89581500000000003</v>
      </c>
      <c r="F297">
        <v>14.25</v>
      </c>
      <c r="G297">
        <v>8</v>
      </c>
      <c r="H297">
        <v>16.75</v>
      </c>
    </row>
    <row r="298" spans="1:8">
      <c r="A298" s="1">
        <v>13</v>
      </c>
      <c r="B298" t="s">
        <v>2268</v>
      </c>
      <c r="C298">
        <v>73.569999999999993</v>
      </c>
      <c r="D298">
        <v>310.62</v>
      </c>
      <c r="E298">
        <v>0.80545</v>
      </c>
      <c r="F298">
        <v>1.19</v>
      </c>
      <c r="G298">
        <v>74</v>
      </c>
      <c r="H298">
        <v>15.91</v>
      </c>
    </row>
    <row r="299" spans="1:8">
      <c r="A299" s="1">
        <v>14</v>
      </c>
      <c r="B299" t="s">
        <v>2269</v>
      </c>
      <c r="C299">
        <v>71.88</v>
      </c>
      <c r="D299">
        <v>312.14999999999998</v>
      </c>
      <c r="E299">
        <v>0.81791700000000001</v>
      </c>
      <c r="F299">
        <v>20.309999999999999</v>
      </c>
      <c r="G299">
        <v>60</v>
      </c>
      <c r="H299">
        <v>16.100000000000001</v>
      </c>
    </row>
    <row r="300" spans="1:8">
      <c r="A300" s="1">
        <v>15</v>
      </c>
      <c r="B300" t="s">
        <v>2270</v>
      </c>
      <c r="C300">
        <v>72.25</v>
      </c>
      <c r="D300">
        <v>310.52</v>
      </c>
      <c r="E300">
        <v>0.85027699999999995</v>
      </c>
      <c r="F300">
        <v>1.04</v>
      </c>
      <c r="G300">
        <v>36</v>
      </c>
      <c r="H300">
        <v>16.5</v>
      </c>
    </row>
    <row r="301" spans="1:8">
      <c r="A301" s="1">
        <v>16</v>
      </c>
      <c r="B301" t="s">
        <v>2271</v>
      </c>
      <c r="C301">
        <v>69.5</v>
      </c>
      <c r="D301">
        <v>311.3</v>
      </c>
      <c r="E301">
        <v>0.84976399999999996</v>
      </c>
      <c r="F301">
        <v>8.0299999999999994</v>
      </c>
      <c r="G301">
        <v>18</v>
      </c>
      <c r="H301">
        <v>15.97</v>
      </c>
    </row>
    <row r="302" spans="1:8">
      <c r="A302" s="1">
        <v>17</v>
      </c>
      <c r="B302" t="s">
        <v>2272</v>
      </c>
      <c r="C302">
        <v>71.819999999999993</v>
      </c>
      <c r="D302">
        <v>308.83</v>
      </c>
      <c r="E302">
        <v>0.82732399999999995</v>
      </c>
      <c r="F302">
        <v>1.34</v>
      </c>
      <c r="G302">
        <v>40</v>
      </c>
      <c r="H302">
        <v>16.350000000000001</v>
      </c>
    </row>
    <row r="303" spans="1:8">
      <c r="A303" s="1">
        <v>18</v>
      </c>
      <c r="B303" t="s">
        <v>2273</v>
      </c>
      <c r="C303">
        <v>66.75</v>
      </c>
      <c r="D303">
        <v>307.70999999999998</v>
      </c>
      <c r="E303">
        <v>0.82970200000000005</v>
      </c>
      <c r="F303">
        <v>0.19</v>
      </c>
      <c r="G303">
        <v>4</v>
      </c>
      <c r="H303">
        <v>15.17</v>
      </c>
    </row>
    <row r="304" spans="1:8">
      <c r="A304" s="1">
        <v>19</v>
      </c>
      <c r="B304" t="s">
        <v>2274</v>
      </c>
      <c r="C304">
        <v>70.59</v>
      </c>
      <c r="D304">
        <v>311.57</v>
      </c>
      <c r="E304">
        <v>0.83377199999999996</v>
      </c>
      <c r="F304">
        <v>10.29</v>
      </c>
      <c r="G304">
        <v>16</v>
      </c>
      <c r="H304">
        <v>16.29</v>
      </c>
    </row>
    <row r="305" spans="1:8">
      <c r="A305" s="1">
        <v>20</v>
      </c>
      <c r="B305" t="s">
        <v>2275</v>
      </c>
      <c r="C305">
        <v>68.47</v>
      </c>
      <c r="D305">
        <v>311.02999999999997</v>
      </c>
      <c r="E305">
        <v>0.82907200000000003</v>
      </c>
      <c r="F305">
        <v>10.37</v>
      </c>
      <c r="G305">
        <v>16</v>
      </c>
      <c r="H305">
        <v>15.35</v>
      </c>
    </row>
    <row r="306" spans="1:8">
      <c r="A306" s="1">
        <v>21</v>
      </c>
      <c r="B306" t="s">
        <v>2276</v>
      </c>
      <c r="C306">
        <v>66.14</v>
      </c>
      <c r="D306">
        <v>307.33</v>
      </c>
      <c r="E306">
        <v>0.83732700000000004</v>
      </c>
      <c r="F306">
        <v>0.04</v>
      </c>
      <c r="G306">
        <v>38</v>
      </c>
      <c r="H306">
        <v>14.46</v>
      </c>
    </row>
    <row r="307" spans="1:8">
      <c r="A307" s="1">
        <v>22</v>
      </c>
      <c r="B307" t="s">
        <v>2277</v>
      </c>
      <c r="C307">
        <v>74.23</v>
      </c>
      <c r="D307">
        <v>309.04000000000002</v>
      </c>
      <c r="E307">
        <v>0.79506900000000003</v>
      </c>
      <c r="F307">
        <v>0.27</v>
      </c>
      <c r="G307">
        <v>22</v>
      </c>
      <c r="H307">
        <v>16.27</v>
      </c>
    </row>
    <row r="308" spans="1:8">
      <c r="A308" s="1">
        <v>23</v>
      </c>
      <c r="B308" t="s">
        <v>2278</v>
      </c>
      <c r="C308">
        <v>71.02</v>
      </c>
      <c r="D308">
        <v>311.18</v>
      </c>
      <c r="E308">
        <v>0.83799800000000002</v>
      </c>
      <c r="F308">
        <v>1.65</v>
      </c>
      <c r="G308">
        <v>52</v>
      </c>
      <c r="H308">
        <v>15.97</v>
      </c>
    </row>
    <row r="309" spans="1:8">
      <c r="A309" s="1">
        <v>24</v>
      </c>
      <c r="B309" t="s">
        <v>2279</v>
      </c>
      <c r="C309">
        <v>74.19</v>
      </c>
      <c r="D309">
        <v>310.79000000000002</v>
      </c>
      <c r="E309">
        <v>0.81920099999999996</v>
      </c>
      <c r="F309">
        <v>1.23</v>
      </c>
      <c r="G309">
        <v>66</v>
      </c>
      <c r="H309">
        <v>16.38</v>
      </c>
    </row>
    <row r="310" spans="1:8">
      <c r="A310" s="1">
        <v>25</v>
      </c>
      <c r="B310" t="s">
        <v>2280</v>
      </c>
      <c r="C310">
        <v>77.09</v>
      </c>
      <c r="D310">
        <v>313.93</v>
      </c>
      <c r="E310">
        <v>0.87416899999999997</v>
      </c>
      <c r="F310">
        <v>21.58</v>
      </c>
      <c r="G310">
        <v>4</v>
      </c>
      <c r="H310">
        <v>17.89</v>
      </c>
    </row>
    <row r="311" spans="1:8">
      <c r="A311" s="1">
        <v>26</v>
      </c>
      <c r="B311" t="s">
        <v>2281</v>
      </c>
      <c r="C311">
        <v>77.08</v>
      </c>
      <c r="D311">
        <v>313.98</v>
      </c>
      <c r="E311">
        <v>0.89592499999999997</v>
      </c>
      <c r="F311">
        <v>9.64</v>
      </c>
      <c r="G311">
        <v>68</v>
      </c>
      <c r="H311">
        <v>17.3</v>
      </c>
    </row>
    <row r="312" spans="1:8">
      <c r="A312" s="1">
        <v>27</v>
      </c>
      <c r="B312" t="s">
        <v>2282</v>
      </c>
      <c r="C312">
        <v>71.86</v>
      </c>
      <c r="D312">
        <v>310.77</v>
      </c>
      <c r="E312">
        <v>0.84887599999999996</v>
      </c>
      <c r="F312">
        <v>1.88</v>
      </c>
      <c r="G312">
        <v>40</v>
      </c>
      <c r="H312">
        <v>16.16</v>
      </c>
    </row>
    <row r="313" spans="1:8">
      <c r="A313" s="1">
        <v>28</v>
      </c>
      <c r="B313" t="s">
        <v>2283</v>
      </c>
      <c r="C313">
        <v>68.61</v>
      </c>
      <c r="D313">
        <v>309.17</v>
      </c>
      <c r="E313">
        <v>0.78661999999999999</v>
      </c>
      <c r="F313">
        <v>1.8</v>
      </c>
      <c r="G313">
        <v>26</v>
      </c>
      <c r="H313">
        <v>15.72</v>
      </c>
    </row>
    <row r="314" spans="1:8">
      <c r="A314" s="1">
        <v>29</v>
      </c>
      <c r="B314" t="s">
        <v>2284</v>
      </c>
      <c r="C314">
        <v>69.52</v>
      </c>
      <c r="D314">
        <v>307.68</v>
      </c>
      <c r="E314">
        <v>0.77776800000000001</v>
      </c>
      <c r="F314">
        <v>1.61</v>
      </c>
      <c r="G314">
        <v>40</v>
      </c>
      <c r="H314">
        <v>15.08</v>
      </c>
    </row>
    <row r="315" spans="1:8">
      <c r="A315" s="1">
        <v>30</v>
      </c>
      <c r="B315" t="s">
        <v>2285</v>
      </c>
      <c r="C315">
        <v>68.959999999999994</v>
      </c>
      <c r="D315">
        <v>310.37</v>
      </c>
      <c r="E315">
        <v>0.80753399999999997</v>
      </c>
      <c r="F315">
        <v>2.84</v>
      </c>
      <c r="G315">
        <v>66</v>
      </c>
      <c r="H315">
        <v>15.43</v>
      </c>
    </row>
    <row r="316" spans="1:8">
      <c r="A316" s="1">
        <v>31</v>
      </c>
      <c r="B316" t="s">
        <v>2286</v>
      </c>
      <c r="C316">
        <v>69.069999999999993</v>
      </c>
      <c r="D316">
        <v>310.91000000000003</v>
      </c>
      <c r="E316">
        <v>0.84115200000000001</v>
      </c>
      <c r="F316">
        <v>2.61</v>
      </c>
      <c r="G316">
        <v>16</v>
      </c>
      <c r="H316">
        <v>15.54</v>
      </c>
    </row>
    <row r="317" spans="1:8">
      <c r="A317" s="1">
        <v>32</v>
      </c>
      <c r="B317" t="s">
        <v>2287</v>
      </c>
      <c r="C317">
        <v>78.5</v>
      </c>
      <c r="D317">
        <v>311.19</v>
      </c>
      <c r="E317">
        <v>0.83808000000000005</v>
      </c>
      <c r="F317">
        <v>0.42</v>
      </c>
      <c r="G317">
        <v>58</v>
      </c>
      <c r="H317">
        <v>17.39</v>
      </c>
    </row>
    <row r="318" spans="1:8">
      <c r="A318" s="1">
        <v>33</v>
      </c>
      <c r="B318" t="s">
        <v>2288</v>
      </c>
      <c r="C318">
        <v>71.72</v>
      </c>
      <c r="D318">
        <v>308.08</v>
      </c>
      <c r="E318">
        <v>0.77585800000000005</v>
      </c>
      <c r="F318">
        <v>0.65</v>
      </c>
      <c r="G318">
        <v>10</v>
      </c>
      <c r="H318">
        <v>15.53</v>
      </c>
    </row>
    <row r="319" spans="1:8">
      <c r="A319" s="1">
        <v>34</v>
      </c>
      <c r="B319" t="s">
        <v>2289</v>
      </c>
      <c r="C319">
        <v>71.84</v>
      </c>
      <c r="D319">
        <v>311.67</v>
      </c>
      <c r="E319">
        <v>0.83292600000000006</v>
      </c>
      <c r="F319">
        <v>3.46</v>
      </c>
      <c r="G319">
        <v>38</v>
      </c>
      <c r="H319">
        <v>15.74</v>
      </c>
    </row>
    <row r="320" spans="1:8">
      <c r="A320" s="1">
        <v>35</v>
      </c>
      <c r="B320" t="s">
        <v>2290</v>
      </c>
      <c r="C320">
        <v>71.319999999999993</v>
      </c>
      <c r="D320">
        <v>310.02</v>
      </c>
      <c r="E320">
        <v>0.80786100000000005</v>
      </c>
      <c r="F320">
        <v>1</v>
      </c>
      <c r="G320">
        <v>34</v>
      </c>
      <c r="H320">
        <v>15.78</v>
      </c>
    </row>
    <row r="321" spans="1:8">
      <c r="A321" s="1">
        <v>36</v>
      </c>
      <c r="B321" t="s">
        <v>2291</v>
      </c>
      <c r="C321">
        <v>68.88</v>
      </c>
      <c r="D321">
        <v>305.79000000000002</v>
      </c>
      <c r="E321">
        <v>0.73980199999999996</v>
      </c>
      <c r="F321">
        <v>0.31</v>
      </c>
      <c r="G321">
        <v>34</v>
      </c>
      <c r="H321">
        <v>15.38</v>
      </c>
    </row>
    <row r="322" spans="1:8">
      <c r="A322" s="1">
        <v>37</v>
      </c>
      <c r="B322" t="s">
        <v>2292</v>
      </c>
      <c r="C322">
        <v>72.06</v>
      </c>
      <c r="D322">
        <v>309.26</v>
      </c>
      <c r="E322">
        <v>0.82593700000000003</v>
      </c>
      <c r="F322">
        <v>1</v>
      </c>
      <c r="G322">
        <v>44</v>
      </c>
      <c r="H322">
        <v>15.91</v>
      </c>
    </row>
    <row r="323" spans="1:8">
      <c r="A323" s="1">
        <v>38</v>
      </c>
      <c r="B323" t="s">
        <v>2293</v>
      </c>
      <c r="C323">
        <v>70.930000000000007</v>
      </c>
      <c r="D323">
        <v>310.94</v>
      </c>
      <c r="E323">
        <v>0.86130399999999996</v>
      </c>
      <c r="F323">
        <v>1</v>
      </c>
      <c r="G323">
        <v>6</v>
      </c>
      <c r="H323">
        <v>16.04</v>
      </c>
    </row>
    <row r="324" spans="1:8">
      <c r="A324" s="1">
        <v>39</v>
      </c>
      <c r="B324" t="s">
        <v>2294</v>
      </c>
      <c r="C324">
        <v>72.22</v>
      </c>
      <c r="D324">
        <v>313.02999999999997</v>
      </c>
      <c r="E324">
        <v>0.86854299999999995</v>
      </c>
      <c r="F324">
        <v>34.64</v>
      </c>
      <c r="G324">
        <v>34</v>
      </c>
      <c r="H324">
        <v>16.07</v>
      </c>
    </row>
    <row r="325" spans="1:8">
      <c r="A325" s="1">
        <v>40</v>
      </c>
      <c r="B325" t="s">
        <v>2295</v>
      </c>
      <c r="C325">
        <v>71.55</v>
      </c>
      <c r="D325">
        <v>312.2</v>
      </c>
      <c r="E325">
        <v>0.86321400000000004</v>
      </c>
      <c r="F325">
        <v>7.76</v>
      </c>
      <c r="G325">
        <v>48</v>
      </c>
      <c r="H325">
        <v>16.38</v>
      </c>
    </row>
    <row r="326" spans="1:8">
      <c r="A326" s="1">
        <v>41</v>
      </c>
      <c r="B326" t="s">
        <v>2296</v>
      </c>
      <c r="C326">
        <v>68.459999999999994</v>
      </c>
      <c r="D326">
        <v>309.95999999999998</v>
      </c>
      <c r="E326">
        <v>0.80611600000000005</v>
      </c>
      <c r="F326">
        <v>1.65</v>
      </c>
      <c r="G326">
        <v>0</v>
      </c>
      <c r="H326">
        <v>15.13</v>
      </c>
    </row>
    <row r="327" spans="1:8">
      <c r="A327" s="1">
        <v>42</v>
      </c>
      <c r="B327" t="s">
        <v>2297</v>
      </c>
      <c r="C327">
        <v>65.66</v>
      </c>
      <c r="D327">
        <v>309.75</v>
      </c>
      <c r="E327">
        <v>0.80289299999999997</v>
      </c>
      <c r="F327">
        <v>4.76</v>
      </c>
      <c r="G327">
        <v>20</v>
      </c>
      <c r="H327">
        <v>14.77</v>
      </c>
    </row>
    <row r="328" spans="1:8">
      <c r="A328" s="1">
        <v>43</v>
      </c>
      <c r="B328" t="s">
        <v>2298</v>
      </c>
      <c r="C328">
        <v>66.34</v>
      </c>
      <c r="D328">
        <v>310.83</v>
      </c>
      <c r="E328">
        <v>0.84989300000000001</v>
      </c>
      <c r="F328">
        <v>8.99</v>
      </c>
      <c r="G328">
        <v>38</v>
      </c>
      <c r="H328">
        <v>14.42</v>
      </c>
    </row>
    <row r="329" spans="1:8">
      <c r="A329" s="1">
        <v>44</v>
      </c>
      <c r="B329" t="s">
        <v>2299</v>
      </c>
      <c r="C329">
        <v>67.59</v>
      </c>
      <c r="D329">
        <v>310.42</v>
      </c>
      <c r="E329">
        <v>0.829538</v>
      </c>
      <c r="F329">
        <v>3.46</v>
      </c>
      <c r="G329">
        <v>2</v>
      </c>
      <c r="H329">
        <v>14.9</v>
      </c>
    </row>
    <row r="330" spans="1:8">
      <c r="A330" s="1">
        <v>45</v>
      </c>
      <c r="B330" t="s">
        <v>2300</v>
      </c>
      <c r="C330">
        <v>74.66</v>
      </c>
      <c r="D330">
        <v>308.79000000000002</v>
      </c>
      <c r="E330">
        <v>0.81557199999999996</v>
      </c>
      <c r="F330">
        <v>0.88</v>
      </c>
      <c r="G330">
        <v>36</v>
      </c>
      <c r="H330">
        <v>16.48</v>
      </c>
    </row>
    <row r="331" spans="1:8">
      <c r="A331" s="1">
        <v>46</v>
      </c>
      <c r="B331" t="s">
        <v>2301</v>
      </c>
      <c r="C331">
        <v>70.27</v>
      </c>
      <c r="D331">
        <v>311.55</v>
      </c>
      <c r="E331">
        <v>0.83942799999999995</v>
      </c>
      <c r="F331">
        <v>11.67</v>
      </c>
      <c r="G331">
        <v>12</v>
      </c>
      <c r="H331">
        <v>15.79</v>
      </c>
    </row>
    <row r="332" spans="1:8">
      <c r="A332" s="1">
        <v>47</v>
      </c>
      <c r="B332" t="s">
        <v>2302</v>
      </c>
      <c r="C332">
        <v>67.319999999999993</v>
      </c>
      <c r="D332">
        <v>310.35000000000002</v>
      </c>
      <c r="E332">
        <v>0.83493600000000001</v>
      </c>
      <c r="F332">
        <v>2.84</v>
      </c>
      <c r="G332">
        <v>22</v>
      </c>
      <c r="H332">
        <v>15.8</v>
      </c>
    </row>
    <row r="333" spans="1:8">
      <c r="A333" s="1">
        <v>48</v>
      </c>
      <c r="B333" t="s">
        <v>2303</v>
      </c>
      <c r="C333">
        <v>69.16</v>
      </c>
      <c r="D333">
        <v>312.36</v>
      </c>
      <c r="E333">
        <v>0.869695</v>
      </c>
      <c r="F333">
        <v>26.88</v>
      </c>
      <c r="G333">
        <v>32</v>
      </c>
      <c r="H333">
        <v>15.25</v>
      </c>
    </row>
    <row r="334" spans="1:8">
      <c r="A334" s="1">
        <v>49</v>
      </c>
      <c r="B334" t="s">
        <v>2304</v>
      </c>
      <c r="C334">
        <v>68.09</v>
      </c>
      <c r="D334">
        <v>310.18</v>
      </c>
      <c r="E334">
        <v>0.78302899999999998</v>
      </c>
      <c r="F334">
        <v>12.86</v>
      </c>
      <c r="G334">
        <v>42</v>
      </c>
      <c r="H334">
        <v>16.399999999999999</v>
      </c>
    </row>
    <row r="335" spans="1:8">
      <c r="A335" s="1">
        <v>50</v>
      </c>
      <c r="B335" t="s">
        <v>2305</v>
      </c>
      <c r="C335">
        <v>70.89</v>
      </c>
      <c r="D335">
        <v>312.26</v>
      </c>
      <c r="E335">
        <v>0.87157499999999999</v>
      </c>
      <c r="F335">
        <v>8.41</v>
      </c>
      <c r="G335">
        <v>66</v>
      </c>
      <c r="H335">
        <v>15.8</v>
      </c>
    </row>
    <row r="336" spans="1:8">
      <c r="B336" s="1" t="s">
        <v>19</v>
      </c>
      <c r="C336" s="1">
        <f>AVERAGE(C286:C335)</f>
        <v>70.910600000000002</v>
      </c>
      <c r="D336" s="1">
        <f t="shared" ref="D336:F336" si="14">AVERAGE(D286:D335)</f>
        <v>310.62940000000015</v>
      </c>
      <c r="E336" s="1">
        <f t="shared" si="14"/>
        <v>0.83016736000000013</v>
      </c>
      <c r="F336" s="1">
        <f t="shared" si="14"/>
        <v>6.8129999999999997</v>
      </c>
      <c r="H336" s="1">
        <f t="shared" ref="H336" si="15">AVERAGE(H286:H335)</f>
        <v>15.861199999999997</v>
      </c>
    </row>
    <row r="337" spans="1:8">
      <c r="B337" s="1" t="s">
        <v>20</v>
      </c>
      <c r="C337" s="1">
        <f>MIN(C285:C335)</f>
        <v>61.98</v>
      </c>
      <c r="D337" s="1">
        <f t="shared" ref="D337:F337" si="16">MIN(D285:D335)</f>
        <v>305.5</v>
      </c>
      <c r="E337" s="1">
        <f t="shared" si="16"/>
        <v>0.73874300000000004</v>
      </c>
      <c r="F337" s="1">
        <f t="shared" si="16"/>
        <v>0.04</v>
      </c>
      <c r="H337" s="1">
        <f t="shared" ref="H337" si="17">MIN(H285:H335)</f>
        <v>13.75</v>
      </c>
    </row>
    <row r="338" spans="1:8">
      <c r="B338" s="1" t="s">
        <v>3</v>
      </c>
      <c r="C338" s="1">
        <f>STDEV(C286:C335)</f>
        <v>3.1876953545576421</v>
      </c>
      <c r="D338" s="1">
        <f t="shared" ref="D338:E338" si="18">STDEV(D286:D335)</f>
        <v>1.8136088838539643</v>
      </c>
      <c r="E338" s="1">
        <f t="shared" si="18"/>
        <v>3.4197583557522712E-2</v>
      </c>
      <c r="F338" s="1">
        <f>STDEV(F286:F335)</f>
        <v>8.1247548785630865</v>
      </c>
      <c r="H338" s="1">
        <f>STDEV(H286:H335)</f>
        <v>0.76585190660933955</v>
      </c>
    </row>
    <row r="340" spans="1:8">
      <c r="H340" s="21" t="s">
        <v>1435</v>
      </c>
    </row>
    <row r="341" spans="1:8" ht="18">
      <c r="A341" s="21" t="s">
        <v>7</v>
      </c>
      <c r="B341" s="3" t="s">
        <v>6</v>
      </c>
      <c r="C341" s="21" t="s">
        <v>4</v>
      </c>
      <c r="D341" s="21" t="s">
        <v>322</v>
      </c>
      <c r="E341" s="21" t="s">
        <v>321</v>
      </c>
      <c r="F341" s="21" t="s">
        <v>324</v>
      </c>
      <c r="G341" s="21" t="s">
        <v>323</v>
      </c>
      <c r="H341" s="21" t="s">
        <v>1436</v>
      </c>
    </row>
    <row r="342" spans="1:8">
      <c r="A342" s="1">
        <v>1</v>
      </c>
      <c r="B342" t="s">
        <v>3822</v>
      </c>
      <c r="C342">
        <v>63.78</v>
      </c>
      <c r="D342">
        <v>386.54</v>
      </c>
      <c r="E342">
        <v>0.80494200000000005</v>
      </c>
      <c r="F342">
        <v>4.92</v>
      </c>
      <c r="G342">
        <v>36</v>
      </c>
      <c r="H342">
        <v>14.38</v>
      </c>
    </row>
    <row r="343" spans="1:8">
      <c r="A343" s="1">
        <v>2</v>
      </c>
      <c r="B343" t="s">
        <v>3823</v>
      </c>
      <c r="C343">
        <v>58.6</v>
      </c>
      <c r="D343">
        <v>383.22</v>
      </c>
      <c r="E343">
        <v>0.80639099999999997</v>
      </c>
      <c r="F343">
        <v>1.19</v>
      </c>
      <c r="G343">
        <v>84</v>
      </c>
      <c r="H343">
        <v>13.82</v>
      </c>
    </row>
    <row r="344" spans="1:8">
      <c r="A344" s="1">
        <v>3</v>
      </c>
      <c r="B344" t="s">
        <v>3824</v>
      </c>
      <c r="C344">
        <v>64.13</v>
      </c>
      <c r="D344">
        <v>385.13</v>
      </c>
      <c r="E344">
        <v>0.830762</v>
      </c>
      <c r="F344">
        <v>0.35</v>
      </c>
      <c r="G344">
        <v>32</v>
      </c>
      <c r="H344">
        <v>14.14</v>
      </c>
    </row>
    <row r="345" spans="1:8">
      <c r="A345" s="1">
        <v>4</v>
      </c>
      <c r="B345" t="s">
        <v>3825</v>
      </c>
      <c r="C345">
        <v>63.08</v>
      </c>
      <c r="D345">
        <v>385.16</v>
      </c>
      <c r="E345">
        <v>0.83721199999999996</v>
      </c>
      <c r="F345">
        <v>0.88</v>
      </c>
      <c r="G345">
        <v>44</v>
      </c>
      <c r="H345">
        <v>13.92</v>
      </c>
    </row>
    <row r="346" spans="1:8">
      <c r="A346" s="1">
        <v>5</v>
      </c>
      <c r="B346" t="s">
        <v>3826</v>
      </c>
      <c r="C346">
        <v>65.650000000000006</v>
      </c>
      <c r="D346">
        <v>387.07</v>
      </c>
      <c r="E346">
        <v>0.83369099999999996</v>
      </c>
      <c r="F346">
        <v>2.0699999999999998</v>
      </c>
      <c r="G346">
        <v>22</v>
      </c>
      <c r="H346">
        <v>15.07</v>
      </c>
    </row>
    <row r="347" spans="1:8">
      <c r="A347" s="1">
        <v>6</v>
      </c>
      <c r="B347" t="s">
        <v>3827</v>
      </c>
      <c r="C347">
        <v>62.77</v>
      </c>
      <c r="D347">
        <v>384.13</v>
      </c>
      <c r="E347">
        <v>0.76619599999999999</v>
      </c>
      <c r="F347">
        <v>2.46</v>
      </c>
      <c r="G347">
        <v>52</v>
      </c>
      <c r="H347">
        <v>14.15</v>
      </c>
    </row>
    <row r="348" spans="1:8">
      <c r="A348" s="1">
        <v>7</v>
      </c>
      <c r="B348" t="s">
        <v>3828</v>
      </c>
      <c r="C348">
        <v>63.72</v>
      </c>
      <c r="D348">
        <v>385.11</v>
      </c>
      <c r="E348">
        <v>0.80851300000000004</v>
      </c>
      <c r="F348">
        <v>2</v>
      </c>
      <c r="G348">
        <v>2</v>
      </c>
      <c r="H348">
        <v>14.13</v>
      </c>
    </row>
    <row r="349" spans="1:8">
      <c r="A349" s="1">
        <v>8</v>
      </c>
      <c r="B349" t="s">
        <v>3829</v>
      </c>
      <c r="C349">
        <v>63.61</v>
      </c>
      <c r="D349">
        <v>384.41</v>
      </c>
      <c r="E349">
        <v>0.77329499999999995</v>
      </c>
      <c r="F349">
        <v>1</v>
      </c>
      <c r="G349">
        <v>74</v>
      </c>
      <c r="H349">
        <v>13.96</v>
      </c>
    </row>
    <row r="350" spans="1:8">
      <c r="A350" s="1">
        <v>9</v>
      </c>
      <c r="B350" t="s">
        <v>3830</v>
      </c>
      <c r="C350">
        <v>63.14</v>
      </c>
      <c r="D350">
        <v>383.03</v>
      </c>
      <c r="E350">
        <v>0.75407299999999999</v>
      </c>
      <c r="F350">
        <v>1.69</v>
      </c>
      <c r="G350">
        <v>70</v>
      </c>
      <c r="H350">
        <v>14.12</v>
      </c>
    </row>
    <row r="351" spans="1:8">
      <c r="A351" s="1">
        <v>10</v>
      </c>
      <c r="B351" t="s">
        <v>3831</v>
      </c>
      <c r="C351">
        <v>68.349999999999994</v>
      </c>
      <c r="D351">
        <v>384.19</v>
      </c>
      <c r="E351">
        <v>0.77417899999999995</v>
      </c>
      <c r="F351">
        <v>1.65</v>
      </c>
      <c r="G351">
        <v>70</v>
      </c>
      <c r="H351">
        <v>15.78</v>
      </c>
    </row>
    <row r="352" spans="1:8">
      <c r="A352" s="1">
        <v>11</v>
      </c>
      <c r="B352" t="s">
        <v>3832</v>
      </c>
      <c r="C352">
        <v>61.84</v>
      </c>
      <c r="D352">
        <v>384.55</v>
      </c>
      <c r="E352">
        <v>0.79020500000000005</v>
      </c>
      <c r="F352">
        <v>1.57</v>
      </c>
      <c r="G352">
        <v>46</v>
      </c>
      <c r="H352">
        <v>13.58</v>
      </c>
    </row>
    <row r="353" spans="1:8">
      <c r="A353" s="1">
        <v>12</v>
      </c>
      <c r="B353" t="s">
        <v>3833</v>
      </c>
      <c r="C353">
        <v>63.4</v>
      </c>
      <c r="D353">
        <v>386.9</v>
      </c>
      <c r="E353">
        <v>0.82563699999999995</v>
      </c>
      <c r="F353">
        <v>6.6</v>
      </c>
      <c r="G353">
        <v>2</v>
      </c>
      <c r="H353">
        <v>14.04</v>
      </c>
    </row>
    <row r="354" spans="1:8">
      <c r="A354" s="1">
        <v>13</v>
      </c>
      <c r="B354" t="s">
        <v>3834</v>
      </c>
      <c r="C354">
        <v>69.8</v>
      </c>
      <c r="D354">
        <v>388.57</v>
      </c>
      <c r="E354">
        <v>0.82101800000000003</v>
      </c>
      <c r="F354">
        <v>7.33</v>
      </c>
      <c r="G354">
        <v>38</v>
      </c>
      <c r="H354">
        <v>15.53</v>
      </c>
    </row>
    <row r="355" spans="1:8">
      <c r="A355" s="1">
        <v>14</v>
      </c>
      <c r="B355" t="s">
        <v>3835</v>
      </c>
      <c r="C355">
        <v>67.8</v>
      </c>
      <c r="D355">
        <v>384.71</v>
      </c>
      <c r="E355">
        <v>0.77692099999999997</v>
      </c>
      <c r="F355">
        <v>0.23</v>
      </c>
      <c r="G355">
        <v>86</v>
      </c>
      <c r="H355">
        <v>15.59</v>
      </c>
    </row>
    <row r="356" spans="1:8">
      <c r="A356" s="1">
        <v>15</v>
      </c>
      <c r="B356" t="s">
        <v>3836</v>
      </c>
      <c r="C356">
        <v>66.62</v>
      </c>
      <c r="D356">
        <v>385.88</v>
      </c>
      <c r="E356">
        <v>0.80173899999999998</v>
      </c>
      <c r="F356">
        <v>1.1100000000000001</v>
      </c>
      <c r="G356">
        <v>62</v>
      </c>
      <c r="H356">
        <v>14.62</v>
      </c>
    </row>
    <row r="357" spans="1:8">
      <c r="A357" s="1">
        <v>16</v>
      </c>
      <c r="B357" t="s">
        <v>3837</v>
      </c>
      <c r="C357">
        <v>61.39</v>
      </c>
      <c r="D357" t="e">
        <f>-inf</f>
        <v>#NAME?</v>
      </c>
      <c r="E357">
        <v>0.80200700000000003</v>
      </c>
      <c r="F357">
        <v>0</v>
      </c>
      <c r="G357">
        <v>28</v>
      </c>
      <c r="H357">
        <v>13.89</v>
      </c>
    </row>
    <row r="358" spans="1:8">
      <c r="A358" s="1">
        <v>17</v>
      </c>
      <c r="B358" t="s">
        <v>3838</v>
      </c>
      <c r="C358">
        <v>64.150000000000006</v>
      </c>
      <c r="D358">
        <v>383.81</v>
      </c>
      <c r="E358">
        <v>0.78635100000000002</v>
      </c>
      <c r="F358">
        <v>1.34</v>
      </c>
      <c r="G358">
        <v>94</v>
      </c>
      <c r="H358">
        <v>13.98</v>
      </c>
    </row>
    <row r="359" spans="1:8">
      <c r="A359" s="1">
        <v>18</v>
      </c>
      <c r="B359" t="s">
        <v>3839</v>
      </c>
      <c r="C359">
        <v>61.53</v>
      </c>
      <c r="D359">
        <v>380.62</v>
      </c>
      <c r="E359">
        <v>0.76185599999999998</v>
      </c>
      <c r="F359">
        <v>1</v>
      </c>
      <c r="G359">
        <v>6</v>
      </c>
      <c r="H359">
        <v>13.76</v>
      </c>
    </row>
    <row r="360" spans="1:8">
      <c r="A360" s="1">
        <v>19</v>
      </c>
      <c r="B360" t="s">
        <v>3840</v>
      </c>
      <c r="C360">
        <v>57.01</v>
      </c>
      <c r="D360">
        <v>384.07</v>
      </c>
      <c r="E360">
        <v>0.79730299999999998</v>
      </c>
      <c r="F360">
        <v>5.64</v>
      </c>
      <c r="G360">
        <v>24</v>
      </c>
      <c r="H360">
        <v>12.64</v>
      </c>
    </row>
    <row r="361" spans="1:8">
      <c r="A361" s="1">
        <v>20</v>
      </c>
      <c r="B361" t="s">
        <v>3841</v>
      </c>
      <c r="C361">
        <v>65.48</v>
      </c>
      <c r="D361">
        <v>387.8</v>
      </c>
      <c r="E361">
        <v>0.82091400000000003</v>
      </c>
      <c r="F361">
        <v>12.44</v>
      </c>
      <c r="G361">
        <v>68</v>
      </c>
      <c r="H361">
        <v>15.04</v>
      </c>
    </row>
    <row r="362" spans="1:8">
      <c r="A362" s="1">
        <v>21</v>
      </c>
      <c r="B362" t="s">
        <v>3842</v>
      </c>
      <c r="C362">
        <v>68.59</v>
      </c>
      <c r="D362">
        <v>387.8</v>
      </c>
      <c r="E362">
        <v>0.802153</v>
      </c>
      <c r="F362">
        <v>3.11</v>
      </c>
      <c r="G362">
        <v>58</v>
      </c>
      <c r="H362">
        <v>15.32</v>
      </c>
    </row>
    <row r="363" spans="1:8">
      <c r="A363" s="1">
        <v>22</v>
      </c>
      <c r="B363" t="s">
        <v>3843</v>
      </c>
      <c r="C363">
        <v>57.27</v>
      </c>
      <c r="D363">
        <v>384.74</v>
      </c>
      <c r="E363">
        <v>0.80674100000000004</v>
      </c>
      <c r="F363">
        <v>14.05</v>
      </c>
      <c r="G363">
        <v>28</v>
      </c>
      <c r="H363">
        <v>12.81</v>
      </c>
    </row>
    <row r="364" spans="1:8">
      <c r="A364" s="1">
        <v>23</v>
      </c>
      <c r="B364" t="s">
        <v>3844</v>
      </c>
      <c r="C364">
        <v>59.73</v>
      </c>
      <c r="D364">
        <v>382.91</v>
      </c>
      <c r="E364">
        <v>0.753085</v>
      </c>
      <c r="F364">
        <v>1.08</v>
      </c>
      <c r="G364">
        <v>38</v>
      </c>
      <c r="H364">
        <v>13.31</v>
      </c>
    </row>
    <row r="365" spans="1:8">
      <c r="A365" s="1">
        <v>24</v>
      </c>
      <c r="B365" t="s">
        <v>3845</v>
      </c>
      <c r="C365">
        <v>67.739999999999995</v>
      </c>
      <c r="D365">
        <v>389.03</v>
      </c>
      <c r="E365">
        <v>0.85456299999999996</v>
      </c>
      <c r="F365">
        <v>9.9499999999999993</v>
      </c>
      <c r="G365">
        <v>2</v>
      </c>
      <c r="H365">
        <v>15.13</v>
      </c>
    </row>
    <row r="366" spans="1:8">
      <c r="A366" s="1">
        <v>25</v>
      </c>
      <c r="B366" t="s">
        <v>3846</v>
      </c>
      <c r="C366">
        <v>70.14</v>
      </c>
      <c r="D366">
        <v>388.05</v>
      </c>
      <c r="E366">
        <v>0.83006999999999997</v>
      </c>
      <c r="F366">
        <v>1.8</v>
      </c>
      <c r="G366">
        <v>30</v>
      </c>
      <c r="H366">
        <v>15.54</v>
      </c>
    </row>
    <row r="367" spans="1:8">
      <c r="A367" s="1">
        <v>26</v>
      </c>
      <c r="B367" t="s">
        <v>3847</v>
      </c>
      <c r="C367">
        <v>65.25</v>
      </c>
      <c r="D367">
        <v>389.11</v>
      </c>
      <c r="E367">
        <v>0.863927</v>
      </c>
      <c r="F367">
        <v>27.38</v>
      </c>
      <c r="G367">
        <v>12</v>
      </c>
      <c r="H367">
        <v>14.23</v>
      </c>
    </row>
    <row r="368" spans="1:8">
      <c r="A368" s="1">
        <v>27</v>
      </c>
      <c r="B368" t="s">
        <v>3848</v>
      </c>
      <c r="C368">
        <v>60.67</v>
      </c>
      <c r="D368">
        <v>384.37</v>
      </c>
      <c r="E368">
        <v>0.756826</v>
      </c>
      <c r="F368">
        <v>2.88</v>
      </c>
      <c r="G368">
        <v>6</v>
      </c>
      <c r="H368">
        <v>13.33</v>
      </c>
    </row>
    <row r="369" spans="1:8">
      <c r="A369" s="1">
        <v>28</v>
      </c>
      <c r="B369" t="s">
        <v>3849</v>
      </c>
      <c r="C369">
        <v>61.85</v>
      </c>
      <c r="D369">
        <v>387.14</v>
      </c>
      <c r="E369">
        <v>0.82492500000000002</v>
      </c>
      <c r="F369">
        <v>14.67</v>
      </c>
      <c r="G369">
        <v>22</v>
      </c>
      <c r="H369">
        <v>13.98</v>
      </c>
    </row>
    <row r="370" spans="1:8">
      <c r="A370" s="1">
        <v>29</v>
      </c>
      <c r="B370" t="s">
        <v>3850</v>
      </c>
      <c r="C370">
        <v>64.52</v>
      </c>
      <c r="D370">
        <v>385.19</v>
      </c>
      <c r="E370">
        <v>0.83243699999999998</v>
      </c>
      <c r="F370">
        <v>0.81</v>
      </c>
      <c r="G370">
        <v>18</v>
      </c>
      <c r="H370">
        <v>14.26</v>
      </c>
    </row>
    <row r="371" spans="1:8">
      <c r="A371" s="1">
        <v>30</v>
      </c>
      <c r="B371" t="s">
        <v>3851</v>
      </c>
      <c r="C371">
        <v>62.64</v>
      </c>
      <c r="D371">
        <v>385.15</v>
      </c>
      <c r="E371">
        <v>0.78901299999999996</v>
      </c>
      <c r="F371">
        <v>1.1499999999999999</v>
      </c>
      <c r="G371">
        <v>52</v>
      </c>
      <c r="H371">
        <v>14.08</v>
      </c>
    </row>
    <row r="372" spans="1:8">
      <c r="A372" s="1">
        <v>31</v>
      </c>
      <c r="B372" t="s">
        <v>3852</v>
      </c>
      <c r="C372">
        <v>59.19</v>
      </c>
      <c r="D372">
        <v>382.95</v>
      </c>
      <c r="E372">
        <v>0.79503800000000002</v>
      </c>
      <c r="F372">
        <v>1.46</v>
      </c>
      <c r="G372">
        <v>28</v>
      </c>
      <c r="H372">
        <v>13.24</v>
      </c>
    </row>
    <row r="373" spans="1:8">
      <c r="A373" s="1">
        <v>32</v>
      </c>
      <c r="B373" t="s">
        <v>3853</v>
      </c>
      <c r="C373">
        <v>71.69</v>
      </c>
      <c r="D373">
        <v>388.28</v>
      </c>
      <c r="E373">
        <v>0.84495299999999995</v>
      </c>
      <c r="F373">
        <v>1.34</v>
      </c>
      <c r="G373">
        <v>78</v>
      </c>
      <c r="H373">
        <v>15.48</v>
      </c>
    </row>
    <row r="374" spans="1:8">
      <c r="A374" s="1">
        <v>33</v>
      </c>
      <c r="B374" t="s">
        <v>3854</v>
      </c>
      <c r="C374">
        <v>66.760000000000005</v>
      </c>
      <c r="D374">
        <v>388.16</v>
      </c>
      <c r="E374">
        <v>0.85636800000000002</v>
      </c>
      <c r="F374">
        <v>1.8</v>
      </c>
      <c r="G374">
        <v>70</v>
      </c>
      <c r="H374">
        <v>14.81</v>
      </c>
    </row>
    <row r="375" spans="1:8">
      <c r="A375" s="1">
        <v>34</v>
      </c>
      <c r="B375" t="s">
        <v>3855</v>
      </c>
      <c r="C375">
        <v>62.44</v>
      </c>
      <c r="D375">
        <v>385.38</v>
      </c>
      <c r="E375">
        <v>0.80625999999999998</v>
      </c>
      <c r="F375">
        <v>2.0699999999999998</v>
      </c>
      <c r="G375">
        <v>30</v>
      </c>
      <c r="H375">
        <v>14.18</v>
      </c>
    </row>
    <row r="376" spans="1:8">
      <c r="A376" s="1">
        <v>35</v>
      </c>
      <c r="B376" t="s">
        <v>3856</v>
      </c>
      <c r="C376">
        <v>63.23</v>
      </c>
      <c r="D376">
        <v>386.14</v>
      </c>
      <c r="E376">
        <v>0.79459900000000006</v>
      </c>
      <c r="F376">
        <v>4.6100000000000003</v>
      </c>
      <c r="G376">
        <v>46</v>
      </c>
      <c r="H376">
        <v>14.25</v>
      </c>
    </row>
    <row r="377" spans="1:8">
      <c r="A377" s="1">
        <v>36</v>
      </c>
      <c r="B377" t="s">
        <v>3857</v>
      </c>
      <c r="C377">
        <v>60.92</v>
      </c>
      <c r="D377">
        <v>381.49</v>
      </c>
      <c r="E377">
        <v>0.74645300000000003</v>
      </c>
      <c r="F377">
        <v>1.42</v>
      </c>
      <c r="G377">
        <v>0</v>
      </c>
      <c r="H377">
        <v>13.25</v>
      </c>
    </row>
    <row r="378" spans="1:8">
      <c r="A378" s="1">
        <v>37</v>
      </c>
      <c r="B378" t="s">
        <v>3858</v>
      </c>
      <c r="C378">
        <v>62.79</v>
      </c>
      <c r="D378">
        <v>386.71</v>
      </c>
      <c r="E378">
        <v>0.82837099999999997</v>
      </c>
      <c r="F378">
        <v>4.03</v>
      </c>
      <c r="G378">
        <v>14</v>
      </c>
      <c r="H378">
        <v>13.89</v>
      </c>
    </row>
    <row r="379" spans="1:8">
      <c r="A379" s="1">
        <v>38</v>
      </c>
      <c r="B379" t="s">
        <v>3859</v>
      </c>
      <c r="C379">
        <v>64.23</v>
      </c>
      <c r="D379">
        <v>383.4</v>
      </c>
      <c r="E379">
        <v>0.78089799999999998</v>
      </c>
      <c r="F379">
        <v>0.57999999999999996</v>
      </c>
      <c r="G379">
        <v>72</v>
      </c>
      <c r="H379">
        <v>14.49</v>
      </c>
    </row>
    <row r="380" spans="1:8">
      <c r="A380" s="1">
        <v>39</v>
      </c>
      <c r="B380" t="s">
        <v>3860</v>
      </c>
      <c r="C380">
        <v>60.61</v>
      </c>
      <c r="D380">
        <v>383.44</v>
      </c>
      <c r="E380">
        <v>0.76611799999999997</v>
      </c>
      <c r="F380">
        <v>2.23</v>
      </c>
      <c r="G380">
        <v>74</v>
      </c>
      <c r="H380">
        <v>13.76</v>
      </c>
    </row>
    <row r="381" spans="1:8">
      <c r="A381" s="1">
        <v>40</v>
      </c>
      <c r="B381" t="s">
        <v>3861</v>
      </c>
      <c r="C381">
        <v>57.65</v>
      </c>
      <c r="D381">
        <v>385.17</v>
      </c>
      <c r="E381">
        <v>0.83054099999999997</v>
      </c>
      <c r="F381">
        <v>3.03</v>
      </c>
      <c r="G381">
        <v>28</v>
      </c>
      <c r="H381">
        <v>12.76</v>
      </c>
    </row>
    <row r="382" spans="1:8">
      <c r="A382" s="1">
        <v>41</v>
      </c>
      <c r="B382" t="s">
        <v>3862</v>
      </c>
      <c r="C382">
        <v>55.16</v>
      </c>
      <c r="D382">
        <v>382.75</v>
      </c>
      <c r="E382">
        <v>0.80546300000000004</v>
      </c>
      <c r="F382">
        <v>2.5</v>
      </c>
      <c r="G382">
        <v>62</v>
      </c>
      <c r="H382">
        <v>12.36</v>
      </c>
    </row>
    <row r="383" spans="1:8">
      <c r="A383" s="1">
        <v>42</v>
      </c>
      <c r="B383" t="s">
        <v>3863</v>
      </c>
      <c r="C383">
        <v>64.41</v>
      </c>
      <c r="D383">
        <v>385.55</v>
      </c>
      <c r="E383">
        <v>0.78414099999999998</v>
      </c>
      <c r="F383">
        <v>2.0699999999999998</v>
      </c>
      <c r="G383">
        <v>96</v>
      </c>
      <c r="H383">
        <v>14.41</v>
      </c>
    </row>
    <row r="384" spans="1:8">
      <c r="A384" s="1">
        <v>43</v>
      </c>
      <c r="B384" t="s">
        <v>3864</v>
      </c>
      <c r="C384">
        <v>65.349999999999994</v>
      </c>
      <c r="D384">
        <v>386.31</v>
      </c>
      <c r="E384">
        <v>0.79726600000000003</v>
      </c>
      <c r="F384">
        <v>4.1100000000000003</v>
      </c>
      <c r="G384">
        <v>22</v>
      </c>
      <c r="H384">
        <v>14.64</v>
      </c>
    </row>
    <row r="385" spans="1:8">
      <c r="A385" s="1">
        <v>44</v>
      </c>
      <c r="B385" t="s">
        <v>3865</v>
      </c>
      <c r="C385">
        <v>64.459999999999994</v>
      </c>
      <c r="D385">
        <v>386.51</v>
      </c>
      <c r="E385">
        <v>0.82059099999999996</v>
      </c>
      <c r="F385">
        <v>1.77</v>
      </c>
      <c r="G385">
        <v>20</v>
      </c>
      <c r="H385">
        <v>14.71</v>
      </c>
    </row>
    <row r="386" spans="1:8">
      <c r="A386" s="1">
        <v>45</v>
      </c>
      <c r="B386" t="s">
        <v>3866</v>
      </c>
      <c r="C386">
        <v>63.97</v>
      </c>
      <c r="D386">
        <v>384.11</v>
      </c>
      <c r="E386">
        <v>0.81931299999999996</v>
      </c>
      <c r="F386">
        <v>0.23</v>
      </c>
      <c r="G386">
        <v>86</v>
      </c>
      <c r="H386">
        <v>14.42</v>
      </c>
    </row>
    <row r="387" spans="1:8">
      <c r="A387" s="1">
        <v>46</v>
      </c>
      <c r="B387" t="s">
        <v>3867</v>
      </c>
      <c r="C387">
        <v>63.82</v>
      </c>
      <c r="D387" t="e">
        <f>-inf</f>
        <v>#NAME?</v>
      </c>
      <c r="E387">
        <v>0.77839000000000003</v>
      </c>
      <c r="F387">
        <v>0</v>
      </c>
      <c r="G387">
        <v>28</v>
      </c>
      <c r="H387">
        <v>14.63</v>
      </c>
    </row>
    <row r="388" spans="1:8">
      <c r="A388" s="1">
        <v>47</v>
      </c>
      <c r="B388" t="s">
        <v>3868</v>
      </c>
      <c r="C388">
        <v>62.79</v>
      </c>
      <c r="D388">
        <v>383.5</v>
      </c>
      <c r="E388">
        <v>0.77912199999999998</v>
      </c>
      <c r="F388">
        <v>1</v>
      </c>
      <c r="G388">
        <v>30</v>
      </c>
      <c r="H388">
        <v>13.85</v>
      </c>
    </row>
    <row r="389" spans="1:8">
      <c r="A389" s="1">
        <v>48</v>
      </c>
      <c r="B389" t="s">
        <v>3869</v>
      </c>
      <c r="C389">
        <v>65.680000000000007</v>
      </c>
      <c r="D389">
        <v>385.87</v>
      </c>
      <c r="E389">
        <v>0.785825</v>
      </c>
      <c r="F389">
        <v>2.0699999999999998</v>
      </c>
      <c r="G389">
        <v>32</v>
      </c>
      <c r="H389">
        <v>14.4</v>
      </c>
    </row>
    <row r="390" spans="1:8">
      <c r="A390" s="1">
        <v>49</v>
      </c>
      <c r="B390" t="s">
        <v>3870</v>
      </c>
      <c r="C390">
        <v>60.73</v>
      </c>
      <c r="D390">
        <v>385.9</v>
      </c>
      <c r="E390">
        <v>0.81248900000000002</v>
      </c>
      <c r="F390">
        <v>7.03</v>
      </c>
      <c r="G390">
        <v>2</v>
      </c>
      <c r="H390">
        <v>13.8</v>
      </c>
    </row>
    <row r="391" spans="1:8">
      <c r="A391" s="1">
        <v>50</v>
      </c>
      <c r="B391" t="s">
        <v>3871</v>
      </c>
      <c r="C391">
        <v>58.36</v>
      </c>
      <c r="D391">
        <v>383.86</v>
      </c>
      <c r="E391">
        <v>0.78693500000000005</v>
      </c>
      <c r="F391">
        <v>4.8</v>
      </c>
      <c r="G391">
        <v>14</v>
      </c>
      <c r="H391">
        <v>13.57</v>
      </c>
    </row>
    <row r="392" spans="1:8">
      <c r="B392" s="1" t="s">
        <v>19</v>
      </c>
      <c r="C392" s="1">
        <f>AVERAGE(C342:C391)</f>
        <v>63.369800000000005</v>
      </c>
      <c r="D392" s="1" t="e">
        <f t="shared" ref="D392:F392" si="19">AVERAGE(D342:D391)</f>
        <v>#NAME?</v>
      </c>
      <c r="E392" s="1">
        <f t="shared" si="19"/>
        <v>0.80212158</v>
      </c>
      <c r="F392" s="1">
        <f t="shared" si="19"/>
        <v>3.6100000000000008</v>
      </c>
      <c r="H392" s="1">
        <f t="shared" ref="H392" si="20">AVERAGE(H342:H391)</f>
        <v>14.180600000000002</v>
      </c>
    </row>
    <row r="393" spans="1:8">
      <c r="B393" s="1" t="s">
        <v>20</v>
      </c>
      <c r="C393" s="1">
        <f>MIN(C341:C391)</f>
        <v>55.16</v>
      </c>
      <c r="D393" s="1" t="e">
        <f t="shared" ref="D393:F393" si="21">MIN(D341:D391)</f>
        <v>#NAME?</v>
      </c>
      <c r="E393" s="1">
        <f t="shared" si="21"/>
        <v>0.74645300000000003</v>
      </c>
      <c r="F393" s="1">
        <f t="shared" si="21"/>
        <v>0</v>
      </c>
      <c r="H393" s="1">
        <f t="shared" ref="H393" si="22">MIN(H341:H391)</f>
        <v>12.36</v>
      </c>
    </row>
    <row r="394" spans="1:8">
      <c r="B394" s="1" t="s">
        <v>3</v>
      </c>
      <c r="C394" s="1">
        <f>STDEV(C342:C391)</f>
        <v>3.4901537829399403</v>
      </c>
      <c r="D394" s="1" t="e">
        <f t="shared" ref="D394:E394" si="23">STDEV(D342:D391)</f>
        <v>#NAME?</v>
      </c>
      <c r="E394" s="1">
        <f t="shared" si="23"/>
        <v>2.8440299224931145E-2</v>
      </c>
      <c r="F394" s="1">
        <f>STDEV(F342:F391)</f>
        <v>4.8353865683424031</v>
      </c>
      <c r="H394" s="1">
        <f>STDEV(H342:H391)</f>
        <v>0.78133431136896758</v>
      </c>
    </row>
    <row r="397" spans="1:8" ht="18">
      <c r="A397" s="21"/>
      <c r="B397" s="3"/>
      <c r="C397" s="21"/>
      <c r="D397" s="21"/>
      <c r="E397" s="21"/>
      <c r="F397" s="21"/>
      <c r="G397" s="21"/>
    </row>
    <row r="421" spans="2:4" ht="18">
      <c r="B421" s="3"/>
      <c r="C421" s="21"/>
      <c r="D421" s="21"/>
    </row>
    <row r="445" spans="2:4" ht="18">
      <c r="B445" s="3"/>
      <c r="C445" s="21"/>
      <c r="D445" s="21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6"/>
  <sheetViews>
    <sheetView zoomScale="90" zoomScaleNormal="90" workbookViewId="0">
      <selection activeCell="N4" sqref="N4"/>
    </sheetView>
  </sheetViews>
  <sheetFormatPr defaultRowHeight="14.4"/>
  <cols>
    <col min="1" max="1" width="8.88671875" customWidth="1"/>
  </cols>
  <sheetData>
    <row r="1" spans="1:9" ht="15" thickBot="1">
      <c r="A1" s="14"/>
      <c r="B1" s="32" t="s">
        <v>1452</v>
      </c>
      <c r="C1" s="29" t="s">
        <v>14</v>
      </c>
      <c r="D1" s="30"/>
      <c r="E1" s="30"/>
      <c r="F1" s="30"/>
      <c r="G1" s="30"/>
      <c r="H1" s="30"/>
      <c r="I1" s="31"/>
    </row>
    <row r="2" spans="1:9" ht="15" thickBot="1">
      <c r="A2" s="15"/>
      <c r="B2" s="33"/>
      <c r="C2" s="10">
        <v>2</v>
      </c>
      <c r="D2" s="10">
        <v>5</v>
      </c>
      <c r="E2" s="10">
        <v>10</v>
      </c>
      <c r="F2" s="10">
        <v>20</v>
      </c>
      <c r="G2" s="10">
        <v>30</v>
      </c>
      <c r="H2" s="10">
        <v>40</v>
      </c>
      <c r="I2" s="11">
        <v>50</v>
      </c>
    </row>
    <row r="3" spans="1:9">
      <c r="A3" s="27" t="s">
        <v>327</v>
      </c>
      <c r="B3" s="16" t="s">
        <v>16</v>
      </c>
      <c r="C3" s="6">
        <f>OP_PL3_11ax!C56</f>
        <v>89.880399999999966</v>
      </c>
      <c r="D3" s="6">
        <f>OP_PL3_11ax!C112</f>
        <v>87.985800000000012</v>
      </c>
      <c r="E3" s="6">
        <f>OP_PL3_11ax!C168</f>
        <v>84.565999999999988</v>
      </c>
      <c r="F3" s="6">
        <f>OP_PL3_11ax!C224</f>
        <v>75.08420000000001</v>
      </c>
      <c r="G3" s="6">
        <f>OP_PL3_11ax!C280</f>
        <v>70.89400000000002</v>
      </c>
      <c r="H3" s="6">
        <f>OP_PL3_11ax!C336</f>
        <v>65.339999999999975</v>
      </c>
      <c r="I3" s="7">
        <f>OP_PL3_11ax!C392</f>
        <v>59.275599999999997</v>
      </c>
    </row>
    <row r="4" spans="1:9">
      <c r="A4" s="27"/>
      <c r="B4" s="16" t="s">
        <v>17</v>
      </c>
      <c r="C4" s="6">
        <f>SCB_PL3_11ax!C56</f>
        <v>210.42440000000002</v>
      </c>
      <c r="D4" s="6">
        <f>SCB_PL3_11ax!C112</f>
        <v>170.43560000000002</v>
      </c>
      <c r="E4" s="6">
        <f>SCB_PL3_11ax!C168</f>
        <v>129.79639999999995</v>
      </c>
      <c r="F4" s="6">
        <f>SCB_PL3_11ax!C224</f>
        <v>88.512800000000013</v>
      </c>
      <c r="G4" s="6">
        <f>SCB_PL3_11ax!C280</f>
        <v>66.341800000000006</v>
      </c>
      <c r="H4" s="6">
        <f>SCB_PL3_11ax!C336</f>
        <v>55.543599999999998</v>
      </c>
      <c r="I4" s="7">
        <f>SCB_PL3_11ax!C392</f>
        <v>48.725999999999992</v>
      </c>
    </row>
    <row r="5" spans="1:9">
      <c r="A5" s="27"/>
      <c r="B5" s="16" t="s">
        <v>15</v>
      </c>
      <c r="C5" s="6">
        <f>AM_PL3_11ax!C56</f>
        <v>214.57660000000004</v>
      </c>
      <c r="D5" s="6">
        <f>AM_PL3_11ax!C112</f>
        <v>184.53039999999999</v>
      </c>
      <c r="E5" s="6">
        <f>AM_PL3_11ax!C168</f>
        <v>151.06959999999995</v>
      </c>
      <c r="F5" s="6">
        <f>AM_PL3_11ax!C224</f>
        <v>111.40199999999997</v>
      </c>
      <c r="G5" s="6">
        <f>AM_PL3_11ax!C280</f>
        <v>94.368000000000052</v>
      </c>
      <c r="H5" s="6">
        <f>AM_PL3_11ax!C336</f>
        <v>80.800600000000017</v>
      </c>
      <c r="I5" s="7">
        <f>AM_PL3_11ax!C392</f>
        <v>70.342400000000012</v>
      </c>
    </row>
    <row r="6" spans="1:9" ht="15" thickBot="1">
      <c r="A6" s="28"/>
      <c r="B6" s="13" t="s">
        <v>18</v>
      </c>
      <c r="C6" s="8">
        <f>PU_PL3_11ax!C56</f>
        <v>124.94679999999997</v>
      </c>
      <c r="D6" s="8">
        <f>PU_PL3_11ax!C112</f>
        <v>116.66879999999996</v>
      </c>
      <c r="E6" s="8">
        <f>PU_PL3_11ax!C168</f>
        <v>105.65259999999995</v>
      </c>
      <c r="F6" s="8">
        <f>PU_PL3_11ax!C224</f>
        <v>87.546399999999991</v>
      </c>
      <c r="G6" s="8">
        <f>PU_PL3_11ax!C280</f>
        <v>79.366400000000027</v>
      </c>
      <c r="H6" s="8">
        <f>PU_PL3_11ax!C336</f>
        <v>70.910600000000002</v>
      </c>
      <c r="I6" s="9">
        <f>PU_PL3_11ax!C392</f>
        <v>63.369800000000005</v>
      </c>
    </row>
    <row r="7" spans="1:9">
      <c r="A7" s="26" t="s">
        <v>325</v>
      </c>
      <c r="B7" s="17" t="s">
        <v>16</v>
      </c>
      <c r="C7" s="4">
        <f>OP_PL3_11ax!C58</f>
        <v>5.225938040980715</v>
      </c>
      <c r="D7" s="4">
        <f>OP_PL3_11ax!C114</f>
        <v>6.7998910825609427</v>
      </c>
      <c r="E7" s="4">
        <f>OP_PL3_11ax!C170</f>
        <v>5.7945748730330227</v>
      </c>
      <c r="F7" s="4">
        <f>OP_PL3_11ax!C226</f>
        <v>5.5583333612786312</v>
      </c>
      <c r="G7" s="4" t="e">
        <f>OP_PL3_11ax!C282</f>
        <v>#REF!</v>
      </c>
      <c r="H7" s="4">
        <f>OP_PL3_11ax!C338</f>
        <v>3.5285257371249057</v>
      </c>
      <c r="I7" s="5">
        <f>OP_PL3_11ax!C394</f>
        <v>3.4213442637988716</v>
      </c>
    </row>
    <row r="8" spans="1:9">
      <c r="A8" s="27"/>
      <c r="B8" s="16" t="s">
        <v>17</v>
      </c>
      <c r="C8" s="6">
        <f>'SCB (cb2)'!C58</f>
        <v>125.67582151970625</v>
      </c>
      <c r="D8" s="6">
        <f>'SCB (cb2)'!C114</f>
        <v>66.165889517737497</v>
      </c>
      <c r="E8" s="6">
        <f>'SCB (cb2)'!C170</f>
        <v>32.498051983062922</v>
      </c>
      <c r="F8" s="6">
        <f>'SCB (cb2)'!C226</f>
        <v>14.910052383597915</v>
      </c>
      <c r="G8" s="6">
        <f>'SCB (cb2)'!C282</f>
        <v>7.6495392658375634</v>
      </c>
      <c r="H8" s="6">
        <f>'SCB (cb2)'!C338</f>
        <v>6.2837213204162214</v>
      </c>
      <c r="I8" s="7">
        <f>'SCB (cb2)'!C394</f>
        <v>6.0761163616916161</v>
      </c>
    </row>
    <row r="9" spans="1:9">
      <c r="A9" s="27"/>
      <c r="B9" s="16" t="s">
        <v>15</v>
      </c>
      <c r="C9" s="6">
        <f>'Always max (cb4)'!C58</f>
        <v>116.32895168601544</v>
      </c>
      <c r="D9" s="6">
        <f>'Always max (cb4)'!C114</f>
        <v>57.12014186692759</v>
      </c>
      <c r="E9" s="6">
        <f>'Always max (cb4)'!C170</f>
        <v>26.356512884457363</v>
      </c>
      <c r="F9" s="6">
        <f>'Always max (cb4)'!C226</f>
        <v>13.166847020034171</v>
      </c>
      <c r="G9" s="6">
        <f>'Always max (cb4)'!C282</f>
        <v>6.4699254009513831</v>
      </c>
      <c r="H9" s="6">
        <f>'Always max (cb4)'!C338</f>
        <v>5.1982961140929076</v>
      </c>
      <c r="I9" s="7">
        <f>'Always max (cb4)'!C394</f>
        <v>3.7741149793763862</v>
      </c>
    </row>
    <row r="10" spans="1:9" ht="15" thickBot="1">
      <c r="A10" s="28"/>
      <c r="B10" s="13" t="s">
        <v>18</v>
      </c>
      <c r="C10" s="8">
        <f>'Prob. Uniform (cb6)'!C58</f>
        <v>27.19303288922131</v>
      </c>
      <c r="D10" s="8">
        <f>'Prob. Uniform (cb6)'!C114</f>
        <v>18.805386549212418</v>
      </c>
      <c r="E10" s="8">
        <f>'Prob. Uniform (cb6)'!C170</f>
        <v>11.246977179378849</v>
      </c>
      <c r="F10" s="8">
        <f>'Prob. Uniform (cb6)'!C226</f>
        <v>7.7813466753274732</v>
      </c>
      <c r="G10" s="8">
        <f>'Prob. Uniform (cb6)'!C282</f>
        <v>3.908783599086699</v>
      </c>
      <c r="H10" s="8">
        <f>'Prob. Uniform (cb6)'!C338</f>
        <v>3.5990049645274116</v>
      </c>
      <c r="I10" s="9">
        <f>'Prob. Uniform (cb6)'!C394</f>
        <v>2.8225003317004935</v>
      </c>
    </row>
    <row r="11" spans="1:9">
      <c r="A11" s="26" t="s">
        <v>1233</v>
      </c>
      <c r="B11" s="17" t="s">
        <v>16</v>
      </c>
      <c r="C11" s="4">
        <f>'Only primary (cb0)'!D56</f>
        <v>16.019999999999989</v>
      </c>
      <c r="D11" s="4">
        <f>'Only primary (cb0)'!D112</f>
        <v>39.729399999999998</v>
      </c>
      <c r="E11" s="4" t="e">
        <f>'Only primary (cb0)'!D168</f>
        <v>#NAME?</v>
      </c>
      <c r="F11" s="4">
        <f>'Only primary (cb0)'!C224</f>
        <v>68.74339999999998</v>
      </c>
      <c r="G11" s="4">
        <f>'Only primary (cb0)'!D280</f>
        <v>228.23320000000004</v>
      </c>
      <c r="H11" s="4">
        <f>'Only primary (cb0)'!D336</f>
        <v>300.9008</v>
      </c>
      <c r="I11" s="5" t="e">
        <f>'Only primary (cb0)'!D392</f>
        <v>#NAME?</v>
      </c>
    </row>
    <row r="12" spans="1:9">
      <c r="A12" s="27"/>
      <c r="B12" s="16" t="s">
        <v>17</v>
      </c>
      <c r="C12" s="6">
        <f>'SCB (cb2)'!D56</f>
        <v>16.620600000000003</v>
      </c>
      <c r="D12" s="6" t="e">
        <f>'SCB (cb2)'!D112</f>
        <v>#NAME?</v>
      </c>
      <c r="E12" s="6" t="e">
        <f>'SCB (cb2)'!D168</f>
        <v>#NAME?</v>
      </c>
      <c r="F12" s="6">
        <f>'SCB (cb2)'!C224</f>
        <v>74.835399999999993</v>
      </c>
      <c r="G12" s="6" t="e">
        <f>'SCB (cb2)'!D280</f>
        <v>#NAME?</v>
      </c>
      <c r="H12" s="6" t="e">
        <f>'SCB (cb2)'!D336</f>
        <v>#NAME?</v>
      </c>
      <c r="I12" s="7" t="e">
        <f>'SCB (cb2)'!D392</f>
        <v>#NAME?</v>
      </c>
    </row>
    <row r="13" spans="1:9">
      <c r="A13" s="27"/>
      <c r="B13" s="16" t="s">
        <v>15</v>
      </c>
      <c r="C13" s="6">
        <f>'Always max (cb4)'!D56</f>
        <v>16.733400000000003</v>
      </c>
      <c r="D13" s="6">
        <f>'Always max (cb4)'!D112</f>
        <v>41.016999999999996</v>
      </c>
      <c r="E13" s="6">
        <f>'Always max (cb4)'!D168</f>
        <v>80.505600000000001</v>
      </c>
      <c r="F13" s="6">
        <f>'Always max (cb4)'!C224</f>
        <v>99.147399999999976</v>
      </c>
      <c r="G13" s="6" t="e">
        <f>'Always max (cb4)'!D280</f>
        <v>#NAME?</v>
      </c>
      <c r="H13" s="6" t="e">
        <f>'Always max (cb4)'!D336</f>
        <v>#NAME?</v>
      </c>
      <c r="I13" s="7" t="e">
        <f>'Always max (cb4)'!D392</f>
        <v>#NAME?</v>
      </c>
    </row>
    <row r="14" spans="1:9" ht="15" thickBot="1">
      <c r="A14" s="27"/>
      <c r="B14" s="16" t="s">
        <v>18</v>
      </c>
      <c r="C14" s="6">
        <f>'Prob. Uniform (cb6)'!D56</f>
        <v>16.3062</v>
      </c>
      <c r="D14" s="6">
        <f>'Prob. Uniform (cb6)'!D112</f>
        <v>40.251399999999997</v>
      </c>
      <c r="E14" s="6">
        <f>'Prob. Uniform (cb6)'!D168</f>
        <v>79.531200000000013</v>
      </c>
      <c r="F14" s="6">
        <f>'Prob. Uniform (cb6)'!C224</f>
        <v>77.115200000000016</v>
      </c>
      <c r="G14" s="6" t="e">
        <f>'Prob. Uniform (cb6)'!D280</f>
        <v>#NAME?</v>
      </c>
      <c r="H14" s="6" t="e">
        <f>'Prob. Uniform (cb6)'!D336</f>
        <v>#NAME?</v>
      </c>
      <c r="I14" s="7" t="e">
        <f>'Prob. Uniform (cb6)'!D392</f>
        <v>#NAME?</v>
      </c>
    </row>
    <row r="15" spans="1:9">
      <c r="A15" s="26" t="s">
        <v>1451</v>
      </c>
      <c r="B15" s="17" t="s">
        <v>16</v>
      </c>
      <c r="C15" s="4">
        <f t="shared" ref="C15:I18" si="0">C11/C$2</f>
        <v>8.0099999999999945</v>
      </c>
      <c r="D15" s="4">
        <f t="shared" si="0"/>
        <v>7.9458799999999998</v>
      </c>
      <c r="E15" s="4" t="e">
        <f t="shared" si="0"/>
        <v>#NAME?</v>
      </c>
      <c r="F15" s="4">
        <f t="shared" si="0"/>
        <v>3.4371699999999992</v>
      </c>
      <c r="G15" s="4">
        <f t="shared" si="0"/>
        <v>7.6077733333333351</v>
      </c>
      <c r="H15" s="4">
        <f t="shared" si="0"/>
        <v>7.5225200000000001</v>
      </c>
      <c r="I15" s="5" t="e">
        <f t="shared" si="0"/>
        <v>#NAME?</v>
      </c>
    </row>
    <row r="16" spans="1:9">
      <c r="A16" s="27"/>
      <c r="B16" s="16" t="s">
        <v>17</v>
      </c>
      <c r="C16" s="6">
        <f t="shared" si="0"/>
        <v>8.3103000000000016</v>
      </c>
      <c r="D16" s="6" t="e">
        <f t="shared" si="0"/>
        <v>#NAME?</v>
      </c>
      <c r="E16" s="6" t="e">
        <f t="shared" si="0"/>
        <v>#NAME?</v>
      </c>
      <c r="F16" s="6">
        <f t="shared" si="0"/>
        <v>3.7417699999999998</v>
      </c>
      <c r="G16" s="6" t="e">
        <f t="shared" si="0"/>
        <v>#NAME?</v>
      </c>
      <c r="H16" s="6" t="e">
        <f t="shared" si="0"/>
        <v>#NAME?</v>
      </c>
      <c r="I16" s="7" t="e">
        <f t="shared" si="0"/>
        <v>#NAME?</v>
      </c>
    </row>
    <row r="17" spans="1:9">
      <c r="A17" s="27"/>
      <c r="B17" s="16" t="s">
        <v>15</v>
      </c>
      <c r="C17" s="6">
        <f t="shared" si="0"/>
        <v>8.3667000000000016</v>
      </c>
      <c r="D17" s="6">
        <f t="shared" si="0"/>
        <v>8.2033999999999985</v>
      </c>
      <c r="E17" s="6">
        <f t="shared" si="0"/>
        <v>8.0505600000000008</v>
      </c>
      <c r="F17" s="6">
        <f t="shared" si="0"/>
        <v>4.9573699999999992</v>
      </c>
      <c r="G17" s="6" t="e">
        <f t="shared" si="0"/>
        <v>#NAME?</v>
      </c>
      <c r="H17" s="6" t="e">
        <f t="shared" si="0"/>
        <v>#NAME?</v>
      </c>
      <c r="I17" s="7" t="e">
        <f t="shared" si="0"/>
        <v>#NAME?</v>
      </c>
    </row>
    <row r="18" spans="1:9" ht="15" thickBot="1">
      <c r="A18" s="28"/>
      <c r="B18" s="13" t="s">
        <v>18</v>
      </c>
      <c r="C18" s="8">
        <f t="shared" si="0"/>
        <v>8.1531000000000002</v>
      </c>
      <c r="D18" s="8">
        <f t="shared" si="0"/>
        <v>8.050279999999999</v>
      </c>
      <c r="E18" s="8">
        <f t="shared" si="0"/>
        <v>7.9531200000000011</v>
      </c>
      <c r="F18" s="8">
        <f t="shared" si="0"/>
        <v>3.855760000000001</v>
      </c>
      <c r="G18" s="8" t="e">
        <f t="shared" si="0"/>
        <v>#NAME?</v>
      </c>
      <c r="H18" s="8" t="e">
        <f t="shared" si="0"/>
        <v>#NAME?</v>
      </c>
      <c r="I18" s="9" t="e">
        <f t="shared" si="0"/>
        <v>#NAME?</v>
      </c>
    </row>
    <row r="19" spans="1:9">
      <c r="A19" s="27" t="s">
        <v>321</v>
      </c>
      <c r="B19" s="16" t="s">
        <v>16</v>
      </c>
      <c r="C19" s="6">
        <f>OP_PL3_11ax!E56</f>
        <v>0.99438875999999976</v>
      </c>
      <c r="D19" s="6">
        <f>OP_PL3_11ax!E112</f>
        <v>0.98048611999999991</v>
      </c>
      <c r="E19" s="6">
        <f>OP_PL3_11ax!E168</f>
        <v>0.96515454000000023</v>
      </c>
      <c r="F19" s="6">
        <f>OP_PL3_11ax!E224</f>
        <v>0.91043989999999975</v>
      </c>
      <c r="G19" s="6">
        <f>OP_PL3_11ax!E280</f>
        <v>0.88178312000000003</v>
      </c>
      <c r="H19" s="6">
        <f>OP_PL3_11ax!E336</f>
        <v>0.84804341999999977</v>
      </c>
      <c r="I19" s="6">
        <f>OP_PL3_11ax!E392</f>
        <v>0.81740618000000032</v>
      </c>
    </row>
    <row r="20" spans="1:9">
      <c r="A20" s="27"/>
      <c r="B20" s="16" t="s">
        <v>17</v>
      </c>
      <c r="C20" s="6">
        <f>SCB_PL3_11ax!E56</f>
        <v>0.89646941999999985</v>
      </c>
      <c r="D20" s="6">
        <f>SCB_PL3_11ax!E112</f>
        <v>0.76867089999999971</v>
      </c>
      <c r="E20" s="6">
        <f>SCB_PL3_11ax!E168</f>
        <v>0.70038462000000024</v>
      </c>
      <c r="F20" s="6">
        <f>SCB_PL3_11ax!E224</f>
        <v>0.55072346000000005</v>
      </c>
      <c r="G20" s="6">
        <f>SCB_PL3_11ax!E280</f>
        <v>0.49450253999999999</v>
      </c>
      <c r="H20" s="6">
        <f>SCB_PL3_11ax!E336</f>
        <v>0.45102512000000006</v>
      </c>
      <c r="I20" s="6">
        <f>SCB_PL3_11ax!E392</f>
        <v>0.41742747999999996</v>
      </c>
    </row>
    <row r="21" spans="1:9">
      <c r="A21" s="27"/>
      <c r="B21" s="16" t="s">
        <v>15</v>
      </c>
      <c r="C21" s="6">
        <f>AM_PL3_11ax!E56</f>
        <v>0.89637113999999984</v>
      </c>
      <c r="D21" s="6">
        <f>AM_PL3_11ax!E112</f>
        <v>0.8219344599999997</v>
      </c>
      <c r="E21" s="6">
        <f>AM_PL3_11ax!E168</f>
        <v>0.78083750000000007</v>
      </c>
      <c r="F21" s="6">
        <f>AM_PL3_11ax!E224</f>
        <v>0.76510453999999972</v>
      </c>
      <c r="G21" s="6">
        <f>AM_PL3_11ax!E280</f>
        <v>0.75948904000000017</v>
      </c>
      <c r="H21" s="6">
        <f>AM_PL3_11ax!E336</f>
        <v>0.72862152000000013</v>
      </c>
      <c r="I21" s="6">
        <f>AM_PL3_11ax!E392</f>
        <v>0.72004045999999988</v>
      </c>
    </row>
    <row r="22" spans="1:9" ht="15" thickBot="1">
      <c r="A22" s="28"/>
      <c r="B22" s="13" t="s">
        <v>18</v>
      </c>
      <c r="C22" s="8">
        <f>PU_PL3_11ax!E56</f>
        <v>0.96814159999999971</v>
      </c>
      <c r="D22" s="8">
        <f>PU_PL3_11ax!E112</f>
        <v>0.94380108000000018</v>
      </c>
      <c r="E22" s="8">
        <f>PU_PL3_11ax!E168</f>
        <v>0.92851873999999979</v>
      </c>
      <c r="F22" s="8">
        <f>PU_PL3_11ax!E224</f>
        <v>0.88660250000000018</v>
      </c>
      <c r="G22" s="8">
        <f>PU_PL3_11ax!E280</f>
        <v>0.86201068000000003</v>
      </c>
      <c r="H22" s="8">
        <f>PU_PL3_11ax!E336</f>
        <v>0.83016736000000013</v>
      </c>
      <c r="I22" s="8">
        <f>PU_PL3_11ax!E392</f>
        <v>0.80212158</v>
      </c>
    </row>
    <row r="23" spans="1:9">
      <c r="A23" s="26" t="s">
        <v>326</v>
      </c>
      <c r="B23" s="17" t="s">
        <v>16</v>
      </c>
      <c r="C23" s="4">
        <f>'Only primary (cb0)'!F56</f>
        <v>101.78687999999998</v>
      </c>
      <c r="D23" s="4">
        <f>'Only primary (cb0)'!F112</f>
        <v>77.113344000000012</v>
      </c>
      <c r="E23" s="4">
        <f>'Only primary (cb0)'!F168</f>
        <v>43.742207999999998</v>
      </c>
      <c r="F23" s="4">
        <f>'Only primary (cb0)'!F224</f>
        <v>7.395839999999998</v>
      </c>
      <c r="G23" s="4">
        <f>'Only primary (cb0)'!F280</f>
        <v>2.2847999999999993</v>
      </c>
      <c r="H23" s="4">
        <f>'Only primary (cb0)'!F336</f>
        <v>0.92390400000000028</v>
      </c>
      <c r="I23" s="5">
        <f>'Only primary (cb0)'!F392</f>
        <v>0.7659999999999999</v>
      </c>
    </row>
    <row r="24" spans="1:9">
      <c r="A24" s="27"/>
      <c r="B24" s="16" t="s">
        <v>17</v>
      </c>
      <c r="C24" s="6">
        <f>'SCB (cb2)'!F56</f>
        <v>184.32076799999999</v>
      </c>
      <c r="D24" s="6">
        <f>'SCB (cb2)'!F112</f>
        <v>33.083135999999989</v>
      </c>
      <c r="E24" s="6">
        <f>'SCB (cb2)'!F168</f>
        <v>1.1619840000000001</v>
      </c>
      <c r="F24" s="6">
        <f>'SCB (cb2)'!F224</f>
        <v>3.0719999999999996E-3</v>
      </c>
      <c r="G24" s="6">
        <f>'SCB (cb2)'!F280</f>
        <v>1.5359999999999998E-3</v>
      </c>
      <c r="H24" s="6">
        <f>'SCB (cb2)'!F336</f>
        <v>0</v>
      </c>
      <c r="I24" s="7">
        <f>'SCB (cb2)'!F392</f>
        <v>0</v>
      </c>
    </row>
    <row r="25" spans="1:9">
      <c r="A25" s="27"/>
      <c r="B25" s="16" t="s">
        <v>15</v>
      </c>
      <c r="C25" s="6">
        <f>'Always max (cb4)'!F56</f>
        <v>190.74969599999994</v>
      </c>
      <c r="D25" s="6">
        <f>'Always max (cb4)'!F112</f>
        <v>96.014592000000007</v>
      </c>
      <c r="E25" s="6">
        <f>'Always max (cb4)'!F168</f>
        <v>39.798527999999997</v>
      </c>
      <c r="F25" s="6">
        <f>'Always max (cb4)'!F224</f>
        <v>6.615552000000001</v>
      </c>
      <c r="G25" s="6">
        <f>'Always max (cb4)'!F280</f>
        <v>2.0405759999999997</v>
      </c>
      <c r="H25" s="6">
        <f>'Always max (cb4)'!F336</f>
        <v>1.4914560000000003</v>
      </c>
      <c r="I25" s="7">
        <f>'Always max (cb4)'!F392</f>
        <v>0.92039999999999988</v>
      </c>
    </row>
    <row r="26" spans="1:9" ht="15" thickBot="1">
      <c r="A26" s="28"/>
      <c r="B26" s="13" t="s">
        <v>18</v>
      </c>
      <c r="C26" s="8">
        <f>'Prob. Uniform (cb6)'!F56</f>
        <v>126.78067200000004</v>
      </c>
      <c r="D26" s="8">
        <f>'Prob. Uniform (cb6)'!F112</f>
        <v>84.705023999999995</v>
      </c>
      <c r="E26" s="8">
        <f>'Prob. Uniform (cb6)'!F168</f>
        <v>47.857151999999985</v>
      </c>
      <c r="F26" s="8">
        <f>'Prob. Uniform (cb6)'!F224</f>
        <v>8.3796479999999978</v>
      </c>
      <c r="G26" s="8">
        <f>'Prob. Uniform (cb6)'!F280</f>
        <v>2.50752</v>
      </c>
      <c r="H26" s="8">
        <f>'Prob. Uniform (cb6)'!F336</f>
        <v>1.2917760906240003</v>
      </c>
      <c r="I26" s="9">
        <f>'Prob. Uniform (cb6)'!F392</f>
        <v>0.77139999999999975</v>
      </c>
    </row>
    <row r="27" spans="1:9">
      <c r="A27" s="26" t="s">
        <v>1436</v>
      </c>
      <c r="B27" s="17" t="s">
        <v>16</v>
      </c>
      <c r="C27" s="6">
        <f>OP_PL3_11ax!H56</f>
        <v>19.391400000000001</v>
      </c>
      <c r="D27" s="6">
        <f>OP_PL3_11ax!H112</f>
        <v>18.842799999999993</v>
      </c>
      <c r="E27" s="6">
        <f>OP_PL3_11ax!H176</f>
        <v>16.28</v>
      </c>
      <c r="F27" s="6">
        <f>OP_PL3_11ax!H224</f>
        <v>16.189200000000003</v>
      </c>
      <c r="G27" s="6">
        <f>OP_PL3_11ax!H280</f>
        <v>15.321000000000002</v>
      </c>
      <c r="H27" s="6">
        <f>OP_PL3_11ax!H336</f>
        <v>14.082000000000003</v>
      </c>
      <c r="I27" s="6">
        <f>OP_PL3_11ax!H392</f>
        <v>12.8422</v>
      </c>
    </row>
    <row r="28" spans="1:9">
      <c r="A28" s="27"/>
      <c r="B28" s="16" t="s">
        <v>17</v>
      </c>
      <c r="C28" s="6">
        <f>SCB_PL3_11ax!H56</f>
        <v>64.542000000000002</v>
      </c>
      <c r="D28" s="6">
        <f>SCB_PL3_11ax!H112</f>
        <v>49.268800000000013</v>
      </c>
      <c r="E28" s="6">
        <f>SCB_PL3_11ax!H176</f>
        <v>27.33</v>
      </c>
      <c r="F28" s="6">
        <f>SCB_PL3_11ax!H224</f>
        <v>25.295799999999996</v>
      </c>
      <c r="G28" s="6">
        <f>SCB_PL3_11ax!H280</f>
        <v>18.0032</v>
      </c>
      <c r="H28" s="6">
        <f>SCB_PL3_11ax!H336</f>
        <v>14.51</v>
      </c>
      <c r="I28" s="6">
        <f>SCB_PL3_11ax!H392</f>
        <v>12.471999999999996</v>
      </c>
    </row>
    <row r="29" spans="1:9">
      <c r="A29" s="27"/>
      <c r="B29" s="16" t="s">
        <v>15</v>
      </c>
      <c r="C29" s="6">
        <f>AM_PL3_11ax!H56</f>
        <v>65.547200000000004</v>
      </c>
      <c r="D29" s="6">
        <f>AM_PL3_11ax!H112</f>
        <v>52.150600000000011</v>
      </c>
      <c r="E29" s="6">
        <f>AM_PL3_11ax!H176</f>
        <v>35.58</v>
      </c>
      <c r="F29" s="6">
        <f>AM_PL3_11ax!H224</f>
        <v>29.177400000000002</v>
      </c>
      <c r="G29" s="6">
        <f>AM_PL3_11ax!H280</f>
        <v>23.374200000000002</v>
      </c>
      <c r="H29" s="6">
        <f>AM_PL3_11ax!H336</f>
        <v>19.428000000000001</v>
      </c>
      <c r="I29" s="6">
        <f>AM_PL3_11ax!H392</f>
        <v>16.7348</v>
      </c>
    </row>
    <row r="30" spans="1:9" ht="15" thickBot="1">
      <c r="A30" s="28"/>
      <c r="B30" s="13" t="s">
        <v>18</v>
      </c>
      <c r="C30" s="8">
        <f>PU_PL3_11ax!H56</f>
        <v>31.315600000000007</v>
      </c>
      <c r="D30" s="8">
        <f>PU_PL3_11ax!H112</f>
        <v>27.965800000000009</v>
      </c>
      <c r="E30" s="8">
        <f>PU_PL3_11ax!H176</f>
        <v>21.62</v>
      </c>
      <c r="F30" s="8">
        <f>PU_PL3_11ax!H224</f>
        <v>20.276</v>
      </c>
      <c r="G30" s="8">
        <f>PU_PL3_11ax!H280</f>
        <v>18.001000000000001</v>
      </c>
      <c r="H30" s="8">
        <f>PU_PL3_11ax!H336</f>
        <v>15.861199999999997</v>
      </c>
      <c r="I30" s="8">
        <f>PU_PL3_11ax!H392</f>
        <v>14.180600000000002</v>
      </c>
    </row>
    <row r="36" spans="13:13">
      <c r="M36" s="22"/>
    </row>
  </sheetData>
  <mergeCells count="9">
    <mergeCell ref="A19:A22"/>
    <mergeCell ref="A23:A26"/>
    <mergeCell ref="A27:A30"/>
    <mergeCell ref="B1:B2"/>
    <mergeCell ref="C1:I1"/>
    <mergeCell ref="A3:A6"/>
    <mergeCell ref="A7:A10"/>
    <mergeCell ref="A11:A14"/>
    <mergeCell ref="A15:A18"/>
  </mergeCells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45"/>
  <sheetViews>
    <sheetView zoomScale="55" zoomScaleNormal="55" workbookViewId="0">
      <selection activeCell="B365" sqref="B365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5</v>
      </c>
      <c r="C1" s="25"/>
      <c r="D1" s="25"/>
    </row>
    <row r="2" spans="1:8">
      <c r="B2" s="25"/>
      <c r="C2" s="25"/>
      <c r="D2" s="25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21</v>
      </c>
      <c r="C6" s="1">
        <v>102.16</v>
      </c>
      <c r="D6" s="1">
        <v>16.02</v>
      </c>
      <c r="E6" s="1">
        <v>0.49999399999999999</v>
      </c>
      <c r="F6" s="1">
        <f t="shared" ref="F6:F13" si="0">101798400*(10^-6)</f>
        <v>101.7984</v>
      </c>
      <c r="G6" s="1">
        <v>2</v>
      </c>
      <c r="H6" s="1">
        <v>19.309999999999999</v>
      </c>
    </row>
    <row r="7" spans="1:8">
      <c r="A7" s="1">
        <v>2</v>
      </c>
      <c r="B7" s="1" t="s">
        <v>22</v>
      </c>
      <c r="C7" s="1">
        <v>102.16</v>
      </c>
      <c r="D7" s="1">
        <v>16.02</v>
      </c>
      <c r="E7" s="1">
        <v>0.49999399999999999</v>
      </c>
      <c r="F7" s="1">
        <f t="shared" si="0"/>
        <v>101.7984</v>
      </c>
      <c r="G7" s="1">
        <v>2</v>
      </c>
      <c r="H7" s="1">
        <v>19.309999999999999</v>
      </c>
    </row>
    <row r="8" spans="1:8">
      <c r="A8" s="1">
        <v>3</v>
      </c>
      <c r="B8" s="1" t="s">
        <v>23</v>
      </c>
      <c r="C8" s="1">
        <v>102.16</v>
      </c>
      <c r="D8" s="1">
        <v>16.02</v>
      </c>
      <c r="E8" s="1">
        <v>0.49999399999999999</v>
      </c>
      <c r="F8" s="1">
        <f t="shared" si="0"/>
        <v>101.7984</v>
      </c>
      <c r="G8" s="1">
        <v>2</v>
      </c>
      <c r="H8" s="1">
        <v>19.309999999999999</v>
      </c>
    </row>
    <row r="9" spans="1:8">
      <c r="A9" s="1">
        <v>4</v>
      </c>
      <c r="B9" s="1" t="s">
        <v>24</v>
      </c>
      <c r="C9" s="1">
        <v>102.16</v>
      </c>
      <c r="D9" s="1">
        <v>16.02</v>
      </c>
      <c r="E9" s="1">
        <v>0.49999399999999999</v>
      </c>
      <c r="F9" s="1">
        <f t="shared" si="0"/>
        <v>101.7984</v>
      </c>
      <c r="G9" s="1">
        <v>2</v>
      </c>
      <c r="H9" s="1">
        <v>19.309999999999999</v>
      </c>
    </row>
    <row r="10" spans="1:8">
      <c r="A10" s="1">
        <v>5</v>
      </c>
      <c r="B10" s="1" t="s">
        <v>25</v>
      </c>
      <c r="C10" s="1">
        <v>102.16</v>
      </c>
      <c r="D10" s="1">
        <v>16.02</v>
      </c>
      <c r="E10" s="1">
        <v>0.49999399999999999</v>
      </c>
      <c r="F10" s="1">
        <f t="shared" si="0"/>
        <v>101.7984</v>
      </c>
      <c r="G10" s="1">
        <v>2</v>
      </c>
      <c r="H10" s="1">
        <v>19.309999999999999</v>
      </c>
    </row>
    <row r="11" spans="1:8">
      <c r="A11" s="1">
        <v>6</v>
      </c>
      <c r="B11" s="1" t="s">
        <v>26</v>
      </c>
      <c r="C11" s="1">
        <v>102.16</v>
      </c>
      <c r="D11" s="1">
        <v>16.02</v>
      </c>
      <c r="E11" s="1">
        <v>0.49999399999999999</v>
      </c>
      <c r="F11" s="1">
        <f t="shared" si="0"/>
        <v>101.7984</v>
      </c>
      <c r="G11" s="1">
        <v>2</v>
      </c>
      <c r="H11" s="1">
        <v>19.309999999999999</v>
      </c>
    </row>
    <row r="12" spans="1:8">
      <c r="A12" s="1">
        <v>7</v>
      </c>
      <c r="B12" s="1" t="s">
        <v>27</v>
      </c>
      <c r="C12" s="1">
        <v>102.16</v>
      </c>
      <c r="D12" s="1">
        <v>16.02</v>
      </c>
      <c r="E12" s="1">
        <v>0.49999399999999999</v>
      </c>
      <c r="F12" s="1">
        <f t="shared" si="0"/>
        <v>101.7984</v>
      </c>
      <c r="G12" s="1">
        <v>2</v>
      </c>
      <c r="H12" s="1">
        <v>19.309999999999999</v>
      </c>
    </row>
    <row r="13" spans="1:8">
      <c r="A13" s="1">
        <v>8</v>
      </c>
      <c r="B13" s="1" t="s">
        <v>28</v>
      </c>
      <c r="C13" s="1">
        <v>102.16</v>
      </c>
      <c r="D13" s="1">
        <v>16.02</v>
      </c>
      <c r="E13" s="1">
        <v>0.49999399999999999</v>
      </c>
      <c r="F13" s="1">
        <f t="shared" si="0"/>
        <v>101.7984</v>
      </c>
      <c r="G13" s="1">
        <v>2</v>
      </c>
      <c r="H13" s="1">
        <v>19.309999999999999</v>
      </c>
    </row>
    <row r="14" spans="1:8">
      <c r="A14" s="1">
        <v>9</v>
      </c>
      <c r="B14" s="1" t="s">
        <v>29</v>
      </c>
      <c r="C14" s="1">
        <v>101.82</v>
      </c>
      <c r="D14" s="1">
        <v>16.02</v>
      </c>
      <c r="E14" s="1">
        <v>0.49999900000000003</v>
      </c>
      <c r="F14" s="1">
        <f>101683200*(10^-6)</f>
        <v>101.6832</v>
      </c>
      <c r="G14" s="1">
        <v>0</v>
      </c>
      <c r="H14" s="1">
        <v>19.309999999999999</v>
      </c>
    </row>
    <row r="15" spans="1:8">
      <c r="A15" s="1">
        <v>10</v>
      </c>
      <c r="B15" s="1" t="s">
        <v>30</v>
      </c>
      <c r="C15" s="1">
        <v>102.16</v>
      </c>
      <c r="D15" s="1">
        <v>16.02</v>
      </c>
      <c r="E15" s="1">
        <v>0.49999399999999999</v>
      </c>
      <c r="F15" s="1">
        <f t="shared" ref="F15:F27" si="1">101798400*(10^-6)</f>
        <v>101.7984</v>
      </c>
      <c r="G15" s="1">
        <v>2</v>
      </c>
      <c r="H15" s="1">
        <v>19.309999999999999</v>
      </c>
    </row>
    <row r="16" spans="1:8">
      <c r="A16" s="1">
        <v>11</v>
      </c>
      <c r="B16" s="1" t="s">
        <v>31</v>
      </c>
      <c r="C16" s="1">
        <v>102.16</v>
      </c>
      <c r="D16" s="1">
        <v>16.02</v>
      </c>
      <c r="E16" s="1">
        <v>0.49999399999999999</v>
      </c>
      <c r="F16" s="1">
        <f t="shared" si="1"/>
        <v>101.7984</v>
      </c>
      <c r="G16" s="1">
        <v>2</v>
      </c>
      <c r="H16" s="1">
        <v>19.309999999999999</v>
      </c>
    </row>
    <row r="17" spans="1:8">
      <c r="A17" s="1">
        <v>12</v>
      </c>
      <c r="B17" s="1" t="s">
        <v>32</v>
      </c>
      <c r="C17" s="1">
        <v>102.16</v>
      </c>
      <c r="D17" s="1">
        <v>16.02</v>
      </c>
      <c r="E17" s="1">
        <v>0.49999399999999999</v>
      </c>
      <c r="F17" s="1">
        <f t="shared" si="1"/>
        <v>101.7984</v>
      </c>
      <c r="G17" s="1">
        <v>2</v>
      </c>
      <c r="H17" s="1">
        <v>19.309999999999999</v>
      </c>
    </row>
    <row r="18" spans="1:8">
      <c r="A18" s="1">
        <v>13</v>
      </c>
      <c r="B18" s="1" t="s">
        <v>33</v>
      </c>
      <c r="C18" s="1">
        <v>102.16</v>
      </c>
      <c r="D18" s="1">
        <v>16.02</v>
      </c>
      <c r="E18" s="1">
        <v>0.49999399999999999</v>
      </c>
      <c r="F18" s="1">
        <f t="shared" si="1"/>
        <v>101.7984</v>
      </c>
      <c r="G18" s="1">
        <v>2</v>
      </c>
      <c r="H18" s="1">
        <v>19.309999999999999</v>
      </c>
    </row>
    <row r="19" spans="1:8">
      <c r="A19" s="1">
        <v>14</v>
      </c>
      <c r="B19" s="1" t="s">
        <v>34</v>
      </c>
      <c r="C19" s="1">
        <v>102.16</v>
      </c>
      <c r="D19" s="1">
        <v>16.02</v>
      </c>
      <c r="E19" s="1">
        <v>0.49999399999999999</v>
      </c>
      <c r="F19" s="1">
        <f t="shared" si="1"/>
        <v>101.7984</v>
      </c>
      <c r="G19" s="1">
        <v>2</v>
      </c>
      <c r="H19" s="1">
        <v>19.309999999999999</v>
      </c>
    </row>
    <row r="20" spans="1:8">
      <c r="A20" s="1">
        <v>15</v>
      </c>
      <c r="B20" s="1" t="s">
        <v>35</v>
      </c>
      <c r="C20" s="1">
        <v>102.16</v>
      </c>
      <c r="D20" s="1">
        <v>16.02</v>
      </c>
      <c r="E20" s="1">
        <v>0.49999399999999999</v>
      </c>
      <c r="F20" s="1">
        <f t="shared" si="1"/>
        <v>101.7984</v>
      </c>
      <c r="G20" s="1">
        <v>2</v>
      </c>
      <c r="H20" s="1">
        <v>19.309999999999999</v>
      </c>
    </row>
    <row r="21" spans="1:8">
      <c r="A21" s="1">
        <v>16</v>
      </c>
      <c r="B21" s="1" t="s">
        <v>36</v>
      </c>
      <c r="C21" s="1">
        <v>102.16</v>
      </c>
      <c r="D21" s="1">
        <v>16.02</v>
      </c>
      <c r="E21" s="1">
        <v>0.49999399999999999</v>
      </c>
      <c r="F21" s="1">
        <f t="shared" si="1"/>
        <v>101.7984</v>
      </c>
      <c r="G21" s="1">
        <v>2</v>
      </c>
      <c r="H21" s="1">
        <v>19.309999999999999</v>
      </c>
    </row>
    <row r="22" spans="1:8">
      <c r="A22" s="1">
        <v>17</v>
      </c>
      <c r="B22" s="1" t="s">
        <v>37</v>
      </c>
      <c r="C22" s="1">
        <v>102.16</v>
      </c>
      <c r="D22" s="1">
        <v>16.02</v>
      </c>
      <c r="E22" s="1">
        <v>0.49999399999999999</v>
      </c>
      <c r="F22" s="1">
        <f t="shared" si="1"/>
        <v>101.7984</v>
      </c>
      <c r="G22" s="1">
        <v>2</v>
      </c>
      <c r="H22" s="1">
        <v>19.309999999999999</v>
      </c>
    </row>
    <row r="23" spans="1:8">
      <c r="A23" s="1">
        <v>18</v>
      </c>
      <c r="B23" s="1" t="s">
        <v>38</v>
      </c>
      <c r="C23" s="1">
        <v>102.16</v>
      </c>
      <c r="D23" s="1">
        <v>16.02</v>
      </c>
      <c r="E23" s="1">
        <v>0.49999399999999999</v>
      </c>
      <c r="F23" s="1">
        <f t="shared" si="1"/>
        <v>101.7984</v>
      </c>
      <c r="G23" s="1">
        <v>2</v>
      </c>
      <c r="H23" s="1">
        <v>19.309999999999999</v>
      </c>
    </row>
    <row r="24" spans="1:8">
      <c r="A24" s="1">
        <v>19</v>
      </c>
      <c r="B24" s="1" t="s">
        <v>39</v>
      </c>
      <c r="C24" s="1">
        <v>102.16</v>
      </c>
      <c r="D24" s="1">
        <v>16.02</v>
      </c>
      <c r="E24" s="1">
        <v>0.49999399999999999</v>
      </c>
      <c r="F24" s="1">
        <f t="shared" si="1"/>
        <v>101.7984</v>
      </c>
      <c r="G24" s="1">
        <v>2</v>
      </c>
      <c r="H24" s="1">
        <v>19.309999999999999</v>
      </c>
    </row>
    <row r="25" spans="1:8">
      <c r="A25" s="1">
        <v>20</v>
      </c>
      <c r="B25" s="1" t="s">
        <v>40</v>
      </c>
      <c r="C25" s="1">
        <v>102.16</v>
      </c>
      <c r="D25" s="1">
        <v>16.02</v>
      </c>
      <c r="E25" s="1">
        <v>0.49999399999999999</v>
      </c>
      <c r="F25" s="1">
        <f t="shared" si="1"/>
        <v>101.7984</v>
      </c>
      <c r="G25" s="1">
        <v>2</v>
      </c>
      <c r="H25" s="1">
        <v>19.309999999999999</v>
      </c>
    </row>
    <row r="26" spans="1:8">
      <c r="A26" s="1">
        <v>21</v>
      </c>
      <c r="B26" s="1" t="s">
        <v>41</v>
      </c>
      <c r="C26" s="1">
        <v>102.16</v>
      </c>
      <c r="D26" s="1">
        <v>16.02</v>
      </c>
      <c r="E26" s="1">
        <v>0.49999399999999999</v>
      </c>
      <c r="F26" s="1">
        <f t="shared" si="1"/>
        <v>101.7984</v>
      </c>
      <c r="G26" s="1">
        <v>2</v>
      </c>
      <c r="H26" s="1">
        <v>19.309999999999999</v>
      </c>
    </row>
    <row r="27" spans="1:8">
      <c r="A27" s="1">
        <v>22</v>
      </c>
      <c r="B27" s="1" t="s">
        <v>42</v>
      </c>
      <c r="C27" s="1">
        <v>102.16</v>
      </c>
      <c r="D27" s="1">
        <v>16.02</v>
      </c>
      <c r="E27" s="1">
        <v>0.49999399999999999</v>
      </c>
      <c r="F27" s="1">
        <f t="shared" si="1"/>
        <v>101.7984</v>
      </c>
      <c r="G27" s="1">
        <v>2</v>
      </c>
      <c r="H27" s="1">
        <v>19.309999999999999</v>
      </c>
    </row>
    <row r="28" spans="1:8">
      <c r="A28" s="1">
        <v>23</v>
      </c>
      <c r="B28" s="1" t="s">
        <v>43</v>
      </c>
      <c r="C28" s="1">
        <v>101.82</v>
      </c>
      <c r="D28" s="1">
        <v>16.02</v>
      </c>
      <c r="E28" s="1">
        <v>0.49999900000000003</v>
      </c>
      <c r="F28" s="1">
        <f>101683200*(10^-6)</f>
        <v>101.6832</v>
      </c>
      <c r="G28" s="1">
        <v>0</v>
      </c>
      <c r="H28" s="1">
        <v>19.309999999999999</v>
      </c>
    </row>
    <row r="29" spans="1:8">
      <c r="A29" s="1">
        <v>24</v>
      </c>
      <c r="B29" s="1" t="s">
        <v>44</v>
      </c>
      <c r="C29" s="1">
        <v>102.16</v>
      </c>
      <c r="D29" s="1">
        <v>16.02</v>
      </c>
      <c r="E29" s="1">
        <v>0.49999399999999999</v>
      </c>
      <c r="F29" s="1">
        <f t="shared" ref="F29:F37" si="2">101798400*(10^-6)</f>
        <v>101.7984</v>
      </c>
      <c r="G29" s="1">
        <v>2</v>
      </c>
      <c r="H29" s="1">
        <v>19.309999999999999</v>
      </c>
    </row>
    <row r="30" spans="1:8">
      <c r="A30" s="1">
        <v>25</v>
      </c>
      <c r="B30" s="1" t="s">
        <v>45</v>
      </c>
      <c r="C30" s="1">
        <v>102.16</v>
      </c>
      <c r="D30" s="1">
        <v>16.02</v>
      </c>
      <c r="E30" s="1">
        <v>0.49999399999999999</v>
      </c>
      <c r="F30" s="1">
        <f t="shared" si="2"/>
        <v>101.7984</v>
      </c>
      <c r="G30" s="1">
        <v>2</v>
      </c>
      <c r="H30" s="1">
        <v>19.309999999999999</v>
      </c>
    </row>
    <row r="31" spans="1:8">
      <c r="A31" s="1">
        <v>26</v>
      </c>
      <c r="B31" s="1" t="s">
        <v>46</v>
      </c>
      <c r="C31" s="1">
        <v>102.16</v>
      </c>
      <c r="D31" s="1">
        <v>16.02</v>
      </c>
      <c r="E31" s="1">
        <v>0.49999399999999999</v>
      </c>
      <c r="F31" s="1">
        <f t="shared" si="2"/>
        <v>101.7984</v>
      </c>
      <c r="G31" s="1">
        <v>2</v>
      </c>
      <c r="H31" s="1">
        <v>19.309999999999999</v>
      </c>
    </row>
    <row r="32" spans="1:8">
      <c r="A32" s="1">
        <v>27</v>
      </c>
      <c r="B32" s="1" t="s">
        <v>47</v>
      </c>
      <c r="C32" s="1">
        <v>102.16</v>
      </c>
      <c r="D32" s="1">
        <v>16.02</v>
      </c>
      <c r="E32" s="1">
        <v>0.49999399999999999</v>
      </c>
      <c r="F32" s="1">
        <f t="shared" si="2"/>
        <v>101.7984</v>
      </c>
      <c r="G32" s="1">
        <v>2</v>
      </c>
      <c r="H32" s="1">
        <v>19.309999999999999</v>
      </c>
    </row>
    <row r="33" spans="1:8">
      <c r="A33" s="1">
        <v>28</v>
      </c>
      <c r="B33" s="1" t="s">
        <v>48</v>
      </c>
      <c r="C33" s="1">
        <v>102.16</v>
      </c>
      <c r="D33" s="1">
        <v>16.02</v>
      </c>
      <c r="E33" s="1">
        <v>0.49999399999999999</v>
      </c>
      <c r="F33" s="1">
        <f t="shared" si="2"/>
        <v>101.7984</v>
      </c>
      <c r="G33" s="1">
        <v>2</v>
      </c>
      <c r="H33" s="1">
        <v>19.309999999999999</v>
      </c>
    </row>
    <row r="34" spans="1:8">
      <c r="A34" s="1">
        <v>29</v>
      </c>
      <c r="B34" s="1" t="s">
        <v>49</v>
      </c>
      <c r="C34" s="1">
        <v>102.16</v>
      </c>
      <c r="D34" s="1">
        <v>16.02</v>
      </c>
      <c r="E34" s="1">
        <v>0.49999399999999999</v>
      </c>
      <c r="F34" s="1">
        <f t="shared" si="2"/>
        <v>101.7984</v>
      </c>
      <c r="G34" s="1">
        <v>2</v>
      </c>
      <c r="H34" s="1">
        <v>19.309999999999999</v>
      </c>
    </row>
    <row r="35" spans="1:8">
      <c r="A35" s="1">
        <v>30</v>
      </c>
      <c r="B35" s="1" t="s">
        <v>50</v>
      </c>
      <c r="C35" s="1">
        <v>102.16</v>
      </c>
      <c r="D35" s="1">
        <v>16.02</v>
      </c>
      <c r="E35" s="1">
        <v>0.49999399999999999</v>
      </c>
      <c r="F35" s="1">
        <f t="shared" si="2"/>
        <v>101.7984</v>
      </c>
      <c r="G35" s="1">
        <v>2</v>
      </c>
      <c r="H35" s="1">
        <v>19.309999999999999</v>
      </c>
    </row>
    <row r="36" spans="1:8">
      <c r="A36" s="1">
        <v>31</v>
      </c>
      <c r="B36" s="1" t="s">
        <v>51</v>
      </c>
      <c r="C36" s="1">
        <v>102.16</v>
      </c>
      <c r="D36" s="1">
        <v>16.02</v>
      </c>
      <c r="E36" s="1">
        <v>0.49999399999999999</v>
      </c>
      <c r="F36" s="1">
        <f t="shared" si="2"/>
        <v>101.7984</v>
      </c>
      <c r="G36" s="1">
        <v>2</v>
      </c>
      <c r="H36" s="1">
        <v>19.309999999999999</v>
      </c>
    </row>
    <row r="37" spans="1:8">
      <c r="A37" s="1">
        <v>32</v>
      </c>
      <c r="B37" s="1" t="s">
        <v>52</v>
      </c>
      <c r="C37" s="1">
        <v>102.16</v>
      </c>
      <c r="D37" s="1">
        <v>16.02</v>
      </c>
      <c r="E37" s="1">
        <v>0.49999399999999999</v>
      </c>
      <c r="F37" s="1">
        <f t="shared" si="2"/>
        <v>101.7984</v>
      </c>
      <c r="G37" s="1">
        <v>2</v>
      </c>
      <c r="H37" s="1">
        <v>19.309999999999999</v>
      </c>
    </row>
    <row r="38" spans="1:8">
      <c r="A38" s="1">
        <v>33</v>
      </c>
      <c r="B38" s="1" t="s">
        <v>53</v>
      </c>
      <c r="C38" s="1">
        <v>101.82</v>
      </c>
      <c r="D38" s="1">
        <v>16.02</v>
      </c>
      <c r="E38" s="1">
        <v>0.49999900000000003</v>
      </c>
      <c r="F38" s="1">
        <f>101683200*(10^-6)</f>
        <v>101.6832</v>
      </c>
      <c r="G38" s="1">
        <v>0</v>
      </c>
      <c r="H38" s="1">
        <v>19.309999999999999</v>
      </c>
    </row>
    <row r="39" spans="1:8">
      <c r="A39" s="1">
        <v>34</v>
      </c>
      <c r="B39" s="1" t="s">
        <v>54</v>
      </c>
      <c r="C39" s="1">
        <v>102.16</v>
      </c>
      <c r="D39" s="1">
        <v>16.02</v>
      </c>
      <c r="E39" s="1">
        <v>0.49999399999999999</v>
      </c>
      <c r="F39" s="1">
        <f>101798400*(10^-6)</f>
        <v>101.7984</v>
      </c>
      <c r="G39" s="1">
        <v>2</v>
      </c>
      <c r="H39" s="1">
        <v>19.309999999999999</v>
      </c>
    </row>
    <row r="40" spans="1:8">
      <c r="A40" s="1">
        <v>35</v>
      </c>
      <c r="B40" s="1" t="s">
        <v>55</v>
      </c>
      <c r="C40" s="1">
        <v>102.16</v>
      </c>
      <c r="D40" s="1">
        <v>16.02</v>
      </c>
      <c r="E40" s="1">
        <v>0.49999399999999999</v>
      </c>
      <c r="F40" s="1">
        <f>101798400*(10^-6)</f>
        <v>101.7984</v>
      </c>
      <c r="G40" s="1">
        <v>2</v>
      </c>
      <c r="H40" s="1">
        <v>19.309999999999999</v>
      </c>
    </row>
    <row r="41" spans="1:8">
      <c r="A41" s="1">
        <v>36</v>
      </c>
      <c r="B41" s="1" t="s">
        <v>56</v>
      </c>
      <c r="C41" s="1">
        <v>102.16</v>
      </c>
      <c r="D41" s="1">
        <v>16.02</v>
      </c>
      <c r="E41" s="1">
        <v>0.49999399999999999</v>
      </c>
      <c r="F41" s="1">
        <f>101798400*(10^-6)</f>
        <v>101.7984</v>
      </c>
      <c r="G41" s="1">
        <v>2</v>
      </c>
      <c r="H41" s="1">
        <v>19.309999999999999</v>
      </c>
    </row>
    <row r="42" spans="1:8">
      <c r="A42" s="1">
        <v>37</v>
      </c>
      <c r="B42" s="1" t="s">
        <v>57</v>
      </c>
      <c r="C42" s="1">
        <v>102.16</v>
      </c>
      <c r="D42" s="1">
        <v>16.02</v>
      </c>
      <c r="E42" s="1">
        <v>0.49999399999999999</v>
      </c>
      <c r="F42" s="1">
        <f>101798400*(10^-6)</f>
        <v>101.7984</v>
      </c>
      <c r="G42" s="1">
        <v>2</v>
      </c>
      <c r="H42" s="1">
        <v>19.309999999999999</v>
      </c>
    </row>
    <row r="43" spans="1:8">
      <c r="A43" s="1">
        <v>38</v>
      </c>
      <c r="B43" s="1" t="s">
        <v>58</v>
      </c>
      <c r="C43" s="1">
        <v>101.82</v>
      </c>
      <c r="D43" s="1">
        <v>16.02</v>
      </c>
      <c r="E43" s="1">
        <v>0.49999900000000003</v>
      </c>
      <c r="F43" s="1">
        <f>101683200*(10^-6)</f>
        <v>101.6832</v>
      </c>
      <c r="G43" s="1">
        <v>0</v>
      </c>
      <c r="H43" s="1">
        <v>19.309999999999999</v>
      </c>
    </row>
    <row r="44" spans="1:8">
      <c r="A44" s="1">
        <v>39</v>
      </c>
      <c r="B44" s="1" t="s">
        <v>59</v>
      </c>
      <c r="C44" s="1">
        <v>102.16</v>
      </c>
      <c r="D44" s="1">
        <v>16.02</v>
      </c>
      <c r="E44" s="1">
        <v>0.49999399999999999</v>
      </c>
      <c r="F44" s="1">
        <f t="shared" ref="F44:F52" si="3">101798400*(10^-6)</f>
        <v>101.7984</v>
      </c>
      <c r="G44" s="1">
        <v>2</v>
      </c>
      <c r="H44" s="1">
        <v>19.309999999999999</v>
      </c>
    </row>
    <row r="45" spans="1:8">
      <c r="A45" s="1">
        <v>40</v>
      </c>
      <c r="B45" s="1" t="s">
        <v>60</v>
      </c>
      <c r="C45" s="1">
        <v>102.16</v>
      </c>
      <c r="D45" s="1">
        <v>16.02</v>
      </c>
      <c r="E45" s="1">
        <v>0.49999399999999999</v>
      </c>
      <c r="F45" s="1">
        <f t="shared" si="3"/>
        <v>101.7984</v>
      </c>
      <c r="G45" s="1">
        <v>2</v>
      </c>
      <c r="H45" s="1">
        <v>19.309999999999999</v>
      </c>
    </row>
    <row r="46" spans="1:8">
      <c r="A46" s="1">
        <v>41</v>
      </c>
      <c r="B46" s="1" t="s">
        <v>61</v>
      </c>
      <c r="C46" s="1">
        <v>102.16</v>
      </c>
      <c r="D46" s="1">
        <v>16.02</v>
      </c>
      <c r="E46" s="1">
        <v>0.49999399999999999</v>
      </c>
      <c r="F46" s="1">
        <f t="shared" si="3"/>
        <v>101.7984</v>
      </c>
      <c r="G46" s="1">
        <v>2</v>
      </c>
      <c r="H46" s="1">
        <v>19.309999999999999</v>
      </c>
    </row>
    <row r="47" spans="1:8">
      <c r="A47" s="1">
        <v>42</v>
      </c>
      <c r="B47" s="1" t="s">
        <v>62</v>
      </c>
      <c r="C47" s="1">
        <v>102.16</v>
      </c>
      <c r="D47" s="1">
        <v>16.02</v>
      </c>
      <c r="E47" s="1">
        <v>0.49999399999999999</v>
      </c>
      <c r="F47" s="1">
        <f t="shared" si="3"/>
        <v>101.7984</v>
      </c>
      <c r="G47" s="1">
        <v>2</v>
      </c>
      <c r="H47" s="1">
        <v>19.309999999999999</v>
      </c>
    </row>
    <row r="48" spans="1:8">
      <c r="A48" s="1">
        <v>43</v>
      </c>
      <c r="B48" s="1" t="s">
        <v>63</v>
      </c>
      <c r="C48" s="1">
        <v>102.16</v>
      </c>
      <c r="D48" s="1">
        <v>16.02</v>
      </c>
      <c r="E48" s="1">
        <v>0.49999399999999999</v>
      </c>
      <c r="F48" s="1">
        <f t="shared" si="3"/>
        <v>101.7984</v>
      </c>
      <c r="G48" s="1">
        <v>2</v>
      </c>
      <c r="H48" s="1">
        <v>19.309999999999999</v>
      </c>
    </row>
    <row r="49" spans="1:8">
      <c r="A49" s="1">
        <v>44</v>
      </c>
      <c r="B49" s="1" t="s">
        <v>64</v>
      </c>
      <c r="C49" s="1">
        <v>102.16</v>
      </c>
      <c r="D49" s="1">
        <v>16.02</v>
      </c>
      <c r="E49" s="1">
        <v>0.49999399999999999</v>
      </c>
      <c r="F49" s="1">
        <f t="shared" si="3"/>
        <v>101.7984</v>
      </c>
      <c r="G49" s="1">
        <v>2</v>
      </c>
      <c r="H49" s="1">
        <v>19.309999999999999</v>
      </c>
    </row>
    <row r="50" spans="1:8">
      <c r="A50" s="1">
        <v>45</v>
      </c>
      <c r="B50" s="1" t="s">
        <v>65</v>
      </c>
      <c r="C50" s="1">
        <v>102.16</v>
      </c>
      <c r="D50" s="1">
        <v>16.02</v>
      </c>
      <c r="E50" s="1">
        <v>0.49999399999999999</v>
      </c>
      <c r="F50" s="1">
        <f t="shared" si="3"/>
        <v>101.7984</v>
      </c>
      <c r="G50" s="1">
        <v>2</v>
      </c>
      <c r="H50" s="1">
        <v>19.309999999999999</v>
      </c>
    </row>
    <row r="51" spans="1:8">
      <c r="A51" s="1">
        <v>46</v>
      </c>
      <c r="B51" s="1" t="s">
        <v>66</v>
      </c>
      <c r="C51" s="1">
        <v>102.16</v>
      </c>
      <c r="D51" s="1">
        <v>16.02</v>
      </c>
      <c r="E51" s="1">
        <v>0.49999399999999999</v>
      </c>
      <c r="F51" s="1">
        <f t="shared" si="3"/>
        <v>101.7984</v>
      </c>
      <c r="G51" s="1">
        <v>2</v>
      </c>
      <c r="H51" s="1">
        <v>19.309999999999999</v>
      </c>
    </row>
    <row r="52" spans="1:8">
      <c r="A52" s="1">
        <v>47</v>
      </c>
      <c r="B52" s="1" t="s">
        <v>67</v>
      </c>
      <c r="C52" s="1">
        <v>102.16</v>
      </c>
      <c r="D52" s="1">
        <v>16.02</v>
      </c>
      <c r="E52" s="1">
        <v>0.49999399999999999</v>
      </c>
      <c r="F52" s="1">
        <f t="shared" si="3"/>
        <v>101.7984</v>
      </c>
      <c r="G52" s="1">
        <v>2</v>
      </c>
      <c r="H52" s="1">
        <v>19.309999999999999</v>
      </c>
    </row>
    <row r="53" spans="1:8">
      <c r="A53" s="1">
        <v>48</v>
      </c>
      <c r="B53" s="1" t="s">
        <v>68</v>
      </c>
      <c r="C53" s="1">
        <v>101.82</v>
      </c>
      <c r="D53" s="1">
        <v>16.02</v>
      </c>
      <c r="E53" s="1">
        <v>0.49999900000000003</v>
      </c>
      <c r="F53" s="1">
        <f>101683200*(10^-6)</f>
        <v>101.6832</v>
      </c>
      <c r="G53" s="1">
        <v>0</v>
      </c>
      <c r="H53" s="1">
        <v>19.309999999999999</v>
      </c>
    </row>
    <row r="54" spans="1:8">
      <c r="A54" s="1">
        <v>49</v>
      </c>
      <c r="B54" s="1" t="s">
        <v>69</v>
      </c>
      <c r="C54" s="1">
        <v>102.16</v>
      </c>
      <c r="D54" s="1">
        <v>16.02</v>
      </c>
      <c r="E54" s="1">
        <v>0.49999399999999999</v>
      </c>
      <c r="F54" s="1">
        <f>101798400*(10^-6)</f>
        <v>101.7984</v>
      </c>
      <c r="G54" s="1">
        <v>2</v>
      </c>
      <c r="H54" s="1">
        <v>19.309999999999999</v>
      </c>
    </row>
    <row r="55" spans="1:8">
      <c r="A55" s="1">
        <v>50</v>
      </c>
      <c r="B55" s="1" t="s">
        <v>70</v>
      </c>
      <c r="C55" s="1">
        <v>102.16</v>
      </c>
      <c r="D55" s="1">
        <v>16.02</v>
      </c>
      <c r="E55" s="1">
        <v>0.49999399999999999</v>
      </c>
      <c r="F55" s="1">
        <f>101798400*(10^-6)</f>
        <v>101.7984</v>
      </c>
      <c r="G55" s="1">
        <v>2</v>
      </c>
      <c r="H55" s="1">
        <v>19.309999999999999</v>
      </c>
    </row>
    <row r="56" spans="1:8">
      <c r="B56" s="1" t="s">
        <v>19</v>
      </c>
      <c r="C56" s="1">
        <f>AVERAGE(C6:C55)</f>
        <v>102.12599999999995</v>
      </c>
      <c r="D56" s="1">
        <f t="shared" ref="D56:H56" si="4">AVERAGE(D6:D55)</f>
        <v>16.019999999999989</v>
      </c>
      <c r="E56" s="1">
        <f t="shared" si="4"/>
        <v>0.49999450000000001</v>
      </c>
      <c r="F56" s="1">
        <f t="shared" si="4"/>
        <v>101.78687999999998</v>
      </c>
      <c r="H56" s="1">
        <f t="shared" si="4"/>
        <v>19.309999999999974</v>
      </c>
    </row>
    <row r="57" spans="1:8">
      <c r="B57" s="1" t="s">
        <v>20</v>
      </c>
      <c r="C57" s="1">
        <f>MIN(C5:C55)</f>
        <v>101.82</v>
      </c>
      <c r="D57" s="1">
        <f t="shared" ref="D57:H57" si="5">MIN(D5:D55)</f>
        <v>16.02</v>
      </c>
      <c r="E57" s="1">
        <f t="shared" si="5"/>
        <v>0.49999399999999999</v>
      </c>
      <c r="F57" s="1">
        <f t="shared" si="5"/>
        <v>101.6832</v>
      </c>
      <c r="H57" s="1">
        <f t="shared" si="5"/>
        <v>19.309999999999999</v>
      </c>
    </row>
    <row r="58" spans="1:8">
      <c r="B58" s="1" t="s">
        <v>3</v>
      </c>
      <c r="C58" s="1">
        <f>STDEV(C6:C55)</f>
        <v>0.10303555954432655</v>
      </c>
      <c r="D58" s="1">
        <f t="shared" ref="D58:E58" si="6">STDEV(D6:D55)</f>
        <v>1.0766348288117315E-14</v>
      </c>
      <c r="E58" s="1">
        <f t="shared" si="6"/>
        <v>1.5152288168382421E-6</v>
      </c>
      <c r="F58" s="1">
        <f>STDEV(F6:F55)</f>
        <v>3.491087193972487E-2</v>
      </c>
      <c r="H58" s="1">
        <f>STDEV(H6:H55)</f>
        <v>2.5121479338940402E-14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71</v>
      </c>
      <c r="C62" s="1">
        <v>84.79</v>
      </c>
      <c r="D62" s="1">
        <v>39.549999999999997</v>
      </c>
      <c r="E62" s="1">
        <v>0.46870499999999998</v>
      </c>
      <c r="F62" s="1">
        <f>48115200*(10^-6)</f>
        <v>48.115199999999994</v>
      </c>
      <c r="G62" s="1">
        <v>4</v>
      </c>
      <c r="H62" s="1">
        <v>16.079999999999998</v>
      </c>
    </row>
    <row r="63" spans="1:8">
      <c r="A63" s="1">
        <v>2</v>
      </c>
      <c r="B63" s="1" t="s">
        <v>72</v>
      </c>
      <c r="C63" s="1">
        <v>101.54</v>
      </c>
      <c r="D63" s="1">
        <v>40.03</v>
      </c>
      <c r="E63" s="1">
        <v>0.49997999999999998</v>
      </c>
      <c r="F63" s="1">
        <f>100608000*(10^-6)</f>
        <v>100.60799999999999</v>
      </c>
      <c r="G63" s="1">
        <v>8</v>
      </c>
      <c r="H63" s="1">
        <v>19.3</v>
      </c>
    </row>
    <row r="64" spans="1:8">
      <c r="A64" s="1">
        <v>3</v>
      </c>
      <c r="B64" s="1" t="s">
        <v>73</v>
      </c>
      <c r="C64" s="1">
        <v>101.54</v>
      </c>
      <c r="D64" s="1">
        <v>40.03</v>
      </c>
      <c r="E64" s="1">
        <v>0.49997999999999998</v>
      </c>
      <c r="F64" s="1">
        <f>100608000*(10^-6)</f>
        <v>100.60799999999999</v>
      </c>
      <c r="G64" s="1">
        <v>8</v>
      </c>
      <c r="H64" s="1">
        <v>19.3</v>
      </c>
    </row>
    <row r="65" spans="1:8">
      <c r="A65" s="1">
        <v>4</v>
      </c>
      <c r="B65" s="1" t="s">
        <v>74</v>
      </c>
      <c r="C65" s="1">
        <v>82.41</v>
      </c>
      <c r="D65" s="1">
        <v>39.479999999999997</v>
      </c>
      <c r="E65" s="1">
        <v>0.46216299999999999</v>
      </c>
      <c r="F65" s="1">
        <f>53376000*(10^-6)</f>
        <v>53.375999999999998</v>
      </c>
      <c r="G65" s="1">
        <v>2</v>
      </c>
      <c r="H65" s="1">
        <v>15.66</v>
      </c>
    </row>
    <row r="66" spans="1:8">
      <c r="A66" s="1">
        <v>5</v>
      </c>
      <c r="B66" s="1" t="s">
        <v>75</v>
      </c>
      <c r="C66" s="1">
        <v>101.54</v>
      </c>
      <c r="D66" s="1">
        <v>40.03</v>
      </c>
      <c r="E66" s="1">
        <v>0.49997999999999998</v>
      </c>
      <c r="F66" s="1">
        <f>100608000*(10^-6)</f>
        <v>100.60799999999999</v>
      </c>
      <c r="G66" s="1">
        <v>8</v>
      </c>
      <c r="H66" s="1">
        <v>19.3</v>
      </c>
    </row>
    <row r="67" spans="1:8">
      <c r="A67" s="1">
        <v>6</v>
      </c>
      <c r="B67" s="1" t="s">
        <v>76</v>
      </c>
      <c r="C67" s="1">
        <v>101.64</v>
      </c>
      <c r="D67" s="1">
        <v>40.04</v>
      </c>
      <c r="E67" s="1">
        <v>0.49998999999999999</v>
      </c>
      <c r="F67" s="1">
        <f>100876800*(10^-6)</f>
        <v>100.87679999999999</v>
      </c>
      <c r="G67" s="1">
        <v>4</v>
      </c>
      <c r="H67" s="1">
        <v>19.3</v>
      </c>
    </row>
    <row r="68" spans="1:8">
      <c r="A68" s="1">
        <v>7</v>
      </c>
      <c r="B68" s="1" t="s">
        <v>77</v>
      </c>
      <c r="C68" s="1">
        <v>101.85</v>
      </c>
      <c r="D68" s="1">
        <v>40.04</v>
      </c>
      <c r="E68" s="1">
        <v>0.49998900000000002</v>
      </c>
      <c r="F68" s="1">
        <f>101145600*(10^-6)</f>
        <v>101.1456</v>
      </c>
      <c r="G68" s="1">
        <v>4</v>
      </c>
      <c r="H68" s="1">
        <v>19.3</v>
      </c>
    </row>
    <row r="69" spans="1:8">
      <c r="A69" s="1">
        <v>8</v>
      </c>
      <c r="B69" s="1" t="s">
        <v>78</v>
      </c>
      <c r="C69" s="1">
        <v>101.84</v>
      </c>
      <c r="D69" s="1">
        <v>40.04</v>
      </c>
      <c r="E69" s="1">
        <v>0.49998399999999998</v>
      </c>
      <c r="F69" s="1">
        <f>101068800*(10^-6)</f>
        <v>101.0688</v>
      </c>
      <c r="G69" s="1">
        <v>0</v>
      </c>
      <c r="H69" s="1">
        <v>19.3</v>
      </c>
    </row>
    <row r="70" spans="1:8">
      <c r="A70" s="1">
        <v>9</v>
      </c>
      <c r="B70" s="1" t="s">
        <v>79</v>
      </c>
      <c r="C70" s="1">
        <v>102.01</v>
      </c>
      <c r="D70" s="1">
        <v>40.04</v>
      </c>
      <c r="E70" s="1">
        <v>0.49996800000000002</v>
      </c>
      <c r="F70" s="1">
        <f>100915200*(10^-6)</f>
        <v>100.9152</v>
      </c>
      <c r="G70" s="1">
        <v>8</v>
      </c>
      <c r="H70" s="1">
        <v>19.3</v>
      </c>
    </row>
    <row r="71" spans="1:8">
      <c r="A71" s="1">
        <v>10</v>
      </c>
      <c r="B71" s="1" t="s">
        <v>80</v>
      </c>
      <c r="C71" s="1">
        <v>84.5</v>
      </c>
      <c r="D71" s="1">
        <v>39.54</v>
      </c>
      <c r="E71" s="1">
        <v>0.46857399999999999</v>
      </c>
      <c r="F71" s="1">
        <f>47308800*(10^-6)</f>
        <v>47.308799999999998</v>
      </c>
      <c r="G71" s="1">
        <v>4</v>
      </c>
      <c r="H71" s="1">
        <v>16.100000000000001</v>
      </c>
    </row>
    <row r="72" spans="1:8">
      <c r="A72" s="1">
        <v>11</v>
      </c>
      <c r="B72" s="1" t="s">
        <v>81</v>
      </c>
      <c r="C72" s="1">
        <v>101.64</v>
      </c>
      <c r="D72" s="1">
        <v>40.04</v>
      </c>
      <c r="E72" s="1">
        <v>0.49998999999999999</v>
      </c>
      <c r="F72" s="1">
        <f>100876800*(10^-6)</f>
        <v>100.87679999999999</v>
      </c>
      <c r="G72" s="1">
        <v>4</v>
      </c>
      <c r="H72" s="1">
        <v>19.3</v>
      </c>
    </row>
    <row r="73" spans="1:8">
      <c r="A73" s="1">
        <v>12</v>
      </c>
      <c r="B73" s="1" t="s">
        <v>82</v>
      </c>
      <c r="C73" s="1">
        <v>101.85</v>
      </c>
      <c r="D73" s="1">
        <v>40.04</v>
      </c>
      <c r="E73" s="1">
        <v>0.49998900000000002</v>
      </c>
      <c r="F73" s="1">
        <f>101145600*(10^-6)</f>
        <v>101.1456</v>
      </c>
      <c r="G73" s="1">
        <v>4</v>
      </c>
      <c r="H73" s="1">
        <v>19.3</v>
      </c>
    </row>
    <row r="74" spans="1:8">
      <c r="A74" s="1">
        <v>13</v>
      </c>
      <c r="B74" s="1" t="s">
        <v>83</v>
      </c>
      <c r="C74" s="1">
        <v>101.64</v>
      </c>
      <c r="D74" s="1">
        <v>40.04</v>
      </c>
      <c r="E74" s="1">
        <v>0.49998999999999999</v>
      </c>
      <c r="F74" s="1">
        <f>100876800*(10^-6)</f>
        <v>100.87679999999999</v>
      </c>
      <c r="G74" s="1">
        <v>4</v>
      </c>
      <c r="H74" s="1">
        <v>19.3</v>
      </c>
    </row>
    <row r="75" spans="1:8">
      <c r="A75" s="1">
        <v>14</v>
      </c>
      <c r="B75" s="1" t="s">
        <v>84</v>
      </c>
      <c r="C75" s="1">
        <v>81.88</v>
      </c>
      <c r="D75" s="1">
        <v>39.46</v>
      </c>
      <c r="E75" s="1">
        <v>0.46088699999999999</v>
      </c>
      <c r="F75" s="1">
        <f>51302400*(10^-6)</f>
        <v>51.302399999999999</v>
      </c>
      <c r="G75" s="1">
        <v>0</v>
      </c>
      <c r="H75" s="1">
        <v>15.63</v>
      </c>
    </row>
    <row r="76" spans="1:8">
      <c r="A76" s="1">
        <v>15</v>
      </c>
      <c r="B76" s="1" t="s">
        <v>85</v>
      </c>
      <c r="C76" s="1">
        <v>82.41</v>
      </c>
      <c r="D76" s="1">
        <v>39.479999999999997</v>
      </c>
      <c r="E76" s="1">
        <v>0.46235799999999999</v>
      </c>
      <c r="F76" s="1">
        <f>52531200*(10^-6)</f>
        <v>52.531199999999998</v>
      </c>
      <c r="G76" s="1">
        <v>2</v>
      </c>
      <c r="H76" s="1">
        <v>15.66</v>
      </c>
    </row>
    <row r="77" spans="1:8">
      <c r="A77" s="1">
        <v>16</v>
      </c>
      <c r="B77" s="1" t="s">
        <v>86</v>
      </c>
      <c r="C77" s="1">
        <v>81.75</v>
      </c>
      <c r="D77" s="1">
        <v>39.44</v>
      </c>
      <c r="E77" s="1">
        <v>0.45559500000000003</v>
      </c>
      <c r="F77" s="1">
        <f>44313600*(10^-6)</f>
        <v>44.313600000000001</v>
      </c>
      <c r="G77" s="1">
        <v>2</v>
      </c>
      <c r="H77" s="1">
        <v>15.46</v>
      </c>
    </row>
    <row r="78" spans="1:8">
      <c r="A78" s="1">
        <v>17</v>
      </c>
      <c r="B78" s="1" t="s">
        <v>87</v>
      </c>
      <c r="C78" s="1">
        <v>101.54</v>
      </c>
      <c r="D78" s="1">
        <v>40.03</v>
      </c>
      <c r="E78" s="1">
        <v>0.49997999999999998</v>
      </c>
      <c r="F78" s="1">
        <f>100608000*(10^-6)</f>
        <v>100.60799999999999</v>
      </c>
      <c r="G78" s="1">
        <v>8</v>
      </c>
      <c r="H78" s="1">
        <v>19.3</v>
      </c>
    </row>
    <row r="79" spans="1:8">
      <c r="A79" s="1">
        <v>18</v>
      </c>
      <c r="B79" s="1" t="s">
        <v>88</v>
      </c>
      <c r="C79" s="1">
        <v>92.04</v>
      </c>
      <c r="D79" s="1">
        <v>39.799999999999997</v>
      </c>
      <c r="E79" s="1">
        <v>0.49110700000000002</v>
      </c>
      <c r="F79" s="1">
        <f>69772800*(10^-6)</f>
        <v>69.772800000000004</v>
      </c>
      <c r="G79" s="1">
        <v>4</v>
      </c>
      <c r="H79" s="1">
        <v>17.579999999999998</v>
      </c>
    </row>
    <row r="80" spans="1:8">
      <c r="A80" s="1">
        <v>19</v>
      </c>
      <c r="B80" s="1" t="s">
        <v>89</v>
      </c>
      <c r="C80" s="1">
        <v>101.54</v>
      </c>
      <c r="D80" s="1">
        <v>40.03</v>
      </c>
      <c r="E80" s="1">
        <v>0.49997999999999998</v>
      </c>
      <c r="F80" s="1">
        <f>100608000*(10^-6)</f>
        <v>100.60799999999999</v>
      </c>
      <c r="G80" s="1">
        <v>8</v>
      </c>
      <c r="H80" s="1">
        <v>19.3</v>
      </c>
    </row>
    <row r="81" spans="1:8">
      <c r="A81" s="1">
        <v>20</v>
      </c>
      <c r="B81" s="1" t="s">
        <v>90</v>
      </c>
      <c r="C81" s="1">
        <v>101.54</v>
      </c>
      <c r="D81" s="1">
        <v>40.03</v>
      </c>
      <c r="E81" s="1">
        <v>0.49997999999999998</v>
      </c>
      <c r="F81" s="1">
        <f>100608000*(10^-6)</f>
        <v>100.60799999999999</v>
      </c>
      <c r="G81" s="1">
        <v>8</v>
      </c>
      <c r="H81" s="1">
        <v>19.3</v>
      </c>
    </row>
    <row r="82" spans="1:8">
      <c r="A82" s="1">
        <v>21</v>
      </c>
      <c r="B82" s="1" t="s">
        <v>91</v>
      </c>
      <c r="C82" s="1">
        <v>82.75</v>
      </c>
      <c r="D82" s="1">
        <v>39.49</v>
      </c>
      <c r="E82" s="1">
        <v>0.462588</v>
      </c>
      <c r="F82" s="1">
        <f>53875200*(10^-6)</f>
        <v>53.8752</v>
      </c>
      <c r="G82" s="1">
        <v>6</v>
      </c>
      <c r="H82" s="1">
        <v>15.67</v>
      </c>
    </row>
    <row r="83" spans="1:8">
      <c r="A83" s="1">
        <v>22</v>
      </c>
      <c r="B83" s="1" t="s">
        <v>92</v>
      </c>
      <c r="C83" s="1">
        <v>101.5</v>
      </c>
      <c r="D83" s="1">
        <v>40.03</v>
      </c>
      <c r="E83" s="1">
        <v>0.49999700000000002</v>
      </c>
      <c r="F83" s="1">
        <f>101222400*(10^-6)</f>
        <v>101.22239999999999</v>
      </c>
      <c r="G83" s="1">
        <v>8</v>
      </c>
      <c r="H83" s="1">
        <v>19.3</v>
      </c>
    </row>
    <row r="84" spans="1:8">
      <c r="A84" s="1">
        <v>23</v>
      </c>
      <c r="B84" s="1" t="s">
        <v>93</v>
      </c>
      <c r="C84" s="1">
        <v>101.75</v>
      </c>
      <c r="D84" s="1">
        <v>40.04</v>
      </c>
      <c r="E84" s="1">
        <v>0.49999199999999999</v>
      </c>
      <c r="F84" s="1">
        <f>101145600*(10^-6)</f>
        <v>101.1456</v>
      </c>
      <c r="G84" s="1">
        <v>0</v>
      </c>
      <c r="H84" s="1">
        <v>19.3</v>
      </c>
    </row>
    <row r="85" spans="1:8">
      <c r="A85" s="1">
        <v>24</v>
      </c>
      <c r="B85" s="1" t="s">
        <v>94</v>
      </c>
      <c r="C85" s="1">
        <v>83.04</v>
      </c>
      <c r="D85" s="1">
        <v>39.5</v>
      </c>
      <c r="E85" s="1">
        <v>0.46306399999999998</v>
      </c>
      <c r="F85" s="1">
        <f>53068800*(10^-6)</f>
        <v>53.068799999999996</v>
      </c>
      <c r="G85" s="1">
        <v>8</v>
      </c>
      <c r="H85" s="1">
        <v>15.69</v>
      </c>
    </row>
    <row r="86" spans="1:8">
      <c r="A86" s="1">
        <v>25</v>
      </c>
      <c r="B86" s="1" t="s">
        <v>95</v>
      </c>
      <c r="C86" s="1">
        <v>102.11</v>
      </c>
      <c r="D86" s="1">
        <v>40.049999999999997</v>
      </c>
      <c r="E86" s="1">
        <v>0.49998999999999999</v>
      </c>
      <c r="F86" s="1">
        <f>101414400*(10^-6)</f>
        <v>101.4144</v>
      </c>
      <c r="G86" s="1">
        <v>4</v>
      </c>
      <c r="H86" s="1">
        <v>19.309999999999999</v>
      </c>
    </row>
    <row r="87" spans="1:8">
      <c r="A87" s="1">
        <v>26</v>
      </c>
      <c r="B87" s="1" t="s">
        <v>96</v>
      </c>
      <c r="C87" s="1">
        <v>82.38</v>
      </c>
      <c r="D87" s="1">
        <v>39.479999999999997</v>
      </c>
      <c r="E87" s="1">
        <v>0.46315299999999998</v>
      </c>
      <c r="F87" s="1">
        <f>53337600*(10^-6)</f>
        <v>53.337599999999995</v>
      </c>
      <c r="G87" s="1">
        <v>8</v>
      </c>
      <c r="H87" s="1">
        <v>15.67</v>
      </c>
    </row>
    <row r="88" spans="1:8">
      <c r="A88" s="1">
        <v>27</v>
      </c>
      <c r="B88" s="1" t="s">
        <v>97</v>
      </c>
      <c r="C88" s="1">
        <v>61.75</v>
      </c>
      <c r="D88" s="1">
        <v>38.64</v>
      </c>
      <c r="E88" s="1">
        <v>0.38991300000000001</v>
      </c>
      <c r="F88" s="1">
        <f>31296000*(10^-6)</f>
        <v>31.295999999999999</v>
      </c>
      <c r="G88" s="1">
        <v>6</v>
      </c>
      <c r="H88" s="1">
        <v>11.71</v>
      </c>
    </row>
    <row r="89" spans="1:8">
      <c r="A89" s="1">
        <v>28</v>
      </c>
      <c r="B89" s="1" t="s">
        <v>98</v>
      </c>
      <c r="C89" s="1">
        <v>101.54</v>
      </c>
      <c r="D89" s="1">
        <v>40.03</v>
      </c>
      <c r="E89" s="1">
        <v>0.49997999999999998</v>
      </c>
      <c r="F89" s="1">
        <f>100608000*(10^-6)</f>
        <v>100.60799999999999</v>
      </c>
      <c r="G89" s="1">
        <v>8</v>
      </c>
      <c r="H89" s="1">
        <v>19.3</v>
      </c>
    </row>
    <row r="90" spans="1:8">
      <c r="A90" s="1">
        <v>29</v>
      </c>
      <c r="B90" s="1" t="s">
        <v>99</v>
      </c>
      <c r="C90" s="1">
        <v>64.099999999999994</v>
      </c>
      <c r="D90" s="1">
        <v>38.96</v>
      </c>
      <c r="E90" s="1">
        <v>0.460615</v>
      </c>
      <c r="F90" s="1">
        <f>53760000*(10^-6)</f>
        <v>53.76</v>
      </c>
      <c r="G90" s="1">
        <v>2</v>
      </c>
      <c r="H90" s="1">
        <v>12.07</v>
      </c>
    </row>
    <row r="91" spans="1:8">
      <c r="A91" s="1">
        <v>30</v>
      </c>
      <c r="B91" s="1" t="s">
        <v>100</v>
      </c>
      <c r="C91" s="1">
        <v>82.71</v>
      </c>
      <c r="D91" s="1">
        <v>39.49</v>
      </c>
      <c r="E91" s="1">
        <v>0.46298699999999998</v>
      </c>
      <c r="F91" s="1">
        <f>52723200*(10^-6)</f>
        <v>52.723199999999999</v>
      </c>
      <c r="G91" s="1">
        <v>8</v>
      </c>
      <c r="H91" s="1">
        <v>15.67</v>
      </c>
    </row>
    <row r="92" spans="1:8">
      <c r="A92" s="1">
        <v>31</v>
      </c>
      <c r="B92" s="1" t="s">
        <v>101</v>
      </c>
      <c r="C92" s="1">
        <v>83</v>
      </c>
      <c r="D92" s="1">
        <v>39.49</v>
      </c>
      <c r="E92" s="1">
        <v>0.46206000000000003</v>
      </c>
      <c r="F92" s="1">
        <f>51878400*(10^-6)</f>
        <v>51.878399999999999</v>
      </c>
      <c r="G92" s="1">
        <v>2</v>
      </c>
      <c r="H92" s="1">
        <v>15.69</v>
      </c>
    </row>
    <row r="93" spans="1:8">
      <c r="A93" s="1">
        <v>32</v>
      </c>
      <c r="B93" s="1" t="s">
        <v>102</v>
      </c>
      <c r="C93" s="1">
        <v>81.75</v>
      </c>
      <c r="D93" s="1">
        <v>39.44</v>
      </c>
      <c r="E93" s="1">
        <v>0.45559500000000003</v>
      </c>
      <c r="F93" s="1">
        <f>44313600*(10^-6)</f>
        <v>44.313600000000001</v>
      </c>
      <c r="G93" s="1">
        <v>2</v>
      </c>
      <c r="H93" s="1">
        <v>15.46</v>
      </c>
    </row>
    <row r="94" spans="1:8">
      <c r="A94" s="1">
        <v>33</v>
      </c>
      <c r="B94" s="1" t="s">
        <v>103</v>
      </c>
      <c r="C94" s="1">
        <v>101.54</v>
      </c>
      <c r="D94" s="1">
        <v>40.03</v>
      </c>
      <c r="E94" s="1">
        <v>0.49997999999999998</v>
      </c>
      <c r="F94" s="1">
        <f>100608000*(10^-6)</f>
        <v>100.60799999999999</v>
      </c>
      <c r="G94" s="1">
        <v>8</v>
      </c>
      <c r="H94" s="1">
        <v>19.3</v>
      </c>
    </row>
    <row r="95" spans="1:8">
      <c r="A95" s="1">
        <v>34</v>
      </c>
      <c r="B95" s="1" t="s">
        <v>104</v>
      </c>
      <c r="C95" s="1">
        <v>102.01</v>
      </c>
      <c r="D95" s="1">
        <v>40.04</v>
      </c>
      <c r="E95" s="1">
        <v>0.49996800000000002</v>
      </c>
      <c r="F95" s="1">
        <f>100915200*(10^-6)</f>
        <v>100.9152</v>
      </c>
      <c r="G95" s="1">
        <v>8</v>
      </c>
      <c r="H95" s="1">
        <v>19.3</v>
      </c>
    </row>
    <row r="96" spans="1:8">
      <c r="A96" s="1">
        <v>35</v>
      </c>
      <c r="B96" s="1" t="s">
        <v>105</v>
      </c>
      <c r="C96" s="1">
        <v>101.85</v>
      </c>
      <c r="D96" s="1">
        <v>40.04</v>
      </c>
      <c r="E96" s="1">
        <v>0.49998900000000002</v>
      </c>
      <c r="F96" s="1">
        <f>101145600*(10^-6)</f>
        <v>101.1456</v>
      </c>
      <c r="G96" s="1">
        <v>4</v>
      </c>
      <c r="H96" s="1">
        <v>19.3</v>
      </c>
    </row>
    <row r="97" spans="1:8">
      <c r="A97" s="1">
        <v>36</v>
      </c>
      <c r="B97" s="1" t="s">
        <v>106</v>
      </c>
      <c r="C97" s="1">
        <v>101.64</v>
      </c>
      <c r="D97" s="1">
        <v>40.04</v>
      </c>
      <c r="E97" s="1">
        <v>0.49998999999999999</v>
      </c>
      <c r="F97" s="1">
        <f>100876800*(10^-6)</f>
        <v>100.87679999999999</v>
      </c>
      <c r="G97" s="1">
        <v>4</v>
      </c>
      <c r="H97" s="1">
        <v>19.3</v>
      </c>
    </row>
    <row r="98" spans="1:8">
      <c r="A98" s="1">
        <v>37</v>
      </c>
      <c r="B98" s="1" t="s">
        <v>107</v>
      </c>
      <c r="C98" s="1">
        <v>82.54</v>
      </c>
      <c r="D98" s="1">
        <v>39.49</v>
      </c>
      <c r="E98" s="1">
        <v>0.46421000000000001</v>
      </c>
      <c r="F98" s="1">
        <f>54412800*(10^-6)</f>
        <v>54.412799999999997</v>
      </c>
      <c r="G98" s="1">
        <v>0</v>
      </c>
      <c r="H98" s="1">
        <v>15.7</v>
      </c>
    </row>
    <row r="99" spans="1:8">
      <c r="A99" s="1">
        <v>38</v>
      </c>
      <c r="B99" s="1" t="s">
        <v>108</v>
      </c>
      <c r="C99" s="1">
        <v>82.66</v>
      </c>
      <c r="D99" s="1">
        <v>39.49</v>
      </c>
      <c r="E99" s="1">
        <v>0.46282499999999999</v>
      </c>
      <c r="F99" s="1">
        <f>53184000*(10^-6)</f>
        <v>53.183999999999997</v>
      </c>
      <c r="G99" s="1">
        <v>0</v>
      </c>
      <c r="H99" s="1">
        <v>15.68</v>
      </c>
    </row>
    <row r="100" spans="1:8">
      <c r="A100" s="1">
        <v>39</v>
      </c>
      <c r="B100" s="1" t="s">
        <v>109</v>
      </c>
      <c r="C100" s="1">
        <v>83.11</v>
      </c>
      <c r="D100" s="1">
        <v>39.5</v>
      </c>
      <c r="E100" s="1">
        <v>0.46430199999999999</v>
      </c>
      <c r="F100" s="1">
        <f>54259200*(10^-6)</f>
        <v>54.2592</v>
      </c>
      <c r="G100" s="1">
        <v>2</v>
      </c>
      <c r="H100" s="1">
        <v>15.71</v>
      </c>
    </row>
    <row r="101" spans="1:8">
      <c r="A101" s="1">
        <v>40</v>
      </c>
      <c r="B101" s="1" t="s">
        <v>110</v>
      </c>
      <c r="C101" s="1">
        <v>82.48</v>
      </c>
      <c r="D101" s="1">
        <v>39.479999999999997</v>
      </c>
      <c r="E101" s="1">
        <v>0.46141300000000002</v>
      </c>
      <c r="F101" s="1">
        <f>52454400*(10^-6)</f>
        <v>52.4544</v>
      </c>
      <c r="G101" s="1">
        <v>2</v>
      </c>
      <c r="H101" s="1">
        <v>15.65</v>
      </c>
    </row>
    <row r="102" spans="1:8">
      <c r="A102" s="1">
        <v>41</v>
      </c>
      <c r="B102" s="1" t="s">
        <v>111</v>
      </c>
      <c r="C102" s="1">
        <v>101.35</v>
      </c>
      <c r="D102" s="1">
        <v>40.03</v>
      </c>
      <c r="E102" s="1">
        <v>0.49999300000000002</v>
      </c>
      <c r="F102" s="1">
        <f>100800000*(10^-6)</f>
        <v>100.8</v>
      </c>
      <c r="G102" s="1">
        <v>8</v>
      </c>
      <c r="H102" s="1">
        <v>19.3</v>
      </c>
    </row>
    <row r="103" spans="1:8">
      <c r="A103" s="1">
        <v>42</v>
      </c>
      <c r="B103" s="1" t="s">
        <v>112</v>
      </c>
      <c r="C103" s="1">
        <v>82.5</v>
      </c>
      <c r="D103" s="1">
        <v>39.479999999999997</v>
      </c>
      <c r="E103" s="1">
        <v>0.46345999999999998</v>
      </c>
      <c r="F103" s="1">
        <f>52416000*(10^-6)</f>
        <v>52.415999999999997</v>
      </c>
      <c r="G103" s="1">
        <v>2</v>
      </c>
      <c r="H103" s="1">
        <v>15.67</v>
      </c>
    </row>
    <row r="104" spans="1:8">
      <c r="A104" s="1">
        <v>43</v>
      </c>
      <c r="B104" s="1" t="s">
        <v>113</v>
      </c>
      <c r="C104" s="1">
        <v>102.01</v>
      </c>
      <c r="D104" s="1">
        <v>40.04</v>
      </c>
      <c r="E104" s="1">
        <v>0.49996800000000002</v>
      </c>
      <c r="F104" s="1">
        <f>100915200*(10^-6)</f>
        <v>100.9152</v>
      </c>
      <c r="G104" s="1">
        <v>8</v>
      </c>
      <c r="H104" s="1">
        <v>19.3</v>
      </c>
    </row>
    <row r="105" spans="1:8">
      <c r="A105" s="1">
        <v>44</v>
      </c>
      <c r="B105" s="1" t="s">
        <v>114</v>
      </c>
      <c r="C105" s="1">
        <v>101.78</v>
      </c>
      <c r="D105" s="1">
        <v>40.04</v>
      </c>
      <c r="E105" s="1">
        <v>0.49999500000000002</v>
      </c>
      <c r="F105" s="1">
        <f>101452800*(10^-6)</f>
        <v>101.4528</v>
      </c>
      <c r="G105" s="1">
        <v>8</v>
      </c>
      <c r="H105" s="1">
        <v>19.3</v>
      </c>
    </row>
    <row r="106" spans="1:8">
      <c r="A106" s="1">
        <v>45</v>
      </c>
      <c r="B106" s="1" t="s">
        <v>115</v>
      </c>
      <c r="C106" s="1">
        <v>101.54</v>
      </c>
      <c r="D106" s="1">
        <v>40.03</v>
      </c>
      <c r="E106" s="1">
        <v>0.49997999999999998</v>
      </c>
      <c r="F106" s="1">
        <f>100608000*(10^-6)</f>
        <v>100.60799999999999</v>
      </c>
      <c r="G106" s="1">
        <v>8</v>
      </c>
      <c r="H106" s="1">
        <v>19.3</v>
      </c>
    </row>
    <row r="107" spans="1:8">
      <c r="A107" s="1">
        <v>46</v>
      </c>
      <c r="B107" s="1" t="s">
        <v>116</v>
      </c>
      <c r="C107" s="1">
        <v>83.01</v>
      </c>
      <c r="D107" s="1">
        <v>39.5</v>
      </c>
      <c r="E107" s="1">
        <v>0.46248499999999998</v>
      </c>
      <c r="F107" s="1">
        <f>53299200*(10^-6)</f>
        <v>53.299199999999999</v>
      </c>
      <c r="G107" s="1">
        <v>2</v>
      </c>
      <c r="H107" s="1">
        <v>15.67</v>
      </c>
    </row>
    <row r="108" spans="1:8">
      <c r="A108" s="1">
        <v>47</v>
      </c>
      <c r="B108" s="1" t="s">
        <v>117</v>
      </c>
      <c r="C108" s="1">
        <v>101.54</v>
      </c>
      <c r="D108" s="1">
        <v>40.03</v>
      </c>
      <c r="E108" s="1">
        <v>0.49997999999999998</v>
      </c>
      <c r="F108" s="1">
        <f>100608000*(10^-6)</f>
        <v>100.60799999999999</v>
      </c>
      <c r="G108" s="1">
        <v>8</v>
      </c>
      <c r="H108" s="1">
        <v>19.3</v>
      </c>
    </row>
    <row r="109" spans="1:8">
      <c r="A109" s="1">
        <v>48</v>
      </c>
      <c r="B109" s="1" t="s">
        <v>118</v>
      </c>
      <c r="C109" s="1">
        <v>81.61</v>
      </c>
      <c r="D109" s="1">
        <v>37.869999999999997</v>
      </c>
      <c r="E109" s="1">
        <v>0.40135399999999999</v>
      </c>
      <c r="F109" s="1">
        <f>691200*(10^-6)</f>
        <v>0.69119999999999993</v>
      </c>
      <c r="G109" s="1">
        <v>0</v>
      </c>
      <c r="H109" s="1">
        <v>15.43</v>
      </c>
    </row>
    <row r="110" spans="1:8">
      <c r="A110" s="1">
        <v>49</v>
      </c>
      <c r="B110" s="1" t="s">
        <v>119</v>
      </c>
      <c r="C110" s="1">
        <v>81.680000000000007</v>
      </c>
      <c r="D110" s="1">
        <v>39.450000000000003</v>
      </c>
      <c r="E110" s="1">
        <v>0.45818700000000001</v>
      </c>
      <c r="F110" s="1">
        <f>50227200*(10^-6)</f>
        <v>50.227199999999996</v>
      </c>
      <c r="G110" s="1">
        <v>8</v>
      </c>
      <c r="H110" s="1">
        <v>15.49</v>
      </c>
    </row>
    <row r="111" spans="1:8">
      <c r="A111" s="1">
        <v>50</v>
      </c>
      <c r="B111" s="1" t="s">
        <v>120</v>
      </c>
      <c r="C111" s="1">
        <v>101.64</v>
      </c>
      <c r="D111" s="1">
        <v>40.04</v>
      </c>
      <c r="E111" s="1">
        <v>0.49998999999999999</v>
      </c>
      <c r="F111" s="1">
        <f>100876800*(10^-6)</f>
        <v>100.87679999999999</v>
      </c>
      <c r="G111" s="1">
        <v>4</v>
      </c>
      <c r="H111" s="1">
        <v>19.3</v>
      </c>
    </row>
    <row r="112" spans="1:8">
      <c r="B112" s="1" t="s">
        <v>19</v>
      </c>
      <c r="C112" s="1">
        <f>AVERAGE(C62:C111)</f>
        <v>92.327200000000005</v>
      </c>
      <c r="D112" s="1">
        <f t="shared" ref="D112" si="7">AVERAGE(D62:D111)</f>
        <v>39.729399999999998</v>
      </c>
      <c r="E112" s="1">
        <f t="shared" ref="E112" si="8">AVERAGE(E62:E111)</f>
        <v>0.48054344000000015</v>
      </c>
      <c r="F112" s="1">
        <f t="shared" ref="F112" si="9">AVERAGE(F62:F111)</f>
        <v>77.113344000000012</v>
      </c>
      <c r="H112" s="1">
        <f t="shared" ref="H112" si="10">AVERAGE(H62:H111)</f>
        <v>17.518199999999993</v>
      </c>
    </row>
    <row r="113" spans="1:8">
      <c r="B113" s="1" t="s">
        <v>20</v>
      </c>
      <c r="C113" s="1">
        <f>MIN(C61:C111)</f>
        <v>61.75</v>
      </c>
      <c r="D113" s="1">
        <f t="shared" ref="D113:F113" si="11">MIN(D61:D111)</f>
        <v>37.869999999999997</v>
      </c>
      <c r="E113" s="1">
        <f t="shared" si="11"/>
        <v>0.38991300000000001</v>
      </c>
      <c r="F113" s="1">
        <f t="shared" si="11"/>
        <v>0.69119999999999993</v>
      </c>
      <c r="H113" s="1">
        <f t="shared" ref="H113" si="12">MIN(H61:H111)</f>
        <v>11.71</v>
      </c>
    </row>
    <row r="114" spans="1:8">
      <c r="B114" s="1" t="s">
        <v>3</v>
      </c>
      <c r="C114" s="1">
        <f>STDEV(C62:C111)</f>
        <v>11.051170967598857</v>
      </c>
      <c r="D114" s="1">
        <f t="shared" ref="D114:E114" si="13">STDEV(D62:D111)</f>
        <v>0.42667394232745476</v>
      </c>
      <c r="E114" s="1">
        <f t="shared" si="13"/>
        <v>2.5430836981064794E-2</v>
      </c>
      <c r="F114" s="1">
        <f>STDEV(F62:F111)</f>
        <v>27.307542287457643</v>
      </c>
      <c r="H114" s="1">
        <f>STDEV(H62:H111)</f>
        <v>2.1086959796741813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121</v>
      </c>
      <c r="C118" s="1">
        <v>82.2</v>
      </c>
      <c r="D118" s="1">
        <v>78.91</v>
      </c>
      <c r="E118" s="1">
        <v>0.45835700000000001</v>
      </c>
      <c r="F118" s="1">
        <f>42086400*(10^-6)</f>
        <v>42.086399999999998</v>
      </c>
      <c r="G118" s="1">
        <v>6</v>
      </c>
      <c r="H118" s="1">
        <v>15.57</v>
      </c>
    </row>
    <row r="119" spans="1:8">
      <c r="A119" s="1">
        <v>2</v>
      </c>
      <c r="B119" s="1" t="s">
        <v>122</v>
      </c>
      <c r="C119" s="1">
        <v>82.65</v>
      </c>
      <c r="D119" s="1">
        <v>78.97</v>
      </c>
      <c r="E119" s="1">
        <v>0.46279700000000001</v>
      </c>
      <c r="F119" s="1">
        <f>53337600*(10^-6)</f>
        <v>53.337599999999995</v>
      </c>
      <c r="G119" s="1">
        <v>16</v>
      </c>
      <c r="H119" s="1">
        <v>15.68</v>
      </c>
    </row>
    <row r="120" spans="1:8">
      <c r="A120" s="1">
        <v>3</v>
      </c>
      <c r="B120" s="1" t="s">
        <v>123</v>
      </c>
      <c r="C120" s="1">
        <v>101.47</v>
      </c>
      <c r="D120" s="1">
        <v>80.06</v>
      </c>
      <c r="E120" s="1">
        <v>0.49998399999999998</v>
      </c>
      <c r="F120" s="1">
        <f>100838400*(10^-6)</f>
        <v>100.83839999999999</v>
      </c>
      <c r="G120" s="1">
        <v>0</v>
      </c>
      <c r="H120" s="1">
        <v>19.3</v>
      </c>
    </row>
    <row r="121" spans="1:8">
      <c r="A121" s="1">
        <v>4</v>
      </c>
      <c r="B121" s="1" t="s">
        <v>124</v>
      </c>
      <c r="C121" s="1">
        <v>81.319999999999993</v>
      </c>
      <c r="D121" s="1">
        <v>77.72</v>
      </c>
      <c r="E121" s="1">
        <v>0.428759</v>
      </c>
      <c r="F121" s="1">
        <f>1881600*(10^-6)</f>
        <v>1.8815999999999999</v>
      </c>
      <c r="G121" s="1">
        <v>6</v>
      </c>
      <c r="H121" s="1">
        <v>15.43</v>
      </c>
    </row>
    <row r="122" spans="1:8">
      <c r="A122" s="1">
        <v>5</v>
      </c>
      <c r="B122" s="1" t="s">
        <v>125</v>
      </c>
      <c r="C122" s="1">
        <v>83.91</v>
      </c>
      <c r="D122" s="1">
        <v>79.05</v>
      </c>
      <c r="E122" s="1">
        <v>0.465227</v>
      </c>
      <c r="F122" s="1">
        <f>48921600*(10^-6)</f>
        <v>48.921599999999998</v>
      </c>
      <c r="G122" s="1">
        <v>14</v>
      </c>
      <c r="H122" s="1">
        <v>15.86</v>
      </c>
    </row>
    <row r="123" spans="1:8">
      <c r="A123" s="1">
        <v>6</v>
      </c>
      <c r="B123" s="1" t="s">
        <v>126</v>
      </c>
      <c r="C123" s="1">
        <v>83.47</v>
      </c>
      <c r="D123" s="1">
        <v>79.02</v>
      </c>
      <c r="E123" s="1">
        <v>0.46535100000000001</v>
      </c>
      <c r="F123" s="1">
        <f>47116800*(10^-6)</f>
        <v>47.116799999999998</v>
      </c>
      <c r="G123" s="1">
        <v>8</v>
      </c>
      <c r="H123" s="1">
        <v>15.86</v>
      </c>
    </row>
    <row r="124" spans="1:8">
      <c r="A124" s="1">
        <v>7</v>
      </c>
      <c r="B124" s="1" t="s">
        <v>127</v>
      </c>
      <c r="C124" s="1">
        <v>72.5</v>
      </c>
      <c r="D124" s="1">
        <v>78.38</v>
      </c>
      <c r="E124" s="1">
        <v>0.45155099999999998</v>
      </c>
      <c r="F124" s="1">
        <f>50880000*(10^-6)</f>
        <v>50.879999999999995</v>
      </c>
      <c r="G124" s="1">
        <v>16</v>
      </c>
      <c r="H124" s="1">
        <v>13.77</v>
      </c>
    </row>
    <row r="125" spans="1:8">
      <c r="A125" s="1">
        <v>8</v>
      </c>
      <c r="B125" s="1" t="s">
        <v>128</v>
      </c>
      <c r="C125" s="1">
        <v>82.51</v>
      </c>
      <c r="D125" s="1">
        <v>78.97</v>
      </c>
      <c r="E125" s="1">
        <v>0.46384199999999998</v>
      </c>
      <c r="F125" s="1">
        <f>51955200*(10^-6)</f>
        <v>51.955199999999998</v>
      </c>
      <c r="G125" s="1">
        <v>12</v>
      </c>
      <c r="H125" s="1">
        <v>15.69</v>
      </c>
    </row>
    <row r="126" spans="1:8">
      <c r="A126" s="1">
        <v>9</v>
      </c>
      <c r="B126" s="1" t="s">
        <v>129</v>
      </c>
      <c r="C126" s="1">
        <v>80.16</v>
      </c>
      <c r="D126" s="1">
        <v>78.83</v>
      </c>
      <c r="E126" s="1">
        <v>0.46088200000000001</v>
      </c>
      <c r="F126" s="1">
        <f>44889600*(10^-6)</f>
        <v>44.889600000000002</v>
      </c>
      <c r="G126" s="1">
        <v>2</v>
      </c>
      <c r="H126" s="1">
        <v>15.21</v>
      </c>
    </row>
    <row r="127" spans="1:8">
      <c r="A127" s="1">
        <v>10</v>
      </c>
      <c r="B127" s="1" t="s">
        <v>130</v>
      </c>
      <c r="C127" s="1">
        <v>82.81</v>
      </c>
      <c r="D127" s="1">
        <v>78.98</v>
      </c>
      <c r="E127" s="1">
        <v>0.46263700000000002</v>
      </c>
      <c r="F127" s="1">
        <f>52684800*(10^-6)</f>
        <v>52.684799999999996</v>
      </c>
      <c r="G127" s="1">
        <v>16</v>
      </c>
      <c r="H127" s="1">
        <v>15.68</v>
      </c>
    </row>
    <row r="128" spans="1:8">
      <c r="A128" s="1">
        <v>11</v>
      </c>
      <c r="B128" s="1" t="s">
        <v>131</v>
      </c>
      <c r="C128" s="1">
        <v>92.17</v>
      </c>
      <c r="D128" s="1">
        <v>79.52</v>
      </c>
      <c r="E128" s="1">
        <v>0.47902099999999997</v>
      </c>
      <c r="F128" s="1">
        <f>52838400*(10^-6)</f>
        <v>52.8384</v>
      </c>
      <c r="G128" s="1">
        <v>18</v>
      </c>
      <c r="H128" s="1">
        <v>17.48</v>
      </c>
    </row>
    <row r="129" spans="1:8">
      <c r="A129" s="1">
        <v>12</v>
      </c>
      <c r="B129" s="1" t="s">
        <v>132</v>
      </c>
      <c r="C129" s="1">
        <v>101.93</v>
      </c>
      <c r="D129" s="1">
        <v>80.08</v>
      </c>
      <c r="E129" s="1">
        <v>0.49997599999999998</v>
      </c>
      <c r="F129" s="1">
        <f>100723200*(10^-6)</f>
        <v>100.72319999999999</v>
      </c>
      <c r="G129" s="1">
        <v>4</v>
      </c>
      <c r="H129" s="1">
        <v>19.3</v>
      </c>
    </row>
    <row r="130" spans="1:8">
      <c r="A130" s="1">
        <v>13</v>
      </c>
      <c r="B130" s="1" t="s">
        <v>133</v>
      </c>
      <c r="C130" s="1">
        <v>89.73</v>
      </c>
      <c r="D130" s="1">
        <v>79.39</v>
      </c>
      <c r="E130" s="1">
        <v>0.47666900000000001</v>
      </c>
      <c r="F130" s="1">
        <f>50342400*(10^-6)</f>
        <v>50.342399999999998</v>
      </c>
      <c r="G130" s="1">
        <v>2</v>
      </c>
      <c r="H130" s="1">
        <v>17.05</v>
      </c>
    </row>
    <row r="131" spans="1:8">
      <c r="A131" s="1">
        <v>14</v>
      </c>
      <c r="B131" s="1" t="s">
        <v>134</v>
      </c>
      <c r="C131" s="1">
        <v>91.56</v>
      </c>
      <c r="D131" s="1">
        <v>77.8</v>
      </c>
      <c r="E131" s="1">
        <v>0.45052500000000001</v>
      </c>
      <c r="F131" s="1">
        <f>537600*(10^-6)</f>
        <v>0.53759999999999997</v>
      </c>
      <c r="G131" s="1">
        <v>4</v>
      </c>
      <c r="H131" s="1">
        <v>17.36</v>
      </c>
    </row>
    <row r="132" spans="1:8">
      <c r="A132" s="1">
        <v>15</v>
      </c>
      <c r="B132" s="1" t="s">
        <v>135</v>
      </c>
      <c r="C132" s="1">
        <v>82.69</v>
      </c>
      <c r="D132" s="1">
        <v>78.97</v>
      </c>
      <c r="E132" s="1">
        <v>0.46249600000000002</v>
      </c>
      <c r="F132" s="1">
        <f>52108800*(10^-6)</f>
        <v>52.108799999999995</v>
      </c>
      <c r="G132" s="1">
        <v>10</v>
      </c>
      <c r="H132" s="1">
        <v>15.66</v>
      </c>
    </row>
    <row r="133" spans="1:8">
      <c r="A133" s="1">
        <v>16</v>
      </c>
      <c r="B133" s="1" t="s">
        <v>136</v>
      </c>
      <c r="C133" s="1">
        <v>82.18</v>
      </c>
      <c r="D133" s="1">
        <v>78.92</v>
      </c>
      <c r="E133" s="1">
        <v>0.458372</v>
      </c>
      <c r="F133" s="1">
        <f>43392000*(10^-6)</f>
        <v>43.391999999999996</v>
      </c>
      <c r="G133" s="1">
        <v>16</v>
      </c>
      <c r="H133" s="1">
        <v>15.56</v>
      </c>
    </row>
    <row r="134" spans="1:8">
      <c r="A134" s="1">
        <v>17</v>
      </c>
      <c r="B134" s="1" t="s">
        <v>137</v>
      </c>
      <c r="C134" s="1">
        <v>72.73</v>
      </c>
      <c r="D134" s="1">
        <v>78.38</v>
      </c>
      <c r="E134" s="1">
        <v>0.44952700000000001</v>
      </c>
      <c r="F134" s="1">
        <f>45158400*(10^-6)</f>
        <v>45.1584</v>
      </c>
      <c r="G134" s="1">
        <v>14</v>
      </c>
      <c r="H134" s="1">
        <v>13.76</v>
      </c>
    </row>
    <row r="135" spans="1:8">
      <c r="A135" s="1">
        <v>18</v>
      </c>
      <c r="B135" s="1" t="s">
        <v>138</v>
      </c>
      <c r="C135" s="1">
        <v>89.03</v>
      </c>
      <c r="D135" s="1" t="e">
        <f>-inf</f>
        <v>#NAME?</v>
      </c>
      <c r="E135" s="1">
        <v>0.44684600000000002</v>
      </c>
      <c r="F135" s="1">
        <f>0*(10^-6)</f>
        <v>0</v>
      </c>
      <c r="G135" s="1">
        <v>8</v>
      </c>
      <c r="H135" s="1">
        <v>16.87</v>
      </c>
    </row>
    <row r="136" spans="1:8">
      <c r="A136" s="1">
        <v>19</v>
      </c>
      <c r="B136" s="1" t="s">
        <v>139</v>
      </c>
      <c r="C136" s="1">
        <v>74.739999999999995</v>
      </c>
      <c r="D136" s="1">
        <v>78.53</v>
      </c>
      <c r="E136" s="1">
        <v>0.45654</v>
      </c>
      <c r="F136" s="1">
        <f>46771200*(10^-6)</f>
        <v>46.7712</v>
      </c>
      <c r="G136" s="1">
        <v>4</v>
      </c>
      <c r="H136" s="1">
        <v>14.17</v>
      </c>
    </row>
    <row r="137" spans="1:8">
      <c r="A137" s="1">
        <v>20</v>
      </c>
      <c r="B137" s="1" t="s">
        <v>140</v>
      </c>
      <c r="C137" s="1">
        <v>72.55</v>
      </c>
      <c r="D137" s="1">
        <v>78.209999999999994</v>
      </c>
      <c r="E137" s="1">
        <v>0.43188700000000002</v>
      </c>
      <c r="F137" s="1">
        <f>36096000*(10^-6)</f>
        <v>36.095999999999997</v>
      </c>
      <c r="G137" s="1">
        <v>14</v>
      </c>
      <c r="H137" s="1">
        <v>13.74</v>
      </c>
    </row>
    <row r="138" spans="1:8">
      <c r="A138" s="1">
        <v>21</v>
      </c>
      <c r="B138" s="1" t="s">
        <v>141</v>
      </c>
      <c r="C138" s="1">
        <v>62.89</v>
      </c>
      <c r="D138" s="1">
        <v>77.81</v>
      </c>
      <c r="E138" s="1">
        <v>0.45492500000000002</v>
      </c>
      <c r="F138" s="1">
        <f>46272000*(10^-6)</f>
        <v>46.271999999999998</v>
      </c>
      <c r="G138" s="1">
        <v>18</v>
      </c>
      <c r="H138" s="1">
        <v>11.9</v>
      </c>
    </row>
    <row r="139" spans="1:8">
      <c r="A139" s="1">
        <v>22</v>
      </c>
      <c r="B139" s="1" t="s">
        <v>142</v>
      </c>
      <c r="C139" s="1">
        <v>82.56</v>
      </c>
      <c r="D139" s="1">
        <v>78.97</v>
      </c>
      <c r="E139" s="1">
        <v>0.46269900000000003</v>
      </c>
      <c r="F139" s="1">
        <f>52800000*(10^-6)</f>
        <v>52.8</v>
      </c>
      <c r="G139" s="1">
        <v>4</v>
      </c>
      <c r="H139" s="1">
        <v>15.68</v>
      </c>
    </row>
    <row r="140" spans="1:8">
      <c r="A140" s="1">
        <v>23</v>
      </c>
      <c r="B140" s="1" t="s">
        <v>143</v>
      </c>
      <c r="C140" s="1">
        <v>72.45</v>
      </c>
      <c r="D140" s="1">
        <v>77.89</v>
      </c>
      <c r="E140" s="1">
        <v>0.40904400000000002</v>
      </c>
      <c r="F140" s="1">
        <f>20851200*(10^-6)</f>
        <v>20.851199999999999</v>
      </c>
      <c r="G140" s="1">
        <v>8</v>
      </c>
      <c r="H140" s="1">
        <v>13.71</v>
      </c>
    </row>
    <row r="141" spans="1:8">
      <c r="A141" s="1">
        <v>24</v>
      </c>
      <c r="B141" s="1" t="s">
        <v>144</v>
      </c>
      <c r="C141" s="1">
        <v>92.39</v>
      </c>
      <c r="D141" s="1">
        <v>79.53</v>
      </c>
      <c r="E141" s="1">
        <v>0.47900900000000002</v>
      </c>
      <c r="F141" s="1">
        <f>52723200*(10^-6)</f>
        <v>52.723199999999999</v>
      </c>
      <c r="G141" s="1">
        <v>0</v>
      </c>
      <c r="H141" s="1">
        <v>17.48</v>
      </c>
    </row>
    <row r="142" spans="1:8">
      <c r="A142" s="1">
        <v>25</v>
      </c>
      <c r="B142" s="1" t="s">
        <v>145</v>
      </c>
      <c r="C142" s="1">
        <v>91.99</v>
      </c>
      <c r="D142" s="1">
        <v>79.52</v>
      </c>
      <c r="E142" s="1">
        <v>0.47968</v>
      </c>
      <c r="F142" s="1">
        <f>52377600*(10^-6)</f>
        <v>52.377600000000001</v>
      </c>
      <c r="G142" s="1">
        <v>2</v>
      </c>
      <c r="H142" s="1">
        <v>17.489999999999998</v>
      </c>
    </row>
    <row r="143" spans="1:8">
      <c r="A143" s="1">
        <v>26</v>
      </c>
      <c r="B143" s="1" t="s">
        <v>146</v>
      </c>
      <c r="C143" s="1">
        <v>96.65</v>
      </c>
      <c r="D143" s="1">
        <v>79.819999999999993</v>
      </c>
      <c r="E143" s="1">
        <v>0.494448</v>
      </c>
      <c r="F143" s="1">
        <f>73228800*(10^-6)</f>
        <v>73.228799999999993</v>
      </c>
      <c r="G143" s="1">
        <v>16</v>
      </c>
      <c r="H143" s="1">
        <v>18.34</v>
      </c>
    </row>
    <row r="144" spans="1:8">
      <c r="A144" s="1">
        <v>27</v>
      </c>
      <c r="B144" s="1" t="s">
        <v>147</v>
      </c>
      <c r="C144" s="1">
        <v>63.18</v>
      </c>
      <c r="D144" s="1">
        <v>77.650000000000006</v>
      </c>
      <c r="E144" s="1">
        <v>0.42630099999999999</v>
      </c>
      <c r="F144" s="1">
        <f>33561600*(10^-6)</f>
        <v>33.561599999999999</v>
      </c>
      <c r="G144" s="1">
        <v>0</v>
      </c>
      <c r="H144" s="1">
        <v>12.01</v>
      </c>
    </row>
    <row r="145" spans="1:8">
      <c r="A145" s="1">
        <v>28</v>
      </c>
      <c r="B145" s="1" t="s">
        <v>148</v>
      </c>
      <c r="C145" s="1">
        <v>82.18</v>
      </c>
      <c r="D145" s="1">
        <v>78.930000000000007</v>
      </c>
      <c r="E145" s="1">
        <v>0.46037299999999998</v>
      </c>
      <c r="F145" s="1">
        <f>47846400*(10^-6)</f>
        <v>47.846399999999996</v>
      </c>
      <c r="G145" s="1">
        <v>16</v>
      </c>
      <c r="H145" s="1">
        <v>15.58</v>
      </c>
    </row>
    <row r="146" spans="1:8">
      <c r="A146" s="1">
        <v>29</v>
      </c>
      <c r="B146" s="1" t="s">
        <v>149</v>
      </c>
      <c r="C146" s="1">
        <v>91.61</v>
      </c>
      <c r="D146" s="1">
        <v>78.14</v>
      </c>
      <c r="E146" s="1">
        <v>0.45112600000000003</v>
      </c>
      <c r="F146" s="1">
        <f>1190400*(10^-6)</f>
        <v>1.1903999999999999</v>
      </c>
      <c r="G146" s="1">
        <v>4</v>
      </c>
      <c r="H146" s="1">
        <v>17.350000000000001</v>
      </c>
    </row>
    <row r="147" spans="1:8">
      <c r="A147" s="1">
        <v>30</v>
      </c>
      <c r="B147" s="1" t="s">
        <v>150</v>
      </c>
      <c r="C147" s="1">
        <v>81.93</v>
      </c>
      <c r="D147" s="1">
        <v>77.66</v>
      </c>
      <c r="E147" s="1">
        <v>0.43071399999999999</v>
      </c>
      <c r="F147" s="1">
        <f>1420800*(10^-6)</f>
        <v>1.4207999999999998</v>
      </c>
      <c r="G147" s="1">
        <v>4</v>
      </c>
      <c r="H147" s="1">
        <v>15.53</v>
      </c>
    </row>
    <row r="148" spans="1:8">
      <c r="A148" s="1">
        <v>31</v>
      </c>
      <c r="B148" s="1" t="s">
        <v>151</v>
      </c>
      <c r="C148" s="1">
        <v>92.14</v>
      </c>
      <c r="D148" s="1">
        <v>79.52</v>
      </c>
      <c r="E148" s="1">
        <v>0.47941899999999998</v>
      </c>
      <c r="F148" s="1">
        <f>53414400*(10^-6)</f>
        <v>53.414400000000001</v>
      </c>
      <c r="G148" s="1">
        <v>8</v>
      </c>
      <c r="H148" s="1">
        <v>17.48</v>
      </c>
    </row>
    <row r="149" spans="1:8">
      <c r="A149" s="1">
        <v>32</v>
      </c>
      <c r="B149" s="1" t="s">
        <v>152</v>
      </c>
      <c r="C149" s="1">
        <v>102.02</v>
      </c>
      <c r="D149" s="1">
        <v>80.09</v>
      </c>
      <c r="E149" s="1">
        <v>0.49997599999999998</v>
      </c>
      <c r="F149" s="1">
        <f>100531200*(10^-6)</f>
        <v>100.5312</v>
      </c>
      <c r="G149" s="1">
        <v>10</v>
      </c>
      <c r="H149" s="1">
        <v>19.3</v>
      </c>
    </row>
    <row r="150" spans="1:8">
      <c r="A150" s="1">
        <v>33</v>
      </c>
      <c r="B150" s="1" t="s">
        <v>153</v>
      </c>
      <c r="C150" s="1">
        <v>72.66</v>
      </c>
      <c r="D150" s="1">
        <v>78.38</v>
      </c>
      <c r="E150" s="1">
        <v>0.45022400000000001</v>
      </c>
      <c r="F150" s="1">
        <f>49190400*(10^-6)</f>
        <v>49.190399999999997</v>
      </c>
      <c r="G150" s="1">
        <v>16</v>
      </c>
      <c r="H150" s="1">
        <v>13.75</v>
      </c>
    </row>
    <row r="151" spans="1:8">
      <c r="A151" s="1">
        <v>34</v>
      </c>
      <c r="B151" s="1" t="s">
        <v>154</v>
      </c>
      <c r="C151" s="1">
        <v>62.73</v>
      </c>
      <c r="D151" s="1">
        <v>77.37</v>
      </c>
      <c r="E151" s="1">
        <v>0.39507700000000001</v>
      </c>
      <c r="F151" s="1">
        <f>23232000*(10^-6)</f>
        <v>23.231999999999999</v>
      </c>
      <c r="G151" s="1">
        <v>16</v>
      </c>
      <c r="H151" s="1">
        <v>11.9</v>
      </c>
    </row>
    <row r="152" spans="1:8">
      <c r="A152" s="1">
        <v>35</v>
      </c>
      <c r="B152" s="1" t="s">
        <v>155</v>
      </c>
      <c r="C152" s="1">
        <v>92.07</v>
      </c>
      <c r="D152" s="1">
        <v>79.52</v>
      </c>
      <c r="E152" s="1">
        <v>0.479439</v>
      </c>
      <c r="F152" s="1">
        <f>53836800*(10^-6)</f>
        <v>53.836799999999997</v>
      </c>
      <c r="G152" s="1">
        <v>10</v>
      </c>
      <c r="H152" s="1">
        <v>17.489999999999998</v>
      </c>
    </row>
    <row r="153" spans="1:8">
      <c r="A153" s="1">
        <v>36</v>
      </c>
      <c r="B153" s="1" t="s">
        <v>156</v>
      </c>
      <c r="C153" s="1">
        <v>91.9</v>
      </c>
      <c r="D153" s="1">
        <v>79.510000000000005</v>
      </c>
      <c r="E153" s="1">
        <v>0.47922599999999999</v>
      </c>
      <c r="F153" s="1">
        <f>53184000*(10^-6)</f>
        <v>53.183999999999997</v>
      </c>
      <c r="G153" s="1">
        <v>4</v>
      </c>
      <c r="H153" s="1">
        <v>17.48</v>
      </c>
    </row>
    <row r="154" spans="1:8">
      <c r="A154" s="1">
        <v>37</v>
      </c>
      <c r="B154" s="1" t="s">
        <v>157</v>
      </c>
      <c r="C154" s="1">
        <v>82.08</v>
      </c>
      <c r="D154" s="1" t="e">
        <f>-inf</f>
        <v>#NAME?</v>
      </c>
      <c r="E154" s="1">
        <v>0.42984299999999998</v>
      </c>
      <c r="F154" s="1">
        <f>0*(10^-6)</f>
        <v>0</v>
      </c>
      <c r="G154" s="1">
        <v>4</v>
      </c>
      <c r="H154" s="1">
        <v>15.56</v>
      </c>
    </row>
    <row r="155" spans="1:8">
      <c r="A155" s="1">
        <v>38</v>
      </c>
      <c r="B155" s="1" t="s">
        <v>158</v>
      </c>
      <c r="C155" s="1">
        <v>101.84</v>
      </c>
      <c r="D155" s="1">
        <v>80.08</v>
      </c>
      <c r="E155" s="1">
        <v>0.49997999999999998</v>
      </c>
      <c r="F155" s="1">
        <f>100684800*(10^-6)</f>
        <v>100.6848</v>
      </c>
      <c r="G155" s="1">
        <v>8</v>
      </c>
      <c r="H155" s="1">
        <v>19.3</v>
      </c>
    </row>
    <row r="156" spans="1:8">
      <c r="A156" s="1">
        <v>39</v>
      </c>
      <c r="B156" s="1" t="s">
        <v>159</v>
      </c>
      <c r="C156" s="1">
        <v>92.14</v>
      </c>
      <c r="D156" s="1">
        <v>79.52</v>
      </c>
      <c r="E156" s="1">
        <v>0.47953600000000002</v>
      </c>
      <c r="F156" s="1">
        <f>52070400*(10^-6)</f>
        <v>52.070399999999999</v>
      </c>
      <c r="G156" s="1">
        <v>6</v>
      </c>
      <c r="H156" s="1">
        <v>17.48</v>
      </c>
    </row>
    <row r="157" spans="1:8">
      <c r="A157" s="1">
        <v>40</v>
      </c>
      <c r="B157" s="1" t="s">
        <v>160</v>
      </c>
      <c r="C157" s="1">
        <v>83.75</v>
      </c>
      <c r="D157" s="1">
        <v>79.03</v>
      </c>
      <c r="E157" s="1">
        <v>0.46446399999999999</v>
      </c>
      <c r="F157" s="1">
        <f>47500800*(10^-6)</f>
        <v>47.500799999999998</v>
      </c>
      <c r="G157" s="1">
        <v>14</v>
      </c>
      <c r="H157" s="1">
        <v>15.86</v>
      </c>
    </row>
    <row r="158" spans="1:8">
      <c r="A158" s="1">
        <v>41</v>
      </c>
      <c r="B158" s="1" t="s">
        <v>161</v>
      </c>
      <c r="C158" s="1">
        <v>92.44</v>
      </c>
      <c r="D158" s="1">
        <v>79.540000000000006</v>
      </c>
      <c r="E158" s="1">
        <v>0.47977700000000001</v>
      </c>
      <c r="F158" s="1">
        <f>54105600*(10^-6)</f>
        <v>54.105599999999995</v>
      </c>
      <c r="G158" s="1">
        <v>16</v>
      </c>
      <c r="H158" s="1">
        <v>17.5</v>
      </c>
    </row>
    <row r="159" spans="1:8">
      <c r="A159" s="1">
        <v>42</v>
      </c>
      <c r="B159" s="1" t="s">
        <v>162</v>
      </c>
      <c r="C159" s="1">
        <v>82.36</v>
      </c>
      <c r="D159" s="1">
        <v>78.739999999999995</v>
      </c>
      <c r="E159" s="1">
        <v>0.44140299999999999</v>
      </c>
      <c r="F159" s="1">
        <f>31833600*(10^-6)</f>
        <v>31.833599999999997</v>
      </c>
      <c r="G159" s="1">
        <v>2</v>
      </c>
      <c r="H159" s="1">
        <v>15.59</v>
      </c>
    </row>
    <row r="160" spans="1:8">
      <c r="A160" s="1">
        <v>43</v>
      </c>
      <c r="B160" s="1" t="s">
        <v>163</v>
      </c>
      <c r="C160" s="1">
        <v>82.07</v>
      </c>
      <c r="D160" s="1">
        <v>77.400000000000006</v>
      </c>
      <c r="E160" s="1">
        <v>0.43024299999999999</v>
      </c>
      <c r="F160" s="1">
        <f>768000*(10^-6)</f>
        <v>0.76800000000000002</v>
      </c>
      <c r="G160" s="1">
        <v>10</v>
      </c>
      <c r="H160" s="1">
        <v>15.54</v>
      </c>
    </row>
    <row r="161" spans="1:8">
      <c r="A161" s="1">
        <v>44</v>
      </c>
      <c r="B161" s="1" t="s">
        <v>164</v>
      </c>
      <c r="C161" s="1">
        <v>72.31</v>
      </c>
      <c r="D161" s="1">
        <v>76.709999999999994</v>
      </c>
      <c r="E161" s="1">
        <v>0.413858</v>
      </c>
      <c r="F161" s="1">
        <f>576000*(10^-6)</f>
        <v>0.57599999999999996</v>
      </c>
      <c r="G161" s="1">
        <v>16</v>
      </c>
      <c r="H161" s="1">
        <v>13.71</v>
      </c>
    </row>
    <row r="162" spans="1:8">
      <c r="A162" s="1">
        <v>45</v>
      </c>
      <c r="B162" s="1" t="s">
        <v>165</v>
      </c>
      <c r="C162" s="1">
        <v>73.319999999999993</v>
      </c>
      <c r="D162" s="1">
        <v>78.33</v>
      </c>
      <c r="E162" s="1">
        <v>0.44370500000000002</v>
      </c>
      <c r="F162" s="1">
        <f>31257600*(10^-6)</f>
        <v>31.2576</v>
      </c>
      <c r="G162" s="1">
        <v>14</v>
      </c>
      <c r="H162" s="1">
        <v>13.93</v>
      </c>
    </row>
    <row r="163" spans="1:8">
      <c r="A163" s="1">
        <v>46</v>
      </c>
      <c r="B163" s="1" t="s">
        <v>166</v>
      </c>
      <c r="C163" s="1">
        <v>91.98</v>
      </c>
      <c r="D163" s="1">
        <v>79.510000000000005</v>
      </c>
      <c r="E163" s="1">
        <v>0.47911300000000001</v>
      </c>
      <c r="F163" s="1">
        <f>53568000*(10^-6)</f>
        <v>53.567999999999998</v>
      </c>
      <c r="G163" s="1">
        <v>10</v>
      </c>
      <c r="H163" s="1">
        <v>17.46</v>
      </c>
    </row>
    <row r="164" spans="1:8">
      <c r="A164" s="1">
        <v>47</v>
      </c>
      <c r="B164" s="1" t="s">
        <v>167</v>
      </c>
      <c r="C164" s="1">
        <v>92.11</v>
      </c>
      <c r="D164" s="1">
        <v>79.52</v>
      </c>
      <c r="E164" s="1">
        <v>0.47980699999999998</v>
      </c>
      <c r="F164" s="1">
        <f>53068800*(10^-6)</f>
        <v>53.068799999999996</v>
      </c>
      <c r="G164" s="1">
        <v>2</v>
      </c>
      <c r="H164" s="1">
        <v>17.489999999999998</v>
      </c>
    </row>
    <row r="165" spans="1:8">
      <c r="A165" s="1">
        <v>48</v>
      </c>
      <c r="B165" s="1" t="s">
        <v>168</v>
      </c>
      <c r="C165" s="1">
        <v>81.87</v>
      </c>
      <c r="D165" s="1">
        <v>78.900000000000006</v>
      </c>
      <c r="E165" s="1">
        <v>0.45853100000000002</v>
      </c>
      <c r="F165" s="1">
        <f>41356800*(10^-6)</f>
        <v>41.3568</v>
      </c>
      <c r="G165" s="1">
        <v>0</v>
      </c>
      <c r="H165" s="1">
        <v>15.56</v>
      </c>
    </row>
    <row r="166" spans="1:8">
      <c r="A166" s="1">
        <v>49</v>
      </c>
      <c r="B166" s="1" t="s">
        <v>169</v>
      </c>
      <c r="C166" s="1">
        <v>81.010000000000005</v>
      </c>
      <c r="D166" s="1">
        <v>78.66</v>
      </c>
      <c r="E166" s="1">
        <v>0.44124099999999999</v>
      </c>
      <c r="F166" s="1">
        <f>28838400*(10^-6)</f>
        <v>28.8384</v>
      </c>
      <c r="G166" s="1">
        <v>16</v>
      </c>
      <c r="H166" s="1">
        <v>15.38</v>
      </c>
    </row>
    <row r="167" spans="1:8">
      <c r="A167" s="1">
        <v>50</v>
      </c>
      <c r="B167" s="1" t="s">
        <v>170</v>
      </c>
      <c r="C167" s="1">
        <v>89.88</v>
      </c>
      <c r="D167" s="1">
        <v>79.41</v>
      </c>
      <c r="E167" s="1">
        <v>0.47773700000000002</v>
      </c>
      <c r="F167" s="1">
        <f>53260800*(10^-6)</f>
        <v>53.260799999999996</v>
      </c>
      <c r="G167" s="1">
        <v>2</v>
      </c>
      <c r="H167" s="1">
        <v>17</v>
      </c>
    </row>
    <row r="168" spans="1:8">
      <c r="B168" s="1" t="s">
        <v>19</v>
      </c>
      <c r="C168" s="1">
        <f>AVERAGE(C118:C167)</f>
        <v>84.256400000000014</v>
      </c>
      <c r="D168" s="1" t="e">
        <f t="shared" ref="D168" si="14">AVERAGE(D118:D167)</f>
        <v>#NAME?</v>
      </c>
      <c r="E168" s="1">
        <f t="shared" ref="E168" si="15">AVERAGE(E118:E167)</f>
        <v>0.45964328000000021</v>
      </c>
      <c r="F168" s="1">
        <f t="shared" ref="F168" si="16">AVERAGE(F118:F167)</f>
        <v>43.742207999999998</v>
      </c>
      <c r="H168" s="1">
        <f>AVERAGE(H118:H167)</f>
        <v>15.976599999999996</v>
      </c>
    </row>
    <row r="169" spans="1:8">
      <c r="B169" s="1" t="s">
        <v>20</v>
      </c>
      <c r="C169" s="1">
        <f>MIN(C117:C167)</f>
        <v>62.73</v>
      </c>
      <c r="D169" s="1" t="e">
        <f t="shared" ref="D169:F169" si="17">MIN(D117:D167)</f>
        <v>#NAME?</v>
      </c>
      <c r="E169" s="1">
        <f t="shared" si="17"/>
        <v>0.39507700000000001</v>
      </c>
      <c r="F169" s="1">
        <f t="shared" si="17"/>
        <v>0</v>
      </c>
      <c r="H169" s="1">
        <f>MIN(H117:H167)</f>
        <v>11.9</v>
      </c>
    </row>
    <row r="170" spans="1:8">
      <c r="B170" s="1" t="s">
        <v>3</v>
      </c>
      <c r="C170" s="1">
        <f>STDEV(C118:C167)</f>
        <v>9.7786783381403897</v>
      </c>
      <c r="D170" s="1" t="e">
        <f t="shared" ref="D170:E170" si="18">STDEV(D118:D167)</f>
        <v>#NAME?</v>
      </c>
      <c r="E170" s="1">
        <f t="shared" si="18"/>
        <v>2.3978395027254046E-2</v>
      </c>
      <c r="F170" s="1">
        <f>STDEV(F118:F167)</f>
        <v>25.480564329154451</v>
      </c>
      <c r="H170" s="1">
        <f>STDEV(H118:H167)</f>
        <v>1.8560992782209809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171</v>
      </c>
      <c r="C174" s="1">
        <v>72.28</v>
      </c>
      <c r="D174" s="1">
        <v>155.69999999999999</v>
      </c>
      <c r="E174" s="1">
        <v>0.42845499999999997</v>
      </c>
      <c r="F174" s="1">
        <f>3264000*(10^-6)</f>
        <v>3.2639999999999998</v>
      </c>
      <c r="G174" s="1">
        <v>16</v>
      </c>
      <c r="H174" s="1">
        <v>13.67</v>
      </c>
    </row>
    <row r="175" spans="1:8">
      <c r="A175" s="1">
        <v>2</v>
      </c>
      <c r="B175" s="1" t="s">
        <v>172</v>
      </c>
      <c r="C175" s="1">
        <v>59.61</v>
      </c>
      <c r="D175" s="1">
        <v>153.51</v>
      </c>
      <c r="E175" s="1">
        <v>0.37540600000000002</v>
      </c>
      <c r="F175" s="1">
        <f>7257600*(10^-6)</f>
        <v>7.2576000000000001</v>
      </c>
      <c r="G175" s="1">
        <v>10</v>
      </c>
      <c r="H175" s="1">
        <v>11.29</v>
      </c>
    </row>
    <row r="176" spans="1:8">
      <c r="A176" s="1">
        <v>3</v>
      </c>
      <c r="B176" s="1" t="s">
        <v>173</v>
      </c>
      <c r="C176" s="1">
        <v>71.36</v>
      </c>
      <c r="D176" s="1">
        <v>153.35</v>
      </c>
      <c r="E176" s="1">
        <v>0.39832600000000001</v>
      </c>
      <c r="F176" s="1">
        <f>1651200*(10^-6)</f>
        <v>1.6512</v>
      </c>
      <c r="G176" s="1">
        <v>0</v>
      </c>
      <c r="H176" s="1">
        <v>13.54</v>
      </c>
    </row>
    <row r="177" spans="1:8">
      <c r="A177" s="1">
        <v>4</v>
      </c>
      <c r="B177" s="1" t="s">
        <v>174</v>
      </c>
      <c r="C177" s="1">
        <v>70.040000000000006</v>
      </c>
      <c r="D177" s="1">
        <v>155.97999999999999</v>
      </c>
      <c r="E177" s="1">
        <v>0.42849399999999999</v>
      </c>
      <c r="F177" s="1">
        <f>22464000*(10^-6)</f>
        <v>22.463999999999999</v>
      </c>
      <c r="G177" s="1">
        <v>20</v>
      </c>
      <c r="H177" s="1">
        <v>13.32</v>
      </c>
    </row>
    <row r="178" spans="1:8">
      <c r="A178" s="1">
        <v>5</v>
      </c>
      <c r="B178" s="1" t="s">
        <v>175</v>
      </c>
      <c r="C178" s="1">
        <v>60.85</v>
      </c>
      <c r="D178" s="1">
        <v>154.59</v>
      </c>
      <c r="E178" s="1">
        <v>0.42307699999999998</v>
      </c>
      <c r="F178" s="1">
        <f>12480000*(10^-6)</f>
        <v>12.479999999999999</v>
      </c>
      <c r="G178" s="1">
        <v>4</v>
      </c>
      <c r="H178" s="1">
        <v>11.51</v>
      </c>
    </row>
    <row r="179" spans="1:8">
      <c r="A179" s="1">
        <v>6</v>
      </c>
      <c r="B179" s="1" t="s">
        <v>176</v>
      </c>
      <c r="C179" s="1">
        <v>85.08</v>
      </c>
      <c r="D179" s="1">
        <v>158.21</v>
      </c>
      <c r="E179" s="1">
        <v>0.46560499999999999</v>
      </c>
      <c r="F179" s="1">
        <f>44160000*(10^-6)</f>
        <v>44.16</v>
      </c>
      <c r="G179" s="1">
        <v>8</v>
      </c>
      <c r="H179" s="1">
        <v>16.12</v>
      </c>
    </row>
    <row r="180" spans="1:8">
      <c r="A180" s="1">
        <v>7</v>
      </c>
      <c r="B180" s="1" t="s">
        <v>177</v>
      </c>
      <c r="C180" s="1">
        <v>74.23</v>
      </c>
      <c r="D180" s="1">
        <v>155.41999999999999</v>
      </c>
      <c r="E180" s="1">
        <v>0.42939500000000003</v>
      </c>
      <c r="F180" s="1">
        <f>1190400*(10^-6)</f>
        <v>1.1903999999999999</v>
      </c>
      <c r="G180" s="1">
        <v>26</v>
      </c>
      <c r="H180" s="1">
        <v>14.1</v>
      </c>
    </row>
    <row r="181" spans="1:8">
      <c r="A181" s="1">
        <v>8</v>
      </c>
      <c r="B181" s="1" t="s">
        <v>178</v>
      </c>
      <c r="C181" s="1">
        <v>63.97</v>
      </c>
      <c r="D181" s="1">
        <v>152.88999999999999</v>
      </c>
      <c r="E181" s="1">
        <v>0.395258</v>
      </c>
      <c r="F181" s="1">
        <f>1228800*(10^-6)</f>
        <v>1.2287999999999999</v>
      </c>
      <c r="G181" s="1">
        <v>24</v>
      </c>
      <c r="H181" s="1">
        <v>12.12</v>
      </c>
    </row>
    <row r="182" spans="1:8">
      <c r="A182" s="1">
        <v>9</v>
      </c>
      <c r="B182" s="1" t="s">
        <v>179</v>
      </c>
      <c r="C182" s="1">
        <v>66.760000000000005</v>
      </c>
      <c r="D182" s="1" t="e">
        <f>-inf</f>
        <v>#NAME?</v>
      </c>
      <c r="E182" s="1">
        <v>0.35637600000000003</v>
      </c>
      <c r="F182" s="1">
        <f>0*(10^-6)</f>
        <v>0</v>
      </c>
      <c r="G182" s="1">
        <v>2</v>
      </c>
      <c r="H182" s="1">
        <v>12.64</v>
      </c>
    </row>
    <row r="183" spans="1:8">
      <c r="A183" s="1">
        <v>10</v>
      </c>
      <c r="B183" s="1" t="s">
        <v>180</v>
      </c>
      <c r="C183" s="1">
        <v>79.89</v>
      </c>
      <c r="D183" s="1">
        <v>157.49</v>
      </c>
      <c r="E183" s="1">
        <v>0.45424599999999998</v>
      </c>
      <c r="F183" s="1">
        <f>28646400*(10^-6)</f>
        <v>28.6464</v>
      </c>
      <c r="G183" s="1">
        <v>36</v>
      </c>
      <c r="H183" s="1">
        <v>15.16</v>
      </c>
    </row>
    <row r="184" spans="1:8">
      <c r="A184" s="1">
        <v>11</v>
      </c>
      <c r="B184" s="1" t="s">
        <v>181</v>
      </c>
      <c r="C184" s="1">
        <v>68.98</v>
      </c>
      <c r="D184" s="1">
        <v>155.97999999999999</v>
      </c>
      <c r="E184" s="1">
        <v>0.42913899999999999</v>
      </c>
      <c r="F184" s="1">
        <f>30835200*(10^-6)</f>
        <v>30.835199999999997</v>
      </c>
      <c r="G184" s="1">
        <v>18</v>
      </c>
      <c r="H184" s="1">
        <v>13.06</v>
      </c>
    </row>
    <row r="185" spans="1:8">
      <c r="A185" s="1">
        <v>12</v>
      </c>
      <c r="B185" s="1" t="s">
        <v>182</v>
      </c>
      <c r="C185" s="1">
        <v>79.44</v>
      </c>
      <c r="D185" s="1">
        <v>154.56</v>
      </c>
      <c r="E185" s="1">
        <v>0.42310199999999998</v>
      </c>
      <c r="F185" s="1">
        <f>614400*(10^-6)</f>
        <v>0.61439999999999995</v>
      </c>
      <c r="G185" s="1">
        <v>12</v>
      </c>
      <c r="H185" s="1">
        <v>15.06</v>
      </c>
    </row>
    <row r="186" spans="1:8">
      <c r="A186" s="1">
        <v>13</v>
      </c>
      <c r="B186" s="1" t="s">
        <v>183</v>
      </c>
      <c r="C186" s="1">
        <v>75.23</v>
      </c>
      <c r="D186" s="1">
        <v>153.22</v>
      </c>
      <c r="E186" s="1">
        <v>0.39916600000000002</v>
      </c>
      <c r="F186" s="1">
        <f>576000*(10^-6)</f>
        <v>0.57599999999999996</v>
      </c>
      <c r="G186" s="1">
        <v>0</v>
      </c>
      <c r="H186" s="1">
        <v>14.3</v>
      </c>
    </row>
    <row r="187" spans="1:8">
      <c r="A187" s="1">
        <v>14</v>
      </c>
      <c r="B187" s="1" t="s">
        <v>184</v>
      </c>
      <c r="C187" s="1">
        <v>60.87</v>
      </c>
      <c r="D187" s="1">
        <v>153.13</v>
      </c>
      <c r="E187" s="1">
        <v>0.37622299999999997</v>
      </c>
      <c r="F187" s="1">
        <f>6489600*(10^-6)</f>
        <v>6.4895999999999994</v>
      </c>
      <c r="G187" s="1">
        <v>22</v>
      </c>
      <c r="H187" s="1">
        <v>11.53</v>
      </c>
    </row>
    <row r="188" spans="1:8">
      <c r="A188" s="1">
        <v>15</v>
      </c>
      <c r="B188" s="1" t="s">
        <v>185</v>
      </c>
      <c r="C188" s="1">
        <v>57.91</v>
      </c>
      <c r="D188" s="1">
        <v>151.77000000000001</v>
      </c>
      <c r="E188" s="1">
        <v>0.38139800000000001</v>
      </c>
      <c r="F188" s="1">
        <f>460800*(10^-6)</f>
        <v>0.46079999999999999</v>
      </c>
      <c r="G188" s="1">
        <v>26</v>
      </c>
      <c r="H188" s="1">
        <v>10.94</v>
      </c>
    </row>
    <row r="189" spans="1:8">
      <c r="A189" s="1">
        <v>16</v>
      </c>
      <c r="B189" s="1" t="s">
        <v>186</v>
      </c>
      <c r="C189" s="1">
        <v>68.180000000000007</v>
      </c>
      <c r="D189" s="1">
        <v>153.86000000000001</v>
      </c>
      <c r="E189" s="1">
        <v>0.39536700000000002</v>
      </c>
      <c r="F189" s="1">
        <f>2764800*(10^-6)</f>
        <v>2.7647999999999997</v>
      </c>
      <c r="G189" s="1">
        <v>38</v>
      </c>
      <c r="H189" s="1">
        <v>12.92</v>
      </c>
    </row>
    <row r="190" spans="1:8">
      <c r="A190" s="1">
        <v>17</v>
      </c>
      <c r="B190" s="1" t="s">
        <v>187</v>
      </c>
      <c r="C190" s="1">
        <v>61.6</v>
      </c>
      <c r="D190" s="1">
        <v>148.65</v>
      </c>
      <c r="E190" s="1">
        <v>0.34962399999999999</v>
      </c>
      <c r="F190" s="1">
        <f>499200*(10^-6)</f>
        <v>0.49919999999999998</v>
      </c>
      <c r="G190" s="1">
        <v>36</v>
      </c>
      <c r="H190" s="1">
        <v>11.7</v>
      </c>
    </row>
    <row r="191" spans="1:8">
      <c r="A191" s="1">
        <v>18</v>
      </c>
      <c r="B191" s="1" t="s">
        <v>188</v>
      </c>
      <c r="C191" s="1">
        <v>72.48</v>
      </c>
      <c r="D191" s="1">
        <v>153.31</v>
      </c>
      <c r="E191" s="1">
        <v>0.41245900000000002</v>
      </c>
      <c r="F191" s="1">
        <f>422400*(10^-6)</f>
        <v>0.4224</v>
      </c>
      <c r="G191" s="1">
        <v>26</v>
      </c>
      <c r="H191" s="1">
        <v>13.73</v>
      </c>
    </row>
    <row r="192" spans="1:8">
      <c r="A192" s="1">
        <v>19</v>
      </c>
      <c r="B192" s="1" t="s">
        <v>189</v>
      </c>
      <c r="C192" s="1">
        <v>59.6</v>
      </c>
      <c r="D192" s="1">
        <v>148.83000000000001</v>
      </c>
      <c r="E192" s="1">
        <v>0.32722299999999999</v>
      </c>
      <c r="F192" s="1">
        <f>1612800*(10^-6)</f>
        <v>1.6128</v>
      </c>
      <c r="G192" s="1">
        <v>20</v>
      </c>
      <c r="H192" s="1">
        <v>11.31</v>
      </c>
    </row>
    <row r="193" spans="1:8">
      <c r="A193" s="1">
        <v>20</v>
      </c>
      <c r="B193" s="1" t="s">
        <v>190</v>
      </c>
      <c r="C193" s="1">
        <v>79.63</v>
      </c>
      <c r="D193" s="1">
        <v>154.46</v>
      </c>
      <c r="E193" s="1">
        <v>0.41722500000000001</v>
      </c>
      <c r="F193" s="1">
        <f>2112000*(10^-6)</f>
        <v>2.1120000000000001</v>
      </c>
      <c r="G193" s="1">
        <v>24</v>
      </c>
      <c r="H193" s="1">
        <v>15.1</v>
      </c>
    </row>
    <row r="194" spans="1:8">
      <c r="A194" s="1">
        <v>21</v>
      </c>
      <c r="B194" s="1" t="s">
        <v>191</v>
      </c>
      <c r="C194" s="1">
        <v>76.39</v>
      </c>
      <c r="D194" s="1">
        <v>154.25</v>
      </c>
      <c r="E194" s="1">
        <v>0.41825099999999998</v>
      </c>
      <c r="F194" s="1">
        <f>422400*(10^-6)</f>
        <v>0.4224</v>
      </c>
      <c r="G194" s="1">
        <v>6</v>
      </c>
      <c r="H194" s="1">
        <v>14.47</v>
      </c>
    </row>
    <row r="195" spans="1:8">
      <c r="A195" s="1">
        <v>22</v>
      </c>
      <c r="B195" s="1" t="s">
        <v>192</v>
      </c>
      <c r="C195" s="1">
        <v>71.62</v>
      </c>
      <c r="D195" s="1">
        <v>154.88</v>
      </c>
      <c r="E195" s="1">
        <v>0.42975799999999997</v>
      </c>
      <c r="F195" s="1">
        <f>499200*(10^-6)</f>
        <v>0.49919999999999998</v>
      </c>
      <c r="G195" s="1">
        <v>4</v>
      </c>
      <c r="H195" s="1">
        <v>13.6</v>
      </c>
    </row>
    <row r="196" spans="1:8">
      <c r="A196" s="1">
        <v>23</v>
      </c>
      <c r="B196" s="1" t="s">
        <v>193</v>
      </c>
      <c r="C196" s="1">
        <v>73.349999999999994</v>
      </c>
      <c r="D196" s="1">
        <v>153.66</v>
      </c>
      <c r="E196" s="1">
        <v>0.40624199999999999</v>
      </c>
      <c r="F196" s="1">
        <f>960000*(10^-6)</f>
        <v>0.96</v>
      </c>
      <c r="G196" s="1">
        <v>18</v>
      </c>
      <c r="H196" s="1">
        <v>13.91</v>
      </c>
    </row>
    <row r="197" spans="1:8">
      <c r="A197" s="1">
        <v>24</v>
      </c>
      <c r="B197" s="1" t="s">
        <v>194</v>
      </c>
      <c r="C197" s="1">
        <v>72.16</v>
      </c>
      <c r="D197" s="1">
        <v>156.37</v>
      </c>
      <c r="E197" s="1">
        <v>0.43382700000000002</v>
      </c>
      <c r="F197" s="1">
        <f>25689600*(10^-6)</f>
        <v>25.689599999999999</v>
      </c>
      <c r="G197" s="1">
        <v>2</v>
      </c>
      <c r="H197" s="1">
        <v>13.71</v>
      </c>
    </row>
    <row r="198" spans="1:8">
      <c r="A198" s="1">
        <v>25</v>
      </c>
      <c r="B198" s="1" t="s">
        <v>195</v>
      </c>
      <c r="C198" s="1">
        <v>73.86</v>
      </c>
      <c r="D198" s="1">
        <v>150.96</v>
      </c>
      <c r="E198" s="1">
        <v>0.38903199999999999</v>
      </c>
      <c r="F198" s="1">
        <f>345600*(10^-6)</f>
        <v>0.34559999999999996</v>
      </c>
      <c r="G198" s="1">
        <v>28</v>
      </c>
      <c r="H198" s="1">
        <v>14</v>
      </c>
    </row>
    <row r="199" spans="1:8">
      <c r="A199" s="1">
        <v>26</v>
      </c>
      <c r="B199" s="1" t="s">
        <v>196</v>
      </c>
      <c r="C199" s="1">
        <v>71.44</v>
      </c>
      <c r="D199" s="1">
        <v>153.57</v>
      </c>
      <c r="E199" s="1">
        <v>0.38721800000000001</v>
      </c>
      <c r="F199" s="1">
        <f>3148800*(10^-6)</f>
        <v>3.1488</v>
      </c>
      <c r="G199" s="1">
        <v>30</v>
      </c>
      <c r="H199" s="1">
        <v>13.58</v>
      </c>
    </row>
    <row r="200" spans="1:8">
      <c r="A200" s="1">
        <v>27</v>
      </c>
      <c r="B200" s="1" t="s">
        <v>197</v>
      </c>
      <c r="C200" s="1">
        <v>57.47</v>
      </c>
      <c r="D200" s="1">
        <v>150.56</v>
      </c>
      <c r="E200" s="1">
        <v>0.37953599999999998</v>
      </c>
      <c r="F200" s="1">
        <f>76800*(10^-6)</f>
        <v>7.6799999999999993E-2</v>
      </c>
      <c r="G200" s="1">
        <v>38</v>
      </c>
      <c r="H200" s="1">
        <v>10.88</v>
      </c>
    </row>
    <row r="201" spans="1:8">
      <c r="A201" s="1">
        <v>28</v>
      </c>
      <c r="B201" s="1" t="s">
        <v>198</v>
      </c>
      <c r="C201" s="1">
        <v>67.010000000000005</v>
      </c>
      <c r="D201" s="1">
        <v>153.02000000000001</v>
      </c>
      <c r="E201" s="1">
        <v>0.39202599999999999</v>
      </c>
      <c r="F201" s="1">
        <f>844800*(10^-6)</f>
        <v>0.8448</v>
      </c>
      <c r="G201" s="1">
        <v>22</v>
      </c>
      <c r="H201" s="1">
        <v>12.68</v>
      </c>
    </row>
    <row r="202" spans="1:8">
      <c r="A202" s="1">
        <v>29</v>
      </c>
      <c r="B202" s="1" t="s">
        <v>199</v>
      </c>
      <c r="C202" s="1">
        <v>58.4</v>
      </c>
      <c r="D202" s="1">
        <v>153.30000000000001</v>
      </c>
      <c r="E202" s="1">
        <v>0.42057600000000001</v>
      </c>
      <c r="F202" s="1">
        <f>729600*(10^-6)</f>
        <v>0.72959999999999992</v>
      </c>
      <c r="G202" s="1">
        <v>30</v>
      </c>
      <c r="H202" s="1">
        <v>11.06</v>
      </c>
    </row>
    <row r="203" spans="1:8">
      <c r="A203" s="1">
        <v>30</v>
      </c>
      <c r="B203" s="1" t="s">
        <v>200</v>
      </c>
      <c r="C203" s="1">
        <v>60.45</v>
      </c>
      <c r="D203" s="1">
        <v>154.22999999999999</v>
      </c>
      <c r="E203" s="1">
        <v>0.39445999999999998</v>
      </c>
      <c r="F203" s="1">
        <f>15705600*(10^-6)</f>
        <v>15.705599999999999</v>
      </c>
      <c r="G203" s="1">
        <v>16</v>
      </c>
      <c r="H203" s="1">
        <v>11.48</v>
      </c>
    </row>
    <row r="204" spans="1:8">
      <c r="A204" s="1">
        <v>31</v>
      </c>
      <c r="B204" s="1" t="s">
        <v>201</v>
      </c>
      <c r="C204" s="1">
        <v>67.040000000000006</v>
      </c>
      <c r="D204" s="1">
        <v>153.24</v>
      </c>
      <c r="E204" s="1">
        <v>0.40857399999999999</v>
      </c>
      <c r="F204" s="1">
        <f>76800*(10^-6)</f>
        <v>7.6799999999999993E-2</v>
      </c>
      <c r="G204" s="1">
        <v>32</v>
      </c>
      <c r="H204" s="1">
        <v>12.72</v>
      </c>
    </row>
    <row r="205" spans="1:8">
      <c r="A205" s="1">
        <v>32</v>
      </c>
      <c r="B205" s="1" t="s">
        <v>202</v>
      </c>
      <c r="C205" s="1">
        <v>77.16</v>
      </c>
      <c r="D205" s="1">
        <v>153.94</v>
      </c>
      <c r="E205" s="1">
        <v>0.42028700000000002</v>
      </c>
      <c r="F205" s="1">
        <f>537600*(10^-6)</f>
        <v>0.53759999999999997</v>
      </c>
      <c r="G205" s="1">
        <v>36</v>
      </c>
      <c r="H205" s="1">
        <v>14.59</v>
      </c>
    </row>
    <row r="206" spans="1:8">
      <c r="A206" s="1">
        <v>33</v>
      </c>
      <c r="B206" s="1" t="s">
        <v>203</v>
      </c>
      <c r="C206" s="1">
        <v>70.150000000000006</v>
      </c>
      <c r="D206" s="1">
        <v>156.22999999999999</v>
      </c>
      <c r="E206" s="1">
        <v>0.43775900000000001</v>
      </c>
      <c r="F206" s="1">
        <f>30067200*(10^-6)</f>
        <v>30.0672</v>
      </c>
      <c r="G206" s="1">
        <v>34</v>
      </c>
      <c r="H206" s="1">
        <v>13.29</v>
      </c>
    </row>
    <row r="207" spans="1:8">
      <c r="A207" s="1">
        <v>34</v>
      </c>
      <c r="B207" s="1" t="s">
        <v>204</v>
      </c>
      <c r="C207" s="1">
        <v>66.98</v>
      </c>
      <c r="D207" s="1">
        <v>155.62</v>
      </c>
      <c r="E207" s="1">
        <v>0.42338300000000001</v>
      </c>
      <c r="F207" s="1">
        <f>26841600*(10^-6)</f>
        <v>26.8416</v>
      </c>
      <c r="G207" s="1">
        <v>26</v>
      </c>
      <c r="H207" s="1">
        <v>12.71</v>
      </c>
    </row>
    <row r="208" spans="1:8">
      <c r="A208" s="1">
        <v>35</v>
      </c>
      <c r="B208" s="1" t="s">
        <v>205</v>
      </c>
      <c r="C208" s="1">
        <v>57</v>
      </c>
      <c r="D208" s="1">
        <v>153.94</v>
      </c>
      <c r="E208" s="1">
        <v>0.408138</v>
      </c>
      <c r="F208" s="1">
        <f>13670400*(10^-6)</f>
        <v>13.670399999999999</v>
      </c>
      <c r="G208" s="1">
        <v>36</v>
      </c>
      <c r="H208" s="1">
        <v>10.81</v>
      </c>
    </row>
    <row r="209" spans="1:8">
      <c r="A209" s="1">
        <v>36</v>
      </c>
      <c r="B209" s="1" t="s">
        <v>206</v>
      </c>
      <c r="C209" s="1">
        <v>71.989999999999995</v>
      </c>
      <c r="D209" s="1" t="e">
        <f>-inf</f>
        <v>#NAME?</v>
      </c>
      <c r="E209" s="1">
        <v>0.398169</v>
      </c>
      <c r="F209" s="1">
        <f>0*(10^-6)</f>
        <v>0</v>
      </c>
      <c r="G209" s="1">
        <v>28</v>
      </c>
      <c r="H209" s="1">
        <v>13.67</v>
      </c>
    </row>
    <row r="210" spans="1:8">
      <c r="A210" s="1">
        <v>37</v>
      </c>
      <c r="B210" s="1" t="s">
        <v>207</v>
      </c>
      <c r="C210" s="1">
        <v>72.31</v>
      </c>
      <c r="D210" s="1">
        <v>156.31</v>
      </c>
      <c r="E210" s="1">
        <v>0.42985200000000001</v>
      </c>
      <c r="F210" s="1">
        <f>24998400*(10^-6)</f>
        <v>24.9984</v>
      </c>
      <c r="G210" s="1">
        <v>24</v>
      </c>
      <c r="H210" s="1">
        <v>13.71</v>
      </c>
    </row>
    <row r="211" spans="1:8">
      <c r="A211" s="1">
        <v>38</v>
      </c>
      <c r="B211" s="1" t="s">
        <v>208</v>
      </c>
      <c r="C211" s="1">
        <v>65.72</v>
      </c>
      <c r="D211" s="1">
        <v>154.30000000000001</v>
      </c>
      <c r="E211" s="1">
        <v>0.40586800000000001</v>
      </c>
      <c r="F211" s="1">
        <f>1843200*(10^-6)</f>
        <v>1.8431999999999999</v>
      </c>
      <c r="G211" s="1">
        <v>32</v>
      </c>
      <c r="H211" s="1">
        <v>12.44</v>
      </c>
    </row>
    <row r="212" spans="1:8">
      <c r="A212" s="1">
        <v>39</v>
      </c>
      <c r="B212" s="1" t="s">
        <v>209</v>
      </c>
      <c r="C212" s="1">
        <v>80.36</v>
      </c>
      <c r="D212" s="1">
        <v>157.44999999999999</v>
      </c>
      <c r="E212" s="1">
        <v>0.44872600000000001</v>
      </c>
      <c r="F212" s="1">
        <f>31257600*(10^-6)</f>
        <v>31.2576</v>
      </c>
      <c r="G212" s="1">
        <v>12</v>
      </c>
      <c r="H212" s="1">
        <v>15.2</v>
      </c>
    </row>
    <row r="213" spans="1:8">
      <c r="A213" s="1">
        <v>40</v>
      </c>
      <c r="B213" s="1" t="s">
        <v>210</v>
      </c>
      <c r="C213" s="1">
        <v>70.959999999999994</v>
      </c>
      <c r="D213" s="1">
        <v>154.19</v>
      </c>
      <c r="E213" s="1">
        <v>0.405057</v>
      </c>
      <c r="F213" s="1">
        <f>1996800*(10^-6)</f>
        <v>1.9967999999999999</v>
      </c>
      <c r="G213" s="1">
        <v>20</v>
      </c>
      <c r="H213" s="1">
        <v>13.45</v>
      </c>
    </row>
    <row r="214" spans="1:8">
      <c r="A214" s="1">
        <v>41</v>
      </c>
      <c r="B214" s="1" t="s">
        <v>211</v>
      </c>
      <c r="C214" s="1">
        <v>71.989999999999995</v>
      </c>
      <c r="D214" s="1">
        <v>155.44999999999999</v>
      </c>
      <c r="E214" s="1">
        <v>0.42338399999999998</v>
      </c>
      <c r="F214" s="1">
        <f>2611200*(10^-6)</f>
        <v>2.6111999999999997</v>
      </c>
      <c r="G214" s="1">
        <v>14</v>
      </c>
      <c r="H214" s="1">
        <v>13.67</v>
      </c>
    </row>
    <row r="215" spans="1:8">
      <c r="A215" s="1">
        <v>42</v>
      </c>
      <c r="B215" s="1" t="s">
        <v>212</v>
      </c>
      <c r="C215" s="1">
        <v>67.78</v>
      </c>
      <c r="D215" s="1">
        <v>154.6</v>
      </c>
      <c r="E215" s="1">
        <v>0.41649199999999997</v>
      </c>
      <c r="F215" s="1">
        <f>1113600*(10^-6)</f>
        <v>1.1135999999999999</v>
      </c>
      <c r="G215" s="1">
        <v>4</v>
      </c>
      <c r="H215" s="1">
        <v>12.88</v>
      </c>
    </row>
    <row r="216" spans="1:8">
      <c r="A216" s="1">
        <v>43</v>
      </c>
      <c r="B216" s="1" t="s">
        <v>213</v>
      </c>
      <c r="C216" s="1">
        <v>57.3</v>
      </c>
      <c r="D216" s="1">
        <v>153.38999999999999</v>
      </c>
      <c r="E216" s="1">
        <v>0.38515500000000003</v>
      </c>
      <c r="F216" s="1">
        <f>4416000*(10^-6)</f>
        <v>4.4159999999999995</v>
      </c>
      <c r="G216" s="1">
        <v>16</v>
      </c>
      <c r="H216" s="1">
        <v>10.85</v>
      </c>
    </row>
    <row r="217" spans="1:8">
      <c r="A217" s="1">
        <v>44</v>
      </c>
      <c r="B217" s="1" t="s">
        <v>214</v>
      </c>
      <c r="C217" s="1">
        <v>72.14</v>
      </c>
      <c r="D217" s="1">
        <v>154.37</v>
      </c>
      <c r="E217" s="1">
        <v>0.408586</v>
      </c>
      <c r="F217" s="1">
        <f>460800*(10^-6)</f>
        <v>0.46079999999999999</v>
      </c>
      <c r="G217" s="1">
        <v>28</v>
      </c>
      <c r="H217" s="1">
        <v>13.67</v>
      </c>
    </row>
    <row r="218" spans="1:8">
      <c r="A218" s="1">
        <v>45</v>
      </c>
      <c r="B218" s="1" t="s">
        <v>215</v>
      </c>
      <c r="C218" s="1">
        <v>67.63</v>
      </c>
      <c r="D218" s="1">
        <v>154.21</v>
      </c>
      <c r="E218" s="1">
        <v>0.40478799999999998</v>
      </c>
      <c r="F218" s="1">
        <f>1228800*(10^-6)</f>
        <v>1.2287999999999999</v>
      </c>
      <c r="G218" s="1">
        <v>2</v>
      </c>
      <c r="H218" s="1">
        <v>12.83</v>
      </c>
    </row>
    <row r="219" spans="1:8">
      <c r="A219" s="1">
        <v>46</v>
      </c>
      <c r="B219" s="1" t="s">
        <v>216</v>
      </c>
      <c r="C219" s="1">
        <v>66.239999999999995</v>
      </c>
      <c r="D219" s="1">
        <v>155.11000000000001</v>
      </c>
      <c r="E219" s="1">
        <v>0.412941</v>
      </c>
      <c r="F219" s="1">
        <f>8332800*(10^-6)</f>
        <v>8.3327999999999989</v>
      </c>
      <c r="G219" s="1">
        <v>26</v>
      </c>
      <c r="H219" s="1">
        <v>12.55</v>
      </c>
    </row>
    <row r="220" spans="1:8">
      <c r="A220" s="1">
        <v>47</v>
      </c>
      <c r="B220" s="1" t="s">
        <v>217</v>
      </c>
      <c r="C220" s="1">
        <v>71.680000000000007</v>
      </c>
      <c r="D220" s="1">
        <v>151.57</v>
      </c>
      <c r="E220" s="1">
        <v>0.396038</v>
      </c>
      <c r="F220" s="1">
        <f>153600*(10^-6)</f>
        <v>0.15359999999999999</v>
      </c>
      <c r="G220" s="1">
        <v>2</v>
      </c>
      <c r="H220" s="1">
        <v>13.61</v>
      </c>
    </row>
    <row r="221" spans="1:8">
      <c r="A221" s="1">
        <v>48</v>
      </c>
      <c r="B221" s="1" t="s">
        <v>218</v>
      </c>
      <c r="C221" s="1">
        <v>57.04</v>
      </c>
      <c r="D221" s="1">
        <v>151.21</v>
      </c>
      <c r="E221" s="1">
        <v>0.36992999999999998</v>
      </c>
      <c r="F221" s="1">
        <f>576000*(10^-6)</f>
        <v>0.57599999999999996</v>
      </c>
      <c r="G221" s="1">
        <v>36</v>
      </c>
      <c r="H221" s="1">
        <v>10.81</v>
      </c>
    </row>
    <row r="222" spans="1:8">
      <c r="A222" s="1">
        <v>49</v>
      </c>
      <c r="B222" s="1" t="s">
        <v>219</v>
      </c>
      <c r="C222" s="1">
        <v>73.39</v>
      </c>
      <c r="D222" s="1">
        <v>154.57</v>
      </c>
      <c r="E222" s="1">
        <v>0.40243200000000001</v>
      </c>
      <c r="F222" s="1">
        <f>1689600*(10^-6)</f>
        <v>1.6896</v>
      </c>
      <c r="G222" s="1">
        <v>22</v>
      </c>
      <c r="H222" s="1">
        <v>13.89</v>
      </c>
    </row>
    <row r="223" spans="1:8">
      <c r="A223" s="1">
        <v>50</v>
      </c>
      <c r="B223" s="1" t="s">
        <v>220</v>
      </c>
      <c r="C223" s="1">
        <v>62.17</v>
      </c>
      <c r="D223" s="1">
        <v>153.47</v>
      </c>
      <c r="E223" s="1">
        <v>0.401638</v>
      </c>
      <c r="F223" s="1">
        <f>768000*(10^-6)</f>
        <v>0.76800000000000002</v>
      </c>
      <c r="G223" s="1">
        <v>2</v>
      </c>
      <c r="H223" s="1">
        <v>11.79</v>
      </c>
    </row>
    <row r="224" spans="1:8">
      <c r="B224" s="1" t="s">
        <v>19</v>
      </c>
      <c r="C224" s="1">
        <f>AVERAGE(C174:C223)</f>
        <v>68.74339999999998</v>
      </c>
      <c r="D224" s="1" t="e">
        <f t="shared" ref="D224" si="19">AVERAGE(D174:D223)</f>
        <v>#NAME?</v>
      </c>
      <c r="E224" s="1">
        <f t="shared" ref="E224" si="20">AVERAGE(E174:E223)</f>
        <v>0.40647374000000008</v>
      </c>
      <c r="F224" s="1">
        <f t="shared" ref="F224" si="21">AVERAGE(F174:F223)</f>
        <v>7.395839999999998</v>
      </c>
      <c r="H224" s="1">
        <f t="shared" ref="H224" si="22">AVERAGE(H174:H223)</f>
        <v>13.032599999999997</v>
      </c>
    </row>
    <row r="225" spans="1:8">
      <c r="B225" s="1" t="s">
        <v>20</v>
      </c>
      <c r="C225" s="1">
        <f>MIN(C173:C223)</f>
        <v>57</v>
      </c>
      <c r="D225" s="1" t="e">
        <f t="shared" ref="D225:F225" si="23">MIN(D173:D223)</f>
        <v>#NAME?</v>
      </c>
      <c r="E225" s="1">
        <f t="shared" si="23"/>
        <v>0.32722299999999999</v>
      </c>
      <c r="F225" s="1">
        <f t="shared" si="23"/>
        <v>0</v>
      </c>
      <c r="H225" s="1">
        <f t="shared" ref="H225" si="24">MIN(H173:H223)</f>
        <v>10.81</v>
      </c>
    </row>
    <row r="226" spans="1:8">
      <c r="B226" s="1" t="s">
        <v>3</v>
      </c>
      <c r="C226" s="1">
        <f>STDEV(C174:C223)</f>
        <v>7.0245173005784194</v>
      </c>
      <c r="D226" s="1" t="e">
        <f t="shared" ref="D226:E226" si="25">STDEV(D174:D223)</f>
        <v>#NAME?</v>
      </c>
      <c r="E226" s="1">
        <f t="shared" si="25"/>
        <v>2.595575703809699E-2</v>
      </c>
      <c r="F226" s="1">
        <f>STDEV(F174:F223)</f>
        <v>11.263938849555716</v>
      </c>
      <c r="H226" s="1">
        <f>STDEV(H174:H223)</f>
        <v>1.3341339925975022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221</v>
      </c>
      <c r="C230" s="1">
        <v>65.03</v>
      </c>
      <c r="D230" s="1">
        <v>231.28</v>
      </c>
      <c r="E230" s="1">
        <v>0.41139999999999999</v>
      </c>
      <c r="F230" s="1">
        <f>1420800*(10^-6)</f>
        <v>1.4207999999999998</v>
      </c>
      <c r="G230" s="1">
        <v>44</v>
      </c>
      <c r="H230" s="1">
        <v>12.33</v>
      </c>
    </row>
    <row r="231" spans="1:8">
      <c r="A231" s="1">
        <v>2</v>
      </c>
      <c r="B231" s="1" t="s">
        <v>222</v>
      </c>
      <c r="C231" s="1">
        <v>65.88</v>
      </c>
      <c r="D231" s="1">
        <v>226.56</v>
      </c>
      <c r="E231" s="1">
        <v>0.367178</v>
      </c>
      <c r="F231" s="1">
        <f>76800*(10^-6)</f>
        <v>7.6799999999999993E-2</v>
      </c>
      <c r="G231" s="1">
        <v>18</v>
      </c>
      <c r="H231" s="1">
        <v>12.46</v>
      </c>
    </row>
    <row r="232" spans="1:8">
      <c r="A232" s="1">
        <v>3</v>
      </c>
      <c r="B232" s="1" t="s">
        <v>223</v>
      </c>
      <c r="C232" s="1">
        <v>59.41</v>
      </c>
      <c r="D232" s="1">
        <v>228.2</v>
      </c>
      <c r="E232" s="1">
        <v>0.37441799999999997</v>
      </c>
      <c r="F232" s="1">
        <f>1459200*(10^-6)</f>
        <v>1.4591999999999998</v>
      </c>
      <c r="G232" s="1">
        <v>32</v>
      </c>
      <c r="H232" s="1">
        <v>11.26</v>
      </c>
    </row>
    <row r="233" spans="1:8">
      <c r="A233" s="1">
        <v>4</v>
      </c>
      <c r="B233" s="1" t="s">
        <v>224</v>
      </c>
      <c r="C233" s="1">
        <v>60.83</v>
      </c>
      <c r="D233" s="1">
        <v>229.18</v>
      </c>
      <c r="E233" s="1">
        <v>0.380436</v>
      </c>
      <c r="F233" s="1">
        <f>2112000*(10^-6)</f>
        <v>2.1120000000000001</v>
      </c>
      <c r="G233" s="1">
        <v>30</v>
      </c>
      <c r="H233" s="1">
        <v>11.52</v>
      </c>
    </row>
    <row r="234" spans="1:8">
      <c r="A234" s="1">
        <v>5</v>
      </c>
      <c r="B234" s="1" t="s">
        <v>225</v>
      </c>
      <c r="C234" s="1">
        <v>59.49</v>
      </c>
      <c r="D234" s="1">
        <v>225.07</v>
      </c>
      <c r="E234" s="1">
        <v>0.37105199999999999</v>
      </c>
      <c r="F234" s="1">
        <f>38400*(10^-6)</f>
        <v>3.8399999999999997E-2</v>
      </c>
      <c r="G234" s="1">
        <v>28</v>
      </c>
      <c r="H234" s="1">
        <v>11.3</v>
      </c>
    </row>
    <row r="235" spans="1:8">
      <c r="A235" s="1">
        <v>6</v>
      </c>
      <c r="B235" s="1" t="s">
        <v>226</v>
      </c>
      <c r="C235" s="1">
        <v>53.31</v>
      </c>
      <c r="D235" s="1">
        <v>228.61</v>
      </c>
      <c r="E235" s="1">
        <v>0.38035600000000003</v>
      </c>
      <c r="F235" s="1">
        <f>3110400*(10^-6)</f>
        <v>3.1103999999999998</v>
      </c>
      <c r="G235" s="1">
        <v>28</v>
      </c>
      <c r="H235" s="1">
        <v>10.130000000000001</v>
      </c>
    </row>
    <row r="236" spans="1:8">
      <c r="A236" s="1">
        <v>7</v>
      </c>
      <c r="B236" s="1" t="s">
        <v>227</v>
      </c>
      <c r="C236" s="1">
        <v>61.13</v>
      </c>
      <c r="D236" s="1">
        <v>225.85</v>
      </c>
      <c r="E236" s="1">
        <v>0.35767900000000002</v>
      </c>
      <c r="F236" s="1">
        <f>230400*(10^-6)</f>
        <v>0.23039999999999999</v>
      </c>
      <c r="G236" s="1">
        <v>0</v>
      </c>
      <c r="H236" s="1">
        <v>11.58</v>
      </c>
    </row>
    <row r="237" spans="1:8">
      <c r="A237" s="1">
        <v>8</v>
      </c>
      <c r="B237" s="1" t="s">
        <v>228</v>
      </c>
      <c r="C237" s="1">
        <v>55.43</v>
      </c>
      <c r="D237" s="1">
        <v>231.06</v>
      </c>
      <c r="E237" s="1">
        <v>0.41416700000000001</v>
      </c>
      <c r="F237" s="1">
        <f>21081600*(10^-6)</f>
        <v>21.081599999999998</v>
      </c>
      <c r="G237" s="1">
        <v>36</v>
      </c>
      <c r="H237" s="1">
        <v>10.52</v>
      </c>
    </row>
    <row r="238" spans="1:8">
      <c r="A238" s="1">
        <v>9</v>
      </c>
      <c r="B238" s="1" t="s">
        <v>229</v>
      </c>
      <c r="C238" s="1">
        <v>62.06</v>
      </c>
      <c r="D238" s="1">
        <v>231.64</v>
      </c>
      <c r="E238" s="1">
        <v>0.40647800000000001</v>
      </c>
      <c r="F238" s="1">
        <f>7603200*(10^-6)</f>
        <v>7.6031999999999993</v>
      </c>
      <c r="G238" s="1">
        <v>4</v>
      </c>
      <c r="H238" s="1">
        <v>11.74</v>
      </c>
    </row>
    <row r="239" spans="1:8">
      <c r="A239" s="1">
        <v>10</v>
      </c>
      <c r="B239" s="1" t="s">
        <v>230</v>
      </c>
      <c r="C239" s="1">
        <v>57.87</v>
      </c>
      <c r="D239" s="1">
        <v>226.73</v>
      </c>
      <c r="E239" s="1">
        <v>0.37279499999999999</v>
      </c>
      <c r="F239" s="1">
        <f>268800*(10^-6)</f>
        <v>0.26879999999999998</v>
      </c>
      <c r="G239" s="1">
        <v>2</v>
      </c>
      <c r="H239" s="1">
        <v>10.96</v>
      </c>
    </row>
    <row r="240" spans="1:8">
      <c r="A240" s="1">
        <v>11</v>
      </c>
      <c r="B240" s="1" t="s">
        <v>231</v>
      </c>
      <c r="C240" s="1">
        <v>67.17</v>
      </c>
      <c r="D240" s="1">
        <v>229.16</v>
      </c>
      <c r="E240" s="1">
        <v>0.38700299999999999</v>
      </c>
      <c r="F240" s="1">
        <f>537600*(10^-6)</f>
        <v>0.53759999999999997</v>
      </c>
      <c r="G240" s="1">
        <v>48</v>
      </c>
      <c r="H240" s="1">
        <v>12.75</v>
      </c>
    </row>
    <row r="241" spans="1:8">
      <c r="A241" s="1">
        <v>12</v>
      </c>
      <c r="B241" s="1" t="s">
        <v>232</v>
      </c>
      <c r="C241" s="1">
        <v>67.08</v>
      </c>
      <c r="D241" s="1">
        <v>229.02</v>
      </c>
      <c r="E241" s="1">
        <v>0.39930399999999999</v>
      </c>
      <c r="F241" s="1">
        <f>614400*(10^-6)</f>
        <v>0.61439999999999995</v>
      </c>
      <c r="G241" s="1">
        <v>24</v>
      </c>
      <c r="H241" s="1">
        <v>12.7</v>
      </c>
    </row>
    <row r="242" spans="1:8">
      <c r="A242" s="1">
        <v>13</v>
      </c>
      <c r="B242" s="1" t="s">
        <v>233</v>
      </c>
      <c r="C242" s="1">
        <v>58.42</v>
      </c>
      <c r="D242" s="1">
        <v>226.55</v>
      </c>
      <c r="E242" s="1">
        <v>0.373608</v>
      </c>
      <c r="F242" s="1">
        <f>268800*(10^-6)</f>
        <v>0.26879999999999998</v>
      </c>
      <c r="G242" s="1">
        <v>42</v>
      </c>
      <c r="H242" s="1">
        <v>11.06</v>
      </c>
    </row>
    <row r="243" spans="1:8">
      <c r="A243" s="1">
        <v>14</v>
      </c>
      <c r="B243" s="1" t="s">
        <v>234</v>
      </c>
      <c r="C243" s="1">
        <v>57.04</v>
      </c>
      <c r="D243" s="1">
        <v>229.29</v>
      </c>
      <c r="E243" s="1">
        <v>0.40558899999999998</v>
      </c>
      <c r="F243" s="1">
        <f>1420800*(10^-6)</f>
        <v>1.4207999999999998</v>
      </c>
      <c r="G243" s="1">
        <v>38</v>
      </c>
      <c r="H243" s="1">
        <v>10.81</v>
      </c>
    </row>
    <row r="244" spans="1:8">
      <c r="A244" s="1">
        <v>15</v>
      </c>
      <c r="B244" s="1" t="s">
        <v>235</v>
      </c>
      <c r="C244" s="1">
        <v>60.44</v>
      </c>
      <c r="D244" s="1">
        <v>228.85</v>
      </c>
      <c r="E244" s="1">
        <v>0.39490599999999998</v>
      </c>
      <c r="F244" s="1">
        <f>384000*(10^-6)</f>
        <v>0.38400000000000001</v>
      </c>
      <c r="G244" s="1">
        <v>48</v>
      </c>
      <c r="H244" s="1">
        <v>11.46</v>
      </c>
    </row>
    <row r="245" spans="1:8">
      <c r="A245" s="1">
        <v>16</v>
      </c>
      <c r="B245" s="1" t="s">
        <v>236</v>
      </c>
      <c r="C245" s="1">
        <v>56.77</v>
      </c>
      <c r="D245" s="1">
        <v>229.36</v>
      </c>
      <c r="E245" s="1">
        <v>0.38583600000000001</v>
      </c>
      <c r="F245" s="1">
        <f>3571200*(10^-6)</f>
        <v>3.5711999999999997</v>
      </c>
      <c r="G245" s="1">
        <v>2</v>
      </c>
      <c r="H245" s="1">
        <v>10.79</v>
      </c>
    </row>
    <row r="246" spans="1:8">
      <c r="A246" s="1">
        <v>17</v>
      </c>
      <c r="B246" s="1" t="s">
        <v>237</v>
      </c>
      <c r="C246" s="1">
        <v>64.31</v>
      </c>
      <c r="D246" s="1">
        <v>222.75</v>
      </c>
      <c r="E246" s="1">
        <v>0.35722500000000001</v>
      </c>
      <c r="F246" s="1">
        <f>38400*(10^-6)</f>
        <v>3.8399999999999997E-2</v>
      </c>
      <c r="G246" s="1">
        <v>16</v>
      </c>
      <c r="H246" s="1">
        <v>12.19</v>
      </c>
    </row>
    <row r="247" spans="1:8">
      <c r="A247" s="1">
        <v>18</v>
      </c>
      <c r="B247" s="1" t="s">
        <v>238</v>
      </c>
      <c r="C247" s="1">
        <v>63.37</v>
      </c>
      <c r="D247" s="1">
        <v>227.78</v>
      </c>
      <c r="E247" s="1">
        <v>0.39599699999999999</v>
      </c>
      <c r="F247" s="1">
        <f>115200*(10^-6)</f>
        <v>0.1152</v>
      </c>
      <c r="G247" s="1">
        <v>56</v>
      </c>
      <c r="H247" s="1">
        <v>12.05</v>
      </c>
    </row>
    <row r="248" spans="1:8">
      <c r="A248" s="1">
        <v>19</v>
      </c>
      <c r="B248" s="1" t="s">
        <v>239</v>
      </c>
      <c r="C248" s="1">
        <v>64.42</v>
      </c>
      <c r="D248" s="1">
        <v>228.9</v>
      </c>
      <c r="E248" s="1">
        <v>0.38186199999999998</v>
      </c>
      <c r="F248" s="1">
        <f>691200*(10^-6)</f>
        <v>0.69119999999999993</v>
      </c>
      <c r="G248" s="1">
        <v>10</v>
      </c>
      <c r="H248" s="1">
        <v>12.22</v>
      </c>
    </row>
    <row r="249" spans="1:8">
      <c r="A249" s="1">
        <v>20</v>
      </c>
      <c r="B249" s="1" t="s">
        <v>240</v>
      </c>
      <c r="C249" s="1">
        <v>59.2</v>
      </c>
      <c r="D249" s="1">
        <v>227.44</v>
      </c>
      <c r="E249" s="1">
        <v>0.37892799999999999</v>
      </c>
      <c r="F249" s="1">
        <f>153600*(10^-6)</f>
        <v>0.15359999999999999</v>
      </c>
      <c r="G249" s="1">
        <v>30</v>
      </c>
      <c r="H249" s="1">
        <v>11.24</v>
      </c>
    </row>
    <row r="250" spans="1:8">
      <c r="A250" s="1">
        <v>21</v>
      </c>
      <c r="B250" s="1" t="s">
        <v>241</v>
      </c>
      <c r="C250" s="1">
        <v>53.05</v>
      </c>
      <c r="D250" s="1">
        <v>226.81</v>
      </c>
      <c r="E250" s="1">
        <v>0.37919199999999997</v>
      </c>
      <c r="F250" s="1">
        <f>230400*(10^-6)</f>
        <v>0.23039999999999999</v>
      </c>
      <c r="G250" s="1">
        <v>20</v>
      </c>
      <c r="H250" s="1">
        <v>10.039999999999999</v>
      </c>
    </row>
    <row r="251" spans="1:8">
      <c r="A251" s="1">
        <v>22</v>
      </c>
      <c r="B251" s="1" t="s">
        <v>242</v>
      </c>
      <c r="C251" s="1">
        <v>55.86</v>
      </c>
      <c r="D251" s="1">
        <v>229.1</v>
      </c>
      <c r="E251" s="1">
        <v>0.38701400000000002</v>
      </c>
      <c r="F251" s="1">
        <f>1036800*(10^-6)</f>
        <v>1.0367999999999999</v>
      </c>
      <c r="G251" s="1">
        <v>10</v>
      </c>
      <c r="H251" s="1">
        <v>10.58</v>
      </c>
    </row>
    <row r="252" spans="1:8">
      <c r="A252" s="1">
        <v>23</v>
      </c>
      <c r="B252" s="1" t="s">
        <v>243</v>
      </c>
      <c r="C252" s="1">
        <v>64.989999999999995</v>
      </c>
      <c r="D252" s="1">
        <v>229.26</v>
      </c>
      <c r="E252" s="1">
        <v>0.381577</v>
      </c>
      <c r="F252" s="1">
        <f>998400*(10^-6)</f>
        <v>0.99839999999999995</v>
      </c>
      <c r="G252" s="1">
        <v>44</v>
      </c>
      <c r="H252" s="1">
        <v>12.33</v>
      </c>
    </row>
    <row r="253" spans="1:8">
      <c r="A253" s="1">
        <v>24</v>
      </c>
      <c r="B253" s="1" t="s">
        <v>244</v>
      </c>
      <c r="C253" s="1">
        <v>58.37</v>
      </c>
      <c r="D253" s="1">
        <v>222.87</v>
      </c>
      <c r="E253" s="1">
        <v>0.34067999999999998</v>
      </c>
      <c r="F253" s="1">
        <f>268800*(10^-6)</f>
        <v>0.26879999999999998</v>
      </c>
      <c r="G253" s="1">
        <v>58</v>
      </c>
      <c r="H253" s="1">
        <v>11.05</v>
      </c>
    </row>
    <row r="254" spans="1:8">
      <c r="A254" s="1">
        <v>25</v>
      </c>
      <c r="B254" s="1" t="s">
        <v>245</v>
      </c>
      <c r="C254" s="1">
        <v>58.5</v>
      </c>
      <c r="D254" s="1">
        <v>228.74</v>
      </c>
      <c r="E254" s="1">
        <v>0.38232899999999997</v>
      </c>
      <c r="F254" s="1">
        <f>1152000*(10^-6)</f>
        <v>1.1519999999999999</v>
      </c>
      <c r="G254" s="1">
        <v>38</v>
      </c>
      <c r="H254" s="1">
        <v>11.14</v>
      </c>
    </row>
    <row r="255" spans="1:8">
      <c r="A255" s="1">
        <v>26</v>
      </c>
      <c r="B255" s="1" t="s">
        <v>246</v>
      </c>
      <c r="C255" s="1">
        <v>64.45</v>
      </c>
      <c r="D255" s="1">
        <v>226.79</v>
      </c>
      <c r="E255" s="1">
        <v>0.37853100000000001</v>
      </c>
      <c r="F255" s="1">
        <f>883200*(10^-6)</f>
        <v>0.88319999999999999</v>
      </c>
      <c r="G255" s="1">
        <v>6</v>
      </c>
      <c r="H255" s="1">
        <v>12.2</v>
      </c>
    </row>
    <row r="256" spans="1:8">
      <c r="A256" s="1">
        <v>27</v>
      </c>
      <c r="B256" s="1" t="s">
        <v>247</v>
      </c>
      <c r="C256" s="1">
        <v>65.069999999999993</v>
      </c>
      <c r="D256" s="1">
        <v>228.21</v>
      </c>
      <c r="E256" s="1">
        <v>0.38550800000000002</v>
      </c>
      <c r="F256" s="1">
        <f>537600*(10^-6)</f>
        <v>0.53759999999999997</v>
      </c>
      <c r="G256" s="1">
        <v>0</v>
      </c>
      <c r="H256" s="1">
        <v>12.33</v>
      </c>
    </row>
    <row r="257" spans="1:8">
      <c r="A257" s="1">
        <v>28</v>
      </c>
      <c r="B257" s="1" t="s">
        <v>248</v>
      </c>
      <c r="C257" s="1">
        <v>58.5</v>
      </c>
      <c r="D257" s="1">
        <v>223.42</v>
      </c>
      <c r="E257" s="1">
        <v>0.35076800000000002</v>
      </c>
      <c r="F257" s="1">
        <f>384000*(10^-6)</f>
        <v>0.38400000000000001</v>
      </c>
      <c r="G257" s="1">
        <v>14</v>
      </c>
      <c r="H257" s="1">
        <v>11.1</v>
      </c>
    </row>
    <row r="258" spans="1:8">
      <c r="A258" s="1">
        <v>29</v>
      </c>
      <c r="B258" s="1" t="s">
        <v>249</v>
      </c>
      <c r="C258" s="1">
        <v>62.9</v>
      </c>
      <c r="D258" s="1">
        <v>230.22</v>
      </c>
      <c r="E258" s="1">
        <v>0.393652</v>
      </c>
      <c r="F258" s="1">
        <f>998400*(10^-6)</f>
        <v>0.99839999999999995</v>
      </c>
      <c r="G258" s="1">
        <v>34</v>
      </c>
      <c r="H258" s="1">
        <v>11.9</v>
      </c>
    </row>
    <row r="259" spans="1:8">
      <c r="A259" s="1">
        <v>30</v>
      </c>
      <c r="B259" s="1" t="s">
        <v>250</v>
      </c>
      <c r="C259" s="1">
        <v>60.72</v>
      </c>
      <c r="D259" s="1">
        <v>227.68</v>
      </c>
      <c r="E259" s="1">
        <v>0.38026799999999999</v>
      </c>
      <c r="F259" s="1">
        <f>76800*(10^-6)</f>
        <v>7.6799999999999993E-2</v>
      </c>
      <c r="G259" s="1">
        <v>2</v>
      </c>
      <c r="H259" s="1">
        <v>11.52</v>
      </c>
    </row>
    <row r="260" spans="1:8">
      <c r="A260" s="1">
        <v>31</v>
      </c>
      <c r="B260" s="1" t="s">
        <v>251</v>
      </c>
      <c r="C260" s="1">
        <v>65.790000000000006</v>
      </c>
      <c r="D260" s="1">
        <v>227.32</v>
      </c>
      <c r="E260" s="1">
        <v>0.38384400000000002</v>
      </c>
      <c r="F260" s="1">
        <f>652800*(10^-6)</f>
        <v>0.65279999999999994</v>
      </c>
      <c r="G260" s="1">
        <v>8</v>
      </c>
      <c r="H260" s="1">
        <v>12.48</v>
      </c>
    </row>
    <row r="261" spans="1:8">
      <c r="A261" s="1">
        <v>32</v>
      </c>
      <c r="B261" s="1" t="s">
        <v>252</v>
      </c>
      <c r="C261" s="1">
        <v>58.56</v>
      </c>
      <c r="D261" s="1">
        <v>226.61</v>
      </c>
      <c r="E261" s="1">
        <v>0.36510700000000001</v>
      </c>
      <c r="F261" s="1">
        <f>537600*(10^-6)</f>
        <v>0.53759999999999997</v>
      </c>
      <c r="G261" s="1">
        <v>40</v>
      </c>
      <c r="H261" s="1">
        <v>11.1</v>
      </c>
    </row>
    <row r="262" spans="1:8">
      <c r="A262" s="1">
        <v>33</v>
      </c>
      <c r="B262" s="1" t="s">
        <v>253</v>
      </c>
      <c r="C262" s="1">
        <v>59.48</v>
      </c>
      <c r="D262" s="1">
        <v>227.25</v>
      </c>
      <c r="E262" s="1">
        <v>0.35913899999999999</v>
      </c>
      <c r="F262" s="1">
        <f>1574400*(10^-6)</f>
        <v>1.5744</v>
      </c>
      <c r="G262" s="1">
        <v>44</v>
      </c>
      <c r="H262" s="1">
        <v>11.26</v>
      </c>
    </row>
    <row r="263" spans="1:8">
      <c r="A263" s="1">
        <v>34</v>
      </c>
      <c r="B263" s="1" t="s">
        <v>254</v>
      </c>
      <c r="C263" s="1">
        <v>59.69</v>
      </c>
      <c r="D263" s="1">
        <v>228.04</v>
      </c>
      <c r="E263" s="1">
        <v>0.381971</v>
      </c>
      <c r="F263" s="1">
        <f>614400*(10^-6)</f>
        <v>0.61439999999999995</v>
      </c>
      <c r="G263" s="1">
        <v>20</v>
      </c>
      <c r="H263" s="1">
        <v>11.3</v>
      </c>
    </row>
    <row r="264" spans="1:8">
      <c r="A264" s="1">
        <v>35</v>
      </c>
      <c r="B264" s="1" t="s">
        <v>255</v>
      </c>
      <c r="C264" s="1">
        <v>62.99</v>
      </c>
      <c r="D264" s="1">
        <v>227.99</v>
      </c>
      <c r="E264" s="1">
        <v>0.38923999999999997</v>
      </c>
      <c r="F264" s="1">
        <f>307200*(10^-6)</f>
        <v>0.30719999999999997</v>
      </c>
      <c r="G264" s="1">
        <v>40</v>
      </c>
      <c r="H264" s="1">
        <v>11.94</v>
      </c>
    </row>
    <row r="265" spans="1:8">
      <c r="A265" s="1">
        <v>36</v>
      </c>
      <c r="B265" s="1" t="s">
        <v>256</v>
      </c>
      <c r="C265" s="1">
        <v>61.13</v>
      </c>
      <c r="D265" s="1">
        <v>228.97</v>
      </c>
      <c r="E265" s="1">
        <v>0.37275999999999998</v>
      </c>
      <c r="F265" s="1">
        <f>1804800*(10^-6)</f>
        <v>1.8048</v>
      </c>
      <c r="G265" s="1">
        <v>42</v>
      </c>
      <c r="H265" s="1">
        <v>11.61</v>
      </c>
    </row>
    <row r="266" spans="1:8">
      <c r="A266" s="1">
        <v>37</v>
      </c>
      <c r="B266" s="1" t="s">
        <v>257</v>
      </c>
      <c r="C266" s="1">
        <v>57.02</v>
      </c>
      <c r="D266" s="1">
        <v>231.41</v>
      </c>
      <c r="E266" s="1">
        <v>0.43251299999999998</v>
      </c>
      <c r="F266" s="1">
        <f>7795200*(10^-6)</f>
        <v>7.7951999999999995</v>
      </c>
      <c r="G266" s="1">
        <v>56</v>
      </c>
      <c r="H266" s="1">
        <v>10.81</v>
      </c>
    </row>
    <row r="267" spans="1:8">
      <c r="A267" s="1">
        <v>38</v>
      </c>
      <c r="B267" s="1" t="s">
        <v>258</v>
      </c>
      <c r="C267" s="1">
        <v>62.27</v>
      </c>
      <c r="D267" s="1">
        <v>229.68</v>
      </c>
      <c r="E267" s="1">
        <v>0.39171600000000001</v>
      </c>
      <c r="F267" s="1">
        <f>307200*(10^-6)</f>
        <v>0.30719999999999997</v>
      </c>
      <c r="G267" s="1">
        <v>28</v>
      </c>
      <c r="H267" s="1">
        <v>11.81</v>
      </c>
    </row>
    <row r="268" spans="1:8">
      <c r="A268" s="1">
        <v>39</v>
      </c>
      <c r="B268" s="1" t="s">
        <v>259</v>
      </c>
      <c r="C268" s="1">
        <v>61.68</v>
      </c>
      <c r="D268" s="1">
        <v>226.75</v>
      </c>
      <c r="E268" s="1">
        <v>0.37011699999999997</v>
      </c>
      <c r="F268" s="1">
        <f>921600*(10^-6)</f>
        <v>0.92159999999999997</v>
      </c>
      <c r="G268" s="1">
        <v>10</v>
      </c>
      <c r="H268" s="1">
        <v>11.7</v>
      </c>
    </row>
    <row r="269" spans="1:8">
      <c r="A269" s="1">
        <v>40</v>
      </c>
      <c r="B269" s="1" t="s">
        <v>260</v>
      </c>
      <c r="C269" s="1">
        <v>59.36</v>
      </c>
      <c r="D269" s="1">
        <v>228.51</v>
      </c>
      <c r="E269" s="1">
        <v>0.389928</v>
      </c>
      <c r="F269" s="1">
        <f>806400*(10^-6)</f>
        <v>0.80640000000000001</v>
      </c>
      <c r="G269" s="1">
        <v>12</v>
      </c>
      <c r="H269" s="1">
        <v>11.26</v>
      </c>
    </row>
    <row r="270" spans="1:8">
      <c r="A270" s="1">
        <v>41</v>
      </c>
      <c r="B270" s="1" t="s">
        <v>261</v>
      </c>
      <c r="C270" s="1">
        <v>59.76</v>
      </c>
      <c r="D270" s="1">
        <v>226.66</v>
      </c>
      <c r="E270" s="1">
        <v>0.37660700000000003</v>
      </c>
      <c r="F270" s="1">
        <f>537600*(10^-6)</f>
        <v>0.53759999999999997</v>
      </c>
      <c r="G270" s="1">
        <v>26</v>
      </c>
      <c r="H270" s="1">
        <v>11.33</v>
      </c>
    </row>
    <row r="271" spans="1:8">
      <c r="A271" s="1">
        <v>42</v>
      </c>
      <c r="B271" s="1" t="s">
        <v>262</v>
      </c>
      <c r="C271" s="1">
        <v>54.85</v>
      </c>
      <c r="D271" s="1">
        <v>228.12</v>
      </c>
      <c r="E271" s="1">
        <v>0.37594499999999997</v>
      </c>
      <c r="F271" s="1">
        <f>384000*(10^-6)</f>
        <v>0.38400000000000001</v>
      </c>
      <c r="G271" s="1">
        <v>36</v>
      </c>
      <c r="H271" s="1">
        <v>10.38</v>
      </c>
    </row>
    <row r="272" spans="1:8">
      <c r="A272" s="1">
        <v>43</v>
      </c>
      <c r="B272" s="1" t="s">
        <v>263</v>
      </c>
      <c r="C272" s="1">
        <v>58.41</v>
      </c>
      <c r="D272" s="1">
        <v>225.09</v>
      </c>
      <c r="E272" s="1">
        <v>0.35142499999999999</v>
      </c>
      <c r="F272" s="1">
        <f>153600*(10^-6)</f>
        <v>0.15359999999999999</v>
      </c>
      <c r="G272" s="1">
        <v>20</v>
      </c>
      <c r="H272" s="1">
        <v>11.08</v>
      </c>
    </row>
    <row r="273" spans="1:8">
      <c r="A273" s="1">
        <v>44</v>
      </c>
      <c r="B273" s="1" t="s">
        <v>264</v>
      </c>
      <c r="C273" s="1">
        <v>61.11</v>
      </c>
      <c r="D273" s="1">
        <v>227.93</v>
      </c>
      <c r="E273" s="1">
        <v>0.39106099999999999</v>
      </c>
      <c r="F273" s="1">
        <f>307200*(10^-6)</f>
        <v>0.30719999999999997</v>
      </c>
      <c r="G273" s="1">
        <v>26</v>
      </c>
      <c r="H273" s="1">
        <v>11.59</v>
      </c>
    </row>
    <row r="274" spans="1:8">
      <c r="A274" s="1">
        <v>45</v>
      </c>
      <c r="B274" s="1" t="s">
        <v>265</v>
      </c>
      <c r="C274" s="1">
        <v>57.38</v>
      </c>
      <c r="D274" s="1">
        <v>231.54</v>
      </c>
      <c r="E274" s="1">
        <v>0.41759400000000002</v>
      </c>
      <c r="F274" s="1">
        <f>25958400*(10^-6)</f>
        <v>25.958399999999997</v>
      </c>
      <c r="G274" s="1">
        <v>18</v>
      </c>
      <c r="H274" s="1">
        <v>10.87</v>
      </c>
    </row>
    <row r="275" spans="1:8">
      <c r="A275" s="1">
        <v>46</v>
      </c>
      <c r="B275" s="1" t="s">
        <v>266</v>
      </c>
      <c r="C275" s="1">
        <v>66.75</v>
      </c>
      <c r="D275" s="1">
        <v>231.54</v>
      </c>
      <c r="E275" s="1">
        <v>0.41008</v>
      </c>
      <c r="F275" s="1">
        <f>1958400*(10^-6)</f>
        <v>1.9583999999999999</v>
      </c>
      <c r="G275" s="1">
        <v>2</v>
      </c>
      <c r="H275" s="1">
        <v>12.66</v>
      </c>
    </row>
    <row r="276" spans="1:8">
      <c r="A276" s="1">
        <v>47</v>
      </c>
      <c r="B276" s="1" t="s">
        <v>267</v>
      </c>
      <c r="C276" s="1">
        <v>66.430000000000007</v>
      </c>
      <c r="D276" s="1">
        <v>233.34</v>
      </c>
      <c r="E276" s="1">
        <v>0.43090699999999998</v>
      </c>
      <c r="F276" s="1">
        <f>15705600*(10^-6)</f>
        <v>15.705599999999999</v>
      </c>
      <c r="G276" s="1">
        <v>18</v>
      </c>
      <c r="H276" s="1">
        <v>12.61</v>
      </c>
    </row>
    <row r="277" spans="1:8">
      <c r="A277" s="1">
        <v>48</v>
      </c>
      <c r="B277" s="1" t="s">
        <v>268</v>
      </c>
      <c r="C277" s="1">
        <v>69.209999999999994</v>
      </c>
      <c r="D277" s="1">
        <v>231.97</v>
      </c>
      <c r="E277" s="1">
        <v>0.41916399999999998</v>
      </c>
      <c r="F277" s="1">
        <f>230400*(10^-6)</f>
        <v>0.23039999999999999</v>
      </c>
      <c r="G277" s="1">
        <v>0</v>
      </c>
      <c r="H277" s="1">
        <v>13.11</v>
      </c>
    </row>
    <row r="278" spans="1:8">
      <c r="A278" s="1">
        <v>49</v>
      </c>
      <c r="B278" s="1" t="s">
        <v>269</v>
      </c>
      <c r="C278" s="1">
        <v>56.43</v>
      </c>
      <c r="D278" s="1">
        <v>229.84</v>
      </c>
      <c r="E278" s="1">
        <v>0.40494200000000002</v>
      </c>
      <c r="F278" s="1">
        <f>1651200*(10^-6)</f>
        <v>1.6512</v>
      </c>
      <c r="G278" s="1">
        <v>38</v>
      </c>
      <c r="H278" s="1">
        <v>10.71</v>
      </c>
    </row>
    <row r="279" spans="1:8">
      <c r="A279" s="1">
        <v>50</v>
      </c>
      <c r="B279" s="1" t="s">
        <v>270</v>
      </c>
      <c r="C279" s="1">
        <v>61.84</v>
      </c>
      <c r="D279" s="1">
        <v>226.72</v>
      </c>
      <c r="E279" s="1">
        <v>0.36094500000000002</v>
      </c>
      <c r="F279" s="1">
        <f>268800*(10^-6)</f>
        <v>0.26879999999999998</v>
      </c>
      <c r="G279" s="1">
        <v>16</v>
      </c>
      <c r="H279" s="1">
        <v>11.72</v>
      </c>
    </row>
    <row r="280" spans="1:8">
      <c r="B280" s="1" t="s">
        <v>19</v>
      </c>
      <c r="C280" s="1">
        <f>AVERAGE(C230:C279)</f>
        <v>60.82419999999999</v>
      </c>
      <c r="D280" s="1">
        <f t="shared" ref="D280" si="26">AVERAGE(D230:D279)</f>
        <v>228.23320000000004</v>
      </c>
      <c r="E280" s="1">
        <f t="shared" ref="E280" si="27">AVERAGE(E230:E279)</f>
        <v>0.38461482000000002</v>
      </c>
      <c r="F280" s="1">
        <f t="shared" ref="F280" si="28">AVERAGE(F230:F279)</f>
        <v>2.2847999999999993</v>
      </c>
      <c r="H280" s="1">
        <f t="shared" ref="H280" si="29">AVERAGE(H230:H279)</f>
        <v>11.531799999999999</v>
      </c>
    </row>
    <row r="281" spans="1:8">
      <c r="B281" s="1" t="s">
        <v>20</v>
      </c>
      <c r="C281" s="1">
        <f>MIN(C229:C279)</f>
        <v>53.05</v>
      </c>
      <c r="D281" s="1">
        <f t="shared" ref="D281:F281" si="30">MIN(D229:D279)</f>
        <v>222.75</v>
      </c>
      <c r="E281" s="1">
        <f t="shared" si="30"/>
        <v>0.34067999999999998</v>
      </c>
      <c r="F281" s="1">
        <f t="shared" si="30"/>
        <v>3.8399999999999997E-2</v>
      </c>
      <c r="H281" s="1">
        <f t="shared" ref="H281" si="31">MIN(H229:H279)</f>
        <v>10.039999999999999</v>
      </c>
    </row>
    <row r="282" spans="1:8">
      <c r="B282" s="1" t="s">
        <v>3</v>
      </c>
      <c r="C282" s="1">
        <f>STDEV(C230:C279)</f>
        <v>3.8249524953702077</v>
      </c>
      <c r="D282" s="1">
        <f t="shared" ref="D282:E282" si="32">STDEV(D230:D279)</f>
        <v>2.2597773413884039</v>
      </c>
      <c r="E282" s="1">
        <f t="shared" si="32"/>
        <v>2.0074257577639532E-2</v>
      </c>
      <c r="F282" s="1">
        <f>STDEV(F230:F279)</f>
        <v>5.1081942257673862</v>
      </c>
      <c r="H282" s="1">
        <f>STDEV(H230:H279)</f>
        <v>0.72410589483776544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271</v>
      </c>
      <c r="C286" s="1">
        <v>52.73</v>
      </c>
      <c r="D286" s="1">
        <v>299.44</v>
      </c>
      <c r="E286" s="1">
        <v>0.34811999999999999</v>
      </c>
      <c r="F286" s="1">
        <f>153600*(10^-6)</f>
        <v>0.15359999999999999</v>
      </c>
      <c r="G286" s="1">
        <v>24</v>
      </c>
      <c r="H286" s="1">
        <v>10.02</v>
      </c>
    </row>
    <row r="287" spans="1:8">
      <c r="A287" s="1">
        <v>2</v>
      </c>
      <c r="B287" s="1" t="s">
        <v>272</v>
      </c>
      <c r="C287" s="1">
        <v>56.33</v>
      </c>
      <c r="D287" s="1">
        <v>305.08999999999997</v>
      </c>
      <c r="E287" s="1">
        <v>0.37071399999999999</v>
      </c>
      <c r="F287" s="1">
        <f>1459200*(10^-6)</f>
        <v>1.4591999999999998</v>
      </c>
      <c r="G287" s="1">
        <v>42</v>
      </c>
      <c r="H287" s="1">
        <v>10.69</v>
      </c>
    </row>
    <row r="288" spans="1:8">
      <c r="A288" s="1">
        <v>3</v>
      </c>
      <c r="B288" s="1" t="s">
        <v>273</v>
      </c>
      <c r="C288" s="1">
        <v>53.63</v>
      </c>
      <c r="D288" s="1">
        <v>301.56</v>
      </c>
      <c r="E288" s="1">
        <v>0.35404099999999999</v>
      </c>
      <c r="F288" s="1">
        <f>537600*(10^-6)</f>
        <v>0.53759999999999997</v>
      </c>
      <c r="G288" s="1">
        <v>76</v>
      </c>
      <c r="H288" s="1">
        <v>10.17</v>
      </c>
    </row>
    <row r="289" spans="1:8">
      <c r="A289" s="1">
        <v>4</v>
      </c>
      <c r="B289" s="1" t="s">
        <v>274</v>
      </c>
      <c r="C289" s="1">
        <v>57.63</v>
      </c>
      <c r="D289" s="1">
        <v>305.52999999999997</v>
      </c>
      <c r="E289" s="1">
        <v>0.38118299999999999</v>
      </c>
      <c r="F289" s="1">
        <f>1420800*(10^-6)</f>
        <v>1.4207999999999998</v>
      </c>
      <c r="G289" s="1">
        <v>22</v>
      </c>
      <c r="H289" s="1">
        <v>10.94</v>
      </c>
    </row>
    <row r="290" spans="1:8">
      <c r="A290" s="1">
        <v>5</v>
      </c>
      <c r="B290" s="1" t="s">
        <v>275</v>
      </c>
      <c r="C290" s="1">
        <v>56.26</v>
      </c>
      <c r="D290" s="1">
        <v>297.13</v>
      </c>
      <c r="E290" s="1">
        <v>0.328704</v>
      </c>
      <c r="F290" s="1">
        <f>268800*(10^-6)</f>
        <v>0.26879999999999998</v>
      </c>
      <c r="G290" s="1">
        <v>68</v>
      </c>
      <c r="H290" s="1">
        <v>10.67</v>
      </c>
    </row>
    <row r="291" spans="1:8">
      <c r="A291" s="1">
        <v>6</v>
      </c>
      <c r="B291" s="1" t="s">
        <v>276</v>
      </c>
      <c r="C291" s="1">
        <v>59.15</v>
      </c>
      <c r="D291" s="1">
        <v>295.87</v>
      </c>
      <c r="E291" s="1">
        <v>0.33890799999999999</v>
      </c>
      <c r="F291" s="1">
        <f>153600*(10^-6)</f>
        <v>0.15359999999999999</v>
      </c>
      <c r="G291" s="1">
        <v>0</v>
      </c>
      <c r="H291" s="1">
        <v>11.21</v>
      </c>
    </row>
    <row r="292" spans="1:8">
      <c r="A292" s="1">
        <v>7</v>
      </c>
      <c r="B292" s="1" t="s">
        <v>277</v>
      </c>
      <c r="C292" s="1">
        <v>48.91</v>
      </c>
      <c r="D292" s="1">
        <v>300.89999999999998</v>
      </c>
      <c r="E292" s="1">
        <v>0.36848700000000001</v>
      </c>
      <c r="F292" s="1">
        <f>115200*(10^-6)</f>
        <v>0.1152</v>
      </c>
      <c r="G292" s="1">
        <v>32</v>
      </c>
      <c r="H292" s="1">
        <v>9.2799999999999994</v>
      </c>
    </row>
    <row r="293" spans="1:8">
      <c r="A293" s="1">
        <v>8</v>
      </c>
      <c r="B293" s="1" t="s">
        <v>278</v>
      </c>
      <c r="C293" s="1">
        <v>59.18</v>
      </c>
      <c r="D293" s="1">
        <v>299.58999999999997</v>
      </c>
      <c r="E293" s="1">
        <v>0.36254700000000001</v>
      </c>
      <c r="F293" s="1">
        <f>76800*(10^-6)</f>
        <v>7.6799999999999993E-2</v>
      </c>
      <c r="G293" s="1">
        <v>46</v>
      </c>
      <c r="H293" s="1">
        <v>11.21</v>
      </c>
    </row>
    <row r="294" spans="1:8">
      <c r="A294" s="1">
        <v>9</v>
      </c>
      <c r="B294" s="1" t="s">
        <v>279</v>
      </c>
      <c r="C294" s="1">
        <v>52.49</v>
      </c>
      <c r="D294" s="1">
        <v>303.57</v>
      </c>
      <c r="E294" s="1">
        <v>0.37804300000000002</v>
      </c>
      <c r="F294" s="1">
        <f>1420800*(10^-6)</f>
        <v>1.4207999999999998</v>
      </c>
      <c r="G294" s="1">
        <v>8</v>
      </c>
      <c r="H294" s="1">
        <v>9.9600000000000009</v>
      </c>
    </row>
    <row r="295" spans="1:8">
      <c r="A295" s="1">
        <v>10</v>
      </c>
      <c r="B295" s="1" t="s">
        <v>280</v>
      </c>
      <c r="C295" s="1">
        <v>41.37</v>
      </c>
      <c r="D295" s="1">
        <v>302.37</v>
      </c>
      <c r="E295" s="1">
        <v>0.385021</v>
      </c>
      <c r="F295" s="1">
        <f>11136000*(10^-6)</f>
        <v>11.135999999999999</v>
      </c>
      <c r="G295" s="1">
        <v>72</v>
      </c>
      <c r="H295" s="1">
        <v>7.85</v>
      </c>
    </row>
    <row r="296" spans="1:8">
      <c r="A296" s="1">
        <v>11</v>
      </c>
      <c r="B296" s="1" t="s">
        <v>281</v>
      </c>
      <c r="C296" s="1">
        <v>52.89</v>
      </c>
      <c r="D296" s="1">
        <v>303.58999999999997</v>
      </c>
      <c r="E296" s="1">
        <v>0.37260700000000002</v>
      </c>
      <c r="F296" s="1">
        <f>1036800*(10^-6)</f>
        <v>1.0367999999999999</v>
      </c>
      <c r="G296" s="1">
        <v>8</v>
      </c>
      <c r="H296" s="1">
        <v>10.039999999999999</v>
      </c>
    </row>
    <row r="297" spans="1:8">
      <c r="A297" s="1">
        <v>12</v>
      </c>
      <c r="B297" s="1" t="s">
        <v>282</v>
      </c>
      <c r="C297" s="1">
        <v>54.61</v>
      </c>
      <c r="D297" s="1">
        <v>301.77</v>
      </c>
      <c r="E297" s="1">
        <v>0.366533</v>
      </c>
      <c r="F297" s="1">
        <f>38400*(10^-6)</f>
        <v>3.8399999999999997E-2</v>
      </c>
      <c r="G297" s="1">
        <v>22</v>
      </c>
      <c r="H297" s="1">
        <v>10.36</v>
      </c>
    </row>
    <row r="298" spans="1:8">
      <c r="A298" s="1">
        <v>13</v>
      </c>
      <c r="B298" s="1" t="s">
        <v>283</v>
      </c>
      <c r="C298" s="1">
        <v>54.58</v>
      </c>
      <c r="D298" s="1">
        <v>304.33</v>
      </c>
      <c r="E298" s="1">
        <v>0.37178600000000001</v>
      </c>
      <c r="F298" s="1">
        <f>384000*(10^-6)</f>
        <v>0.38400000000000001</v>
      </c>
      <c r="G298" s="1">
        <v>64</v>
      </c>
      <c r="H298" s="1">
        <v>10.36</v>
      </c>
    </row>
    <row r="299" spans="1:8">
      <c r="A299" s="1">
        <v>14</v>
      </c>
      <c r="B299" s="1" t="s">
        <v>284</v>
      </c>
      <c r="C299" s="1">
        <v>51.21</v>
      </c>
      <c r="D299" s="1">
        <v>302.07</v>
      </c>
      <c r="E299" s="1">
        <v>0.362454</v>
      </c>
      <c r="F299" s="1">
        <f>499200*(10^-6)</f>
        <v>0.49919999999999998</v>
      </c>
      <c r="G299" s="1">
        <v>26</v>
      </c>
      <c r="H299" s="1">
        <v>9.6999999999999993</v>
      </c>
    </row>
    <row r="300" spans="1:8">
      <c r="A300" s="1">
        <v>15</v>
      </c>
      <c r="B300" s="1" t="s">
        <v>285</v>
      </c>
      <c r="C300" s="1">
        <v>47.03</v>
      </c>
      <c r="D300" s="1">
        <v>299.29000000000002</v>
      </c>
      <c r="E300" s="1">
        <v>0.35656399999999999</v>
      </c>
      <c r="F300" s="1">
        <f>1689600*(10^-6)</f>
        <v>1.6896</v>
      </c>
      <c r="G300" s="1">
        <v>8</v>
      </c>
      <c r="H300" s="1">
        <v>8.93</v>
      </c>
    </row>
    <row r="301" spans="1:8">
      <c r="A301" s="1">
        <v>16</v>
      </c>
      <c r="B301" s="1" t="s">
        <v>286</v>
      </c>
      <c r="C301" s="1">
        <v>51.16</v>
      </c>
      <c r="D301" s="1">
        <v>301.58999999999997</v>
      </c>
      <c r="E301" s="1">
        <v>0.35272700000000001</v>
      </c>
      <c r="F301" s="1">
        <f>1190400*(10^-6)</f>
        <v>1.1903999999999999</v>
      </c>
      <c r="G301" s="1">
        <v>4</v>
      </c>
      <c r="H301" s="1">
        <v>9.7100000000000009</v>
      </c>
    </row>
    <row r="302" spans="1:8">
      <c r="A302" s="1">
        <v>17</v>
      </c>
      <c r="B302" s="1" t="s">
        <v>287</v>
      </c>
      <c r="C302" s="1">
        <v>50.12</v>
      </c>
      <c r="D302" s="1">
        <v>295.91000000000003</v>
      </c>
      <c r="E302" s="1">
        <v>0.32483299999999998</v>
      </c>
      <c r="F302" s="1">
        <f>422400*(10^-6)</f>
        <v>0.4224</v>
      </c>
      <c r="G302" s="1">
        <v>70</v>
      </c>
      <c r="H302" s="1">
        <v>9.51</v>
      </c>
    </row>
    <row r="303" spans="1:8">
      <c r="A303" s="1">
        <v>18</v>
      </c>
      <c r="B303" s="1" t="s">
        <v>288</v>
      </c>
      <c r="C303" s="1">
        <v>49.13</v>
      </c>
      <c r="D303" s="1">
        <v>301.86</v>
      </c>
      <c r="E303" s="1">
        <v>0.36138199999999998</v>
      </c>
      <c r="F303" s="1">
        <f>921600*(10^-6)</f>
        <v>0.92159999999999997</v>
      </c>
      <c r="G303" s="1">
        <v>4</v>
      </c>
      <c r="H303" s="1">
        <v>9.32</v>
      </c>
    </row>
    <row r="304" spans="1:8">
      <c r="A304" s="1">
        <v>19</v>
      </c>
      <c r="B304" s="1" t="s">
        <v>289</v>
      </c>
      <c r="C304" s="1">
        <v>54.1</v>
      </c>
      <c r="D304" s="1">
        <v>302.57</v>
      </c>
      <c r="E304" s="1">
        <v>0.36811300000000002</v>
      </c>
      <c r="F304" s="1">
        <f>883200*(10^-6)</f>
        <v>0.88319999999999999</v>
      </c>
      <c r="G304" s="1">
        <v>18</v>
      </c>
      <c r="H304" s="1">
        <v>10.26</v>
      </c>
    </row>
    <row r="305" spans="1:8">
      <c r="A305" s="1">
        <v>20</v>
      </c>
      <c r="B305" s="1" t="s">
        <v>290</v>
      </c>
      <c r="C305" s="1">
        <v>51.18</v>
      </c>
      <c r="D305" s="1">
        <v>299.85000000000002</v>
      </c>
      <c r="E305" s="1">
        <v>0.34501799999999999</v>
      </c>
      <c r="F305" s="1">
        <f>384000*(10^-6)</f>
        <v>0.38400000000000001</v>
      </c>
      <c r="G305" s="1">
        <v>42</v>
      </c>
      <c r="H305" s="1">
        <v>9.7100000000000009</v>
      </c>
    </row>
    <row r="306" spans="1:8">
      <c r="A306" s="1">
        <v>21</v>
      </c>
      <c r="B306" s="1" t="s">
        <v>291</v>
      </c>
      <c r="C306" s="1">
        <v>49.76</v>
      </c>
      <c r="D306" s="1">
        <v>299.94</v>
      </c>
      <c r="E306" s="1">
        <v>0.35079199999999999</v>
      </c>
      <c r="F306" s="1">
        <f>230400*(10^-6)</f>
        <v>0.23039999999999999</v>
      </c>
      <c r="G306" s="1">
        <v>28</v>
      </c>
      <c r="H306" s="1">
        <v>9.43</v>
      </c>
    </row>
    <row r="307" spans="1:8">
      <c r="A307" s="1">
        <v>22</v>
      </c>
      <c r="B307" s="1" t="s">
        <v>292</v>
      </c>
      <c r="C307" s="1">
        <v>56.38</v>
      </c>
      <c r="D307" s="1">
        <v>303.77</v>
      </c>
      <c r="E307" s="1">
        <v>0.36794399999999999</v>
      </c>
      <c r="F307" s="1">
        <f>614400*(10^-6)</f>
        <v>0.61439999999999995</v>
      </c>
      <c r="G307" s="1">
        <v>30</v>
      </c>
      <c r="H307" s="1">
        <v>10.66</v>
      </c>
    </row>
    <row r="308" spans="1:8">
      <c r="A308" s="1">
        <v>23</v>
      </c>
      <c r="B308" s="1" t="s">
        <v>293</v>
      </c>
      <c r="C308" s="1">
        <v>55.03</v>
      </c>
      <c r="D308" s="1">
        <v>300.23</v>
      </c>
      <c r="E308" s="1">
        <v>0.35561900000000002</v>
      </c>
      <c r="F308" s="1">
        <f>230400*(10^-6)</f>
        <v>0.23039999999999999</v>
      </c>
      <c r="G308" s="1">
        <v>58</v>
      </c>
      <c r="H308" s="1">
        <v>10.43</v>
      </c>
    </row>
    <row r="309" spans="1:8">
      <c r="A309" s="1">
        <v>24</v>
      </c>
      <c r="B309" s="1" t="s">
        <v>294</v>
      </c>
      <c r="C309" s="1">
        <v>52.09</v>
      </c>
      <c r="D309" s="1">
        <v>299.52999999999997</v>
      </c>
      <c r="E309" s="1">
        <v>0.348136</v>
      </c>
      <c r="F309" s="1">
        <f>576000*(10^-6)</f>
        <v>0.57599999999999996</v>
      </c>
      <c r="G309" s="1">
        <v>56</v>
      </c>
      <c r="H309" s="1">
        <v>9.89</v>
      </c>
    </row>
    <row r="310" spans="1:8">
      <c r="A310" s="1">
        <v>25</v>
      </c>
      <c r="B310" s="1" t="s">
        <v>295</v>
      </c>
      <c r="C310" s="1">
        <v>55.4</v>
      </c>
      <c r="D310" s="1">
        <v>304</v>
      </c>
      <c r="E310" s="1">
        <v>0.37315799999999999</v>
      </c>
      <c r="F310" s="1">
        <f>576000*(10^-6)</f>
        <v>0.57599999999999996</v>
      </c>
      <c r="G310" s="1">
        <v>76</v>
      </c>
      <c r="H310" s="1">
        <v>10.49</v>
      </c>
    </row>
    <row r="311" spans="1:8">
      <c r="A311" s="1">
        <v>26</v>
      </c>
      <c r="B311" s="1" t="s">
        <v>296</v>
      </c>
      <c r="C311" s="1">
        <v>58.64</v>
      </c>
      <c r="D311" s="1">
        <v>300.77999999999997</v>
      </c>
      <c r="E311" s="1">
        <v>0.38502999999999998</v>
      </c>
      <c r="F311" s="1">
        <f>115200*(10^-6)</f>
        <v>0.1152</v>
      </c>
      <c r="G311" s="1">
        <v>6</v>
      </c>
      <c r="H311" s="1">
        <v>11.1</v>
      </c>
    </row>
    <row r="312" spans="1:8">
      <c r="A312" s="1">
        <v>27</v>
      </c>
      <c r="B312" s="1" t="s">
        <v>297</v>
      </c>
      <c r="C312" s="1">
        <v>53.36</v>
      </c>
      <c r="D312" s="1">
        <v>305.18</v>
      </c>
      <c r="E312" s="1">
        <v>0.39650999999999997</v>
      </c>
      <c r="F312" s="1">
        <f>960000*(10^-6)</f>
        <v>0.96</v>
      </c>
      <c r="G312" s="1">
        <v>38</v>
      </c>
      <c r="H312" s="1">
        <v>10.119999999999999</v>
      </c>
    </row>
    <row r="313" spans="1:8">
      <c r="A313" s="1">
        <v>28</v>
      </c>
      <c r="B313" s="1" t="s">
        <v>298</v>
      </c>
      <c r="C313" s="1">
        <v>55.67</v>
      </c>
      <c r="D313" s="1">
        <v>302.47000000000003</v>
      </c>
      <c r="E313" s="1">
        <v>0.35768899999999998</v>
      </c>
      <c r="F313" s="1">
        <f>806400*(10^-6)</f>
        <v>0.80640000000000001</v>
      </c>
      <c r="G313" s="1">
        <v>50</v>
      </c>
      <c r="H313" s="1">
        <v>10.57</v>
      </c>
    </row>
    <row r="314" spans="1:8">
      <c r="A314" s="1">
        <v>29</v>
      </c>
      <c r="B314" s="1" t="s">
        <v>299</v>
      </c>
      <c r="C314" s="1">
        <v>47.79</v>
      </c>
      <c r="D314" s="1">
        <v>303.27</v>
      </c>
      <c r="E314" s="1">
        <v>0.36824600000000002</v>
      </c>
      <c r="F314" s="1">
        <f>3763200*(10^-6)</f>
        <v>3.7631999999999999</v>
      </c>
      <c r="G314" s="1">
        <v>24</v>
      </c>
      <c r="H314" s="1">
        <v>9.07</v>
      </c>
    </row>
    <row r="315" spans="1:8">
      <c r="A315" s="1">
        <v>30</v>
      </c>
      <c r="B315" s="1" t="s">
        <v>300</v>
      </c>
      <c r="C315" s="1">
        <v>56.3</v>
      </c>
      <c r="D315" s="1">
        <v>295.45</v>
      </c>
      <c r="E315" s="1">
        <v>0.324938</v>
      </c>
      <c r="F315" s="1">
        <f>38400*(10^-6)</f>
        <v>3.8399999999999997E-2</v>
      </c>
      <c r="G315" s="1">
        <v>68</v>
      </c>
      <c r="H315" s="1">
        <v>10.68</v>
      </c>
    </row>
    <row r="316" spans="1:8">
      <c r="A316" s="1">
        <v>31</v>
      </c>
      <c r="B316" s="1" t="s">
        <v>301</v>
      </c>
      <c r="C316" s="1">
        <v>51.46</v>
      </c>
      <c r="D316" s="1">
        <v>301.74</v>
      </c>
      <c r="E316" s="1">
        <v>0.36493900000000001</v>
      </c>
      <c r="F316" s="1">
        <f>652800*(10^-6)</f>
        <v>0.65279999999999994</v>
      </c>
      <c r="G316" s="1">
        <v>62</v>
      </c>
      <c r="H316" s="1">
        <v>9.74</v>
      </c>
    </row>
    <row r="317" spans="1:8">
      <c r="A317" s="1">
        <v>32</v>
      </c>
      <c r="B317" s="1" t="s">
        <v>302</v>
      </c>
      <c r="C317" s="1">
        <v>56.89</v>
      </c>
      <c r="D317" s="1">
        <v>297.2</v>
      </c>
      <c r="E317" s="1">
        <v>0.34667799999999999</v>
      </c>
      <c r="F317" s="1">
        <f>115200*(10^-6)</f>
        <v>0.1152</v>
      </c>
      <c r="G317" s="1">
        <v>40</v>
      </c>
      <c r="H317" s="1">
        <v>10.77</v>
      </c>
    </row>
    <row r="318" spans="1:8">
      <c r="A318" s="1">
        <v>33</v>
      </c>
      <c r="B318" s="1" t="s">
        <v>303</v>
      </c>
      <c r="C318" s="1">
        <v>50.27</v>
      </c>
      <c r="D318" s="1">
        <v>303.27</v>
      </c>
      <c r="E318" s="1">
        <v>0.35502400000000001</v>
      </c>
      <c r="F318" s="1">
        <f>2995200*(10^-6)</f>
        <v>2.9952000000000001</v>
      </c>
      <c r="G318" s="1">
        <v>2</v>
      </c>
      <c r="H318" s="1">
        <v>9.5299999999999994</v>
      </c>
    </row>
    <row r="319" spans="1:8">
      <c r="A319" s="1">
        <v>34</v>
      </c>
      <c r="B319" s="1" t="s">
        <v>304</v>
      </c>
      <c r="C319" s="1">
        <v>51.34</v>
      </c>
      <c r="D319" s="1">
        <v>297.74</v>
      </c>
      <c r="E319" s="1">
        <v>0.33060800000000001</v>
      </c>
      <c r="F319" s="1">
        <f>652800*(10^-6)</f>
        <v>0.65279999999999994</v>
      </c>
      <c r="G319" s="1">
        <v>72</v>
      </c>
      <c r="H319" s="1">
        <v>9.7200000000000006</v>
      </c>
    </row>
    <row r="320" spans="1:8">
      <c r="A320" s="1">
        <v>35</v>
      </c>
      <c r="B320" s="1" t="s">
        <v>305</v>
      </c>
      <c r="C320" s="1">
        <v>52.01</v>
      </c>
      <c r="D320" s="1">
        <v>299.25</v>
      </c>
      <c r="E320" s="1">
        <v>0.34467700000000001</v>
      </c>
      <c r="F320" s="1">
        <f>614400*(10^-6)</f>
        <v>0.61439999999999995</v>
      </c>
      <c r="G320" s="1">
        <v>20</v>
      </c>
      <c r="H320" s="1">
        <v>9.8800000000000008</v>
      </c>
    </row>
    <row r="321" spans="1:8">
      <c r="A321" s="1">
        <v>36</v>
      </c>
      <c r="B321" s="1" t="s">
        <v>306</v>
      </c>
      <c r="C321" s="1">
        <v>48.7</v>
      </c>
      <c r="D321" s="1">
        <v>299.33</v>
      </c>
      <c r="E321" s="1">
        <v>0.33688800000000002</v>
      </c>
      <c r="F321" s="1">
        <f>883200*(10^-6)</f>
        <v>0.88319999999999999</v>
      </c>
      <c r="G321" s="1">
        <v>62</v>
      </c>
      <c r="H321" s="1">
        <v>9.2100000000000009</v>
      </c>
    </row>
    <row r="322" spans="1:8">
      <c r="A322" s="1">
        <v>37</v>
      </c>
      <c r="B322" s="1" t="s">
        <v>307</v>
      </c>
      <c r="C322" s="1">
        <v>55.23</v>
      </c>
      <c r="D322" s="1">
        <v>303.95999999999998</v>
      </c>
      <c r="E322" s="1">
        <v>0.36686299999999999</v>
      </c>
      <c r="F322" s="1">
        <f>1536000*(10^-6)</f>
        <v>1.536</v>
      </c>
      <c r="G322" s="1">
        <v>34</v>
      </c>
      <c r="H322" s="1">
        <v>10.48</v>
      </c>
    </row>
    <row r="323" spans="1:8">
      <c r="A323" s="1">
        <v>38</v>
      </c>
      <c r="B323" s="1" t="s">
        <v>308</v>
      </c>
      <c r="C323" s="1">
        <v>50.02</v>
      </c>
      <c r="D323" s="1">
        <v>301.33</v>
      </c>
      <c r="E323" s="1">
        <v>0.37327399999999999</v>
      </c>
      <c r="F323" s="1">
        <f>499200*(10^-6)</f>
        <v>0.49919999999999998</v>
      </c>
      <c r="G323" s="1">
        <v>50</v>
      </c>
      <c r="H323" s="1">
        <v>9.4600000000000009</v>
      </c>
    </row>
    <row r="324" spans="1:8">
      <c r="A324" s="1">
        <v>39</v>
      </c>
      <c r="B324" s="1" t="s">
        <v>309</v>
      </c>
      <c r="C324" s="1">
        <v>55.32</v>
      </c>
      <c r="D324" s="1">
        <v>300.11</v>
      </c>
      <c r="E324" s="1">
        <v>0.35862699999999997</v>
      </c>
      <c r="F324" s="1">
        <f>499200*(10^-6)</f>
        <v>0.49919999999999998</v>
      </c>
      <c r="G324" s="1">
        <v>50</v>
      </c>
      <c r="H324" s="1">
        <v>10.48</v>
      </c>
    </row>
    <row r="325" spans="1:8">
      <c r="A325" s="1">
        <v>40</v>
      </c>
      <c r="B325" s="1" t="s">
        <v>310</v>
      </c>
      <c r="C325" s="1">
        <v>57.31</v>
      </c>
      <c r="D325" s="1">
        <v>300.61</v>
      </c>
      <c r="E325" s="1">
        <v>0.35160999999999998</v>
      </c>
      <c r="F325" s="1">
        <f>1152000*(10^-6)</f>
        <v>1.1519999999999999</v>
      </c>
      <c r="G325" s="1">
        <v>60</v>
      </c>
      <c r="H325" s="1">
        <v>10.88</v>
      </c>
    </row>
    <row r="326" spans="1:8">
      <c r="A326" s="1">
        <v>41</v>
      </c>
      <c r="B326" s="1" t="s">
        <v>311</v>
      </c>
      <c r="C326" s="1">
        <v>58.47</v>
      </c>
      <c r="D326" s="1">
        <v>300.20999999999998</v>
      </c>
      <c r="E326" s="1">
        <v>0.347076</v>
      </c>
      <c r="F326" s="1">
        <f>153600*(10^-6)</f>
        <v>0.15359999999999999</v>
      </c>
      <c r="G326" s="1">
        <v>54</v>
      </c>
      <c r="H326" s="1">
        <v>11.1</v>
      </c>
    </row>
    <row r="327" spans="1:8">
      <c r="A327" s="1">
        <v>42</v>
      </c>
      <c r="B327" s="1" t="s">
        <v>312</v>
      </c>
      <c r="C327" s="1">
        <v>51.08</v>
      </c>
      <c r="D327" s="1">
        <v>298.99</v>
      </c>
      <c r="E327" s="1">
        <v>0.32989000000000002</v>
      </c>
      <c r="F327" s="1">
        <f>960000*(10^-6)</f>
        <v>0.96</v>
      </c>
      <c r="G327" s="1">
        <v>12</v>
      </c>
      <c r="H327" s="1">
        <v>9.6999999999999993</v>
      </c>
    </row>
    <row r="328" spans="1:8">
      <c r="A328" s="1">
        <v>43</v>
      </c>
      <c r="B328" s="1" t="s">
        <v>313</v>
      </c>
      <c r="C328" s="1">
        <v>47.41</v>
      </c>
      <c r="D328" s="1">
        <v>297.12</v>
      </c>
      <c r="E328" s="1">
        <v>0.33852500000000002</v>
      </c>
      <c r="F328" s="1">
        <f>576000*(10^-6)</f>
        <v>0.57599999999999996</v>
      </c>
      <c r="G328" s="1">
        <v>62</v>
      </c>
      <c r="H328" s="1">
        <v>8.99</v>
      </c>
    </row>
    <row r="329" spans="1:8">
      <c r="A329" s="1">
        <v>44</v>
      </c>
      <c r="B329" s="1" t="s">
        <v>314</v>
      </c>
      <c r="C329" s="1">
        <v>51.16</v>
      </c>
      <c r="D329" s="1">
        <v>299.05</v>
      </c>
      <c r="E329" s="1">
        <v>0.339694</v>
      </c>
      <c r="F329" s="1">
        <f>384000*(10^-6)</f>
        <v>0.38400000000000001</v>
      </c>
      <c r="G329" s="1">
        <v>10</v>
      </c>
      <c r="H329" s="1">
        <v>9.6999999999999993</v>
      </c>
    </row>
    <row r="330" spans="1:8">
      <c r="A330" s="1">
        <v>45</v>
      </c>
      <c r="B330" s="1" t="s">
        <v>315</v>
      </c>
      <c r="C330" s="1">
        <v>51.52</v>
      </c>
      <c r="D330" s="1">
        <v>301.45999999999998</v>
      </c>
      <c r="E330" s="1">
        <v>0.35805300000000001</v>
      </c>
      <c r="F330" s="1">
        <f>576000*(10^-6)</f>
        <v>0.57599999999999996</v>
      </c>
      <c r="G330" s="1">
        <v>58</v>
      </c>
      <c r="H330" s="1">
        <v>9.77</v>
      </c>
    </row>
    <row r="331" spans="1:8">
      <c r="A331" s="1">
        <v>46</v>
      </c>
      <c r="B331" s="1" t="s">
        <v>316</v>
      </c>
      <c r="C331" s="1">
        <v>58.89</v>
      </c>
      <c r="D331" s="1">
        <v>302.92</v>
      </c>
      <c r="E331" s="1">
        <v>0.37258000000000002</v>
      </c>
      <c r="F331" s="1">
        <f>76800*(10^-6)</f>
        <v>7.6799999999999993E-2</v>
      </c>
      <c r="G331" s="1">
        <v>60</v>
      </c>
      <c r="H331" s="1">
        <v>11.18</v>
      </c>
    </row>
    <row r="332" spans="1:8">
      <c r="A332" s="1">
        <v>47</v>
      </c>
      <c r="B332" s="1" t="s">
        <v>317</v>
      </c>
      <c r="C332" s="1">
        <v>54.36</v>
      </c>
      <c r="D332" s="1">
        <v>296.77</v>
      </c>
      <c r="E332" s="1">
        <v>0.34915200000000002</v>
      </c>
      <c r="F332" s="1">
        <f>38400*(10^-6)</f>
        <v>3.8399999999999997E-2</v>
      </c>
      <c r="G332" s="1">
        <v>64</v>
      </c>
      <c r="H332" s="1">
        <v>10.31</v>
      </c>
    </row>
    <row r="333" spans="1:8">
      <c r="A333" s="1">
        <v>48</v>
      </c>
      <c r="B333" s="1" t="s">
        <v>318</v>
      </c>
      <c r="C333" s="1">
        <v>57.49</v>
      </c>
      <c r="D333" s="1">
        <v>305.81</v>
      </c>
      <c r="E333" s="1">
        <v>0.39336900000000002</v>
      </c>
      <c r="F333" s="1">
        <f>499200*(10^-6)</f>
        <v>0.49919999999999998</v>
      </c>
      <c r="G333" s="1">
        <v>42</v>
      </c>
      <c r="H333" s="1">
        <v>10.92</v>
      </c>
    </row>
    <row r="334" spans="1:8">
      <c r="A334" s="1">
        <v>49</v>
      </c>
      <c r="B334" s="1" t="s">
        <v>319</v>
      </c>
      <c r="C334" s="1">
        <v>51.93</v>
      </c>
      <c r="D334" s="1">
        <v>298.66000000000003</v>
      </c>
      <c r="E334" s="1">
        <v>0.33696700000000002</v>
      </c>
      <c r="F334" s="1">
        <f>1036800*(10^-6)</f>
        <v>1.0367999999999999</v>
      </c>
      <c r="G334" s="1">
        <v>32</v>
      </c>
      <c r="H334" s="1">
        <v>9.86</v>
      </c>
    </row>
    <row r="335" spans="1:8">
      <c r="A335" s="1">
        <v>50</v>
      </c>
      <c r="B335" s="1" t="s">
        <v>320</v>
      </c>
      <c r="C335" s="1">
        <v>53.27</v>
      </c>
      <c r="D335" s="1">
        <v>301.01</v>
      </c>
      <c r="E335" s="1">
        <v>0.36965100000000001</v>
      </c>
      <c r="F335" s="1">
        <f>192000*(10^-6)</f>
        <v>0.192</v>
      </c>
      <c r="G335" s="1">
        <v>66</v>
      </c>
      <c r="H335" s="1">
        <v>10.11</v>
      </c>
    </row>
    <row r="336" spans="1:8">
      <c r="B336" s="1" t="s">
        <v>19</v>
      </c>
      <c r="C336" s="1">
        <f>AVERAGE(C286:C335)</f>
        <v>53.164799999999985</v>
      </c>
      <c r="D336" s="1">
        <f t="shared" ref="D336" si="33">AVERAGE(D286:D335)</f>
        <v>300.9008</v>
      </c>
      <c r="E336" s="1">
        <f t="shared" ref="E336" si="34">AVERAGE(E286:E335)</f>
        <v>0.35779984000000004</v>
      </c>
      <c r="F336" s="1">
        <f t="shared" ref="F336" si="35">AVERAGE(F286:F335)</f>
        <v>0.92390400000000028</v>
      </c>
      <c r="H336" s="1">
        <f t="shared" ref="H336" si="36">AVERAGE(H286:H335)</f>
        <v>10.082600000000001</v>
      </c>
    </row>
    <row r="337" spans="1:8">
      <c r="B337" s="1" t="s">
        <v>20</v>
      </c>
      <c r="C337" s="1">
        <f>MIN(C285:C335)</f>
        <v>41.37</v>
      </c>
      <c r="D337" s="1">
        <f t="shared" ref="D337:F337" si="37">MIN(D285:D335)</f>
        <v>295.45</v>
      </c>
      <c r="E337" s="1">
        <f t="shared" si="37"/>
        <v>0.32483299999999998</v>
      </c>
      <c r="F337" s="1">
        <f t="shared" si="37"/>
        <v>3.8399999999999997E-2</v>
      </c>
      <c r="H337" s="1">
        <f t="shared" ref="H337" si="38">MIN(H285:H335)</f>
        <v>7.85</v>
      </c>
    </row>
    <row r="338" spans="1:8">
      <c r="B338" s="1" t="s">
        <v>3</v>
      </c>
      <c r="C338" s="1">
        <f>STDEV(C286:C335)</f>
        <v>3.6942549109313965</v>
      </c>
      <c r="D338" s="1">
        <f t="shared" ref="D338:E338" si="39">STDEV(D286:D335)</f>
        <v>2.6382793093784143</v>
      </c>
      <c r="E338" s="1">
        <f t="shared" si="39"/>
        <v>1.7352837848676191E-2</v>
      </c>
      <c r="F338" s="1">
        <f>STDEV(F286:F335)</f>
        <v>1.6339770708755184</v>
      </c>
      <c r="H338" s="1">
        <f>STDEV(H286:H335)</f>
        <v>0.70029675925310286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1234</v>
      </c>
      <c r="C342" s="1">
        <v>47.09</v>
      </c>
      <c r="D342" s="1">
        <v>373.57</v>
      </c>
      <c r="E342" s="1">
        <v>0.34245999999999999</v>
      </c>
      <c r="F342" s="1">
        <v>0.27</v>
      </c>
      <c r="G342" s="1">
        <v>38</v>
      </c>
      <c r="H342" s="1">
        <v>8.93</v>
      </c>
    </row>
    <row r="343" spans="1:8">
      <c r="A343" s="1">
        <v>2</v>
      </c>
      <c r="B343" s="1" t="s">
        <v>1235</v>
      </c>
      <c r="C343" s="1">
        <v>46.67</v>
      </c>
      <c r="D343" s="1">
        <v>374.74</v>
      </c>
      <c r="E343" s="1">
        <v>0.35306599999999999</v>
      </c>
      <c r="F343" s="1">
        <v>0.54</v>
      </c>
      <c r="G343" s="1">
        <v>70</v>
      </c>
      <c r="H343" s="1">
        <v>8.85</v>
      </c>
    </row>
    <row r="344" spans="1:8">
      <c r="A344" s="1">
        <v>3</v>
      </c>
      <c r="B344" s="1" t="s">
        <v>1236</v>
      </c>
      <c r="C344" s="1">
        <v>48.23</v>
      </c>
      <c r="D344" s="1">
        <v>373.06</v>
      </c>
      <c r="E344" s="1">
        <v>0.35023900000000002</v>
      </c>
      <c r="F344" s="1">
        <v>0.38</v>
      </c>
      <c r="G344" s="1">
        <v>18</v>
      </c>
      <c r="H344" s="1">
        <v>9.15</v>
      </c>
    </row>
    <row r="345" spans="1:8">
      <c r="A345" s="1">
        <v>4</v>
      </c>
      <c r="B345" s="1" t="s">
        <v>1237</v>
      </c>
      <c r="C345" s="1">
        <v>45.86</v>
      </c>
      <c r="D345" s="1">
        <v>375.38</v>
      </c>
      <c r="E345" s="1">
        <v>0.36362100000000003</v>
      </c>
      <c r="F345" s="1">
        <v>0.5</v>
      </c>
      <c r="G345" s="1">
        <v>20</v>
      </c>
      <c r="H345" s="1">
        <v>8.69</v>
      </c>
    </row>
    <row r="346" spans="1:8">
      <c r="A346" s="1">
        <v>5</v>
      </c>
      <c r="B346" s="1" t="s">
        <v>1238</v>
      </c>
      <c r="C346" s="1">
        <v>46.36</v>
      </c>
      <c r="D346" s="1">
        <v>376</v>
      </c>
      <c r="E346" s="1">
        <v>0.35285</v>
      </c>
      <c r="F346" s="1">
        <v>1.1499999999999999</v>
      </c>
      <c r="G346" s="1">
        <v>34</v>
      </c>
      <c r="H346" s="1">
        <v>8.7799999999999994</v>
      </c>
    </row>
    <row r="347" spans="1:8">
      <c r="A347" s="1">
        <v>6</v>
      </c>
      <c r="B347" s="1" t="s">
        <v>1239</v>
      </c>
      <c r="C347" s="1">
        <v>46.32</v>
      </c>
      <c r="D347" s="1">
        <v>372.22</v>
      </c>
      <c r="E347" s="1">
        <v>0.329542</v>
      </c>
      <c r="F347" s="1">
        <v>0.19</v>
      </c>
      <c r="G347" s="1">
        <v>30</v>
      </c>
      <c r="H347" s="1">
        <v>8.76</v>
      </c>
    </row>
    <row r="348" spans="1:8">
      <c r="A348" s="1">
        <v>7</v>
      </c>
      <c r="B348" s="1" t="s">
        <v>1240</v>
      </c>
      <c r="C348" s="1">
        <v>47.95</v>
      </c>
      <c r="D348" s="1">
        <v>377.47</v>
      </c>
      <c r="E348" s="1">
        <v>0.35982700000000001</v>
      </c>
      <c r="F348" s="1">
        <v>1.5</v>
      </c>
      <c r="G348" s="1">
        <v>4</v>
      </c>
      <c r="H348" s="1">
        <v>9.1</v>
      </c>
    </row>
    <row r="349" spans="1:8">
      <c r="A349" s="1">
        <v>8</v>
      </c>
      <c r="B349" s="1" t="s">
        <v>1241</v>
      </c>
      <c r="C349" s="1">
        <v>43.34</v>
      </c>
      <c r="D349" s="1">
        <v>374.3</v>
      </c>
      <c r="E349" s="1">
        <v>0.35239900000000002</v>
      </c>
      <c r="F349" s="1">
        <v>0.88</v>
      </c>
      <c r="G349" s="1">
        <v>2</v>
      </c>
      <c r="H349" s="1">
        <v>8.2100000000000009</v>
      </c>
    </row>
    <row r="350" spans="1:8">
      <c r="A350" s="1">
        <v>9</v>
      </c>
      <c r="B350" s="1" t="s">
        <v>1242</v>
      </c>
      <c r="C350" s="1">
        <v>42.22</v>
      </c>
      <c r="D350" s="1" t="e">
        <f>-inf</f>
        <v>#NAME?</v>
      </c>
      <c r="E350" s="1">
        <v>0.346109</v>
      </c>
      <c r="F350" s="1">
        <v>0</v>
      </c>
      <c r="G350" s="1">
        <v>80</v>
      </c>
      <c r="H350" s="1">
        <v>8.01</v>
      </c>
    </row>
    <row r="351" spans="1:8">
      <c r="A351" s="1">
        <v>10</v>
      </c>
      <c r="B351" s="1" t="s">
        <v>1243</v>
      </c>
      <c r="C351" s="1">
        <v>45.17</v>
      </c>
      <c r="D351" s="1">
        <v>363.75</v>
      </c>
      <c r="E351" s="1">
        <v>0.29850300000000002</v>
      </c>
      <c r="F351" s="1">
        <v>0.04</v>
      </c>
      <c r="G351" s="1">
        <v>34</v>
      </c>
      <c r="H351" s="1">
        <v>8.57</v>
      </c>
    </row>
    <row r="352" spans="1:8">
      <c r="A352" s="1">
        <v>11</v>
      </c>
      <c r="B352" s="1" t="s">
        <v>1244</v>
      </c>
      <c r="C352" s="1">
        <v>44.77</v>
      </c>
      <c r="D352" s="1">
        <v>371.13</v>
      </c>
      <c r="E352" s="1">
        <v>0.34334500000000001</v>
      </c>
      <c r="F352" s="1">
        <v>0.08</v>
      </c>
      <c r="G352" s="1">
        <v>36</v>
      </c>
      <c r="H352" s="1">
        <v>8.5</v>
      </c>
    </row>
    <row r="353" spans="1:8">
      <c r="A353" s="1">
        <v>12</v>
      </c>
      <c r="B353" s="1" t="s">
        <v>1245</v>
      </c>
      <c r="C353" s="1">
        <v>46.46</v>
      </c>
      <c r="D353" s="1">
        <v>376.57</v>
      </c>
      <c r="E353" s="1">
        <v>0.35315000000000002</v>
      </c>
      <c r="F353" s="1">
        <v>2.5</v>
      </c>
      <c r="G353" s="1">
        <v>68</v>
      </c>
      <c r="H353" s="1">
        <v>8.81</v>
      </c>
    </row>
    <row r="354" spans="1:8">
      <c r="A354" s="1">
        <v>13</v>
      </c>
      <c r="B354" s="1" t="s">
        <v>1246</v>
      </c>
      <c r="C354" s="1">
        <v>46.62</v>
      </c>
      <c r="D354" s="1">
        <v>372.98</v>
      </c>
      <c r="E354" s="1">
        <v>0.33369700000000002</v>
      </c>
      <c r="F354" s="1">
        <v>0.96</v>
      </c>
      <c r="G354" s="1">
        <v>26</v>
      </c>
      <c r="H354" s="1">
        <v>8.84</v>
      </c>
    </row>
    <row r="355" spans="1:8">
      <c r="A355" s="1">
        <v>14</v>
      </c>
      <c r="B355" s="1" t="s">
        <v>1247</v>
      </c>
      <c r="C355" s="1">
        <v>49.92</v>
      </c>
      <c r="D355" s="1" t="e">
        <f>-inf</f>
        <v>#NAME?</v>
      </c>
      <c r="E355" s="1">
        <v>0.34762100000000001</v>
      </c>
      <c r="F355" s="1">
        <v>0</v>
      </c>
      <c r="G355" s="1">
        <v>44</v>
      </c>
      <c r="H355" s="1">
        <v>9.4700000000000006</v>
      </c>
    </row>
    <row r="356" spans="1:8">
      <c r="A356" s="1">
        <v>15</v>
      </c>
      <c r="B356" s="1" t="s">
        <v>1248</v>
      </c>
      <c r="C356" s="1">
        <v>46.94</v>
      </c>
      <c r="D356" s="1">
        <v>375.78</v>
      </c>
      <c r="E356" s="1">
        <v>0.35261999999999999</v>
      </c>
      <c r="F356" s="1">
        <v>0.57999999999999996</v>
      </c>
      <c r="G356" s="1">
        <v>74</v>
      </c>
      <c r="H356" s="1">
        <v>8.91</v>
      </c>
    </row>
    <row r="357" spans="1:8">
      <c r="A357" s="1">
        <v>16</v>
      </c>
      <c r="B357" s="1" t="s">
        <v>1249</v>
      </c>
      <c r="C357" s="1">
        <v>45.67</v>
      </c>
      <c r="D357" s="1">
        <v>378.64</v>
      </c>
      <c r="E357" s="1">
        <v>0.38944899999999999</v>
      </c>
      <c r="F357" s="1">
        <v>2.92</v>
      </c>
      <c r="G357" s="1">
        <v>44</v>
      </c>
      <c r="H357" s="1">
        <v>8.6300000000000008</v>
      </c>
    </row>
    <row r="358" spans="1:8">
      <c r="A358" s="1">
        <v>17</v>
      </c>
      <c r="B358" s="1" t="s">
        <v>1250</v>
      </c>
      <c r="C358" s="1">
        <v>47.21</v>
      </c>
      <c r="D358" s="1">
        <v>369.11</v>
      </c>
      <c r="E358" s="1">
        <v>0.33007500000000001</v>
      </c>
      <c r="F358" s="1">
        <v>0.19</v>
      </c>
      <c r="G358" s="1">
        <v>6</v>
      </c>
      <c r="H358" s="1">
        <v>8.94</v>
      </c>
    </row>
    <row r="359" spans="1:8">
      <c r="A359" s="1">
        <v>18</v>
      </c>
      <c r="B359" s="1" t="s">
        <v>1251</v>
      </c>
      <c r="C359" s="1">
        <v>41.8</v>
      </c>
      <c r="D359" s="1">
        <v>371.74</v>
      </c>
      <c r="E359" s="1">
        <v>0.30727100000000002</v>
      </c>
      <c r="F359" s="1">
        <v>3.23</v>
      </c>
      <c r="G359" s="1">
        <v>6</v>
      </c>
      <c r="H359" s="1">
        <v>7.93</v>
      </c>
    </row>
    <row r="360" spans="1:8">
      <c r="A360" s="1">
        <v>19</v>
      </c>
      <c r="B360" s="1" t="s">
        <v>1252</v>
      </c>
      <c r="C360" s="1">
        <v>46.98</v>
      </c>
      <c r="D360" s="1">
        <v>370.01</v>
      </c>
      <c r="E360" s="1">
        <v>0.30461199999999999</v>
      </c>
      <c r="F360" s="1">
        <v>1.27</v>
      </c>
      <c r="G360" s="1">
        <v>90</v>
      </c>
      <c r="H360" s="1">
        <v>8.8800000000000008</v>
      </c>
    </row>
    <row r="361" spans="1:8">
      <c r="A361" s="1">
        <v>20</v>
      </c>
      <c r="B361" s="1" t="s">
        <v>1253</v>
      </c>
      <c r="C361" s="1">
        <v>50.83</v>
      </c>
      <c r="D361" s="1">
        <v>368.07</v>
      </c>
      <c r="E361" s="1">
        <v>0.31450600000000001</v>
      </c>
      <c r="F361" s="1">
        <v>0.19</v>
      </c>
      <c r="G361" s="1">
        <v>98</v>
      </c>
      <c r="H361" s="1">
        <v>9.6300000000000008</v>
      </c>
    </row>
    <row r="362" spans="1:8">
      <c r="A362" s="1">
        <v>21</v>
      </c>
      <c r="B362" s="1" t="s">
        <v>1254</v>
      </c>
      <c r="C362" s="1">
        <v>48.63</v>
      </c>
      <c r="D362" s="1">
        <v>373.54</v>
      </c>
      <c r="E362" s="1">
        <v>0.33945900000000001</v>
      </c>
      <c r="F362" s="1">
        <v>0.04</v>
      </c>
      <c r="G362" s="1">
        <v>70</v>
      </c>
      <c r="H362" s="1">
        <v>9.23</v>
      </c>
    </row>
    <row r="363" spans="1:8">
      <c r="A363" s="1">
        <v>22</v>
      </c>
      <c r="B363" s="1" t="s">
        <v>1255</v>
      </c>
      <c r="C363" s="1">
        <v>41.48</v>
      </c>
      <c r="D363" s="1">
        <v>372.11</v>
      </c>
      <c r="E363" s="1">
        <v>0.31443100000000002</v>
      </c>
      <c r="F363" s="1">
        <v>1.27</v>
      </c>
      <c r="G363" s="1">
        <v>10</v>
      </c>
      <c r="H363" s="1">
        <v>7.87</v>
      </c>
    </row>
    <row r="364" spans="1:8">
      <c r="A364" s="1">
        <v>23</v>
      </c>
      <c r="B364" s="1" t="s">
        <v>1256</v>
      </c>
      <c r="C364" s="1">
        <v>43.02</v>
      </c>
      <c r="D364" s="1">
        <v>368.19</v>
      </c>
      <c r="E364" s="1">
        <v>0.32178499999999999</v>
      </c>
      <c r="F364" s="1">
        <v>0.04</v>
      </c>
      <c r="G364" s="1">
        <v>84</v>
      </c>
      <c r="H364" s="1">
        <v>8.17</v>
      </c>
    </row>
    <row r="365" spans="1:8">
      <c r="A365" s="1">
        <v>24</v>
      </c>
      <c r="B365" s="1" t="s">
        <v>1257</v>
      </c>
      <c r="C365" s="1">
        <v>51.71</v>
      </c>
      <c r="D365" s="1">
        <v>374.49</v>
      </c>
      <c r="E365" s="1">
        <v>0.359402</v>
      </c>
      <c r="F365" s="1">
        <v>0.42</v>
      </c>
      <c r="G365" s="1">
        <v>72</v>
      </c>
      <c r="H365" s="1">
        <v>9.8000000000000007</v>
      </c>
    </row>
    <row r="366" spans="1:8">
      <c r="A366" s="1">
        <v>25</v>
      </c>
      <c r="B366" s="1" t="s">
        <v>1258</v>
      </c>
      <c r="C366" s="1">
        <v>50.44</v>
      </c>
      <c r="D366" s="1">
        <v>380.68</v>
      </c>
      <c r="E366" s="1">
        <v>0.38006600000000001</v>
      </c>
      <c r="F366" s="1">
        <v>4.22</v>
      </c>
      <c r="G366" s="1">
        <v>68</v>
      </c>
      <c r="H366" s="1">
        <v>9.58</v>
      </c>
    </row>
    <row r="367" spans="1:8">
      <c r="A367" s="1">
        <v>26</v>
      </c>
      <c r="B367" s="1" t="s">
        <v>1259</v>
      </c>
      <c r="C367" s="1">
        <v>50.57</v>
      </c>
      <c r="D367" s="1">
        <v>379.73</v>
      </c>
      <c r="E367" s="1">
        <v>0.36899900000000002</v>
      </c>
      <c r="F367" s="1">
        <v>2.11</v>
      </c>
      <c r="G367" s="1">
        <v>88</v>
      </c>
      <c r="H367" s="1">
        <v>9.59</v>
      </c>
    </row>
    <row r="368" spans="1:8">
      <c r="A368" s="1">
        <v>27</v>
      </c>
      <c r="B368" s="1" t="s">
        <v>1260</v>
      </c>
      <c r="C368" s="1">
        <v>47.95</v>
      </c>
      <c r="D368" s="1" t="e">
        <f>-inf</f>
        <v>#NAME?</v>
      </c>
      <c r="E368" s="1">
        <v>0.30573800000000001</v>
      </c>
      <c r="F368" s="1">
        <v>0</v>
      </c>
      <c r="G368" s="1">
        <v>22</v>
      </c>
      <c r="H368" s="1">
        <v>9.09</v>
      </c>
    </row>
    <row r="369" spans="1:8">
      <c r="A369" s="1">
        <v>28</v>
      </c>
      <c r="B369" s="1" t="s">
        <v>1261</v>
      </c>
      <c r="C369" s="1">
        <v>44.03</v>
      </c>
      <c r="D369" s="1">
        <v>374.16</v>
      </c>
      <c r="E369" s="1">
        <v>0.34595399999999998</v>
      </c>
      <c r="F369" s="1">
        <v>1.27</v>
      </c>
      <c r="G369" s="1">
        <v>10</v>
      </c>
      <c r="H369" s="1">
        <v>8.35</v>
      </c>
    </row>
    <row r="370" spans="1:8">
      <c r="A370" s="1">
        <v>29</v>
      </c>
      <c r="B370" s="1" t="s">
        <v>1262</v>
      </c>
      <c r="C370" s="1">
        <v>50.36</v>
      </c>
      <c r="D370" s="1">
        <v>374.95</v>
      </c>
      <c r="E370" s="1">
        <v>0.34376000000000001</v>
      </c>
      <c r="F370" s="1">
        <v>0.65</v>
      </c>
      <c r="G370" s="1">
        <v>84</v>
      </c>
      <c r="H370" s="1">
        <v>9.5500000000000007</v>
      </c>
    </row>
    <row r="371" spans="1:8">
      <c r="A371" s="1">
        <v>30</v>
      </c>
      <c r="B371" s="1" t="s">
        <v>1263</v>
      </c>
      <c r="C371" s="1">
        <v>43.75</v>
      </c>
      <c r="D371" s="1">
        <v>376.33</v>
      </c>
      <c r="E371" s="1">
        <v>0.35811100000000001</v>
      </c>
      <c r="F371" s="1">
        <v>0.81</v>
      </c>
      <c r="G371" s="1">
        <v>68</v>
      </c>
      <c r="H371" s="1">
        <v>8.2799999999999994</v>
      </c>
    </row>
    <row r="372" spans="1:8">
      <c r="A372" s="1">
        <v>31</v>
      </c>
      <c r="B372" s="1" t="s">
        <v>1264</v>
      </c>
      <c r="C372" s="1">
        <v>45.05</v>
      </c>
      <c r="D372" s="1">
        <v>371.42</v>
      </c>
      <c r="E372" s="1">
        <v>0.33798800000000001</v>
      </c>
      <c r="F372" s="1">
        <v>0.61</v>
      </c>
      <c r="G372" s="1">
        <v>38</v>
      </c>
      <c r="H372" s="1">
        <v>8.5399999999999991</v>
      </c>
    </row>
    <row r="373" spans="1:8">
      <c r="A373" s="1">
        <v>32</v>
      </c>
      <c r="B373" s="1" t="s">
        <v>1265</v>
      </c>
      <c r="C373" s="1">
        <v>50.76</v>
      </c>
      <c r="D373" s="1">
        <v>373.89</v>
      </c>
      <c r="E373" s="1">
        <v>0.35600999999999999</v>
      </c>
      <c r="F373" s="1">
        <v>0.19</v>
      </c>
      <c r="G373" s="1">
        <v>18</v>
      </c>
      <c r="H373" s="1">
        <v>9.61</v>
      </c>
    </row>
    <row r="374" spans="1:8">
      <c r="A374" s="1">
        <v>33</v>
      </c>
      <c r="B374" s="1" t="s">
        <v>1266</v>
      </c>
      <c r="C374" s="1">
        <v>51.74</v>
      </c>
      <c r="D374" s="1">
        <v>376.4</v>
      </c>
      <c r="E374" s="1">
        <v>0.35044599999999998</v>
      </c>
      <c r="F374" s="1">
        <v>0.61</v>
      </c>
      <c r="G374" s="1">
        <v>98</v>
      </c>
      <c r="H374" s="1">
        <v>9.82</v>
      </c>
    </row>
    <row r="375" spans="1:8">
      <c r="A375" s="1">
        <v>34</v>
      </c>
      <c r="B375" s="1" t="s">
        <v>1267</v>
      </c>
      <c r="C375" s="1">
        <v>43.12</v>
      </c>
      <c r="D375" s="1">
        <v>372.73</v>
      </c>
      <c r="E375" s="1">
        <v>0.355626</v>
      </c>
      <c r="F375" s="1">
        <v>0.5</v>
      </c>
      <c r="G375" s="1">
        <v>54</v>
      </c>
      <c r="H375" s="1">
        <v>8.19</v>
      </c>
    </row>
    <row r="376" spans="1:8">
      <c r="A376" s="1">
        <v>35</v>
      </c>
      <c r="B376" s="1" t="s">
        <v>1268</v>
      </c>
      <c r="C376" s="1">
        <v>40.93</v>
      </c>
      <c r="D376" s="1">
        <v>369.61</v>
      </c>
      <c r="E376" s="1">
        <v>0.32538800000000001</v>
      </c>
      <c r="F376" s="1">
        <v>0.38</v>
      </c>
      <c r="G376" s="1">
        <v>58</v>
      </c>
      <c r="H376" s="1">
        <v>7.77</v>
      </c>
    </row>
    <row r="377" spans="1:8">
      <c r="A377" s="1">
        <v>36</v>
      </c>
      <c r="B377" s="1" t="s">
        <v>1269</v>
      </c>
      <c r="C377" s="1">
        <v>44.91</v>
      </c>
      <c r="D377" s="1">
        <v>374.22</v>
      </c>
      <c r="E377" s="1">
        <v>0.33982000000000001</v>
      </c>
      <c r="F377" s="1">
        <v>0.35</v>
      </c>
      <c r="G377" s="1">
        <v>88</v>
      </c>
      <c r="H377" s="1">
        <v>8.52</v>
      </c>
    </row>
    <row r="378" spans="1:8">
      <c r="A378" s="1">
        <v>37</v>
      </c>
      <c r="B378" s="1" t="s">
        <v>1270</v>
      </c>
      <c r="C378" s="1">
        <v>45.94</v>
      </c>
      <c r="D378" s="1">
        <v>378.59</v>
      </c>
      <c r="E378" s="1">
        <v>0.38044899999999998</v>
      </c>
      <c r="F378" s="1">
        <v>0.96</v>
      </c>
      <c r="G378" s="1">
        <v>68</v>
      </c>
      <c r="H378" s="1">
        <v>8.6999999999999993</v>
      </c>
    </row>
    <row r="379" spans="1:8">
      <c r="A379" s="1">
        <v>38</v>
      </c>
      <c r="B379" s="1" t="s">
        <v>1271</v>
      </c>
      <c r="C379" s="1">
        <v>50.92</v>
      </c>
      <c r="D379" s="1">
        <v>375.86</v>
      </c>
      <c r="E379" s="1">
        <v>0.34074599999999999</v>
      </c>
      <c r="F379" s="1">
        <v>1.04</v>
      </c>
      <c r="G379" s="1">
        <v>72</v>
      </c>
      <c r="H379" s="1">
        <v>9.65</v>
      </c>
    </row>
    <row r="380" spans="1:8">
      <c r="A380" s="1">
        <v>39</v>
      </c>
      <c r="B380" s="1" t="s">
        <v>1272</v>
      </c>
      <c r="C380" s="1">
        <v>44.24</v>
      </c>
      <c r="D380" s="1">
        <v>364.98</v>
      </c>
      <c r="E380" s="1">
        <v>0.30175400000000002</v>
      </c>
      <c r="F380" s="1">
        <v>0.27</v>
      </c>
      <c r="G380" s="1">
        <v>88</v>
      </c>
      <c r="H380" s="1">
        <v>8.3800000000000008</v>
      </c>
    </row>
    <row r="381" spans="1:8">
      <c r="A381" s="1">
        <v>40</v>
      </c>
      <c r="B381" s="1" t="s">
        <v>1273</v>
      </c>
      <c r="C381" s="1">
        <v>43.83</v>
      </c>
      <c r="D381" s="1">
        <v>373.91</v>
      </c>
      <c r="E381" s="1">
        <v>0.349493</v>
      </c>
      <c r="F381" s="1">
        <v>0.81</v>
      </c>
      <c r="G381" s="1">
        <v>12</v>
      </c>
      <c r="H381" s="1">
        <v>8.33</v>
      </c>
    </row>
    <row r="382" spans="1:8">
      <c r="A382" s="1">
        <v>41</v>
      </c>
      <c r="B382" s="1" t="s">
        <v>1274</v>
      </c>
      <c r="C382" s="1">
        <v>44.13</v>
      </c>
      <c r="D382" s="1">
        <v>369.47</v>
      </c>
      <c r="E382" s="1">
        <v>0.31457200000000002</v>
      </c>
      <c r="F382" s="1">
        <v>0.23</v>
      </c>
      <c r="G382" s="1">
        <v>62</v>
      </c>
      <c r="H382" s="1">
        <v>8.3800000000000008</v>
      </c>
    </row>
    <row r="383" spans="1:8">
      <c r="A383" s="1">
        <v>42</v>
      </c>
      <c r="B383" s="1" t="s">
        <v>1275</v>
      </c>
      <c r="C383" s="1">
        <v>45.82</v>
      </c>
      <c r="D383" s="1">
        <v>375.04</v>
      </c>
      <c r="E383" s="1">
        <v>0.35726400000000003</v>
      </c>
      <c r="F383" s="1">
        <v>0.38</v>
      </c>
      <c r="G383" s="1">
        <v>68</v>
      </c>
      <c r="H383" s="1">
        <v>8.69</v>
      </c>
    </row>
    <row r="384" spans="1:8">
      <c r="A384" s="1">
        <v>43</v>
      </c>
      <c r="B384" s="1" t="s">
        <v>1276</v>
      </c>
      <c r="C384" s="1">
        <v>48.99</v>
      </c>
      <c r="D384" s="1" t="e">
        <f>-inf</f>
        <v>#NAME?</v>
      </c>
      <c r="E384" s="1">
        <v>0.33240700000000001</v>
      </c>
      <c r="F384" s="1">
        <v>0</v>
      </c>
      <c r="G384" s="1">
        <v>22</v>
      </c>
      <c r="H384" s="1">
        <v>9.2899999999999991</v>
      </c>
    </row>
    <row r="385" spans="1:8">
      <c r="A385" s="1">
        <v>44</v>
      </c>
      <c r="B385" s="1" t="s">
        <v>1277</v>
      </c>
      <c r="C385" s="1">
        <v>47.91</v>
      </c>
      <c r="D385" s="1">
        <v>371.35</v>
      </c>
      <c r="E385" s="1">
        <v>0.33433299999999999</v>
      </c>
      <c r="F385" s="1">
        <v>0.27</v>
      </c>
      <c r="G385" s="1">
        <v>80</v>
      </c>
      <c r="H385" s="1">
        <v>9.09</v>
      </c>
    </row>
    <row r="386" spans="1:8">
      <c r="A386" s="1">
        <v>45</v>
      </c>
      <c r="B386" s="1" t="s">
        <v>1278</v>
      </c>
      <c r="C386" s="1">
        <v>47.21</v>
      </c>
      <c r="D386" s="1">
        <v>376.48</v>
      </c>
      <c r="E386" s="1">
        <v>0.35262900000000003</v>
      </c>
      <c r="F386" s="1">
        <v>1.46</v>
      </c>
      <c r="G386" s="1">
        <v>68</v>
      </c>
      <c r="H386" s="1">
        <v>8.9499999999999993</v>
      </c>
    </row>
    <row r="387" spans="1:8">
      <c r="A387" s="1">
        <v>46</v>
      </c>
      <c r="B387" s="1" t="s">
        <v>1279</v>
      </c>
      <c r="C387" s="1">
        <v>45.65</v>
      </c>
      <c r="D387" s="1">
        <v>372.26</v>
      </c>
      <c r="E387" s="1">
        <v>0.34070499999999998</v>
      </c>
      <c r="F387" s="1">
        <v>0.57999999999999996</v>
      </c>
      <c r="G387" s="1">
        <v>6</v>
      </c>
      <c r="H387" s="1">
        <v>8.67</v>
      </c>
    </row>
    <row r="388" spans="1:8">
      <c r="A388" s="1">
        <v>47</v>
      </c>
      <c r="B388" s="1" t="s">
        <v>1280</v>
      </c>
      <c r="C388" s="1">
        <v>48.99</v>
      </c>
      <c r="D388" s="1">
        <v>372.73</v>
      </c>
      <c r="E388" s="1">
        <v>0.346941</v>
      </c>
      <c r="F388" s="1">
        <v>0.04</v>
      </c>
      <c r="G388" s="1">
        <v>0</v>
      </c>
      <c r="H388" s="1">
        <v>9.31</v>
      </c>
    </row>
    <row r="389" spans="1:8">
      <c r="A389" s="1">
        <v>48</v>
      </c>
      <c r="B389" s="1" t="s">
        <v>1281</v>
      </c>
      <c r="C389" s="1">
        <v>51.96</v>
      </c>
      <c r="D389" s="1">
        <v>371.97</v>
      </c>
      <c r="E389" s="1">
        <v>0.32920300000000002</v>
      </c>
      <c r="F389" s="1">
        <v>0.19</v>
      </c>
      <c r="G389" s="1">
        <v>50</v>
      </c>
      <c r="H389" s="1">
        <v>9.8699999999999992</v>
      </c>
    </row>
    <row r="390" spans="1:8">
      <c r="A390" s="1">
        <v>49</v>
      </c>
      <c r="B390" s="1" t="s">
        <v>1282</v>
      </c>
      <c r="C390" s="1">
        <v>46.21</v>
      </c>
      <c r="D390" s="1">
        <v>368.44</v>
      </c>
      <c r="E390" s="1">
        <v>0.32837</v>
      </c>
      <c r="F390" s="1">
        <v>0.08</v>
      </c>
      <c r="G390" s="1">
        <v>84</v>
      </c>
      <c r="H390" s="1">
        <v>8.76</v>
      </c>
    </row>
    <row r="391" spans="1:8">
      <c r="A391" s="1">
        <v>50</v>
      </c>
      <c r="B391" s="1" t="s">
        <v>1283</v>
      </c>
      <c r="C391" s="1">
        <v>44.85</v>
      </c>
      <c r="D391" s="1">
        <v>370.48</v>
      </c>
      <c r="E391" s="1">
        <v>0.322156</v>
      </c>
      <c r="F391" s="1">
        <v>1.1499999999999999</v>
      </c>
      <c r="G391" s="1">
        <v>38</v>
      </c>
      <c r="H391" s="1">
        <v>8.5</v>
      </c>
    </row>
    <row r="392" spans="1:8">
      <c r="B392" s="1" t="s">
        <v>19</v>
      </c>
      <c r="C392" s="1">
        <f>AVERAGE(C342:C391)</f>
        <v>46.630200000000002</v>
      </c>
      <c r="D392" s="1" t="e">
        <f t="shared" ref="D392" si="40">AVERAGE(D342:D391)</f>
        <v>#NAME?</v>
      </c>
      <c r="E392" s="1">
        <f t="shared" ref="E392" si="41">AVERAGE(E342:E391)</f>
        <v>0.34117934</v>
      </c>
      <c r="F392" s="1">
        <f t="shared" ref="F392" si="42">AVERAGE(F342:F391)</f>
        <v>0.7659999999999999</v>
      </c>
      <c r="H392" s="1">
        <f t="shared" ref="H392" si="43">AVERAGE(H342:H391)</f>
        <v>8.8423999999999978</v>
      </c>
    </row>
    <row r="393" spans="1:8">
      <c r="B393" s="1" t="s">
        <v>20</v>
      </c>
      <c r="C393" s="1">
        <f>MIN(C341:C391)</f>
        <v>40.93</v>
      </c>
      <c r="D393" s="1" t="e">
        <f t="shared" ref="D393:F393" si="44">MIN(D341:D391)</f>
        <v>#NAME?</v>
      </c>
      <c r="E393" s="1">
        <f t="shared" si="44"/>
        <v>0.29850300000000002</v>
      </c>
      <c r="F393" s="1">
        <f t="shared" si="44"/>
        <v>0</v>
      </c>
      <c r="H393" s="1">
        <f t="shared" ref="H393" si="45">MIN(H341:H391)</f>
        <v>7.77</v>
      </c>
    </row>
    <row r="394" spans="1:8">
      <c r="B394" s="1" t="s">
        <v>3</v>
      </c>
      <c r="C394" s="1">
        <f>STDEV(C342:C391)</f>
        <v>2.868371855607303</v>
      </c>
      <c r="D394" s="1" t="e">
        <f t="shared" ref="D394:E394" si="46">STDEV(D342:D391)</f>
        <v>#NAME?</v>
      </c>
      <c r="E394" s="1">
        <f t="shared" si="46"/>
        <v>2.0453314916807717E-2</v>
      </c>
      <c r="F394" s="1">
        <f>STDEV(F342:F391)</f>
        <v>0.89034732961184271</v>
      </c>
      <c r="H394" s="1">
        <f>STDEV(H342:H391)</f>
        <v>0.54374573889957234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45"/>
  <sheetViews>
    <sheetView topLeftCell="A343" zoomScale="50" zoomScaleNormal="50" workbookViewId="0">
      <selection activeCell="C342" sqref="C342:C391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3922</v>
      </c>
      <c r="C1" s="25"/>
      <c r="D1" s="25"/>
    </row>
    <row r="2" spans="1:8">
      <c r="B2" s="25"/>
      <c r="C2" s="25"/>
      <c r="D2" s="25"/>
    </row>
    <row r="4" spans="1:8">
      <c r="H4" s="23" t="s">
        <v>1435</v>
      </c>
    </row>
    <row r="5" spans="1:8" ht="18">
      <c r="A5" s="23" t="s">
        <v>7</v>
      </c>
      <c r="B5" s="3" t="s">
        <v>0</v>
      </c>
      <c r="C5" s="23" t="s">
        <v>4</v>
      </c>
      <c r="D5" s="23" t="s">
        <v>322</v>
      </c>
      <c r="E5" s="23" t="s">
        <v>321</v>
      </c>
      <c r="F5" s="23" t="s">
        <v>324</v>
      </c>
      <c r="G5" s="23" t="s">
        <v>323</v>
      </c>
      <c r="H5" s="23" t="s">
        <v>1436</v>
      </c>
    </row>
    <row r="6" spans="1:8">
      <c r="A6" s="1">
        <v>1</v>
      </c>
      <c r="B6" t="s">
        <v>1453</v>
      </c>
      <c r="C6">
        <v>88.61</v>
      </c>
      <c r="D6">
        <v>15.89</v>
      </c>
      <c r="E6">
        <v>0.98995</v>
      </c>
      <c r="F6">
        <v>79.680000000000007</v>
      </c>
      <c r="G6">
        <v>0</v>
      </c>
      <c r="H6">
        <v>19.21</v>
      </c>
    </row>
    <row r="7" spans="1:8">
      <c r="A7" s="1">
        <v>2</v>
      </c>
      <c r="B7" t="s">
        <v>1456</v>
      </c>
      <c r="C7">
        <v>84.29</v>
      </c>
      <c r="D7">
        <v>15.85</v>
      </c>
      <c r="E7">
        <v>0.99749500000000002</v>
      </c>
      <c r="F7">
        <v>80.06</v>
      </c>
      <c r="G7">
        <v>0</v>
      </c>
      <c r="H7">
        <v>19.260000000000002</v>
      </c>
    </row>
    <row r="8" spans="1:8">
      <c r="A8" s="1">
        <v>3</v>
      </c>
      <c r="B8" t="s">
        <v>1459</v>
      </c>
      <c r="C8">
        <v>88.61</v>
      </c>
      <c r="D8">
        <v>15.89</v>
      </c>
      <c r="E8">
        <v>0.98995</v>
      </c>
      <c r="F8">
        <v>79.680000000000007</v>
      </c>
      <c r="G8">
        <v>0</v>
      </c>
      <c r="H8">
        <v>19.21</v>
      </c>
    </row>
    <row r="9" spans="1:8">
      <c r="A9" s="1">
        <v>4</v>
      </c>
      <c r="B9" t="s">
        <v>1462</v>
      </c>
      <c r="C9">
        <v>94.12</v>
      </c>
      <c r="D9">
        <v>15.95</v>
      </c>
      <c r="E9">
        <v>0.99719500000000005</v>
      </c>
      <c r="F9">
        <v>89.13</v>
      </c>
      <c r="G9">
        <v>0</v>
      </c>
      <c r="H9">
        <v>19.170000000000002</v>
      </c>
    </row>
    <row r="10" spans="1:8" s="19" customFormat="1">
      <c r="A10" s="19">
        <v>5</v>
      </c>
      <c r="B10" t="s">
        <v>1465</v>
      </c>
      <c r="C10">
        <v>94.12</v>
      </c>
      <c r="D10">
        <v>15.95</v>
      </c>
      <c r="E10">
        <v>0.99719500000000005</v>
      </c>
      <c r="F10">
        <v>89.13</v>
      </c>
      <c r="G10">
        <v>0</v>
      </c>
      <c r="H10">
        <v>19.170000000000002</v>
      </c>
    </row>
    <row r="11" spans="1:8">
      <c r="A11" s="1">
        <v>6</v>
      </c>
      <c r="B11" t="s">
        <v>1468</v>
      </c>
      <c r="C11">
        <v>89.66</v>
      </c>
      <c r="D11">
        <v>15.91</v>
      </c>
      <c r="E11">
        <v>0.99999300000000002</v>
      </c>
      <c r="F11">
        <v>89.43</v>
      </c>
      <c r="G11">
        <v>2</v>
      </c>
      <c r="H11">
        <v>19.21</v>
      </c>
    </row>
    <row r="12" spans="1:8">
      <c r="A12" s="1">
        <v>7</v>
      </c>
      <c r="B12" t="s">
        <v>1471</v>
      </c>
      <c r="C12">
        <v>88.61</v>
      </c>
      <c r="D12">
        <v>15.89</v>
      </c>
      <c r="E12">
        <v>0.98995</v>
      </c>
      <c r="F12">
        <v>79.680000000000007</v>
      </c>
      <c r="G12">
        <v>0</v>
      </c>
      <c r="H12">
        <v>19.21</v>
      </c>
    </row>
    <row r="13" spans="1:8">
      <c r="A13" s="1">
        <v>8</v>
      </c>
      <c r="B13" t="s">
        <v>1474</v>
      </c>
      <c r="C13">
        <v>88.61</v>
      </c>
      <c r="D13">
        <v>15.89</v>
      </c>
      <c r="E13">
        <v>0.98995</v>
      </c>
      <c r="F13">
        <v>79.680000000000007</v>
      </c>
      <c r="G13">
        <v>0</v>
      </c>
      <c r="H13">
        <v>19.21</v>
      </c>
    </row>
    <row r="14" spans="1:8">
      <c r="A14" s="1">
        <v>9</v>
      </c>
      <c r="B14" t="s">
        <v>1477</v>
      </c>
      <c r="C14">
        <v>89.18</v>
      </c>
      <c r="D14">
        <v>15.9</v>
      </c>
      <c r="E14">
        <v>0.98757600000000001</v>
      </c>
      <c r="F14">
        <v>79.180000000000007</v>
      </c>
      <c r="G14">
        <v>2</v>
      </c>
      <c r="H14">
        <v>19.22</v>
      </c>
    </row>
    <row r="15" spans="1:8">
      <c r="A15" s="1">
        <v>10</v>
      </c>
      <c r="B15" t="s">
        <v>1480</v>
      </c>
      <c r="C15">
        <v>93.77</v>
      </c>
      <c r="D15">
        <v>15.94</v>
      </c>
      <c r="E15">
        <v>0.99755099999999997</v>
      </c>
      <c r="F15">
        <v>89.13</v>
      </c>
      <c r="G15">
        <v>2</v>
      </c>
      <c r="H15">
        <v>19.170000000000002</v>
      </c>
    </row>
    <row r="16" spans="1:8">
      <c r="A16" s="1">
        <v>11</v>
      </c>
      <c r="B16" t="s">
        <v>1483</v>
      </c>
      <c r="C16">
        <v>89.66</v>
      </c>
      <c r="D16">
        <v>15.91</v>
      </c>
      <c r="E16">
        <v>0.99999300000000002</v>
      </c>
      <c r="F16">
        <v>89.43</v>
      </c>
      <c r="G16">
        <v>2</v>
      </c>
      <c r="H16">
        <v>19.21</v>
      </c>
    </row>
    <row r="17" spans="1:8">
      <c r="A17" s="1">
        <v>12</v>
      </c>
      <c r="B17" t="s">
        <v>1486</v>
      </c>
      <c r="C17">
        <v>88.61</v>
      </c>
      <c r="D17">
        <v>15.89</v>
      </c>
      <c r="E17">
        <v>0.98995</v>
      </c>
      <c r="F17">
        <v>79.680000000000007</v>
      </c>
      <c r="G17">
        <v>0</v>
      </c>
      <c r="H17">
        <v>19.21</v>
      </c>
    </row>
    <row r="18" spans="1:8">
      <c r="A18" s="1">
        <v>13</v>
      </c>
      <c r="B18" t="s">
        <v>1489</v>
      </c>
      <c r="C18">
        <v>98.76</v>
      </c>
      <c r="D18">
        <v>15.99</v>
      </c>
      <c r="E18">
        <v>0.99998200000000004</v>
      </c>
      <c r="F18">
        <v>98.34</v>
      </c>
      <c r="G18">
        <v>2</v>
      </c>
      <c r="H18">
        <v>19.13</v>
      </c>
    </row>
    <row r="19" spans="1:8">
      <c r="A19" s="1">
        <v>14</v>
      </c>
      <c r="B19" t="s">
        <v>1492</v>
      </c>
      <c r="C19">
        <v>89.99</v>
      </c>
      <c r="D19">
        <v>15.9</v>
      </c>
      <c r="E19">
        <v>0.99058299999999999</v>
      </c>
      <c r="F19">
        <v>81.22</v>
      </c>
      <c r="G19">
        <v>2</v>
      </c>
      <c r="H19">
        <v>19.22</v>
      </c>
    </row>
    <row r="20" spans="1:8">
      <c r="A20" s="1">
        <v>15</v>
      </c>
      <c r="B20" t="s">
        <v>1495</v>
      </c>
      <c r="C20">
        <v>80.33</v>
      </c>
      <c r="D20">
        <v>15.81</v>
      </c>
      <c r="E20">
        <v>0.99998900000000002</v>
      </c>
      <c r="F20">
        <v>80.06</v>
      </c>
      <c r="G20">
        <v>2</v>
      </c>
      <c r="H20">
        <v>19.3</v>
      </c>
    </row>
    <row r="21" spans="1:8">
      <c r="A21" s="1">
        <v>16</v>
      </c>
      <c r="B21" t="s">
        <v>1498</v>
      </c>
      <c r="C21">
        <v>80.33</v>
      </c>
      <c r="D21">
        <v>15.81</v>
      </c>
      <c r="E21">
        <v>0.99998900000000002</v>
      </c>
      <c r="F21">
        <v>80.06</v>
      </c>
      <c r="G21">
        <v>2</v>
      </c>
      <c r="H21">
        <v>19.3</v>
      </c>
    </row>
    <row r="22" spans="1:8">
      <c r="A22" s="1">
        <v>17</v>
      </c>
      <c r="B22" t="s">
        <v>1501</v>
      </c>
      <c r="C22">
        <v>80.33</v>
      </c>
      <c r="D22">
        <v>15.81</v>
      </c>
      <c r="E22">
        <v>0.99998900000000002</v>
      </c>
      <c r="F22">
        <v>80.06</v>
      </c>
      <c r="G22">
        <v>2</v>
      </c>
      <c r="H22">
        <v>19.3</v>
      </c>
    </row>
    <row r="23" spans="1:8">
      <c r="A23" s="1">
        <v>18</v>
      </c>
      <c r="B23" t="s">
        <v>1504</v>
      </c>
      <c r="C23">
        <v>88.61</v>
      </c>
      <c r="D23">
        <v>15.89</v>
      </c>
      <c r="E23">
        <v>0.98995</v>
      </c>
      <c r="F23">
        <v>79.680000000000007</v>
      </c>
      <c r="G23">
        <v>0</v>
      </c>
      <c r="H23">
        <v>19.21</v>
      </c>
    </row>
    <row r="24" spans="1:8">
      <c r="A24" s="1">
        <v>19</v>
      </c>
      <c r="B24" t="s">
        <v>1507</v>
      </c>
      <c r="C24">
        <v>89.99</v>
      </c>
      <c r="D24">
        <v>15.9</v>
      </c>
      <c r="E24">
        <v>0.99058299999999999</v>
      </c>
      <c r="F24">
        <v>81.22</v>
      </c>
      <c r="G24">
        <v>2</v>
      </c>
      <c r="H24">
        <v>19.22</v>
      </c>
    </row>
    <row r="25" spans="1:8">
      <c r="A25" s="1">
        <v>20</v>
      </c>
      <c r="B25" t="s">
        <v>1510</v>
      </c>
      <c r="C25">
        <v>93.77</v>
      </c>
      <c r="D25">
        <v>15.94</v>
      </c>
      <c r="E25">
        <v>0.99755099999999997</v>
      </c>
      <c r="F25">
        <v>89.13</v>
      </c>
      <c r="G25">
        <v>2</v>
      </c>
      <c r="H25">
        <v>19.170000000000002</v>
      </c>
    </row>
    <row r="26" spans="1:8">
      <c r="A26" s="1">
        <v>21</v>
      </c>
      <c r="B26" t="s">
        <v>1513</v>
      </c>
      <c r="C26">
        <v>84.29</v>
      </c>
      <c r="D26">
        <v>15.85</v>
      </c>
      <c r="E26">
        <v>0.99749500000000002</v>
      </c>
      <c r="F26">
        <v>80.06</v>
      </c>
      <c r="G26">
        <v>0</v>
      </c>
      <c r="H26">
        <v>19.260000000000002</v>
      </c>
    </row>
    <row r="27" spans="1:8">
      <c r="A27" s="1">
        <v>22</v>
      </c>
      <c r="B27" t="s">
        <v>1516</v>
      </c>
      <c r="C27">
        <v>94.12</v>
      </c>
      <c r="D27">
        <v>15.95</v>
      </c>
      <c r="E27">
        <v>0.99719500000000005</v>
      </c>
      <c r="F27">
        <v>89.13</v>
      </c>
      <c r="G27">
        <v>0</v>
      </c>
      <c r="H27">
        <v>19.170000000000002</v>
      </c>
    </row>
    <row r="28" spans="1:8">
      <c r="A28" s="1">
        <v>23</v>
      </c>
      <c r="B28" t="s">
        <v>1519</v>
      </c>
      <c r="C28">
        <v>89.18</v>
      </c>
      <c r="D28">
        <v>15.9</v>
      </c>
      <c r="E28">
        <v>0.98757600000000001</v>
      </c>
      <c r="F28">
        <v>79.180000000000007</v>
      </c>
      <c r="G28">
        <v>2</v>
      </c>
      <c r="H28">
        <v>19.22</v>
      </c>
    </row>
    <row r="29" spans="1:8">
      <c r="A29" s="1">
        <v>24</v>
      </c>
      <c r="B29" t="s">
        <v>1522</v>
      </c>
      <c r="C29">
        <v>88.61</v>
      </c>
      <c r="D29">
        <v>15.89</v>
      </c>
      <c r="E29">
        <v>0.98995</v>
      </c>
      <c r="F29">
        <v>79.680000000000007</v>
      </c>
      <c r="G29">
        <v>0</v>
      </c>
      <c r="H29">
        <v>19.21</v>
      </c>
    </row>
    <row r="30" spans="1:8">
      <c r="A30" s="1">
        <v>25</v>
      </c>
      <c r="B30" t="s">
        <v>1525</v>
      </c>
      <c r="C30">
        <v>88.61</v>
      </c>
      <c r="D30">
        <v>15.89</v>
      </c>
      <c r="E30">
        <v>0.98995</v>
      </c>
      <c r="F30">
        <v>79.680000000000007</v>
      </c>
      <c r="G30">
        <v>0</v>
      </c>
      <c r="H30">
        <v>19.21</v>
      </c>
    </row>
    <row r="31" spans="1:8">
      <c r="A31" s="1">
        <v>26</v>
      </c>
      <c r="B31" t="s">
        <v>1528</v>
      </c>
      <c r="C31">
        <v>88.61</v>
      </c>
      <c r="D31">
        <v>15.89</v>
      </c>
      <c r="E31">
        <v>0.98995</v>
      </c>
      <c r="F31">
        <v>79.680000000000007</v>
      </c>
      <c r="G31">
        <v>0</v>
      </c>
      <c r="H31">
        <v>19.21</v>
      </c>
    </row>
    <row r="32" spans="1:8">
      <c r="A32" s="1">
        <v>27</v>
      </c>
      <c r="B32" t="s">
        <v>1531</v>
      </c>
      <c r="C32">
        <v>84.4</v>
      </c>
      <c r="D32">
        <v>15.85</v>
      </c>
      <c r="E32">
        <v>0.99646000000000001</v>
      </c>
      <c r="F32">
        <v>79.37</v>
      </c>
      <c r="G32">
        <v>2</v>
      </c>
      <c r="H32">
        <v>19.260000000000002</v>
      </c>
    </row>
    <row r="33" spans="1:8">
      <c r="A33" s="1">
        <v>28</v>
      </c>
      <c r="B33" t="s">
        <v>1534</v>
      </c>
      <c r="C33">
        <v>89.66</v>
      </c>
      <c r="D33">
        <v>15.91</v>
      </c>
      <c r="E33">
        <v>0.99999300000000002</v>
      </c>
      <c r="F33">
        <v>89.43</v>
      </c>
      <c r="G33">
        <v>2</v>
      </c>
      <c r="H33">
        <v>19.21</v>
      </c>
    </row>
    <row r="34" spans="1:8">
      <c r="A34" s="1">
        <v>29</v>
      </c>
      <c r="B34" t="s">
        <v>1537</v>
      </c>
      <c r="C34">
        <v>80.33</v>
      </c>
      <c r="D34">
        <v>15.81</v>
      </c>
      <c r="E34">
        <v>0.99998900000000002</v>
      </c>
      <c r="F34">
        <v>80.06</v>
      </c>
      <c r="G34">
        <v>2</v>
      </c>
      <c r="H34">
        <v>19.3</v>
      </c>
    </row>
    <row r="35" spans="1:8">
      <c r="A35" s="1">
        <v>30</v>
      </c>
      <c r="B35" t="s">
        <v>1540</v>
      </c>
      <c r="C35">
        <v>98.76</v>
      </c>
      <c r="D35">
        <v>15.99</v>
      </c>
      <c r="E35">
        <v>0.99998200000000004</v>
      </c>
      <c r="F35">
        <v>98.34</v>
      </c>
      <c r="G35">
        <v>2</v>
      </c>
      <c r="H35">
        <v>19.13</v>
      </c>
    </row>
    <row r="36" spans="1:8">
      <c r="A36" s="1">
        <v>31</v>
      </c>
      <c r="B36" t="s">
        <v>1543</v>
      </c>
      <c r="C36">
        <v>88.61</v>
      </c>
      <c r="D36">
        <v>15.89</v>
      </c>
      <c r="E36">
        <v>0.98995</v>
      </c>
      <c r="F36">
        <v>79.680000000000007</v>
      </c>
      <c r="G36">
        <v>0</v>
      </c>
      <c r="H36">
        <v>19.21</v>
      </c>
    </row>
    <row r="37" spans="1:8">
      <c r="A37" s="1">
        <v>32</v>
      </c>
      <c r="B37" t="s">
        <v>1546</v>
      </c>
      <c r="C37">
        <v>98.76</v>
      </c>
      <c r="D37">
        <v>15.99</v>
      </c>
      <c r="E37">
        <v>0.99998200000000004</v>
      </c>
      <c r="F37">
        <v>98.34</v>
      </c>
      <c r="G37">
        <v>2</v>
      </c>
      <c r="H37">
        <v>19.13</v>
      </c>
    </row>
    <row r="38" spans="1:8">
      <c r="A38" s="1">
        <v>33</v>
      </c>
      <c r="B38" t="s">
        <v>1549</v>
      </c>
      <c r="C38">
        <v>93.75</v>
      </c>
      <c r="D38">
        <v>15.94</v>
      </c>
      <c r="E38">
        <v>0.996838</v>
      </c>
      <c r="F38">
        <v>88.47</v>
      </c>
      <c r="G38">
        <v>0</v>
      </c>
      <c r="H38">
        <v>19.170000000000002</v>
      </c>
    </row>
    <row r="39" spans="1:8">
      <c r="A39" s="1">
        <v>34</v>
      </c>
      <c r="B39" t="s">
        <v>1552</v>
      </c>
      <c r="C39">
        <v>88.61</v>
      </c>
      <c r="D39">
        <v>15.89</v>
      </c>
      <c r="E39">
        <v>0.98995</v>
      </c>
      <c r="F39">
        <v>79.680000000000007</v>
      </c>
      <c r="G39">
        <v>0</v>
      </c>
      <c r="H39">
        <v>19.21</v>
      </c>
    </row>
    <row r="40" spans="1:8">
      <c r="A40" s="1">
        <v>35</v>
      </c>
      <c r="B40" t="s">
        <v>1555</v>
      </c>
      <c r="C40">
        <v>88.61</v>
      </c>
      <c r="D40">
        <v>15.89</v>
      </c>
      <c r="E40">
        <v>0.98995</v>
      </c>
      <c r="F40">
        <v>79.680000000000007</v>
      </c>
      <c r="G40">
        <v>0</v>
      </c>
      <c r="H40">
        <v>19.21</v>
      </c>
    </row>
    <row r="41" spans="1:8">
      <c r="A41" s="1">
        <v>36</v>
      </c>
      <c r="B41" t="s">
        <v>1558</v>
      </c>
      <c r="C41">
        <v>80.33</v>
      </c>
      <c r="D41">
        <v>15.81</v>
      </c>
      <c r="E41">
        <v>0.99998900000000002</v>
      </c>
      <c r="F41">
        <v>80.06</v>
      </c>
      <c r="G41">
        <v>2</v>
      </c>
      <c r="H41">
        <v>19.3</v>
      </c>
    </row>
    <row r="42" spans="1:8">
      <c r="A42" s="1">
        <v>37</v>
      </c>
      <c r="B42" t="s">
        <v>1561</v>
      </c>
      <c r="C42">
        <v>88.61</v>
      </c>
      <c r="D42">
        <v>15.89</v>
      </c>
      <c r="E42">
        <v>0.98995</v>
      </c>
      <c r="F42">
        <v>79.680000000000007</v>
      </c>
      <c r="G42">
        <v>0</v>
      </c>
      <c r="H42">
        <v>19.21</v>
      </c>
    </row>
    <row r="43" spans="1:8">
      <c r="A43" s="1">
        <v>38</v>
      </c>
      <c r="B43" t="s">
        <v>1564</v>
      </c>
      <c r="C43">
        <v>80.180000000000007</v>
      </c>
      <c r="D43">
        <v>15.81</v>
      </c>
      <c r="E43">
        <v>0.999996</v>
      </c>
      <c r="F43">
        <v>80.03</v>
      </c>
      <c r="G43">
        <v>2</v>
      </c>
      <c r="H43">
        <v>19.3</v>
      </c>
    </row>
    <row r="44" spans="1:8">
      <c r="A44" s="1">
        <v>39</v>
      </c>
      <c r="B44" t="s">
        <v>1567</v>
      </c>
      <c r="C44">
        <v>89.99</v>
      </c>
      <c r="D44">
        <v>15.9</v>
      </c>
      <c r="E44">
        <v>0.99058299999999999</v>
      </c>
      <c r="F44">
        <v>81.22</v>
      </c>
      <c r="G44">
        <v>2</v>
      </c>
      <c r="H44">
        <v>19.22</v>
      </c>
    </row>
    <row r="45" spans="1:8">
      <c r="A45" s="1">
        <v>40</v>
      </c>
      <c r="B45" t="s">
        <v>1570</v>
      </c>
      <c r="C45">
        <v>88.61</v>
      </c>
      <c r="D45">
        <v>15.89</v>
      </c>
      <c r="E45">
        <v>0.98995</v>
      </c>
      <c r="F45">
        <v>79.680000000000007</v>
      </c>
      <c r="G45">
        <v>0</v>
      </c>
      <c r="H45">
        <v>19.21</v>
      </c>
    </row>
    <row r="46" spans="1:8">
      <c r="A46" s="1">
        <v>41</v>
      </c>
      <c r="B46" t="s">
        <v>1573</v>
      </c>
      <c r="C46">
        <v>84.29</v>
      </c>
      <c r="D46">
        <v>15.85</v>
      </c>
      <c r="E46">
        <v>0.99749500000000002</v>
      </c>
      <c r="F46">
        <v>80.06</v>
      </c>
      <c r="G46">
        <v>0</v>
      </c>
      <c r="H46">
        <v>19.260000000000002</v>
      </c>
    </row>
    <row r="47" spans="1:8">
      <c r="A47" s="1">
        <v>42</v>
      </c>
      <c r="B47" t="s">
        <v>1576</v>
      </c>
      <c r="C47">
        <v>80.33</v>
      </c>
      <c r="D47">
        <v>15.81</v>
      </c>
      <c r="E47">
        <v>0.99998900000000002</v>
      </c>
      <c r="F47">
        <v>80.06</v>
      </c>
      <c r="G47">
        <v>2</v>
      </c>
      <c r="H47">
        <v>19.3</v>
      </c>
    </row>
    <row r="48" spans="1:8">
      <c r="A48" s="1">
        <v>43</v>
      </c>
      <c r="B48" t="s">
        <v>1579</v>
      </c>
      <c r="C48">
        <v>89.99</v>
      </c>
      <c r="D48">
        <v>15.9</v>
      </c>
      <c r="E48">
        <v>0.99058299999999999</v>
      </c>
      <c r="F48">
        <v>81.22</v>
      </c>
      <c r="G48">
        <v>2</v>
      </c>
      <c r="H48">
        <v>19.22</v>
      </c>
    </row>
    <row r="49" spans="1:10">
      <c r="A49" s="1">
        <v>44</v>
      </c>
      <c r="B49" t="s">
        <v>1582</v>
      </c>
      <c r="C49">
        <v>84.29</v>
      </c>
      <c r="D49">
        <v>15.85</v>
      </c>
      <c r="E49">
        <v>0.99749500000000002</v>
      </c>
      <c r="F49">
        <v>80.06</v>
      </c>
      <c r="G49">
        <v>0</v>
      </c>
      <c r="H49">
        <v>19.260000000000002</v>
      </c>
    </row>
    <row r="50" spans="1:10">
      <c r="A50" s="1">
        <v>45</v>
      </c>
      <c r="B50" t="s">
        <v>1585</v>
      </c>
      <c r="C50">
        <v>88.61</v>
      </c>
      <c r="D50">
        <v>15.89</v>
      </c>
      <c r="E50">
        <v>0.98995</v>
      </c>
      <c r="F50">
        <v>79.680000000000007</v>
      </c>
      <c r="G50">
        <v>0</v>
      </c>
      <c r="H50">
        <v>19.21</v>
      </c>
    </row>
    <row r="51" spans="1:10">
      <c r="A51" s="1">
        <v>46</v>
      </c>
      <c r="B51" t="s">
        <v>1588</v>
      </c>
      <c r="C51">
        <v>88.61</v>
      </c>
      <c r="D51">
        <v>15.89</v>
      </c>
      <c r="E51">
        <v>0.98995</v>
      </c>
      <c r="F51">
        <v>79.680000000000007</v>
      </c>
      <c r="G51">
        <v>0</v>
      </c>
      <c r="H51">
        <v>19.21</v>
      </c>
      <c r="J51" s="1">
        <v>0</v>
      </c>
    </row>
    <row r="52" spans="1:10">
      <c r="A52" s="1">
        <v>47</v>
      </c>
      <c r="B52" t="s">
        <v>1591</v>
      </c>
      <c r="C52">
        <v>80.33</v>
      </c>
      <c r="D52">
        <v>15.81</v>
      </c>
      <c r="E52">
        <v>0.99998900000000002</v>
      </c>
      <c r="F52">
        <v>80.06</v>
      </c>
      <c r="G52">
        <v>2</v>
      </c>
      <c r="H52">
        <v>19.3</v>
      </c>
    </row>
    <row r="53" spans="1:10">
      <c r="A53" s="1">
        <v>48</v>
      </c>
      <c r="B53" t="s">
        <v>1594</v>
      </c>
      <c r="C53">
        <v>98.53</v>
      </c>
      <c r="D53">
        <v>15.99</v>
      </c>
      <c r="E53">
        <v>1</v>
      </c>
      <c r="F53">
        <v>98.5</v>
      </c>
      <c r="G53">
        <v>0</v>
      </c>
      <c r="H53">
        <v>19.13</v>
      </c>
    </row>
    <row r="54" spans="1:10">
      <c r="A54" s="1">
        <v>49</v>
      </c>
      <c r="B54" t="s">
        <v>1597</v>
      </c>
      <c r="C54">
        <v>94.12</v>
      </c>
      <c r="D54">
        <v>15.95</v>
      </c>
      <c r="E54">
        <v>0.99719500000000005</v>
      </c>
      <c r="F54">
        <v>89.13</v>
      </c>
      <c r="G54">
        <v>0</v>
      </c>
      <c r="H54">
        <v>19.170000000000002</v>
      </c>
    </row>
    <row r="55" spans="1:10">
      <c r="A55" s="1">
        <v>50</v>
      </c>
      <c r="B55" t="s">
        <v>1600</v>
      </c>
      <c r="C55">
        <v>93.77</v>
      </c>
      <c r="D55">
        <v>15.94</v>
      </c>
      <c r="E55">
        <v>0.99755099999999997</v>
      </c>
      <c r="F55">
        <v>89.13</v>
      </c>
      <c r="G55">
        <v>2</v>
      </c>
      <c r="H55">
        <v>19.170000000000002</v>
      </c>
    </row>
    <row r="56" spans="1:10">
      <c r="B56" s="1" t="s">
        <v>19</v>
      </c>
      <c r="C56" s="1">
        <f>AVERAGE(C6:C55)</f>
        <v>88.709199999999996</v>
      </c>
      <c r="D56" s="1">
        <f t="shared" ref="D56:H56" si="0">AVERAGE(D6:D55)</f>
        <v>15.892399999999995</v>
      </c>
      <c r="E56" s="1">
        <f t="shared" si="0"/>
        <v>0.99482478000000019</v>
      </c>
      <c r="F56" s="1">
        <f t="shared" si="0"/>
        <v>83.447399999999959</v>
      </c>
      <c r="H56" s="1">
        <f t="shared" si="0"/>
        <v>19.2178</v>
      </c>
    </row>
    <row r="57" spans="1:10">
      <c r="B57" s="1" t="s">
        <v>20</v>
      </c>
      <c r="C57" s="1">
        <f>MIN(C5:C55)</f>
        <v>80.180000000000007</v>
      </c>
      <c r="D57" s="1">
        <f t="shared" ref="D57:H57" si="1">MIN(D5:D55)</f>
        <v>15.81</v>
      </c>
      <c r="E57" s="1">
        <f t="shared" si="1"/>
        <v>0.98757600000000001</v>
      </c>
      <c r="F57" s="1">
        <f t="shared" si="1"/>
        <v>79.180000000000007</v>
      </c>
      <c r="H57" s="1">
        <f t="shared" si="1"/>
        <v>19.13</v>
      </c>
    </row>
    <row r="58" spans="1:10">
      <c r="B58" s="1" t="s">
        <v>3</v>
      </c>
      <c r="C58" s="1">
        <f>STDEV(C6:C55)</f>
        <v>5.1302245007965928</v>
      </c>
      <c r="D58" s="1">
        <f t="shared" ref="D58:E58" si="2">STDEV(D6:D55)</f>
        <v>5.0530249578336371E-2</v>
      </c>
      <c r="E58" s="1">
        <f t="shared" si="2"/>
        <v>4.6012927078447636E-3</v>
      </c>
      <c r="F58" s="1">
        <f>STDEV(F6:F55)</f>
        <v>5.8701537754085669</v>
      </c>
      <c r="H58" s="1">
        <f>STDEV(H6:H55)</f>
        <v>4.807689419151423E-2</v>
      </c>
    </row>
    <row r="60" spans="1:10">
      <c r="H60" s="23" t="s">
        <v>1435</v>
      </c>
    </row>
    <row r="61" spans="1:10" ht="18">
      <c r="A61" s="23" t="s">
        <v>7</v>
      </c>
      <c r="B61" s="3" t="s">
        <v>8</v>
      </c>
      <c r="C61" s="23" t="s">
        <v>4</v>
      </c>
      <c r="D61" s="23" t="s">
        <v>322</v>
      </c>
      <c r="E61" s="23" t="s">
        <v>321</v>
      </c>
      <c r="F61" s="23" t="s">
        <v>324</v>
      </c>
      <c r="G61" s="23" t="s">
        <v>323</v>
      </c>
      <c r="H61" s="23" t="s">
        <v>1436</v>
      </c>
    </row>
    <row r="62" spans="1:10">
      <c r="A62" s="1">
        <v>1</v>
      </c>
      <c r="B62" t="s">
        <v>3372</v>
      </c>
      <c r="C62">
        <v>89.04</v>
      </c>
      <c r="D62">
        <v>39.74</v>
      </c>
      <c r="E62">
        <v>0.99483699999999997</v>
      </c>
      <c r="F62">
        <v>79.14</v>
      </c>
      <c r="G62">
        <v>2</v>
      </c>
      <c r="H62">
        <v>19.21</v>
      </c>
    </row>
    <row r="63" spans="1:10">
      <c r="A63" s="1">
        <v>2</v>
      </c>
      <c r="B63" t="s">
        <v>3373</v>
      </c>
      <c r="C63">
        <v>92.55</v>
      </c>
      <c r="D63">
        <v>39.83</v>
      </c>
      <c r="E63">
        <v>0.99407199999999996</v>
      </c>
      <c r="F63">
        <v>80.099999999999994</v>
      </c>
      <c r="G63">
        <v>2</v>
      </c>
      <c r="H63">
        <v>19.18</v>
      </c>
    </row>
    <row r="64" spans="1:10">
      <c r="A64" s="1">
        <v>3</v>
      </c>
      <c r="B64" t="s">
        <v>3374</v>
      </c>
      <c r="C64">
        <v>89.17</v>
      </c>
      <c r="D64">
        <v>39.74</v>
      </c>
      <c r="E64">
        <v>0.99159600000000003</v>
      </c>
      <c r="F64">
        <v>79.95</v>
      </c>
      <c r="G64">
        <v>6</v>
      </c>
      <c r="H64">
        <v>19.22</v>
      </c>
    </row>
    <row r="65" spans="1:8">
      <c r="A65" s="1">
        <v>4</v>
      </c>
      <c r="B65" t="s">
        <v>3375</v>
      </c>
      <c r="C65">
        <v>96.4</v>
      </c>
      <c r="D65">
        <v>39.92</v>
      </c>
      <c r="E65">
        <v>0.998556</v>
      </c>
      <c r="F65">
        <v>89.09</v>
      </c>
      <c r="G65">
        <v>2</v>
      </c>
      <c r="H65">
        <v>19.149999999999999</v>
      </c>
    </row>
    <row r="66" spans="1:8">
      <c r="A66" s="1">
        <v>5</v>
      </c>
      <c r="B66" t="s">
        <v>3376</v>
      </c>
      <c r="C66">
        <v>87.28</v>
      </c>
      <c r="D66">
        <v>39.700000000000003</v>
      </c>
      <c r="E66">
        <v>0.99426800000000004</v>
      </c>
      <c r="F66">
        <v>79.95</v>
      </c>
      <c r="G66">
        <v>4</v>
      </c>
      <c r="H66">
        <v>19.23</v>
      </c>
    </row>
    <row r="67" spans="1:8">
      <c r="A67" s="1">
        <v>6</v>
      </c>
      <c r="B67" t="s">
        <v>3377</v>
      </c>
      <c r="C67">
        <v>87.42</v>
      </c>
      <c r="D67">
        <v>39.700000000000003</v>
      </c>
      <c r="E67">
        <v>0.99382999999999999</v>
      </c>
      <c r="F67">
        <v>79.56</v>
      </c>
      <c r="G67">
        <v>8</v>
      </c>
      <c r="H67">
        <v>19.23</v>
      </c>
    </row>
    <row r="68" spans="1:8">
      <c r="A68" s="1">
        <v>7</v>
      </c>
      <c r="B68" t="s">
        <v>3378</v>
      </c>
      <c r="C68">
        <v>91.05</v>
      </c>
      <c r="D68">
        <v>39.79</v>
      </c>
      <c r="E68">
        <v>0.99408099999999999</v>
      </c>
      <c r="F68">
        <v>80.180000000000007</v>
      </c>
      <c r="G68">
        <v>2</v>
      </c>
      <c r="H68">
        <v>19.2</v>
      </c>
    </row>
    <row r="69" spans="1:8">
      <c r="A69" s="1">
        <v>8</v>
      </c>
      <c r="B69" t="s">
        <v>3379</v>
      </c>
      <c r="C69">
        <v>91.55</v>
      </c>
      <c r="D69">
        <v>39.799999999999997</v>
      </c>
      <c r="E69">
        <v>0.99029</v>
      </c>
      <c r="F69">
        <v>79.72</v>
      </c>
      <c r="G69">
        <v>8</v>
      </c>
      <c r="H69">
        <v>19.2</v>
      </c>
    </row>
    <row r="70" spans="1:8">
      <c r="A70" s="1">
        <v>9</v>
      </c>
      <c r="B70" t="s">
        <v>3380</v>
      </c>
      <c r="C70">
        <v>89.41</v>
      </c>
      <c r="D70">
        <v>39.75</v>
      </c>
      <c r="E70">
        <v>0.99207400000000001</v>
      </c>
      <c r="F70">
        <v>80.180000000000007</v>
      </c>
      <c r="G70">
        <v>4</v>
      </c>
      <c r="H70">
        <v>19.21</v>
      </c>
    </row>
    <row r="71" spans="1:8">
      <c r="A71" s="1">
        <v>10</v>
      </c>
      <c r="B71" t="s">
        <v>3381</v>
      </c>
      <c r="C71">
        <v>94.89</v>
      </c>
      <c r="D71">
        <v>39.880000000000003</v>
      </c>
      <c r="E71">
        <v>0.99787899999999996</v>
      </c>
      <c r="F71">
        <v>89.24</v>
      </c>
      <c r="G71">
        <v>0</v>
      </c>
      <c r="H71">
        <v>19.16</v>
      </c>
    </row>
    <row r="72" spans="1:8">
      <c r="A72" s="1">
        <v>11</v>
      </c>
      <c r="B72" t="s">
        <v>3382</v>
      </c>
      <c r="C72">
        <v>91.43</v>
      </c>
      <c r="D72">
        <v>39.799999999999997</v>
      </c>
      <c r="E72">
        <v>0.99455800000000005</v>
      </c>
      <c r="F72">
        <v>80.45</v>
      </c>
      <c r="G72">
        <v>0</v>
      </c>
      <c r="H72">
        <v>19.2</v>
      </c>
    </row>
    <row r="73" spans="1:8">
      <c r="A73" s="1">
        <v>12</v>
      </c>
      <c r="B73" t="s">
        <v>3383</v>
      </c>
      <c r="C73">
        <v>93.02</v>
      </c>
      <c r="D73">
        <v>39.840000000000003</v>
      </c>
      <c r="E73">
        <v>0.99763100000000005</v>
      </c>
      <c r="F73">
        <v>88.93</v>
      </c>
      <c r="G73">
        <v>8</v>
      </c>
      <c r="H73">
        <v>19.18</v>
      </c>
    </row>
    <row r="74" spans="1:8">
      <c r="A74" s="1">
        <v>13</v>
      </c>
      <c r="B74" t="s">
        <v>3384</v>
      </c>
      <c r="C74">
        <v>86.95</v>
      </c>
      <c r="D74">
        <v>39.69</v>
      </c>
      <c r="E74">
        <v>0.99470899999999995</v>
      </c>
      <c r="F74">
        <v>80.099999999999994</v>
      </c>
      <c r="G74">
        <v>8</v>
      </c>
      <c r="H74">
        <v>19.23</v>
      </c>
    </row>
    <row r="75" spans="1:8">
      <c r="A75" s="1">
        <v>14</v>
      </c>
      <c r="B75" t="s">
        <v>3385</v>
      </c>
      <c r="C75">
        <v>88.96</v>
      </c>
      <c r="D75">
        <v>39.74</v>
      </c>
      <c r="E75">
        <v>0.99564699999999995</v>
      </c>
      <c r="F75">
        <v>79.83</v>
      </c>
      <c r="G75">
        <v>6</v>
      </c>
      <c r="H75">
        <v>19.21</v>
      </c>
    </row>
    <row r="76" spans="1:8">
      <c r="A76" s="1">
        <v>15</v>
      </c>
      <c r="B76" t="s">
        <v>3386</v>
      </c>
      <c r="C76">
        <v>89.53</v>
      </c>
      <c r="D76">
        <v>39.75</v>
      </c>
      <c r="E76">
        <v>0.99516499999999997</v>
      </c>
      <c r="F76">
        <v>79.489999999999995</v>
      </c>
      <c r="G76">
        <v>8</v>
      </c>
      <c r="H76">
        <v>19.21</v>
      </c>
    </row>
    <row r="77" spans="1:8">
      <c r="A77" s="1">
        <v>16</v>
      </c>
      <c r="B77" t="s">
        <v>3387</v>
      </c>
      <c r="C77">
        <v>77.760000000000005</v>
      </c>
      <c r="D77">
        <v>39.31</v>
      </c>
      <c r="E77">
        <v>0.90032699999999999</v>
      </c>
      <c r="F77">
        <v>45.31</v>
      </c>
      <c r="G77">
        <v>6</v>
      </c>
      <c r="H77">
        <v>15.53</v>
      </c>
    </row>
    <row r="78" spans="1:8">
      <c r="A78" s="1">
        <v>17</v>
      </c>
      <c r="B78" t="s">
        <v>3388</v>
      </c>
      <c r="C78">
        <v>87.58</v>
      </c>
      <c r="D78">
        <v>39.700000000000003</v>
      </c>
      <c r="E78">
        <v>0.99043499999999995</v>
      </c>
      <c r="F78">
        <v>79.83</v>
      </c>
      <c r="G78">
        <v>8</v>
      </c>
      <c r="H78">
        <v>19.23</v>
      </c>
    </row>
    <row r="79" spans="1:8">
      <c r="A79" s="1">
        <v>18</v>
      </c>
      <c r="B79" t="s">
        <v>3389</v>
      </c>
      <c r="C79">
        <v>87.49</v>
      </c>
      <c r="D79">
        <v>39.700000000000003</v>
      </c>
      <c r="E79">
        <v>0.99336400000000002</v>
      </c>
      <c r="F79">
        <v>79.53</v>
      </c>
      <c r="G79">
        <v>8</v>
      </c>
      <c r="H79">
        <v>19.23</v>
      </c>
    </row>
    <row r="80" spans="1:8">
      <c r="A80" s="1">
        <v>19</v>
      </c>
      <c r="B80" t="s">
        <v>3390</v>
      </c>
      <c r="C80">
        <v>94.64</v>
      </c>
      <c r="D80">
        <v>39.869999999999997</v>
      </c>
      <c r="E80">
        <v>0.99405600000000005</v>
      </c>
      <c r="F80">
        <v>80.03</v>
      </c>
      <c r="G80">
        <v>8</v>
      </c>
      <c r="H80">
        <v>19.170000000000002</v>
      </c>
    </row>
    <row r="81" spans="1:8">
      <c r="A81" s="1">
        <v>20</v>
      </c>
      <c r="B81" t="s">
        <v>3391</v>
      </c>
      <c r="C81">
        <v>85.38</v>
      </c>
      <c r="D81">
        <v>39.65</v>
      </c>
      <c r="E81">
        <v>0.99324699999999999</v>
      </c>
      <c r="F81">
        <v>79.760000000000005</v>
      </c>
      <c r="G81">
        <v>4</v>
      </c>
      <c r="H81">
        <v>19.25</v>
      </c>
    </row>
    <row r="82" spans="1:8">
      <c r="A82" s="1">
        <v>21</v>
      </c>
      <c r="B82" t="s">
        <v>3392</v>
      </c>
      <c r="C82">
        <v>96.48</v>
      </c>
      <c r="D82">
        <v>39.92</v>
      </c>
      <c r="E82">
        <v>0.99835799999999997</v>
      </c>
      <c r="F82">
        <v>88.7</v>
      </c>
      <c r="G82">
        <v>6</v>
      </c>
      <c r="H82">
        <v>19.149999999999999</v>
      </c>
    </row>
    <row r="83" spans="1:8">
      <c r="A83" s="1">
        <v>22</v>
      </c>
      <c r="B83" t="s">
        <v>3393</v>
      </c>
      <c r="C83">
        <v>87.01</v>
      </c>
      <c r="D83">
        <v>39.69</v>
      </c>
      <c r="E83">
        <v>0.99360599999999999</v>
      </c>
      <c r="F83">
        <v>79.53</v>
      </c>
      <c r="G83">
        <v>4</v>
      </c>
      <c r="H83">
        <v>19.23</v>
      </c>
    </row>
    <row r="84" spans="1:8">
      <c r="A84" s="1">
        <v>23</v>
      </c>
      <c r="B84" t="s">
        <v>3394</v>
      </c>
      <c r="C84">
        <v>89.36</v>
      </c>
      <c r="D84">
        <v>39.75</v>
      </c>
      <c r="E84">
        <v>0.99208799999999997</v>
      </c>
      <c r="F84">
        <v>80.099999999999994</v>
      </c>
      <c r="G84">
        <v>2</v>
      </c>
      <c r="H84">
        <v>19.21</v>
      </c>
    </row>
    <row r="85" spans="1:8">
      <c r="A85" s="1">
        <v>24</v>
      </c>
      <c r="B85" t="s">
        <v>3395</v>
      </c>
      <c r="C85">
        <v>89.44</v>
      </c>
      <c r="D85">
        <v>39.75</v>
      </c>
      <c r="E85">
        <v>0.991394</v>
      </c>
      <c r="F85">
        <v>79.95</v>
      </c>
      <c r="G85">
        <v>2</v>
      </c>
      <c r="H85">
        <v>19.22</v>
      </c>
    </row>
    <row r="86" spans="1:8">
      <c r="A86" s="1">
        <v>25</v>
      </c>
      <c r="B86" t="s">
        <v>3396</v>
      </c>
      <c r="C86">
        <v>87.07</v>
      </c>
      <c r="D86">
        <v>39.69</v>
      </c>
      <c r="E86">
        <v>0.988954</v>
      </c>
      <c r="F86">
        <v>78.760000000000005</v>
      </c>
      <c r="G86">
        <v>8</v>
      </c>
      <c r="H86">
        <v>19.23</v>
      </c>
    </row>
    <row r="87" spans="1:8">
      <c r="A87" s="1">
        <v>26</v>
      </c>
      <c r="B87" t="s">
        <v>3397</v>
      </c>
      <c r="C87">
        <v>67.650000000000006</v>
      </c>
      <c r="D87">
        <v>39.049999999999997</v>
      </c>
      <c r="E87">
        <v>0.92250500000000002</v>
      </c>
      <c r="F87">
        <v>43.32</v>
      </c>
      <c r="G87">
        <v>8</v>
      </c>
      <c r="H87">
        <v>15.62</v>
      </c>
    </row>
    <row r="88" spans="1:8">
      <c r="A88" s="1">
        <v>27</v>
      </c>
      <c r="B88" t="s">
        <v>3398</v>
      </c>
      <c r="C88">
        <v>65.66</v>
      </c>
      <c r="D88" t="e">
        <f>-inf</f>
        <v>#NAME?</v>
      </c>
      <c r="E88">
        <v>0.79768099999999997</v>
      </c>
      <c r="F88">
        <v>0</v>
      </c>
      <c r="G88">
        <v>8</v>
      </c>
      <c r="H88">
        <v>15.42</v>
      </c>
    </row>
    <row r="89" spans="1:8">
      <c r="A89" s="1">
        <v>28</v>
      </c>
      <c r="B89" t="s">
        <v>3399</v>
      </c>
      <c r="C89">
        <v>89.54</v>
      </c>
      <c r="D89">
        <v>39.75</v>
      </c>
      <c r="E89">
        <v>0.99173999999999995</v>
      </c>
      <c r="F89">
        <v>80.22</v>
      </c>
      <c r="G89">
        <v>2</v>
      </c>
      <c r="H89">
        <v>19.22</v>
      </c>
    </row>
    <row r="90" spans="1:8">
      <c r="A90" s="1">
        <v>29</v>
      </c>
      <c r="B90" t="s">
        <v>3400</v>
      </c>
      <c r="C90">
        <v>77.09</v>
      </c>
      <c r="D90">
        <v>39.33</v>
      </c>
      <c r="E90">
        <v>0.91932000000000003</v>
      </c>
      <c r="F90">
        <v>49</v>
      </c>
      <c r="G90">
        <v>2</v>
      </c>
      <c r="H90">
        <v>15.55</v>
      </c>
    </row>
    <row r="91" spans="1:8">
      <c r="A91" s="1">
        <v>30</v>
      </c>
      <c r="B91" t="s">
        <v>3401</v>
      </c>
      <c r="C91">
        <v>83.71</v>
      </c>
      <c r="D91">
        <v>39.58</v>
      </c>
      <c r="E91">
        <v>0.97533400000000003</v>
      </c>
      <c r="F91">
        <v>62.82</v>
      </c>
      <c r="G91">
        <v>2</v>
      </c>
      <c r="H91">
        <v>17.78</v>
      </c>
    </row>
    <row r="92" spans="1:8">
      <c r="A92" s="1">
        <v>31</v>
      </c>
      <c r="B92" t="s">
        <v>3402</v>
      </c>
      <c r="C92">
        <v>89.46</v>
      </c>
      <c r="D92">
        <v>39.75</v>
      </c>
      <c r="E92">
        <v>0.99563900000000005</v>
      </c>
      <c r="F92">
        <v>80.33</v>
      </c>
      <c r="G92">
        <v>8</v>
      </c>
      <c r="H92">
        <v>19.21</v>
      </c>
    </row>
    <row r="93" spans="1:8">
      <c r="A93" s="1">
        <v>32</v>
      </c>
      <c r="B93" t="s">
        <v>3403</v>
      </c>
      <c r="C93">
        <v>73.239999999999995</v>
      </c>
      <c r="D93">
        <v>39.229999999999997</v>
      </c>
      <c r="E93">
        <v>0.92524300000000004</v>
      </c>
      <c r="F93">
        <v>48.77</v>
      </c>
      <c r="G93">
        <v>2</v>
      </c>
      <c r="H93">
        <v>15.55</v>
      </c>
    </row>
    <row r="94" spans="1:8">
      <c r="A94" s="1">
        <v>33</v>
      </c>
      <c r="B94" t="s">
        <v>3404</v>
      </c>
      <c r="C94">
        <v>85.36</v>
      </c>
      <c r="D94">
        <v>39.65</v>
      </c>
      <c r="E94">
        <v>0.99375400000000003</v>
      </c>
      <c r="F94">
        <v>79.989999999999995</v>
      </c>
      <c r="G94">
        <v>6</v>
      </c>
      <c r="H94">
        <v>19.25</v>
      </c>
    </row>
    <row r="95" spans="1:8">
      <c r="A95" s="1">
        <v>34</v>
      </c>
      <c r="B95" t="s">
        <v>3405</v>
      </c>
      <c r="C95">
        <v>90.89</v>
      </c>
      <c r="D95">
        <v>39.78</v>
      </c>
      <c r="E95">
        <v>0.98960899999999996</v>
      </c>
      <c r="F95">
        <v>79.3</v>
      </c>
      <c r="G95">
        <v>4</v>
      </c>
      <c r="H95">
        <v>19.2</v>
      </c>
    </row>
    <row r="96" spans="1:8">
      <c r="A96" s="1">
        <v>35</v>
      </c>
      <c r="B96" t="s">
        <v>3406</v>
      </c>
      <c r="C96">
        <v>83.43</v>
      </c>
      <c r="D96">
        <v>39.6</v>
      </c>
      <c r="E96">
        <v>0.99754299999999996</v>
      </c>
      <c r="F96">
        <v>79.83</v>
      </c>
      <c r="G96">
        <v>0</v>
      </c>
      <c r="H96">
        <v>19.260000000000002</v>
      </c>
    </row>
    <row r="97" spans="1:8">
      <c r="A97" s="1">
        <v>36</v>
      </c>
      <c r="B97" t="s">
        <v>3407</v>
      </c>
      <c r="C97">
        <v>88.93</v>
      </c>
      <c r="D97">
        <v>39.74</v>
      </c>
      <c r="E97">
        <v>0.99217500000000003</v>
      </c>
      <c r="F97">
        <v>79.87</v>
      </c>
      <c r="G97">
        <v>4</v>
      </c>
      <c r="H97">
        <v>19.21</v>
      </c>
    </row>
    <row r="98" spans="1:8">
      <c r="A98" s="1">
        <v>37</v>
      </c>
      <c r="B98" t="s">
        <v>3408</v>
      </c>
      <c r="C98">
        <v>85.53</v>
      </c>
      <c r="D98">
        <v>39.65</v>
      </c>
      <c r="E98">
        <v>0.99256900000000003</v>
      </c>
      <c r="F98">
        <v>79.8</v>
      </c>
      <c r="G98">
        <v>0</v>
      </c>
      <c r="H98">
        <v>19.239999999999998</v>
      </c>
    </row>
    <row r="99" spans="1:8">
      <c r="A99" s="1">
        <v>38</v>
      </c>
      <c r="B99" t="s">
        <v>3409</v>
      </c>
      <c r="C99">
        <v>90.91</v>
      </c>
      <c r="D99">
        <v>39.79</v>
      </c>
      <c r="E99">
        <v>0.99400599999999995</v>
      </c>
      <c r="F99">
        <v>79.56</v>
      </c>
      <c r="G99">
        <v>4</v>
      </c>
      <c r="H99">
        <v>19.2</v>
      </c>
    </row>
    <row r="100" spans="1:8">
      <c r="A100" s="1">
        <v>39</v>
      </c>
      <c r="B100" t="s">
        <v>3410</v>
      </c>
      <c r="C100">
        <v>89.24</v>
      </c>
      <c r="D100">
        <v>39.74</v>
      </c>
      <c r="E100">
        <v>0.99068199999999995</v>
      </c>
      <c r="F100">
        <v>79.45</v>
      </c>
      <c r="G100">
        <v>2</v>
      </c>
      <c r="H100">
        <v>19.22</v>
      </c>
    </row>
    <row r="101" spans="1:8">
      <c r="A101" s="1">
        <v>40</v>
      </c>
      <c r="B101" t="s">
        <v>3411</v>
      </c>
      <c r="C101">
        <v>84.15</v>
      </c>
      <c r="D101">
        <v>39.619999999999997</v>
      </c>
      <c r="E101">
        <v>0.99317</v>
      </c>
      <c r="F101">
        <v>79.760000000000005</v>
      </c>
      <c r="G101">
        <v>6</v>
      </c>
      <c r="H101">
        <v>19.260000000000002</v>
      </c>
    </row>
    <row r="102" spans="1:8">
      <c r="A102" s="1">
        <v>41</v>
      </c>
      <c r="B102" t="s">
        <v>3412</v>
      </c>
      <c r="C102">
        <v>94.65</v>
      </c>
      <c r="D102">
        <v>39.880000000000003</v>
      </c>
      <c r="E102">
        <v>0.997811</v>
      </c>
      <c r="F102">
        <v>88.24</v>
      </c>
      <c r="G102">
        <v>6</v>
      </c>
      <c r="H102">
        <v>19.16</v>
      </c>
    </row>
    <row r="103" spans="1:8">
      <c r="A103" s="1">
        <v>42</v>
      </c>
      <c r="B103" t="s">
        <v>3413</v>
      </c>
      <c r="C103">
        <v>83.64</v>
      </c>
      <c r="D103">
        <v>39.6</v>
      </c>
      <c r="E103">
        <v>0.99155000000000004</v>
      </c>
      <c r="F103">
        <v>79.489999999999995</v>
      </c>
      <c r="G103">
        <v>6</v>
      </c>
      <c r="H103">
        <v>19.260000000000002</v>
      </c>
    </row>
    <row r="104" spans="1:8">
      <c r="A104" s="1">
        <v>43</v>
      </c>
      <c r="B104" t="s">
        <v>3414</v>
      </c>
      <c r="C104">
        <v>92.81</v>
      </c>
      <c r="D104">
        <v>39.83</v>
      </c>
      <c r="E104">
        <v>0.99356299999999997</v>
      </c>
      <c r="F104">
        <v>79.599999999999994</v>
      </c>
      <c r="G104">
        <v>2</v>
      </c>
      <c r="H104">
        <v>19.18</v>
      </c>
    </row>
    <row r="105" spans="1:8">
      <c r="A105" s="1">
        <v>44</v>
      </c>
      <c r="B105" t="s">
        <v>3415</v>
      </c>
      <c r="C105">
        <v>89.53</v>
      </c>
      <c r="D105">
        <v>39.75</v>
      </c>
      <c r="E105">
        <v>0.99151800000000001</v>
      </c>
      <c r="F105">
        <v>80.599999999999994</v>
      </c>
      <c r="G105">
        <v>6</v>
      </c>
      <c r="H105">
        <v>19.21</v>
      </c>
    </row>
    <row r="106" spans="1:8">
      <c r="A106" s="1">
        <v>45</v>
      </c>
      <c r="B106" t="s">
        <v>3416</v>
      </c>
      <c r="C106">
        <v>91.15</v>
      </c>
      <c r="D106">
        <v>39.79</v>
      </c>
      <c r="E106">
        <v>0.99002199999999996</v>
      </c>
      <c r="F106">
        <v>79.95</v>
      </c>
      <c r="G106">
        <v>0</v>
      </c>
      <c r="H106">
        <v>19.2</v>
      </c>
    </row>
    <row r="107" spans="1:8">
      <c r="A107" s="1">
        <v>46</v>
      </c>
      <c r="B107" t="s">
        <v>3417</v>
      </c>
      <c r="C107">
        <v>82.21</v>
      </c>
      <c r="D107">
        <v>39.450000000000003</v>
      </c>
      <c r="E107">
        <v>0.92288700000000001</v>
      </c>
      <c r="F107">
        <v>37.79</v>
      </c>
      <c r="G107">
        <v>0</v>
      </c>
      <c r="H107">
        <v>16.09</v>
      </c>
    </row>
    <row r="108" spans="1:8">
      <c r="A108" s="1">
        <v>47</v>
      </c>
      <c r="B108" t="s">
        <v>3418</v>
      </c>
      <c r="C108">
        <v>90.76</v>
      </c>
      <c r="D108">
        <v>39.78</v>
      </c>
      <c r="E108">
        <v>0.98964099999999999</v>
      </c>
      <c r="F108">
        <v>79.260000000000005</v>
      </c>
      <c r="G108">
        <v>2</v>
      </c>
      <c r="H108">
        <v>19.2</v>
      </c>
    </row>
    <row r="109" spans="1:8">
      <c r="A109" s="1">
        <v>48</v>
      </c>
      <c r="B109" t="s">
        <v>3419</v>
      </c>
      <c r="C109">
        <v>85.92</v>
      </c>
      <c r="D109">
        <v>39.659999999999997</v>
      </c>
      <c r="E109">
        <v>0.99298299999999995</v>
      </c>
      <c r="F109">
        <v>79.760000000000005</v>
      </c>
      <c r="G109">
        <v>0</v>
      </c>
      <c r="H109">
        <v>19.25</v>
      </c>
    </row>
    <row r="110" spans="1:8">
      <c r="A110" s="1">
        <v>49</v>
      </c>
      <c r="B110" t="s">
        <v>3420</v>
      </c>
      <c r="C110">
        <v>71.19</v>
      </c>
      <c r="D110">
        <v>39.18</v>
      </c>
      <c r="E110">
        <v>0.93184900000000004</v>
      </c>
      <c r="F110">
        <v>48.12</v>
      </c>
      <c r="G110">
        <v>4</v>
      </c>
      <c r="H110">
        <v>15.59</v>
      </c>
    </row>
    <row r="111" spans="1:8">
      <c r="A111" s="1">
        <v>50</v>
      </c>
      <c r="B111" t="s">
        <v>3421</v>
      </c>
      <c r="C111">
        <v>85.22</v>
      </c>
      <c r="D111">
        <v>39.64</v>
      </c>
      <c r="E111">
        <v>0.99191200000000002</v>
      </c>
      <c r="F111">
        <v>78.84</v>
      </c>
      <c r="G111">
        <v>0</v>
      </c>
      <c r="H111">
        <v>19.239999999999998</v>
      </c>
    </row>
    <row r="112" spans="1:8">
      <c r="B112" s="1" t="s">
        <v>19</v>
      </c>
      <c r="C112" s="1">
        <f>AVERAGE(C62:C111)</f>
        <v>87.054599999999994</v>
      </c>
      <c r="D112" s="1" t="e">
        <f t="shared" ref="D112:F112" si="3">AVERAGE(D62:D111)</f>
        <v>#NAME?</v>
      </c>
      <c r="E112" s="1">
        <f t="shared" si="3"/>
        <v>0.98039456000000025</v>
      </c>
      <c r="F112" s="1">
        <f t="shared" si="3"/>
        <v>74.621599999999987</v>
      </c>
      <c r="H112" s="1">
        <f t="shared" ref="H112" si="4">AVERAGE(H62:H111)</f>
        <v>18.680800000000001</v>
      </c>
    </row>
    <row r="113" spans="1:8">
      <c r="B113" s="1" t="s">
        <v>20</v>
      </c>
      <c r="C113" s="1">
        <f>MIN(C61:C111)</f>
        <v>65.66</v>
      </c>
      <c r="D113" s="1" t="e">
        <f t="shared" ref="D113:F113" si="5">MIN(D61:D111)</f>
        <v>#NAME?</v>
      </c>
      <c r="E113" s="1">
        <f t="shared" si="5"/>
        <v>0.79768099999999997</v>
      </c>
      <c r="F113" s="1">
        <f t="shared" si="5"/>
        <v>0</v>
      </c>
      <c r="H113" s="1">
        <f t="shared" ref="H113" si="6">MIN(H61:H111)</f>
        <v>15.42</v>
      </c>
    </row>
    <row r="114" spans="1:8">
      <c r="B114" s="1" t="s">
        <v>3</v>
      </c>
      <c r="C114" s="1">
        <f>STDEV(C62:C111)</f>
        <v>6.6576591492008603</v>
      </c>
      <c r="D114" s="1" t="e">
        <f t="shared" ref="D114:E114" si="7">STDEV(D62:D111)</f>
        <v>#NAME?</v>
      </c>
      <c r="E114" s="1">
        <f t="shared" si="7"/>
        <v>3.5861214323283569E-2</v>
      </c>
      <c r="F114" s="1">
        <f>STDEV(F62:F111)</f>
        <v>16.244919879074569</v>
      </c>
      <c r="H114" s="1">
        <f>STDEV(H62:H111)</f>
        <v>1.2657285391006341</v>
      </c>
    </row>
    <row r="116" spans="1:8">
      <c r="H116" s="23" t="s">
        <v>1435</v>
      </c>
    </row>
    <row r="117" spans="1:8" ht="18">
      <c r="A117" s="23" t="s">
        <v>7</v>
      </c>
      <c r="B117" s="3" t="s">
        <v>1</v>
      </c>
      <c r="C117" s="23" t="s">
        <v>4</v>
      </c>
      <c r="D117" s="23" t="s">
        <v>322</v>
      </c>
      <c r="E117" s="23" t="s">
        <v>321</v>
      </c>
      <c r="F117" s="23" t="s">
        <v>324</v>
      </c>
      <c r="G117" s="23" t="s">
        <v>323</v>
      </c>
      <c r="H117" s="23" t="s">
        <v>1436</v>
      </c>
    </row>
    <row r="118" spans="1:8">
      <c r="A118" s="1">
        <v>1</v>
      </c>
      <c r="B118" t="s">
        <v>1603</v>
      </c>
      <c r="C118">
        <v>80.489999999999995</v>
      </c>
      <c r="D118">
        <v>78.88</v>
      </c>
      <c r="E118">
        <v>0.94169499999999995</v>
      </c>
      <c r="F118">
        <v>37.36</v>
      </c>
      <c r="G118">
        <v>6</v>
      </c>
      <c r="H118">
        <v>17.39</v>
      </c>
    </row>
    <row r="119" spans="1:8">
      <c r="A119" s="1">
        <v>2</v>
      </c>
      <c r="B119" t="s">
        <v>1604</v>
      </c>
      <c r="C119">
        <v>87.39</v>
      </c>
      <c r="D119">
        <v>79.400000000000006</v>
      </c>
      <c r="E119">
        <v>0.99220699999999995</v>
      </c>
      <c r="F119">
        <v>79.14</v>
      </c>
      <c r="G119">
        <v>0</v>
      </c>
      <c r="H119">
        <v>19.23</v>
      </c>
    </row>
    <row r="120" spans="1:8">
      <c r="A120" s="1">
        <v>3</v>
      </c>
      <c r="B120" t="s">
        <v>1605</v>
      </c>
      <c r="C120">
        <v>90.97</v>
      </c>
      <c r="D120">
        <v>79.58</v>
      </c>
      <c r="E120">
        <v>0.99424199999999996</v>
      </c>
      <c r="F120">
        <v>79.33</v>
      </c>
      <c r="G120">
        <v>2</v>
      </c>
      <c r="H120">
        <v>19.2</v>
      </c>
    </row>
    <row r="121" spans="1:8">
      <c r="A121" s="1">
        <v>4</v>
      </c>
      <c r="B121" t="s">
        <v>1606</v>
      </c>
      <c r="C121">
        <v>76.45</v>
      </c>
      <c r="D121">
        <v>78.67</v>
      </c>
      <c r="E121">
        <v>0.94633</v>
      </c>
      <c r="F121">
        <v>34.409999999999997</v>
      </c>
      <c r="G121">
        <v>12</v>
      </c>
      <c r="H121">
        <v>17.34</v>
      </c>
    </row>
    <row r="122" spans="1:8">
      <c r="A122" s="1">
        <v>5</v>
      </c>
      <c r="B122" t="s">
        <v>1607</v>
      </c>
      <c r="C122">
        <v>86.49</v>
      </c>
      <c r="D122">
        <v>79.349999999999994</v>
      </c>
      <c r="E122">
        <v>0.99302599999999996</v>
      </c>
      <c r="F122">
        <v>78.64</v>
      </c>
      <c r="G122">
        <v>0</v>
      </c>
      <c r="H122">
        <v>19.239999999999998</v>
      </c>
    </row>
    <row r="123" spans="1:8">
      <c r="A123" s="1">
        <v>6</v>
      </c>
      <c r="B123" t="s">
        <v>1608</v>
      </c>
      <c r="C123">
        <v>89.54</v>
      </c>
      <c r="D123">
        <v>79.5</v>
      </c>
      <c r="E123">
        <v>0.991927</v>
      </c>
      <c r="F123">
        <v>79.489999999999995</v>
      </c>
      <c r="G123">
        <v>8</v>
      </c>
      <c r="H123">
        <v>19.22</v>
      </c>
    </row>
    <row r="124" spans="1:8">
      <c r="A124" s="1">
        <v>7</v>
      </c>
      <c r="B124" t="s">
        <v>1609</v>
      </c>
      <c r="C124">
        <v>78.06</v>
      </c>
      <c r="D124">
        <v>78.75</v>
      </c>
      <c r="E124">
        <v>0.94365699999999997</v>
      </c>
      <c r="F124">
        <v>37.36</v>
      </c>
      <c r="G124">
        <v>16</v>
      </c>
      <c r="H124">
        <v>17.32</v>
      </c>
    </row>
    <row r="125" spans="1:8">
      <c r="A125" s="1">
        <v>8</v>
      </c>
      <c r="B125" t="s">
        <v>1610</v>
      </c>
      <c r="C125">
        <v>83.42</v>
      </c>
      <c r="D125">
        <v>79.2</v>
      </c>
      <c r="E125">
        <v>0.99489000000000005</v>
      </c>
      <c r="F125">
        <v>79.14</v>
      </c>
      <c r="G125">
        <v>14</v>
      </c>
      <c r="H125">
        <v>19.260000000000002</v>
      </c>
    </row>
    <row r="126" spans="1:8">
      <c r="A126" s="1">
        <v>9</v>
      </c>
      <c r="B126" t="s">
        <v>1611</v>
      </c>
      <c r="C126">
        <v>83.19</v>
      </c>
      <c r="D126">
        <v>79.069999999999993</v>
      </c>
      <c r="E126">
        <v>0.95391899999999996</v>
      </c>
      <c r="F126">
        <v>48.04</v>
      </c>
      <c r="G126">
        <v>2</v>
      </c>
      <c r="H126">
        <v>17.28</v>
      </c>
    </row>
    <row r="127" spans="1:8">
      <c r="A127" s="1">
        <v>10</v>
      </c>
      <c r="B127" t="s">
        <v>1612</v>
      </c>
      <c r="C127">
        <v>89.56</v>
      </c>
      <c r="D127">
        <v>79.459999999999994</v>
      </c>
      <c r="E127">
        <v>0.97655499999999995</v>
      </c>
      <c r="F127">
        <v>53.99</v>
      </c>
      <c r="G127">
        <v>12</v>
      </c>
      <c r="H127">
        <v>18.57</v>
      </c>
    </row>
    <row r="128" spans="1:8">
      <c r="A128" s="1">
        <v>11</v>
      </c>
      <c r="B128" t="s">
        <v>1613</v>
      </c>
      <c r="C128">
        <v>87.77</v>
      </c>
      <c r="D128">
        <v>79.42</v>
      </c>
      <c r="E128">
        <v>0.99371299999999996</v>
      </c>
      <c r="F128">
        <v>79.83</v>
      </c>
      <c r="G128">
        <v>2</v>
      </c>
      <c r="H128">
        <v>19.23</v>
      </c>
    </row>
    <row r="129" spans="1:8">
      <c r="A129" s="1">
        <v>12</v>
      </c>
      <c r="B129" t="s">
        <v>1614</v>
      </c>
      <c r="C129">
        <v>93.13</v>
      </c>
      <c r="D129">
        <v>79.680000000000007</v>
      </c>
      <c r="E129">
        <v>0.99615200000000004</v>
      </c>
      <c r="F129">
        <v>80.989999999999995</v>
      </c>
      <c r="G129">
        <v>18</v>
      </c>
      <c r="H129">
        <v>19.18</v>
      </c>
    </row>
    <row r="130" spans="1:8">
      <c r="A130" s="1">
        <v>13</v>
      </c>
      <c r="B130" t="s">
        <v>1615</v>
      </c>
      <c r="C130">
        <v>80.69</v>
      </c>
      <c r="D130">
        <v>78.88</v>
      </c>
      <c r="E130">
        <v>0.93974899999999995</v>
      </c>
      <c r="F130">
        <v>40.74</v>
      </c>
      <c r="G130">
        <v>2</v>
      </c>
      <c r="H130">
        <v>17.29</v>
      </c>
    </row>
    <row r="131" spans="1:8">
      <c r="A131" s="1">
        <v>14</v>
      </c>
      <c r="B131" t="s">
        <v>1616</v>
      </c>
      <c r="C131">
        <v>90.08</v>
      </c>
      <c r="D131">
        <v>79.53</v>
      </c>
      <c r="E131">
        <v>0.99269600000000002</v>
      </c>
      <c r="F131">
        <v>79.33</v>
      </c>
      <c r="G131">
        <v>10</v>
      </c>
      <c r="H131">
        <v>19.21</v>
      </c>
    </row>
    <row r="132" spans="1:8">
      <c r="A132" s="1">
        <v>15</v>
      </c>
      <c r="B132" t="s">
        <v>1617</v>
      </c>
      <c r="C132">
        <v>87.26</v>
      </c>
      <c r="D132">
        <v>79.39</v>
      </c>
      <c r="E132">
        <v>0.99162600000000001</v>
      </c>
      <c r="F132">
        <v>79.260000000000005</v>
      </c>
      <c r="G132">
        <v>18</v>
      </c>
      <c r="H132">
        <v>19.23</v>
      </c>
    </row>
    <row r="133" spans="1:8">
      <c r="A133" s="1">
        <v>16</v>
      </c>
      <c r="B133" t="s">
        <v>1618</v>
      </c>
      <c r="C133">
        <v>70.52</v>
      </c>
      <c r="D133">
        <v>78.33</v>
      </c>
      <c r="E133">
        <v>0.93747899999999995</v>
      </c>
      <c r="F133">
        <v>45.35</v>
      </c>
      <c r="G133">
        <v>2</v>
      </c>
      <c r="H133">
        <v>15.6</v>
      </c>
    </row>
    <row r="134" spans="1:8">
      <c r="A134" s="1">
        <v>17</v>
      </c>
      <c r="B134" t="s">
        <v>1619</v>
      </c>
      <c r="C134">
        <v>74.37</v>
      </c>
      <c r="D134">
        <v>78.48</v>
      </c>
      <c r="E134">
        <v>0.91302399999999995</v>
      </c>
      <c r="F134">
        <v>43.24</v>
      </c>
      <c r="G134">
        <v>14</v>
      </c>
      <c r="H134">
        <v>15.46</v>
      </c>
    </row>
    <row r="135" spans="1:8">
      <c r="A135" s="1">
        <v>18</v>
      </c>
      <c r="B135" t="s">
        <v>1620</v>
      </c>
      <c r="C135">
        <v>89.28</v>
      </c>
      <c r="D135">
        <v>79.489999999999995</v>
      </c>
      <c r="E135">
        <v>0.99121999999999999</v>
      </c>
      <c r="F135">
        <v>79.22</v>
      </c>
      <c r="G135">
        <v>8</v>
      </c>
      <c r="H135">
        <v>19.21</v>
      </c>
    </row>
    <row r="136" spans="1:8">
      <c r="A136" s="1">
        <v>19</v>
      </c>
      <c r="B136" t="s">
        <v>1621</v>
      </c>
      <c r="C136">
        <v>81.62</v>
      </c>
      <c r="D136">
        <v>78.97</v>
      </c>
      <c r="E136">
        <v>0.94719500000000001</v>
      </c>
      <c r="F136">
        <v>46.04</v>
      </c>
      <c r="G136">
        <v>16</v>
      </c>
      <c r="H136">
        <v>17.37</v>
      </c>
    </row>
    <row r="137" spans="1:8">
      <c r="A137" s="1">
        <v>20</v>
      </c>
      <c r="B137" t="s">
        <v>1622</v>
      </c>
      <c r="C137">
        <v>85.9</v>
      </c>
      <c r="D137">
        <v>79.260000000000005</v>
      </c>
      <c r="E137">
        <v>0.96977000000000002</v>
      </c>
      <c r="F137">
        <v>50.38</v>
      </c>
      <c r="G137">
        <v>14</v>
      </c>
      <c r="H137">
        <v>17.670000000000002</v>
      </c>
    </row>
    <row r="138" spans="1:8">
      <c r="A138" s="1">
        <v>21</v>
      </c>
      <c r="B138" t="s">
        <v>1623</v>
      </c>
      <c r="C138">
        <v>76.22</v>
      </c>
      <c r="D138">
        <v>78.56</v>
      </c>
      <c r="E138">
        <v>0.90708999999999995</v>
      </c>
      <c r="F138">
        <v>37.06</v>
      </c>
      <c r="G138">
        <v>18</v>
      </c>
      <c r="H138">
        <v>15.54</v>
      </c>
    </row>
    <row r="139" spans="1:8">
      <c r="A139" s="1">
        <v>22</v>
      </c>
      <c r="B139" t="s">
        <v>1624</v>
      </c>
      <c r="C139">
        <v>84.97</v>
      </c>
      <c r="D139">
        <v>79.16</v>
      </c>
      <c r="E139">
        <v>0.95599900000000004</v>
      </c>
      <c r="F139">
        <v>48.5</v>
      </c>
      <c r="G139">
        <v>6</v>
      </c>
      <c r="H139">
        <v>17.350000000000001</v>
      </c>
    </row>
    <row r="140" spans="1:8">
      <c r="A140" s="1">
        <v>23</v>
      </c>
      <c r="B140" t="s">
        <v>1625</v>
      </c>
      <c r="C140">
        <v>71.28</v>
      </c>
      <c r="D140">
        <v>78.02</v>
      </c>
      <c r="E140">
        <v>0.87355899999999997</v>
      </c>
      <c r="F140">
        <v>21.96</v>
      </c>
      <c r="G140">
        <v>0</v>
      </c>
      <c r="H140">
        <v>15.53</v>
      </c>
    </row>
    <row r="141" spans="1:8">
      <c r="A141" s="1">
        <v>24</v>
      </c>
      <c r="B141" t="s">
        <v>1626</v>
      </c>
      <c r="C141">
        <v>89.26</v>
      </c>
      <c r="D141">
        <v>79.489999999999995</v>
      </c>
      <c r="E141">
        <v>0.99078999999999995</v>
      </c>
      <c r="F141">
        <v>79.53</v>
      </c>
      <c r="G141">
        <v>2</v>
      </c>
      <c r="H141">
        <v>19.22</v>
      </c>
    </row>
    <row r="142" spans="1:8">
      <c r="A142" s="1">
        <v>25</v>
      </c>
      <c r="B142" t="s">
        <v>1627</v>
      </c>
      <c r="C142">
        <v>88.49</v>
      </c>
      <c r="D142">
        <v>79.45</v>
      </c>
      <c r="E142">
        <v>0.99260199999999998</v>
      </c>
      <c r="F142">
        <v>79.83</v>
      </c>
      <c r="G142">
        <v>18</v>
      </c>
      <c r="H142">
        <v>19.22</v>
      </c>
    </row>
    <row r="143" spans="1:8">
      <c r="A143" s="1">
        <v>26</v>
      </c>
      <c r="B143" t="s">
        <v>1628</v>
      </c>
      <c r="C143">
        <v>86.44</v>
      </c>
      <c r="D143">
        <v>79.349999999999994</v>
      </c>
      <c r="E143">
        <v>0.99312</v>
      </c>
      <c r="F143">
        <v>79.22</v>
      </c>
      <c r="G143">
        <v>16</v>
      </c>
      <c r="H143">
        <v>19.239999999999998</v>
      </c>
    </row>
    <row r="144" spans="1:8">
      <c r="A144" s="1">
        <v>27</v>
      </c>
      <c r="B144" t="s">
        <v>1629</v>
      </c>
      <c r="C144">
        <v>77.59</v>
      </c>
      <c r="D144">
        <v>78.739999999999995</v>
      </c>
      <c r="E144">
        <v>0.94221999999999995</v>
      </c>
      <c r="F144">
        <v>40.82</v>
      </c>
      <c r="G144">
        <v>10</v>
      </c>
      <c r="H144">
        <v>16.72</v>
      </c>
    </row>
    <row r="145" spans="1:8">
      <c r="A145" s="1">
        <v>28</v>
      </c>
      <c r="B145" t="s">
        <v>1630</v>
      </c>
      <c r="C145">
        <v>82.14</v>
      </c>
      <c r="D145">
        <v>79.010000000000005</v>
      </c>
      <c r="E145">
        <v>0.95297399999999999</v>
      </c>
      <c r="F145">
        <v>48.84</v>
      </c>
      <c r="G145">
        <v>4</v>
      </c>
      <c r="H145">
        <v>17.38</v>
      </c>
    </row>
    <row r="146" spans="1:8">
      <c r="A146" s="1">
        <v>29</v>
      </c>
      <c r="B146" t="s">
        <v>1631</v>
      </c>
      <c r="C146">
        <v>87.7</v>
      </c>
      <c r="D146">
        <v>79.349999999999994</v>
      </c>
      <c r="E146">
        <v>0.97336299999999998</v>
      </c>
      <c r="F146">
        <v>48.04</v>
      </c>
      <c r="G146">
        <v>4</v>
      </c>
      <c r="H146">
        <v>18.420000000000002</v>
      </c>
    </row>
    <row r="147" spans="1:8">
      <c r="A147" s="1">
        <v>30</v>
      </c>
      <c r="B147" t="s">
        <v>1632</v>
      </c>
      <c r="C147">
        <v>84.73</v>
      </c>
      <c r="D147">
        <v>79.25</v>
      </c>
      <c r="E147">
        <v>0.98607299999999998</v>
      </c>
      <c r="F147">
        <v>63.67</v>
      </c>
      <c r="G147">
        <v>4</v>
      </c>
      <c r="H147">
        <v>18.68</v>
      </c>
    </row>
    <row r="148" spans="1:8">
      <c r="A148" s="1">
        <v>31</v>
      </c>
      <c r="B148" t="s">
        <v>1633</v>
      </c>
      <c r="C148">
        <v>88.32</v>
      </c>
      <c r="D148">
        <v>79.45</v>
      </c>
      <c r="E148">
        <v>0.99482999999999999</v>
      </c>
      <c r="F148">
        <v>79.37</v>
      </c>
      <c r="G148">
        <v>2</v>
      </c>
      <c r="H148">
        <v>19.22</v>
      </c>
    </row>
    <row r="149" spans="1:8">
      <c r="A149" s="1">
        <v>32</v>
      </c>
      <c r="B149" t="s">
        <v>1634</v>
      </c>
      <c r="C149">
        <v>91.9</v>
      </c>
      <c r="D149">
        <v>79.61</v>
      </c>
      <c r="E149">
        <v>0.99203200000000002</v>
      </c>
      <c r="F149">
        <v>79.260000000000005</v>
      </c>
      <c r="G149">
        <v>18</v>
      </c>
      <c r="H149">
        <v>19.190000000000001</v>
      </c>
    </row>
    <row r="150" spans="1:8">
      <c r="A150" s="1">
        <v>33</v>
      </c>
      <c r="B150" t="s">
        <v>1635</v>
      </c>
      <c r="C150">
        <v>79.989999999999995</v>
      </c>
      <c r="D150">
        <v>78.900000000000006</v>
      </c>
      <c r="E150">
        <v>0.95272299999999999</v>
      </c>
      <c r="F150">
        <v>46.16</v>
      </c>
      <c r="G150">
        <v>16</v>
      </c>
      <c r="H150">
        <v>17.3</v>
      </c>
    </row>
    <row r="151" spans="1:8">
      <c r="A151" s="1">
        <v>34</v>
      </c>
      <c r="B151" t="s">
        <v>1636</v>
      </c>
      <c r="C151">
        <v>80.28</v>
      </c>
      <c r="D151">
        <v>77.47</v>
      </c>
      <c r="E151">
        <v>0.89168000000000003</v>
      </c>
      <c r="F151">
        <v>0.88</v>
      </c>
      <c r="G151">
        <v>16</v>
      </c>
      <c r="H151">
        <v>16.53</v>
      </c>
    </row>
    <row r="152" spans="1:8">
      <c r="A152" s="1">
        <v>35</v>
      </c>
      <c r="B152" t="s">
        <v>1637</v>
      </c>
      <c r="C152">
        <v>91.16</v>
      </c>
      <c r="D152">
        <v>79.58</v>
      </c>
      <c r="E152">
        <v>0.99231999999999998</v>
      </c>
      <c r="F152">
        <v>79.72</v>
      </c>
      <c r="G152">
        <v>8</v>
      </c>
      <c r="H152">
        <v>19.2</v>
      </c>
    </row>
    <row r="153" spans="1:8">
      <c r="A153" s="1">
        <v>36</v>
      </c>
      <c r="B153" t="s">
        <v>1638</v>
      </c>
      <c r="C153">
        <v>76.91</v>
      </c>
      <c r="D153">
        <v>78.73</v>
      </c>
      <c r="E153">
        <v>0.951484</v>
      </c>
      <c r="F153">
        <v>44.93</v>
      </c>
      <c r="G153">
        <v>6</v>
      </c>
      <c r="H153">
        <v>17.420000000000002</v>
      </c>
    </row>
    <row r="154" spans="1:8">
      <c r="A154" s="1">
        <v>37</v>
      </c>
      <c r="B154" t="s">
        <v>1639</v>
      </c>
      <c r="C154">
        <v>73.7</v>
      </c>
      <c r="D154">
        <v>78.53</v>
      </c>
      <c r="E154">
        <v>0.93996800000000003</v>
      </c>
      <c r="F154">
        <v>51.61</v>
      </c>
      <c r="G154">
        <v>14</v>
      </c>
      <c r="H154">
        <v>16.11</v>
      </c>
    </row>
    <row r="155" spans="1:8">
      <c r="A155" s="1">
        <v>38</v>
      </c>
      <c r="B155" t="s">
        <v>1640</v>
      </c>
      <c r="C155">
        <v>86.45</v>
      </c>
      <c r="D155">
        <v>79.349999999999994</v>
      </c>
      <c r="E155">
        <v>0.99052499999999999</v>
      </c>
      <c r="F155">
        <v>79.069999999999993</v>
      </c>
      <c r="G155">
        <v>14</v>
      </c>
      <c r="H155">
        <v>19.239999999999998</v>
      </c>
    </row>
    <row r="156" spans="1:8">
      <c r="A156" s="1">
        <v>39</v>
      </c>
      <c r="B156" t="s">
        <v>1641</v>
      </c>
      <c r="C156">
        <v>86.17</v>
      </c>
      <c r="D156">
        <v>79.34</v>
      </c>
      <c r="E156">
        <v>0.99351199999999995</v>
      </c>
      <c r="F156">
        <v>79.14</v>
      </c>
      <c r="G156">
        <v>8</v>
      </c>
      <c r="H156">
        <v>19.239999999999998</v>
      </c>
    </row>
    <row r="157" spans="1:8">
      <c r="A157" s="1">
        <v>40</v>
      </c>
      <c r="B157" t="s">
        <v>1642</v>
      </c>
      <c r="C157">
        <v>86.61</v>
      </c>
      <c r="D157">
        <v>79.36</v>
      </c>
      <c r="E157">
        <v>0.99346900000000005</v>
      </c>
      <c r="F157">
        <v>80.14</v>
      </c>
      <c r="G157">
        <v>6</v>
      </c>
      <c r="H157">
        <v>19.239999999999998</v>
      </c>
    </row>
    <row r="158" spans="1:8">
      <c r="A158" s="1">
        <v>41</v>
      </c>
      <c r="B158" t="s">
        <v>1643</v>
      </c>
      <c r="C158">
        <v>81.83</v>
      </c>
      <c r="D158">
        <v>79.08</v>
      </c>
      <c r="E158">
        <v>0.98105200000000004</v>
      </c>
      <c r="F158">
        <v>53.22</v>
      </c>
      <c r="G158">
        <v>4</v>
      </c>
      <c r="H158">
        <v>18.63</v>
      </c>
    </row>
    <row r="159" spans="1:8">
      <c r="A159" s="1">
        <v>42</v>
      </c>
      <c r="B159" t="s">
        <v>1644</v>
      </c>
      <c r="C159">
        <v>76.8</v>
      </c>
      <c r="D159">
        <v>78.73</v>
      </c>
      <c r="E159">
        <v>0.95412699999999995</v>
      </c>
      <c r="F159">
        <v>44.81</v>
      </c>
      <c r="G159">
        <v>2</v>
      </c>
      <c r="H159">
        <v>17.43</v>
      </c>
    </row>
    <row r="160" spans="1:8">
      <c r="A160" s="1">
        <v>43</v>
      </c>
      <c r="B160" t="s">
        <v>1645</v>
      </c>
      <c r="C160">
        <v>81.7</v>
      </c>
      <c r="D160">
        <v>78.97</v>
      </c>
      <c r="E160">
        <v>0.94622200000000001</v>
      </c>
      <c r="F160">
        <v>45.2</v>
      </c>
      <c r="G160">
        <v>0</v>
      </c>
      <c r="H160">
        <v>17.41</v>
      </c>
    </row>
    <row r="161" spans="1:8">
      <c r="A161" s="1">
        <v>44</v>
      </c>
      <c r="B161" t="s">
        <v>1646</v>
      </c>
      <c r="C161">
        <v>85.6</v>
      </c>
      <c r="D161">
        <v>79.3</v>
      </c>
      <c r="E161">
        <v>0.99054399999999998</v>
      </c>
      <c r="F161">
        <v>71.5</v>
      </c>
      <c r="G161">
        <v>8</v>
      </c>
      <c r="H161">
        <v>19.04</v>
      </c>
    </row>
    <row r="162" spans="1:8">
      <c r="A162" s="1">
        <v>45</v>
      </c>
      <c r="B162" t="s">
        <v>1647</v>
      </c>
      <c r="C162">
        <v>83.58</v>
      </c>
      <c r="D162">
        <v>79.02</v>
      </c>
      <c r="E162">
        <v>0.93875699999999995</v>
      </c>
      <c r="F162">
        <v>38.090000000000003</v>
      </c>
      <c r="G162">
        <v>2</v>
      </c>
      <c r="H162">
        <v>17.27</v>
      </c>
    </row>
    <row r="163" spans="1:8">
      <c r="A163" s="1">
        <v>46</v>
      </c>
      <c r="B163" t="s">
        <v>1648</v>
      </c>
      <c r="C163">
        <v>83.04</v>
      </c>
      <c r="D163">
        <v>79.06</v>
      </c>
      <c r="E163">
        <v>0.95186599999999999</v>
      </c>
      <c r="F163">
        <v>49.27</v>
      </c>
      <c r="G163">
        <v>10</v>
      </c>
      <c r="H163">
        <v>17.37</v>
      </c>
    </row>
    <row r="164" spans="1:8">
      <c r="A164" s="1">
        <v>47</v>
      </c>
      <c r="B164" t="s">
        <v>1649</v>
      </c>
      <c r="C164">
        <v>88.15</v>
      </c>
      <c r="D164">
        <v>79.44</v>
      </c>
      <c r="E164">
        <v>0.99211899999999997</v>
      </c>
      <c r="F164">
        <v>78.989999999999995</v>
      </c>
      <c r="G164">
        <v>18</v>
      </c>
      <c r="H164">
        <v>19.22</v>
      </c>
    </row>
    <row r="165" spans="1:8">
      <c r="A165" s="1">
        <v>48</v>
      </c>
      <c r="B165" t="s">
        <v>1650</v>
      </c>
      <c r="C165">
        <v>80.239999999999995</v>
      </c>
      <c r="D165">
        <v>78.930000000000007</v>
      </c>
      <c r="E165">
        <v>0.95813400000000004</v>
      </c>
      <c r="F165">
        <v>49.04</v>
      </c>
      <c r="G165">
        <v>0</v>
      </c>
      <c r="H165">
        <v>17.420000000000002</v>
      </c>
    </row>
    <row r="166" spans="1:8">
      <c r="A166" s="1">
        <v>49</v>
      </c>
      <c r="B166" t="s">
        <v>1651</v>
      </c>
      <c r="C166">
        <v>74.72</v>
      </c>
      <c r="D166">
        <v>77.47</v>
      </c>
      <c r="E166">
        <v>0.89876500000000004</v>
      </c>
      <c r="F166">
        <v>1.65</v>
      </c>
      <c r="G166">
        <v>16</v>
      </c>
      <c r="H166">
        <v>17.32</v>
      </c>
    </row>
    <row r="167" spans="1:8">
      <c r="A167" s="1">
        <v>50</v>
      </c>
      <c r="B167" t="s">
        <v>1652</v>
      </c>
      <c r="C167">
        <v>91.01</v>
      </c>
      <c r="D167">
        <v>79.569999999999993</v>
      </c>
      <c r="E167">
        <v>0.99294800000000005</v>
      </c>
      <c r="F167">
        <v>80.290000000000006</v>
      </c>
      <c r="G167">
        <v>0</v>
      </c>
      <c r="H167">
        <v>19.2</v>
      </c>
    </row>
    <row r="168" spans="1:8">
      <c r="B168" s="1" t="s">
        <v>19</v>
      </c>
      <c r="C168" s="1">
        <f>AVERAGE(C118:C167)</f>
        <v>83.663199999999975</v>
      </c>
      <c r="D168" s="1">
        <f t="shared" ref="D168:F168" si="8">AVERAGE(D118:D167)</f>
        <v>79.071200000000005</v>
      </c>
      <c r="E168" s="1">
        <f t="shared" si="8"/>
        <v>0.96531877999999993</v>
      </c>
      <c r="F168" s="1">
        <f t="shared" si="8"/>
        <v>58.221799999999988</v>
      </c>
      <c r="H168" s="1">
        <f t="shared" ref="H168" si="9">AVERAGE(H118:H167)</f>
        <v>18.076000000000001</v>
      </c>
    </row>
    <row r="169" spans="1:8">
      <c r="B169" s="1" t="s">
        <v>20</v>
      </c>
      <c r="C169" s="1">
        <f>MIN(C117:C167)</f>
        <v>70.52</v>
      </c>
      <c r="D169" s="1">
        <f>MIN(D117:D167)</f>
        <v>77.47</v>
      </c>
      <c r="E169" s="1">
        <f>MIN(E117:E167)</f>
        <v>0.87355899999999997</v>
      </c>
      <c r="F169" s="1">
        <f>MIN(F117:F167)</f>
        <v>0.88</v>
      </c>
      <c r="H169" s="1">
        <f>MIN(H117:H167)</f>
        <v>15.46</v>
      </c>
    </row>
    <row r="170" spans="1:8">
      <c r="B170" s="1" t="s">
        <v>3</v>
      </c>
      <c r="C170" s="1">
        <f>STDEV(C118:C167)</f>
        <v>5.7135686835850805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3" t="s">
        <v>1435</v>
      </c>
    </row>
    <row r="173" spans="1:8" ht="18">
      <c r="A173" s="23" t="s">
        <v>7</v>
      </c>
      <c r="B173" s="3" t="s">
        <v>9</v>
      </c>
      <c r="C173" s="23" t="s">
        <v>4</v>
      </c>
      <c r="D173" s="23" t="s">
        <v>322</v>
      </c>
      <c r="E173" s="23" t="s">
        <v>321</v>
      </c>
      <c r="F173" s="23" t="s">
        <v>324</v>
      </c>
      <c r="G173" s="23" t="s">
        <v>323</v>
      </c>
      <c r="H173" s="23" t="s">
        <v>1436</v>
      </c>
    </row>
    <row r="174" spans="1:8">
      <c r="A174" s="1">
        <v>1</v>
      </c>
      <c r="B174" t="s">
        <v>1653</v>
      </c>
      <c r="C174">
        <v>80.3</v>
      </c>
      <c r="D174">
        <v>157.83000000000001</v>
      </c>
      <c r="E174">
        <v>0.95295399999999997</v>
      </c>
      <c r="F174">
        <v>45.96</v>
      </c>
      <c r="G174">
        <v>6</v>
      </c>
      <c r="H174">
        <v>17.39</v>
      </c>
    </row>
    <row r="175" spans="1:8">
      <c r="A175" s="1">
        <v>2</v>
      </c>
      <c r="B175" t="s">
        <v>1654</v>
      </c>
      <c r="C175">
        <v>70.58</v>
      </c>
      <c r="D175">
        <v>156.31</v>
      </c>
      <c r="E175">
        <v>0.898231</v>
      </c>
      <c r="F175">
        <v>26.11</v>
      </c>
      <c r="G175">
        <v>28</v>
      </c>
      <c r="H175">
        <v>15.49</v>
      </c>
    </row>
    <row r="176" spans="1:8">
      <c r="A176" s="1">
        <v>3</v>
      </c>
      <c r="B176" t="s">
        <v>1655</v>
      </c>
      <c r="C176">
        <v>73.290000000000006</v>
      </c>
      <c r="D176">
        <v>156.93</v>
      </c>
      <c r="E176">
        <v>0.93337300000000001</v>
      </c>
      <c r="F176">
        <v>38.020000000000003</v>
      </c>
      <c r="G176">
        <v>20</v>
      </c>
      <c r="H176">
        <v>16.22</v>
      </c>
    </row>
    <row r="177" spans="1:8">
      <c r="A177" s="1">
        <v>4</v>
      </c>
      <c r="B177" t="s">
        <v>1656</v>
      </c>
      <c r="C177">
        <v>72.28</v>
      </c>
      <c r="D177">
        <v>156.75</v>
      </c>
      <c r="E177">
        <v>0.92160900000000001</v>
      </c>
      <c r="F177">
        <v>39.4</v>
      </c>
      <c r="G177">
        <v>20</v>
      </c>
      <c r="H177">
        <v>15.77</v>
      </c>
    </row>
    <row r="178" spans="1:8">
      <c r="A178" s="1">
        <v>5</v>
      </c>
      <c r="B178" t="s">
        <v>1657</v>
      </c>
      <c r="C178">
        <v>69.010000000000005</v>
      </c>
      <c r="D178">
        <v>156.09</v>
      </c>
      <c r="E178">
        <v>0.88657300000000006</v>
      </c>
      <c r="F178">
        <v>25</v>
      </c>
      <c r="G178">
        <v>22</v>
      </c>
      <c r="H178">
        <v>14.96</v>
      </c>
    </row>
    <row r="179" spans="1:8">
      <c r="A179" s="1">
        <v>6</v>
      </c>
      <c r="B179" t="s">
        <v>1658</v>
      </c>
      <c r="C179">
        <v>80.739999999999995</v>
      </c>
      <c r="D179">
        <v>157.85</v>
      </c>
      <c r="E179">
        <v>0.94944099999999998</v>
      </c>
      <c r="F179">
        <v>43.58</v>
      </c>
      <c r="G179">
        <v>0</v>
      </c>
      <c r="H179">
        <v>17.39</v>
      </c>
    </row>
    <row r="180" spans="1:8">
      <c r="A180" s="1">
        <v>7</v>
      </c>
      <c r="B180" t="s">
        <v>1659</v>
      </c>
      <c r="C180">
        <v>76.400000000000006</v>
      </c>
      <c r="D180">
        <v>157.33000000000001</v>
      </c>
      <c r="E180">
        <v>0.93803899999999996</v>
      </c>
      <c r="F180">
        <v>46.23</v>
      </c>
      <c r="G180">
        <v>0</v>
      </c>
      <c r="H180">
        <v>16.489999999999998</v>
      </c>
    </row>
    <row r="181" spans="1:8">
      <c r="A181" s="1">
        <v>8</v>
      </c>
      <c r="B181" t="s">
        <v>1660</v>
      </c>
      <c r="C181">
        <v>72.209999999999994</v>
      </c>
      <c r="D181">
        <v>156.66999999999999</v>
      </c>
      <c r="E181">
        <v>0.91011399999999998</v>
      </c>
      <c r="F181">
        <v>36.130000000000003</v>
      </c>
      <c r="G181">
        <v>6</v>
      </c>
      <c r="H181">
        <v>15.35</v>
      </c>
    </row>
    <row r="182" spans="1:8">
      <c r="A182" s="1">
        <v>9</v>
      </c>
      <c r="B182" t="s">
        <v>1661</v>
      </c>
      <c r="C182">
        <v>69.819999999999993</v>
      </c>
      <c r="D182">
        <v>154.47</v>
      </c>
      <c r="E182">
        <v>0.86353999999999997</v>
      </c>
      <c r="F182">
        <v>0.31</v>
      </c>
      <c r="G182">
        <v>36</v>
      </c>
      <c r="H182">
        <v>14.9</v>
      </c>
    </row>
    <row r="183" spans="1:8">
      <c r="A183" s="1">
        <v>10</v>
      </c>
      <c r="B183" t="s">
        <v>1662</v>
      </c>
      <c r="C183">
        <v>81.22</v>
      </c>
      <c r="D183">
        <v>157.93</v>
      </c>
      <c r="E183">
        <v>0.95513899999999996</v>
      </c>
      <c r="F183">
        <v>40.630000000000003</v>
      </c>
      <c r="G183">
        <v>18</v>
      </c>
      <c r="H183">
        <v>17.55</v>
      </c>
    </row>
    <row r="184" spans="1:8">
      <c r="A184" s="1">
        <v>11</v>
      </c>
      <c r="B184" t="s">
        <v>1663</v>
      </c>
      <c r="C184">
        <v>78.069999999999993</v>
      </c>
      <c r="D184">
        <v>156.09</v>
      </c>
      <c r="E184">
        <v>0.89343600000000001</v>
      </c>
      <c r="F184">
        <v>1.19</v>
      </c>
      <c r="G184">
        <v>18</v>
      </c>
      <c r="H184">
        <v>16.36</v>
      </c>
    </row>
    <row r="185" spans="1:8">
      <c r="A185" s="1">
        <v>12</v>
      </c>
      <c r="B185" t="s">
        <v>1664</v>
      </c>
      <c r="C185">
        <v>70.05</v>
      </c>
      <c r="D185">
        <v>156.34</v>
      </c>
      <c r="E185">
        <v>0.89903500000000003</v>
      </c>
      <c r="F185">
        <v>35.520000000000003</v>
      </c>
      <c r="G185">
        <v>8</v>
      </c>
      <c r="H185">
        <v>15.51</v>
      </c>
    </row>
    <row r="186" spans="1:8">
      <c r="A186" s="1">
        <v>13</v>
      </c>
      <c r="B186" t="s">
        <v>1665</v>
      </c>
      <c r="C186">
        <v>81.53</v>
      </c>
      <c r="D186">
        <v>157.07</v>
      </c>
      <c r="E186">
        <v>0.93043100000000001</v>
      </c>
      <c r="F186">
        <v>2.96</v>
      </c>
      <c r="G186">
        <v>4</v>
      </c>
      <c r="H186">
        <v>17.54</v>
      </c>
    </row>
    <row r="187" spans="1:8">
      <c r="A187" s="1">
        <v>14</v>
      </c>
      <c r="B187" t="s">
        <v>1666</v>
      </c>
      <c r="C187">
        <v>65.59</v>
      </c>
      <c r="D187">
        <v>155.69</v>
      </c>
      <c r="E187">
        <v>0.89203100000000002</v>
      </c>
      <c r="F187">
        <v>26.73</v>
      </c>
      <c r="G187">
        <v>30</v>
      </c>
      <c r="H187">
        <v>14.35</v>
      </c>
    </row>
    <row r="188" spans="1:8">
      <c r="A188" s="1">
        <v>15</v>
      </c>
      <c r="B188" t="s">
        <v>1667</v>
      </c>
      <c r="C188">
        <v>73.010000000000005</v>
      </c>
      <c r="D188">
        <v>155.21</v>
      </c>
      <c r="E188">
        <v>0.895868</v>
      </c>
      <c r="F188">
        <v>0.46</v>
      </c>
      <c r="G188">
        <v>34</v>
      </c>
      <c r="H188">
        <v>15.46</v>
      </c>
    </row>
    <row r="189" spans="1:8">
      <c r="A189" s="1">
        <v>16</v>
      </c>
      <c r="B189" t="s">
        <v>1668</v>
      </c>
      <c r="C189">
        <v>82.94</v>
      </c>
      <c r="D189">
        <v>157.16</v>
      </c>
      <c r="E189">
        <v>0.943913</v>
      </c>
      <c r="F189">
        <v>2.11</v>
      </c>
      <c r="G189">
        <v>18</v>
      </c>
      <c r="H189">
        <v>18.27</v>
      </c>
    </row>
    <row r="190" spans="1:8">
      <c r="A190" s="1">
        <v>17</v>
      </c>
      <c r="B190" t="s">
        <v>1669</v>
      </c>
      <c r="C190">
        <v>73.13</v>
      </c>
      <c r="D190">
        <v>156.82</v>
      </c>
      <c r="E190">
        <v>0.92614099999999999</v>
      </c>
      <c r="F190">
        <v>26.5</v>
      </c>
      <c r="G190">
        <v>30</v>
      </c>
      <c r="H190">
        <v>15.85</v>
      </c>
    </row>
    <row r="191" spans="1:8">
      <c r="A191" s="1">
        <v>18</v>
      </c>
      <c r="B191" t="s">
        <v>1670</v>
      </c>
      <c r="C191">
        <v>73.12</v>
      </c>
      <c r="D191">
        <v>156.94999999999999</v>
      </c>
      <c r="E191">
        <v>0.93911299999999998</v>
      </c>
      <c r="F191">
        <v>43.24</v>
      </c>
      <c r="G191">
        <v>24</v>
      </c>
      <c r="H191">
        <v>16.510000000000002</v>
      </c>
    </row>
    <row r="192" spans="1:8">
      <c r="A192" s="1">
        <v>19</v>
      </c>
      <c r="B192" t="s">
        <v>1671</v>
      </c>
      <c r="C192">
        <v>75.040000000000006</v>
      </c>
      <c r="D192">
        <v>155.88</v>
      </c>
      <c r="E192">
        <v>0.89476699999999998</v>
      </c>
      <c r="F192">
        <v>1.8</v>
      </c>
      <c r="G192">
        <v>20</v>
      </c>
      <c r="H192">
        <v>16.38</v>
      </c>
    </row>
    <row r="193" spans="1:8">
      <c r="A193" s="1">
        <v>20</v>
      </c>
      <c r="B193" t="s">
        <v>1672</v>
      </c>
      <c r="C193">
        <v>82.1</v>
      </c>
      <c r="D193">
        <v>157.91999999999999</v>
      </c>
      <c r="E193">
        <v>0.939639</v>
      </c>
      <c r="F193">
        <v>36.4</v>
      </c>
      <c r="G193">
        <v>24</v>
      </c>
      <c r="H193">
        <v>17.329999999999998</v>
      </c>
    </row>
    <row r="194" spans="1:8">
      <c r="A194" s="1">
        <v>21</v>
      </c>
      <c r="B194" t="s">
        <v>1673</v>
      </c>
      <c r="C194">
        <v>82.35</v>
      </c>
      <c r="D194">
        <v>158.18</v>
      </c>
      <c r="E194">
        <v>0.97428099999999995</v>
      </c>
      <c r="F194">
        <v>48.31</v>
      </c>
      <c r="G194">
        <v>6</v>
      </c>
      <c r="H194">
        <v>18.329999999999998</v>
      </c>
    </row>
    <row r="195" spans="1:8">
      <c r="A195" s="1">
        <v>22</v>
      </c>
      <c r="B195" t="s">
        <v>1674</v>
      </c>
      <c r="C195">
        <v>78.59</v>
      </c>
      <c r="D195">
        <v>157.65</v>
      </c>
      <c r="E195">
        <v>0.95644700000000005</v>
      </c>
      <c r="F195">
        <v>40.47</v>
      </c>
      <c r="G195">
        <v>10</v>
      </c>
      <c r="H195">
        <v>17.39</v>
      </c>
    </row>
    <row r="196" spans="1:8">
      <c r="A196" s="1">
        <v>23</v>
      </c>
      <c r="B196" t="s">
        <v>1675</v>
      </c>
      <c r="C196">
        <v>74.59</v>
      </c>
      <c r="D196">
        <v>157.04</v>
      </c>
      <c r="E196">
        <v>0.92674299999999998</v>
      </c>
      <c r="F196">
        <v>34.520000000000003</v>
      </c>
      <c r="G196">
        <v>24</v>
      </c>
      <c r="H196">
        <v>16.11</v>
      </c>
    </row>
    <row r="197" spans="1:8">
      <c r="A197" s="1">
        <v>24</v>
      </c>
      <c r="B197" t="s">
        <v>1676</v>
      </c>
      <c r="C197">
        <v>78.92</v>
      </c>
      <c r="D197">
        <v>157.69999999999999</v>
      </c>
      <c r="E197">
        <v>0.95517600000000003</v>
      </c>
      <c r="F197">
        <v>44.35</v>
      </c>
      <c r="G197">
        <v>34</v>
      </c>
      <c r="H197">
        <v>17.059999999999999</v>
      </c>
    </row>
    <row r="198" spans="1:8">
      <c r="A198" s="1">
        <v>25</v>
      </c>
      <c r="B198" t="s">
        <v>1677</v>
      </c>
      <c r="C198">
        <v>77.28</v>
      </c>
      <c r="D198">
        <v>155.56</v>
      </c>
      <c r="E198">
        <v>0.89501799999999998</v>
      </c>
      <c r="F198">
        <v>0.46</v>
      </c>
      <c r="G198">
        <v>28</v>
      </c>
      <c r="H198">
        <v>16.36</v>
      </c>
    </row>
    <row r="199" spans="1:8">
      <c r="A199" s="1">
        <v>26</v>
      </c>
      <c r="B199" t="s">
        <v>1678</v>
      </c>
      <c r="C199">
        <v>77.900000000000006</v>
      </c>
      <c r="D199">
        <v>157.46</v>
      </c>
      <c r="E199">
        <v>0.93258099999999999</v>
      </c>
      <c r="F199">
        <v>44.58</v>
      </c>
      <c r="G199">
        <v>0</v>
      </c>
      <c r="H199">
        <v>16.5</v>
      </c>
    </row>
    <row r="200" spans="1:8">
      <c r="A200" s="1">
        <v>27</v>
      </c>
      <c r="B200" t="s">
        <v>1679</v>
      </c>
      <c r="C200">
        <v>73.11</v>
      </c>
      <c r="D200">
        <v>153.66</v>
      </c>
      <c r="E200">
        <v>0.86029699999999998</v>
      </c>
      <c r="F200">
        <v>0.35</v>
      </c>
      <c r="G200">
        <v>38</v>
      </c>
      <c r="H200">
        <v>15.58</v>
      </c>
    </row>
    <row r="201" spans="1:8">
      <c r="A201" s="1">
        <v>28</v>
      </c>
      <c r="B201" t="s">
        <v>1680</v>
      </c>
      <c r="C201">
        <v>75.91</v>
      </c>
      <c r="D201">
        <v>157.19</v>
      </c>
      <c r="E201">
        <v>0.92569400000000002</v>
      </c>
      <c r="F201">
        <v>40.090000000000003</v>
      </c>
      <c r="G201">
        <v>22</v>
      </c>
      <c r="H201">
        <v>16.420000000000002</v>
      </c>
    </row>
    <row r="202" spans="1:8">
      <c r="A202" s="1">
        <v>29</v>
      </c>
      <c r="B202" t="s">
        <v>1681</v>
      </c>
      <c r="C202">
        <v>74.88</v>
      </c>
      <c r="D202">
        <v>157.13</v>
      </c>
      <c r="E202">
        <v>0.93820700000000001</v>
      </c>
      <c r="F202">
        <v>37.56</v>
      </c>
      <c r="G202">
        <v>24</v>
      </c>
      <c r="H202">
        <v>16.8</v>
      </c>
    </row>
    <row r="203" spans="1:8">
      <c r="A203" s="1">
        <v>30</v>
      </c>
      <c r="B203" t="s">
        <v>1682</v>
      </c>
      <c r="C203">
        <v>63.72</v>
      </c>
      <c r="D203">
        <v>153.15</v>
      </c>
      <c r="E203">
        <v>0.83733400000000002</v>
      </c>
      <c r="F203">
        <v>1</v>
      </c>
      <c r="G203">
        <v>24</v>
      </c>
      <c r="H203">
        <v>14.33</v>
      </c>
    </row>
    <row r="204" spans="1:8">
      <c r="A204" s="1">
        <v>31</v>
      </c>
      <c r="B204" t="s">
        <v>1683</v>
      </c>
      <c r="C204">
        <v>71.45</v>
      </c>
      <c r="D204">
        <v>156.41</v>
      </c>
      <c r="E204">
        <v>0.89661100000000005</v>
      </c>
      <c r="F204">
        <v>22.77</v>
      </c>
      <c r="G204">
        <v>18</v>
      </c>
      <c r="H204">
        <v>15.42</v>
      </c>
    </row>
    <row r="205" spans="1:8">
      <c r="A205" s="1">
        <v>32</v>
      </c>
      <c r="B205" t="s">
        <v>1684</v>
      </c>
      <c r="C205">
        <v>66.819999999999993</v>
      </c>
      <c r="D205">
        <v>155.78</v>
      </c>
      <c r="E205">
        <v>0.88431000000000004</v>
      </c>
      <c r="F205">
        <v>26.73</v>
      </c>
      <c r="G205">
        <v>32</v>
      </c>
      <c r="H205">
        <v>14.72</v>
      </c>
    </row>
    <row r="206" spans="1:8">
      <c r="A206" s="1">
        <v>33</v>
      </c>
      <c r="B206" t="s">
        <v>1685</v>
      </c>
      <c r="C206">
        <v>79.260000000000005</v>
      </c>
      <c r="D206">
        <v>156.9</v>
      </c>
      <c r="E206">
        <v>0.92191599999999996</v>
      </c>
      <c r="F206">
        <v>3.96</v>
      </c>
      <c r="G206">
        <v>34</v>
      </c>
      <c r="H206">
        <v>17.04</v>
      </c>
    </row>
    <row r="207" spans="1:8">
      <c r="A207" s="1">
        <v>34</v>
      </c>
      <c r="B207" t="s">
        <v>1686</v>
      </c>
      <c r="C207">
        <v>75.48</v>
      </c>
      <c r="D207">
        <v>157.01</v>
      </c>
      <c r="E207">
        <v>0.91601999999999995</v>
      </c>
      <c r="F207">
        <v>24.04</v>
      </c>
      <c r="G207">
        <v>6</v>
      </c>
      <c r="H207">
        <v>16.18</v>
      </c>
    </row>
    <row r="208" spans="1:8">
      <c r="A208" s="1">
        <v>35</v>
      </c>
      <c r="B208" t="s">
        <v>1687</v>
      </c>
      <c r="C208">
        <v>62.7</v>
      </c>
      <c r="D208">
        <v>154.94</v>
      </c>
      <c r="E208">
        <v>0.85455300000000001</v>
      </c>
      <c r="F208">
        <v>14.86</v>
      </c>
      <c r="G208">
        <v>10</v>
      </c>
      <c r="H208">
        <v>13.95</v>
      </c>
    </row>
    <row r="209" spans="1:8">
      <c r="A209" s="1">
        <v>36</v>
      </c>
      <c r="B209" t="s">
        <v>1688</v>
      </c>
      <c r="C209">
        <v>79.180000000000007</v>
      </c>
      <c r="D209">
        <v>157.44</v>
      </c>
      <c r="E209">
        <v>0.92329099999999997</v>
      </c>
      <c r="F209">
        <v>25.46</v>
      </c>
      <c r="G209">
        <v>0</v>
      </c>
      <c r="H209">
        <v>16.809999999999999</v>
      </c>
    </row>
    <row r="210" spans="1:8">
      <c r="A210" s="1">
        <v>37</v>
      </c>
      <c r="B210" t="s">
        <v>1689</v>
      </c>
      <c r="C210">
        <v>76.88</v>
      </c>
      <c r="D210">
        <v>157.05000000000001</v>
      </c>
      <c r="E210">
        <v>0.90526799999999996</v>
      </c>
      <c r="F210">
        <v>25.92</v>
      </c>
      <c r="G210">
        <v>12</v>
      </c>
      <c r="H210">
        <v>16.39</v>
      </c>
    </row>
    <row r="211" spans="1:8">
      <c r="A211" s="1">
        <v>38</v>
      </c>
      <c r="B211" t="s">
        <v>1690</v>
      </c>
      <c r="C211">
        <v>66.64</v>
      </c>
      <c r="D211">
        <v>154.57</v>
      </c>
      <c r="E211">
        <v>0.86442300000000005</v>
      </c>
      <c r="F211">
        <v>0.92</v>
      </c>
      <c r="G211">
        <v>6</v>
      </c>
      <c r="H211">
        <v>14.48</v>
      </c>
    </row>
    <row r="212" spans="1:8">
      <c r="A212" s="1">
        <v>39</v>
      </c>
      <c r="B212" t="s">
        <v>1691</v>
      </c>
      <c r="C212">
        <v>76.62</v>
      </c>
      <c r="D212">
        <v>157.29</v>
      </c>
      <c r="E212">
        <v>0.93264000000000002</v>
      </c>
      <c r="F212">
        <v>36.06</v>
      </c>
      <c r="G212">
        <v>22</v>
      </c>
      <c r="H212">
        <v>16.399999999999999</v>
      </c>
    </row>
    <row r="213" spans="1:8">
      <c r="A213" s="1">
        <v>40</v>
      </c>
      <c r="B213" t="s">
        <v>1692</v>
      </c>
      <c r="C213">
        <v>76.34</v>
      </c>
      <c r="D213">
        <v>156.79</v>
      </c>
      <c r="E213">
        <v>0.90429599999999999</v>
      </c>
      <c r="F213">
        <v>9.2899999999999991</v>
      </c>
      <c r="G213">
        <v>4</v>
      </c>
      <c r="H213">
        <v>16.23</v>
      </c>
    </row>
    <row r="214" spans="1:8">
      <c r="A214" s="1">
        <v>41</v>
      </c>
      <c r="B214" t="s">
        <v>1693</v>
      </c>
      <c r="C214">
        <v>77.819999999999993</v>
      </c>
      <c r="D214">
        <v>157.43</v>
      </c>
      <c r="E214">
        <v>0.93211900000000003</v>
      </c>
      <c r="F214">
        <v>39.71</v>
      </c>
      <c r="G214">
        <v>4</v>
      </c>
      <c r="H214">
        <v>16.59</v>
      </c>
    </row>
    <row r="215" spans="1:8">
      <c r="A215" s="1">
        <v>42</v>
      </c>
      <c r="B215" t="s">
        <v>1694</v>
      </c>
      <c r="C215">
        <v>83.17</v>
      </c>
      <c r="D215">
        <v>158.08000000000001</v>
      </c>
      <c r="E215">
        <v>0.94669499999999995</v>
      </c>
      <c r="F215">
        <v>40.549999999999997</v>
      </c>
      <c r="G215">
        <v>20</v>
      </c>
      <c r="H215">
        <v>17.48</v>
      </c>
    </row>
    <row r="216" spans="1:8">
      <c r="A216" s="1">
        <v>43</v>
      </c>
      <c r="B216" t="s">
        <v>1695</v>
      </c>
      <c r="C216">
        <v>67.58</v>
      </c>
      <c r="D216">
        <v>155.97</v>
      </c>
      <c r="E216">
        <v>0.88930500000000001</v>
      </c>
      <c r="F216">
        <v>29.49</v>
      </c>
      <c r="G216">
        <v>36</v>
      </c>
      <c r="H216">
        <v>14.57</v>
      </c>
    </row>
    <row r="217" spans="1:8">
      <c r="A217" s="1">
        <v>44</v>
      </c>
      <c r="B217" t="s">
        <v>1696</v>
      </c>
      <c r="C217">
        <v>80.739999999999995</v>
      </c>
      <c r="D217">
        <v>156.35</v>
      </c>
      <c r="E217">
        <v>0.92432300000000001</v>
      </c>
      <c r="F217">
        <v>0.69</v>
      </c>
      <c r="G217">
        <v>34</v>
      </c>
      <c r="H217">
        <v>17.32</v>
      </c>
    </row>
    <row r="218" spans="1:8">
      <c r="A218" s="1">
        <v>45</v>
      </c>
      <c r="B218" t="s">
        <v>1697</v>
      </c>
      <c r="C218">
        <v>74.98</v>
      </c>
      <c r="D218">
        <v>156.78</v>
      </c>
      <c r="E218">
        <v>0.89733200000000002</v>
      </c>
      <c r="F218">
        <v>17.28</v>
      </c>
      <c r="G218">
        <v>4</v>
      </c>
      <c r="H218">
        <v>15.69</v>
      </c>
    </row>
    <row r="219" spans="1:8">
      <c r="A219" s="1">
        <v>46</v>
      </c>
      <c r="B219" t="s">
        <v>1698</v>
      </c>
      <c r="C219">
        <v>73.08</v>
      </c>
      <c r="D219">
        <v>154.12</v>
      </c>
      <c r="E219">
        <v>0.86636100000000005</v>
      </c>
      <c r="F219">
        <v>0.65</v>
      </c>
      <c r="G219">
        <v>32</v>
      </c>
      <c r="H219">
        <v>15.76</v>
      </c>
    </row>
    <row r="220" spans="1:8">
      <c r="A220" s="1">
        <v>47</v>
      </c>
      <c r="B220" t="s">
        <v>1699</v>
      </c>
      <c r="C220">
        <v>69.58</v>
      </c>
      <c r="D220">
        <v>156.22999999999999</v>
      </c>
      <c r="E220">
        <v>0.89298900000000003</v>
      </c>
      <c r="F220">
        <v>25</v>
      </c>
      <c r="G220">
        <v>20</v>
      </c>
      <c r="H220">
        <v>15.04</v>
      </c>
    </row>
    <row r="221" spans="1:8">
      <c r="A221" s="1">
        <v>48</v>
      </c>
      <c r="B221" t="s">
        <v>1700</v>
      </c>
      <c r="C221">
        <v>66.33</v>
      </c>
      <c r="D221">
        <v>155.54</v>
      </c>
      <c r="E221">
        <v>0.85534100000000002</v>
      </c>
      <c r="F221">
        <v>19.28</v>
      </c>
      <c r="G221">
        <v>32</v>
      </c>
      <c r="H221">
        <v>13.77</v>
      </c>
    </row>
    <row r="222" spans="1:8">
      <c r="A222" s="1">
        <v>49</v>
      </c>
      <c r="B222" t="s">
        <v>1701</v>
      </c>
      <c r="C222">
        <v>74.510000000000005</v>
      </c>
      <c r="D222">
        <v>156.83000000000001</v>
      </c>
      <c r="E222">
        <v>0.90974100000000002</v>
      </c>
      <c r="F222">
        <v>23.69</v>
      </c>
      <c r="G222">
        <v>0</v>
      </c>
      <c r="H222">
        <v>16.350000000000001</v>
      </c>
    </row>
    <row r="223" spans="1:8">
      <c r="A223" s="1">
        <v>50</v>
      </c>
      <c r="B223" t="s">
        <v>1702</v>
      </c>
      <c r="C223">
        <v>63.68</v>
      </c>
      <c r="D223">
        <v>154.38</v>
      </c>
      <c r="E223">
        <v>0.86536999999999997</v>
      </c>
      <c r="F223">
        <v>1.31</v>
      </c>
      <c r="G223">
        <v>2</v>
      </c>
      <c r="H223">
        <v>14.1</v>
      </c>
    </row>
    <row r="224" spans="1:8">
      <c r="B224" s="1" t="s">
        <v>19</v>
      </c>
      <c r="C224" s="1">
        <f>AVERAGE(C174:C223)</f>
        <v>74.410399999999981</v>
      </c>
      <c r="D224" s="1">
        <f>AVERAGE(D174:D223)</f>
        <v>156.47799999999995</v>
      </c>
      <c r="E224" s="1">
        <f t="shared" ref="E224:H224" si="10">AVERAGE(E174:E223)</f>
        <v>0.91096137999999982</v>
      </c>
      <c r="F224" s="1">
        <f t="shared" si="10"/>
        <v>23.952600000000004</v>
      </c>
      <c r="G224" s="1">
        <f t="shared" si="10"/>
        <v>18.079999999999998</v>
      </c>
      <c r="H224" s="1">
        <f t="shared" si="10"/>
        <v>16.084800000000001</v>
      </c>
    </row>
    <row r="225" spans="1:8">
      <c r="B225" s="1" t="s">
        <v>20</v>
      </c>
      <c r="C225" s="1">
        <f>MIN(C173:C223)</f>
        <v>62.7</v>
      </c>
      <c r="D225" s="1">
        <f>MIN(D173:D223)</f>
        <v>153.15</v>
      </c>
      <c r="E225" s="1">
        <f>MIN(E173:E223)</f>
        <v>0.83733400000000002</v>
      </c>
      <c r="F225" s="1">
        <f>MIN(F173:F223)</f>
        <v>0.31</v>
      </c>
      <c r="H225" s="1">
        <f>MIN(H173:H223)</f>
        <v>13.77</v>
      </c>
    </row>
    <row r="226" spans="1:8">
      <c r="B226" s="1" t="s">
        <v>3</v>
      </c>
      <c r="C226" s="1">
        <f>STDEV(C174:C223)</f>
        <v>5.4318576369193101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3" t="s">
        <v>1435</v>
      </c>
    </row>
    <row r="229" spans="1:8" ht="18">
      <c r="A229" s="23" t="s">
        <v>7</v>
      </c>
      <c r="B229" s="3" t="s">
        <v>2</v>
      </c>
      <c r="C229" s="23" t="s">
        <v>4</v>
      </c>
      <c r="D229" s="23" t="s">
        <v>322</v>
      </c>
      <c r="E229" s="23" t="s">
        <v>321</v>
      </c>
      <c r="F229" s="23" t="s">
        <v>324</v>
      </c>
      <c r="G229" s="23" t="s">
        <v>323</v>
      </c>
      <c r="H229" s="23" t="s">
        <v>1436</v>
      </c>
    </row>
    <row r="230" spans="1:8">
      <c r="A230" s="1">
        <v>1</v>
      </c>
      <c r="B230" t="s">
        <v>1703</v>
      </c>
      <c r="C230">
        <v>71.42</v>
      </c>
      <c r="D230">
        <v>234.29</v>
      </c>
      <c r="E230">
        <v>0.89552100000000001</v>
      </c>
      <c r="F230">
        <v>5.76</v>
      </c>
      <c r="G230">
        <v>50</v>
      </c>
      <c r="H230">
        <v>15.53</v>
      </c>
    </row>
    <row r="231" spans="1:8">
      <c r="A231" s="1">
        <v>2</v>
      </c>
      <c r="B231" t="s">
        <v>1704</v>
      </c>
      <c r="C231">
        <v>72.05</v>
      </c>
      <c r="D231">
        <v>233.88</v>
      </c>
      <c r="E231">
        <v>0.91105100000000006</v>
      </c>
      <c r="F231">
        <v>1.08</v>
      </c>
      <c r="G231">
        <v>38</v>
      </c>
      <c r="H231">
        <v>15.98</v>
      </c>
    </row>
    <row r="232" spans="1:8">
      <c r="A232" s="1">
        <v>3</v>
      </c>
      <c r="B232" t="s">
        <v>1705</v>
      </c>
      <c r="C232">
        <v>69.62</v>
      </c>
      <c r="D232">
        <v>234.41</v>
      </c>
      <c r="E232">
        <v>0.89415800000000001</v>
      </c>
      <c r="F232">
        <v>29.18</v>
      </c>
      <c r="G232">
        <v>14</v>
      </c>
      <c r="H232">
        <v>15.06</v>
      </c>
    </row>
    <row r="233" spans="1:8">
      <c r="A233" s="1">
        <v>4</v>
      </c>
      <c r="B233" t="s">
        <v>1706</v>
      </c>
      <c r="C233">
        <v>68.44</v>
      </c>
      <c r="D233">
        <v>232.36</v>
      </c>
      <c r="E233">
        <v>0.89246800000000004</v>
      </c>
      <c r="F233">
        <v>0.19</v>
      </c>
      <c r="G233">
        <v>20</v>
      </c>
      <c r="H233">
        <v>14.9</v>
      </c>
    </row>
    <row r="234" spans="1:8">
      <c r="A234" s="1">
        <v>5</v>
      </c>
      <c r="B234" t="s">
        <v>1707</v>
      </c>
      <c r="C234">
        <v>74.62</v>
      </c>
      <c r="D234">
        <v>233.53</v>
      </c>
      <c r="E234">
        <v>0.90596200000000005</v>
      </c>
      <c r="F234">
        <v>0.23</v>
      </c>
      <c r="G234">
        <v>58</v>
      </c>
      <c r="H234">
        <v>16.27</v>
      </c>
    </row>
    <row r="235" spans="1:8">
      <c r="A235" s="1">
        <v>6</v>
      </c>
      <c r="B235" t="s">
        <v>1708</v>
      </c>
      <c r="C235">
        <v>68.849999999999994</v>
      </c>
      <c r="D235">
        <v>231.7</v>
      </c>
      <c r="E235">
        <v>0.85765800000000003</v>
      </c>
      <c r="F235">
        <v>0.65</v>
      </c>
      <c r="G235">
        <v>8</v>
      </c>
      <c r="H235">
        <v>15.02</v>
      </c>
    </row>
    <row r="236" spans="1:8">
      <c r="A236" s="1">
        <v>7</v>
      </c>
      <c r="B236" t="s">
        <v>1709</v>
      </c>
      <c r="C236">
        <v>69.86</v>
      </c>
      <c r="D236">
        <v>234.37</v>
      </c>
      <c r="E236">
        <v>0.89852699999999996</v>
      </c>
      <c r="F236">
        <v>21.81</v>
      </c>
      <c r="G236">
        <v>0</v>
      </c>
      <c r="H236">
        <v>15.15</v>
      </c>
    </row>
    <row r="237" spans="1:8">
      <c r="A237" s="1">
        <v>8</v>
      </c>
      <c r="B237" t="s">
        <v>1710</v>
      </c>
      <c r="C237">
        <v>65.209999999999994</v>
      </c>
      <c r="D237" t="e">
        <f>-inf</f>
        <v>#NAME?</v>
      </c>
      <c r="E237">
        <v>0.77972200000000003</v>
      </c>
      <c r="F237">
        <v>0</v>
      </c>
      <c r="G237">
        <v>54</v>
      </c>
      <c r="H237">
        <v>14.36</v>
      </c>
    </row>
    <row r="238" spans="1:8">
      <c r="A238" s="1">
        <v>9</v>
      </c>
      <c r="B238" t="s">
        <v>1711</v>
      </c>
      <c r="C238">
        <v>70.150000000000006</v>
      </c>
      <c r="D238">
        <v>230.57</v>
      </c>
      <c r="E238">
        <v>0.83915499999999998</v>
      </c>
      <c r="F238">
        <v>0.77</v>
      </c>
      <c r="G238">
        <v>30</v>
      </c>
      <c r="H238">
        <v>14.95</v>
      </c>
    </row>
    <row r="239" spans="1:8">
      <c r="A239" s="1">
        <v>10</v>
      </c>
      <c r="B239" t="s">
        <v>1712</v>
      </c>
      <c r="C239">
        <v>66.790000000000006</v>
      </c>
      <c r="D239">
        <v>232.19</v>
      </c>
      <c r="E239">
        <v>0.85174399999999995</v>
      </c>
      <c r="F239">
        <v>1.88</v>
      </c>
      <c r="G239">
        <v>28</v>
      </c>
      <c r="H239">
        <v>14.6</v>
      </c>
    </row>
    <row r="240" spans="1:8">
      <c r="A240" s="1">
        <v>11</v>
      </c>
      <c r="B240" t="s">
        <v>1713</v>
      </c>
      <c r="C240">
        <v>71.98</v>
      </c>
      <c r="D240">
        <v>234.88</v>
      </c>
      <c r="E240">
        <v>0.90394300000000005</v>
      </c>
      <c r="F240">
        <v>24.5</v>
      </c>
      <c r="G240">
        <v>44</v>
      </c>
      <c r="H240">
        <v>15.18</v>
      </c>
    </row>
    <row r="241" spans="1:8">
      <c r="A241" s="1">
        <v>12</v>
      </c>
      <c r="B241" t="s">
        <v>1714</v>
      </c>
      <c r="C241">
        <v>70.42</v>
      </c>
      <c r="D241">
        <v>233.55</v>
      </c>
      <c r="E241">
        <v>0.88373699999999999</v>
      </c>
      <c r="F241">
        <v>3.96</v>
      </c>
      <c r="G241">
        <v>58</v>
      </c>
      <c r="H241">
        <v>15.62</v>
      </c>
    </row>
    <row r="242" spans="1:8">
      <c r="A242" s="1">
        <v>13</v>
      </c>
      <c r="B242" t="s">
        <v>1715</v>
      </c>
      <c r="C242">
        <v>60.87</v>
      </c>
      <c r="D242">
        <v>230.07</v>
      </c>
      <c r="E242">
        <v>0.81508800000000003</v>
      </c>
      <c r="F242">
        <v>1.08</v>
      </c>
      <c r="G242">
        <v>4</v>
      </c>
      <c r="H242">
        <v>13.19</v>
      </c>
    </row>
    <row r="243" spans="1:8">
      <c r="A243" s="1">
        <v>14</v>
      </c>
      <c r="B243" t="s">
        <v>1716</v>
      </c>
      <c r="C243">
        <v>78.41</v>
      </c>
      <c r="D243">
        <v>234.89</v>
      </c>
      <c r="E243">
        <v>0.91330500000000003</v>
      </c>
      <c r="F243">
        <v>1.04</v>
      </c>
      <c r="G243">
        <v>6</v>
      </c>
      <c r="H243">
        <v>16.72</v>
      </c>
    </row>
    <row r="244" spans="1:8">
      <c r="A244" s="1">
        <v>15</v>
      </c>
      <c r="B244" t="s">
        <v>1717</v>
      </c>
      <c r="C244">
        <v>71.209999999999994</v>
      </c>
      <c r="D244">
        <v>231.58</v>
      </c>
      <c r="E244">
        <v>0.87173900000000004</v>
      </c>
      <c r="F244">
        <v>0.35</v>
      </c>
      <c r="G244">
        <v>34</v>
      </c>
      <c r="H244">
        <v>15.44</v>
      </c>
    </row>
    <row r="245" spans="1:8">
      <c r="A245" s="1">
        <v>16</v>
      </c>
      <c r="B245" t="s">
        <v>1718</v>
      </c>
      <c r="C245">
        <v>74.38</v>
      </c>
      <c r="D245">
        <v>234.33</v>
      </c>
      <c r="E245">
        <v>0.89707199999999998</v>
      </c>
      <c r="F245">
        <v>2.65</v>
      </c>
      <c r="G245">
        <v>2</v>
      </c>
      <c r="H245">
        <v>16.25</v>
      </c>
    </row>
    <row r="246" spans="1:8">
      <c r="A246" s="1">
        <v>17</v>
      </c>
      <c r="B246" t="s">
        <v>1719</v>
      </c>
      <c r="C246">
        <v>68.7</v>
      </c>
      <c r="D246">
        <v>233.72</v>
      </c>
      <c r="E246">
        <v>0.87404300000000001</v>
      </c>
      <c r="F246">
        <v>14.94</v>
      </c>
      <c r="G246">
        <v>40</v>
      </c>
      <c r="H246">
        <v>14.83</v>
      </c>
    </row>
    <row r="247" spans="1:8">
      <c r="A247" s="1">
        <v>18</v>
      </c>
      <c r="B247" t="s">
        <v>1720</v>
      </c>
      <c r="C247">
        <v>73.03</v>
      </c>
      <c r="D247">
        <v>233.52</v>
      </c>
      <c r="E247">
        <v>0.87195199999999995</v>
      </c>
      <c r="F247">
        <v>0.96</v>
      </c>
      <c r="G247">
        <v>36</v>
      </c>
      <c r="H247">
        <v>15.45</v>
      </c>
    </row>
    <row r="248" spans="1:8">
      <c r="A248" s="1">
        <v>19</v>
      </c>
      <c r="B248" t="s">
        <v>1721</v>
      </c>
      <c r="C248">
        <v>76.459999999999994</v>
      </c>
      <c r="D248">
        <v>233.3</v>
      </c>
      <c r="E248">
        <v>0.90609399999999996</v>
      </c>
      <c r="F248">
        <v>0.92</v>
      </c>
      <c r="G248">
        <v>6</v>
      </c>
      <c r="H248">
        <v>16.7</v>
      </c>
    </row>
    <row r="249" spans="1:8">
      <c r="A249" s="1">
        <v>20</v>
      </c>
      <c r="B249" t="s">
        <v>1722</v>
      </c>
      <c r="C249">
        <v>70.290000000000006</v>
      </c>
      <c r="D249">
        <v>233.59</v>
      </c>
      <c r="E249">
        <v>0.89371199999999995</v>
      </c>
      <c r="F249">
        <v>1.65</v>
      </c>
      <c r="G249">
        <v>28</v>
      </c>
      <c r="H249">
        <v>15.22</v>
      </c>
    </row>
    <row r="250" spans="1:8">
      <c r="A250" s="1">
        <v>21</v>
      </c>
      <c r="B250" t="s">
        <v>1723</v>
      </c>
      <c r="C250">
        <v>64.709999999999994</v>
      </c>
      <c r="D250" t="e">
        <f>-inf</f>
        <v>#NAME?</v>
      </c>
      <c r="E250">
        <v>0.81801000000000001</v>
      </c>
      <c r="F250">
        <v>0</v>
      </c>
      <c r="G250">
        <v>40</v>
      </c>
      <c r="H250">
        <v>13.99</v>
      </c>
    </row>
    <row r="251" spans="1:8">
      <c r="A251" s="1">
        <v>22</v>
      </c>
      <c r="B251" t="s">
        <v>1724</v>
      </c>
      <c r="C251">
        <v>70.180000000000007</v>
      </c>
      <c r="D251">
        <v>233.32</v>
      </c>
      <c r="E251">
        <v>0.87440700000000005</v>
      </c>
      <c r="F251">
        <v>1.5</v>
      </c>
      <c r="G251">
        <v>0</v>
      </c>
      <c r="H251">
        <v>15.03</v>
      </c>
    </row>
    <row r="252" spans="1:8">
      <c r="A252" s="1">
        <v>23</v>
      </c>
      <c r="B252" t="s">
        <v>1725</v>
      </c>
      <c r="C252">
        <v>74.930000000000007</v>
      </c>
      <c r="D252">
        <v>231.46</v>
      </c>
      <c r="E252">
        <v>0.88004700000000002</v>
      </c>
      <c r="F252">
        <v>0.35</v>
      </c>
      <c r="G252">
        <v>40</v>
      </c>
      <c r="H252">
        <v>16.53</v>
      </c>
    </row>
    <row r="253" spans="1:8">
      <c r="A253" s="1">
        <v>24</v>
      </c>
      <c r="B253" t="s">
        <v>1726</v>
      </c>
      <c r="C253">
        <v>62.98</v>
      </c>
      <c r="D253">
        <v>232.49</v>
      </c>
      <c r="E253">
        <v>0.850356</v>
      </c>
      <c r="F253">
        <v>17.63</v>
      </c>
      <c r="G253">
        <v>36</v>
      </c>
      <c r="H253">
        <v>14.03</v>
      </c>
    </row>
    <row r="254" spans="1:8">
      <c r="A254" s="1">
        <v>25</v>
      </c>
      <c r="B254" t="s">
        <v>1727</v>
      </c>
      <c r="C254">
        <v>63.55</v>
      </c>
      <c r="D254">
        <v>232.11</v>
      </c>
      <c r="E254">
        <v>0.87200800000000001</v>
      </c>
      <c r="F254">
        <v>1.46</v>
      </c>
      <c r="G254">
        <v>58</v>
      </c>
      <c r="H254">
        <v>14.02</v>
      </c>
    </row>
    <row r="255" spans="1:8">
      <c r="A255" s="1">
        <v>26</v>
      </c>
      <c r="B255" t="s">
        <v>1728</v>
      </c>
      <c r="C255">
        <v>73.14</v>
      </c>
      <c r="D255">
        <v>235.3</v>
      </c>
      <c r="E255">
        <v>0.92676700000000001</v>
      </c>
      <c r="F255">
        <v>26.73</v>
      </c>
      <c r="G255">
        <v>58</v>
      </c>
      <c r="H255">
        <v>15.92</v>
      </c>
    </row>
    <row r="256" spans="1:8">
      <c r="A256" s="1">
        <v>27</v>
      </c>
      <c r="B256" t="s">
        <v>1729</v>
      </c>
      <c r="C256">
        <v>70.790000000000006</v>
      </c>
      <c r="D256">
        <v>233.44</v>
      </c>
      <c r="E256">
        <v>0.89438499999999999</v>
      </c>
      <c r="F256">
        <v>0.92</v>
      </c>
      <c r="G256">
        <v>58</v>
      </c>
      <c r="H256">
        <v>15.32</v>
      </c>
    </row>
    <row r="257" spans="1:8">
      <c r="A257" s="1">
        <v>28</v>
      </c>
      <c r="B257" t="s">
        <v>1730</v>
      </c>
      <c r="C257">
        <v>64.88</v>
      </c>
      <c r="D257">
        <v>229.92</v>
      </c>
      <c r="E257">
        <v>0.81166400000000005</v>
      </c>
      <c r="F257">
        <v>0.88</v>
      </c>
      <c r="G257">
        <v>54</v>
      </c>
      <c r="H257">
        <v>14.2</v>
      </c>
    </row>
    <row r="258" spans="1:8">
      <c r="A258" s="1">
        <v>29</v>
      </c>
      <c r="B258" t="s">
        <v>1731</v>
      </c>
      <c r="C258">
        <v>71.64</v>
      </c>
      <c r="D258">
        <v>233.68</v>
      </c>
      <c r="E258">
        <v>0.89089700000000005</v>
      </c>
      <c r="F258">
        <v>1.31</v>
      </c>
      <c r="G258">
        <v>16</v>
      </c>
      <c r="H258">
        <v>15.1</v>
      </c>
    </row>
    <row r="259" spans="1:8">
      <c r="A259" s="1">
        <v>30</v>
      </c>
      <c r="B259" t="s">
        <v>1732</v>
      </c>
      <c r="C259">
        <v>75.959999999999994</v>
      </c>
      <c r="D259">
        <v>235.76</v>
      </c>
      <c r="E259">
        <v>0.92996299999999998</v>
      </c>
      <c r="F259">
        <v>27.84</v>
      </c>
      <c r="G259">
        <v>48</v>
      </c>
      <c r="H259">
        <v>16.46</v>
      </c>
    </row>
    <row r="260" spans="1:8">
      <c r="A260" s="1">
        <v>31</v>
      </c>
      <c r="B260" t="s">
        <v>1733</v>
      </c>
      <c r="C260">
        <v>73.430000000000007</v>
      </c>
      <c r="D260">
        <v>233.54</v>
      </c>
      <c r="E260">
        <v>0.88683400000000001</v>
      </c>
      <c r="F260">
        <v>2.73</v>
      </c>
      <c r="G260">
        <v>54</v>
      </c>
      <c r="H260">
        <v>16.05</v>
      </c>
    </row>
    <row r="261" spans="1:8">
      <c r="A261" s="1">
        <v>32</v>
      </c>
      <c r="B261" t="s">
        <v>1734</v>
      </c>
      <c r="C261">
        <v>67.959999999999994</v>
      </c>
      <c r="D261">
        <v>232.56</v>
      </c>
      <c r="E261">
        <v>0.87735600000000002</v>
      </c>
      <c r="F261">
        <v>0.69</v>
      </c>
      <c r="G261">
        <v>48</v>
      </c>
      <c r="H261">
        <v>14.71</v>
      </c>
    </row>
    <row r="262" spans="1:8">
      <c r="A262" s="1">
        <v>33</v>
      </c>
      <c r="B262" t="s">
        <v>1735</v>
      </c>
      <c r="C262">
        <v>69.89</v>
      </c>
      <c r="D262">
        <v>232.18</v>
      </c>
      <c r="E262">
        <v>0.86738899999999997</v>
      </c>
      <c r="F262">
        <v>1.08</v>
      </c>
      <c r="G262">
        <v>10</v>
      </c>
      <c r="H262">
        <v>15.05</v>
      </c>
    </row>
    <row r="263" spans="1:8">
      <c r="A263" s="1">
        <v>34</v>
      </c>
      <c r="B263" t="s">
        <v>1736</v>
      </c>
      <c r="C263">
        <v>72.83</v>
      </c>
      <c r="D263">
        <v>234.66</v>
      </c>
      <c r="E263">
        <v>0.89995599999999998</v>
      </c>
      <c r="F263">
        <v>11.52</v>
      </c>
      <c r="G263">
        <v>56</v>
      </c>
      <c r="H263">
        <v>15.99</v>
      </c>
    </row>
    <row r="264" spans="1:8">
      <c r="A264" s="1">
        <v>35</v>
      </c>
      <c r="B264" t="s">
        <v>1737</v>
      </c>
      <c r="C264">
        <v>77.97</v>
      </c>
      <c r="D264">
        <v>235.21</v>
      </c>
      <c r="E264">
        <v>0.92506600000000005</v>
      </c>
      <c r="F264">
        <v>2</v>
      </c>
      <c r="G264">
        <v>0</v>
      </c>
      <c r="H264">
        <v>16.68</v>
      </c>
    </row>
    <row r="265" spans="1:8">
      <c r="A265" s="1">
        <v>36</v>
      </c>
      <c r="B265" t="s">
        <v>1738</v>
      </c>
      <c r="C265">
        <v>70.23</v>
      </c>
      <c r="D265">
        <v>233.38</v>
      </c>
      <c r="E265">
        <v>0.88552399999999998</v>
      </c>
      <c r="F265">
        <v>1.73</v>
      </c>
      <c r="G265">
        <v>46</v>
      </c>
      <c r="H265">
        <v>15.6</v>
      </c>
    </row>
    <row r="266" spans="1:8">
      <c r="A266" s="1">
        <v>37</v>
      </c>
      <c r="B266" t="s">
        <v>1739</v>
      </c>
      <c r="C266">
        <v>71.25</v>
      </c>
      <c r="D266">
        <v>233.86</v>
      </c>
      <c r="E266">
        <v>0.88138399999999995</v>
      </c>
      <c r="F266">
        <v>2.8</v>
      </c>
      <c r="G266">
        <v>8</v>
      </c>
      <c r="H266">
        <v>14.96</v>
      </c>
    </row>
    <row r="267" spans="1:8">
      <c r="A267" s="1">
        <v>38</v>
      </c>
      <c r="B267" t="s">
        <v>1740</v>
      </c>
      <c r="C267">
        <v>74.34</v>
      </c>
      <c r="D267">
        <v>232.66</v>
      </c>
      <c r="E267">
        <v>0.86512999999999995</v>
      </c>
      <c r="F267">
        <v>0.92</v>
      </c>
      <c r="G267">
        <v>16</v>
      </c>
      <c r="H267">
        <v>15.83</v>
      </c>
    </row>
    <row r="268" spans="1:8">
      <c r="A268" s="1">
        <v>39</v>
      </c>
      <c r="B268" t="s">
        <v>1741</v>
      </c>
      <c r="C268">
        <v>61.47</v>
      </c>
      <c r="D268">
        <v>232.68</v>
      </c>
      <c r="E268">
        <v>0.88234900000000005</v>
      </c>
      <c r="F268">
        <v>23.73</v>
      </c>
      <c r="G268">
        <v>48</v>
      </c>
      <c r="H268">
        <v>13.93</v>
      </c>
    </row>
    <row r="269" spans="1:8">
      <c r="A269" s="1">
        <v>40</v>
      </c>
      <c r="B269" t="s">
        <v>1742</v>
      </c>
      <c r="C269">
        <v>69.86</v>
      </c>
      <c r="D269">
        <v>232.99</v>
      </c>
      <c r="E269">
        <v>0.88821399999999995</v>
      </c>
      <c r="F269">
        <v>0.69</v>
      </c>
      <c r="G269">
        <v>34</v>
      </c>
      <c r="H269">
        <v>15.37</v>
      </c>
    </row>
    <row r="270" spans="1:8">
      <c r="A270" s="1">
        <v>41</v>
      </c>
      <c r="B270" t="s">
        <v>1743</v>
      </c>
      <c r="C270">
        <v>71.67</v>
      </c>
      <c r="D270">
        <v>232.91</v>
      </c>
      <c r="E270">
        <v>0.86596700000000004</v>
      </c>
      <c r="F270">
        <v>0.92</v>
      </c>
      <c r="G270">
        <v>46</v>
      </c>
      <c r="H270">
        <v>14.98</v>
      </c>
    </row>
    <row r="271" spans="1:8">
      <c r="A271" s="1">
        <v>42</v>
      </c>
      <c r="B271" t="s">
        <v>1744</v>
      </c>
      <c r="C271">
        <v>66.069999999999993</v>
      </c>
      <c r="D271">
        <v>232.42</v>
      </c>
      <c r="E271">
        <v>0.84612399999999999</v>
      </c>
      <c r="F271">
        <v>7.14</v>
      </c>
      <c r="G271">
        <v>48</v>
      </c>
      <c r="H271">
        <v>14.2</v>
      </c>
    </row>
    <row r="272" spans="1:8">
      <c r="A272" s="1">
        <v>43</v>
      </c>
      <c r="B272" t="s">
        <v>1745</v>
      </c>
      <c r="C272">
        <v>70.66</v>
      </c>
      <c r="D272">
        <v>232.39</v>
      </c>
      <c r="E272">
        <v>0.87614899999999996</v>
      </c>
      <c r="F272">
        <v>1.31</v>
      </c>
      <c r="G272">
        <v>16</v>
      </c>
      <c r="H272">
        <v>15.12</v>
      </c>
    </row>
    <row r="273" spans="1:8">
      <c r="A273" s="1">
        <v>44</v>
      </c>
      <c r="B273" t="s">
        <v>1746</v>
      </c>
      <c r="C273">
        <v>66.959999999999994</v>
      </c>
      <c r="D273">
        <v>231.48</v>
      </c>
      <c r="E273">
        <v>0.90306699999999995</v>
      </c>
      <c r="F273">
        <v>0.04</v>
      </c>
      <c r="G273">
        <v>6</v>
      </c>
      <c r="H273">
        <v>15</v>
      </c>
    </row>
    <row r="274" spans="1:8">
      <c r="A274" s="1">
        <v>45</v>
      </c>
      <c r="B274" t="s">
        <v>1747</v>
      </c>
      <c r="C274">
        <v>64.8</v>
      </c>
      <c r="D274">
        <v>233.43</v>
      </c>
      <c r="E274">
        <v>0.88466100000000003</v>
      </c>
      <c r="F274">
        <v>31.26</v>
      </c>
      <c r="G274">
        <v>48</v>
      </c>
      <c r="H274">
        <v>13.71</v>
      </c>
    </row>
    <row r="275" spans="1:8">
      <c r="A275" s="1">
        <v>46</v>
      </c>
      <c r="B275" t="s">
        <v>1748</v>
      </c>
      <c r="C275">
        <v>78.290000000000006</v>
      </c>
      <c r="D275">
        <v>236.22</v>
      </c>
      <c r="E275">
        <v>0.93660699999999997</v>
      </c>
      <c r="F275">
        <v>27.57</v>
      </c>
      <c r="G275">
        <v>10</v>
      </c>
      <c r="H275">
        <v>16.61</v>
      </c>
    </row>
    <row r="276" spans="1:8">
      <c r="A276" s="1">
        <v>47</v>
      </c>
      <c r="B276" t="s">
        <v>1749</v>
      </c>
      <c r="C276">
        <v>76.069999999999993</v>
      </c>
      <c r="D276">
        <v>235.69</v>
      </c>
      <c r="E276">
        <v>0.91389200000000004</v>
      </c>
      <c r="F276">
        <v>37.979999999999997</v>
      </c>
      <c r="G276">
        <v>20</v>
      </c>
      <c r="H276">
        <v>16.059999999999999</v>
      </c>
    </row>
    <row r="277" spans="1:8">
      <c r="A277" s="1">
        <v>48</v>
      </c>
      <c r="B277" t="s">
        <v>1750</v>
      </c>
      <c r="C277">
        <v>69.25</v>
      </c>
      <c r="D277">
        <v>233.63</v>
      </c>
      <c r="E277">
        <v>0.88717599999999996</v>
      </c>
      <c r="F277">
        <v>3.11</v>
      </c>
      <c r="G277">
        <v>48</v>
      </c>
      <c r="H277">
        <v>15.2</v>
      </c>
    </row>
    <row r="278" spans="1:8">
      <c r="A278" s="1">
        <v>49</v>
      </c>
      <c r="B278" t="s">
        <v>1751</v>
      </c>
      <c r="C278">
        <v>66.61</v>
      </c>
      <c r="D278">
        <v>234.04</v>
      </c>
      <c r="E278">
        <v>0.90993500000000005</v>
      </c>
      <c r="F278">
        <v>37.36</v>
      </c>
      <c r="G278">
        <v>4</v>
      </c>
      <c r="H278">
        <v>14.55</v>
      </c>
    </row>
    <row r="279" spans="1:8">
      <c r="A279" s="1">
        <v>50</v>
      </c>
      <c r="B279" t="s">
        <v>1752</v>
      </c>
      <c r="C279">
        <v>67.59</v>
      </c>
      <c r="D279">
        <v>233.08</v>
      </c>
      <c r="E279">
        <v>0.87721400000000005</v>
      </c>
      <c r="F279">
        <v>2.46</v>
      </c>
      <c r="G279">
        <v>14</v>
      </c>
      <c r="H279">
        <v>14.79</v>
      </c>
    </row>
    <row r="280" spans="1:8">
      <c r="B280" s="1" t="s">
        <v>19</v>
      </c>
      <c r="C280" s="1">
        <f>AVERAGE(C230:C279)</f>
        <v>70.254400000000004</v>
      </c>
      <c r="D280" s="1" t="e">
        <f t="shared" ref="D280:H280" si="11">AVERAGE(D230:D279)</f>
        <v>#NAME?</v>
      </c>
      <c r="E280" s="1">
        <f t="shared" si="11"/>
        <v>0.88130297999999996</v>
      </c>
      <c r="F280" s="1">
        <f t="shared" si="11"/>
        <v>7.7851999999999988</v>
      </c>
      <c r="G280" s="1">
        <f t="shared" si="11"/>
        <v>30.92</v>
      </c>
      <c r="H280" s="1">
        <f t="shared" si="11"/>
        <v>15.228199999999999</v>
      </c>
    </row>
    <row r="281" spans="1:8">
      <c r="B281" s="1" t="s">
        <v>20</v>
      </c>
      <c r="C281" s="1">
        <f>MIN(C229:C279)</f>
        <v>60.87</v>
      </c>
      <c r="D281" s="1" t="e">
        <f>MIN(D229:D279)</f>
        <v>#NAME?</v>
      </c>
      <c r="E281" s="1">
        <f>MIN(E229:E279)</f>
        <v>0.77972200000000003</v>
      </c>
      <c r="F281" s="1">
        <f>MIN(F229:F279)</f>
        <v>0</v>
      </c>
      <c r="H281" s="1">
        <f>MIN(H229:H279)</f>
        <v>13.19</v>
      </c>
    </row>
    <row r="282" spans="1:8">
      <c r="B282" s="1" t="s">
        <v>3</v>
      </c>
      <c r="C282" s="1">
        <f>STDEV(C230:C279)</f>
        <v>4.2142402709411959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3" t="s">
        <v>1435</v>
      </c>
    </row>
    <row r="285" spans="1:8" ht="18">
      <c r="A285" s="23" t="s">
        <v>7</v>
      </c>
      <c r="B285" s="3" t="s">
        <v>10</v>
      </c>
      <c r="C285" s="23" t="s">
        <v>4</v>
      </c>
      <c r="D285" s="23" t="s">
        <v>322</v>
      </c>
      <c r="E285" s="23" t="s">
        <v>321</v>
      </c>
      <c r="F285" s="23" t="s">
        <v>324</v>
      </c>
      <c r="G285" s="23" t="s">
        <v>323</v>
      </c>
      <c r="H285" s="23" t="s">
        <v>1436</v>
      </c>
    </row>
    <row r="286" spans="1:8">
      <c r="A286" s="1">
        <v>1</v>
      </c>
      <c r="B286" t="s">
        <v>1753</v>
      </c>
      <c r="C286">
        <v>66.55</v>
      </c>
      <c r="D286">
        <v>311.12</v>
      </c>
      <c r="E286">
        <v>0.86080800000000002</v>
      </c>
      <c r="F286">
        <v>16.93</v>
      </c>
      <c r="G286">
        <v>30</v>
      </c>
      <c r="H286">
        <v>14</v>
      </c>
    </row>
    <row r="287" spans="1:8">
      <c r="A287" s="1">
        <v>2</v>
      </c>
      <c r="B287" t="s">
        <v>1754</v>
      </c>
      <c r="C287">
        <v>71.989999999999995</v>
      </c>
      <c r="D287">
        <v>308.83999999999997</v>
      </c>
      <c r="E287">
        <v>0.86315399999999998</v>
      </c>
      <c r="F287">
        <v>0.23</v>
      </c>
      <c r="G287">
        <v>50</v>
      </c>
      <c r="H287">
        <v>15.51</v>
      </c>
    </row>
    <row r="288" spans="1:8">
      <c r="A288" s="1">
        <v>3</v>
      </c>
      <c r="B288" t="s">
        <v>1755</v>
      </c>
      <c r="C288">
        <v>64.63</v>
      </c>
      <c r="D288">
        <v>310.33</v>
      </c>
      <c r="E288">
        <v>0.84692900000000004</v>
      </c>
      <c r="F288">
        <v>15.55</v>
      </c>
      <c r="G288">
        <v>24</v>
      </c>
      <c r="H288">
        <v>13.73</v>
      </c>
    </row>
    <row r="289" spans="1:8">
      <c r="A289" s="1">
        <v>4</v>
      </c>
      <c r="B289" t="s">
        <v>1756</v>
      </c>
      <c r="C289">
        <v>66.53</v>
      </c>
      <c r="D289">
        <v>309.70999999999998</v>
      </c>
      <c r="E289">
        <v>0.85861799999999999</v>
      </c>
      <c r="F289">
        <v>0.61</v>
      </c>
      <c r="G289">
        <v>40</v>
      </c>
      <c r="H289">
        <v>14.35</v>
      </c>
    </row>
    <row r="290" spans="1:8">
      <c r="A290" s="1">
        <v>5</v>
      </c>
      <c r="B290" t="s">
        <v>1757</v>
      </c>
      <c r="C290">
        <v>64.84</v>
      </c>
      <c r="D290">
        <v>310.22000000000003</v>
      </c>
      <c r="E290">
        <v>0.85097599999999995</v>
      </c>
      <c r="F290">
        <v>9.91</v>
      </c>
      <c r="G290">
        <v>38</v>
      </c>
      <c r="H290">
        <v>14.03</v>
      </c>
    </row>
    <row r="291" spans="1:8">
      <c r="A291" s="1">
        <v>6</v>
      </c>
      <c r="B291" t="s">
        <v>1758</v>
      </c>
      <c r="C291">
        <v>65.42</v>
      </c>
      <c r="D291">
        <v>310.01</v>
      </c>
      <c r="E291">
        <v>0.85985500000000004</v>
      </c>
      <c r="F291">
        <v>1.57</v>
      </c>
      <c r="G291">
        <v>26</v>
      </c>
      <c r="H291">
        <v>14.43</v>
      </c>
    </row>
    <row r="292" spans="1:8">
      <c r="A292" s="1">
        <v>7</v>
      </c>
      <c r="B292" t="s">
        <v>1759</v>
      </c>
      <c r="C292">
        <v>63.41</v>
      </c>
      <c r="D292">
        <v>309.97000000000003</v>
      </c>
      <c r="E292">
        <v>0.83339700000000005</v>
      </c>
      <c r="F292">
        <v>22.27</v>
      </c>
      <c r="G292">
        <v>22</v>
      </c>
      <c r="H292">
        <v>13.4</v>
      </c>
    </row>
    <row r="293" spans="1:8">
      <c r="A293" s="1">
        <v>8</v>
      </c>
      <c r="B293" t="s">
        <v>1760</v>
      </c>
      <c r="C293">
        <v>62.91</v>
      </c>
      <c r="D293">
        <v>309.18</v>
      </c>
      <c r="E293">
        <v>0.85439200000000004</v>
      </c>
      <c r="F293">
        <v>3.42</v>
      </c>
      <c r="G293">
        <v>0</v>
      </c>
      <c r="H293">
        <v>13.67</v>
      </c>
    </row>
    <row r="294" spans="1:8">
      <c r="A294" s="1">
        <v>9</v>
      </c>
      <c r="B294" t="s">
        <v>1761</v>
      </c>
      <c r="C294">
        <v>65.75</v>
      </c>
      <c r="D294">
        <v>310.3</v>
      </c>
      <c r="E294">
        <v>0.887517</v>
      </c>
      <c r="F294">
        <v>0.81</v>
      </c>
      <c r="G294">
        <v>74</v>
      </c>
      <c r="H294">
        <v>14.29</v>
      </c>
    </row>
    <row r="295" spans="1:8">
      <c r="A295" s="1">
        <v>10</v>
      </c>
      <c r="B295" t="s">
        <v>1762</v>
      </c>
      <c r="C295">
        <v>53.29</v>
      </c>
      <c r="D295">
        <v>302.87</v>
      </c>
      <c r="E295">
        <v>0.76646099999999995</v>
      </c>
      <c r="F295">
        <v>0.5</v>
      </c>
      <c r="G295">
        <v>54</v>
      </c>
      <c r="H295">
        <v>11.28</v>
      </c>
    </row>
    <row r="296" spans="1:8">
      <c r="A296" s="1">
        <v>11</v>
      </c>
      <c r="B296" t="s">
        <v>1763</v>
      </c>
      <c r="C296">
        <v>69.599999999999994</v>
      </c>
      <c r="D296">
        <v>312.16000000000003</v>
      </c>
      <c r="E296">
        <v>0.88322599999999996</v>
      </c>
      <c r="F296">
        <v>19.89</v>
      </c>
      <c r="G296">
        <v>8</v>
      </c>
      <c r="H296">
        <v>15.06</v>
      </c>
    </row>
    <row r="297" spans="1:8">
      <c r="A297" s="1">
        <v>12</v>
      </c>
      <c r="B297" t="s">
        <v>1764</v>
      </c>
      <c r="C297">
        <v>69.959999999999994</v>
      </c>
      <c r="D297">
        <v>312.14</v>
      </c>
      <c r="E297">
        <v>0.89807899999999996</v>
      </c>
      <c r="F297">
        <v>8.83</v>
      </c>
      <c r="G297">
        <v>8</v>
      </c>
      <c r="H297">
        <v>15.6</v>
      </c>
    </row>
    <row r="298" spans="1:8">
      <c r="A298" s="1">
        <v>13</v>
      </c>
      <c r="B298" t="s">
        <v>1765</v>
      </c>
      <c r="C298">
        <v>67.790000000000006</v>
      </c>
      <c r="D298">
        <v>307.47000000000003</v>
      </c>
      <c r="E298">
        <v>0.81889599999999996</v>
      </c>
      <c r="F298">
        <v>0.27</v>
      </c>
      <c r="G298">
        <v>44</v>
      </c>
      <c r="H298">
        <v>14.19</v>
      </c>
    </row>
    <row r="299" spans="1:8">
      <c r="A299" s="1">
        <v>14</v>
      </c>
      <c r="B299" t="s">
        <v>1766</v>
      </c>
      <c r="C299">
        <v>63.25</v>
      </c>
      <c r="D299">
        <v>310.56</v>
      </c>
      <c r="E299">
        <v>0.86457399999999995</v>
      </c>
      <c r="F299">
        <v>26.3</v>
      </c>
      <c r="G299">
        <v>60</v>
      </c>
      <c r="H299">
        <v>13.35</v>
      </c>
    </row>
    <row r="300" spans="1:8">
      <c r="A300" s="1">
        <v>15</v>
      </c>
      <c r="B300" t="s">
        <v>1767</v>
      </c>
      <c r="C300">
        <v>65.38</v>
      </c>
      <c r="D300">
        <v>307.93</v>
      </c>
      <c r="E300">
        <v>0.85988500000000001</v>
      </c>
      <c r="F300">
        <v>0.15</v>
      </c>
      <c r="G300">
        <v>42</v>
      </c>
      <c r="H300">
        <v>14.12</v>
      </c>
    </row>
    <row r="301" spans="1:8">
      <c r="A301" s="1">
        <v>16</v>
      </c>
      <c r="B301" t="s">
        <v>1768</v>
      </c>
      <c r="C301">
        <v>62.99</v>
      </c>
      <c r="D301">
        <v>309.7</v>
      </c>
      <c r="E301">
        <v>0.85600399999999999</v>
      </c>
      <c r="F301">
        <v>6.49</v>
      </c>
      <c r="G301">
        <v>18</v>
      </c>
      <c r="H301">
        <v>13.89</v>
      </c>
    </row>
    <row r="302" spans="1:8">
      <c r="A302" s="1">
        <v>17</v>
      </c>
      <c r="B302" t="s">
        <v>1769</v>
      </c>
      <c r="C302">
        <v>66.569999999999993</v>
      </c>
      <c r="D302">
        <v>306.14</v>
      </c>
      <c r="E302">
        <v>0.83043</v>
      </c>
      <c r="F302">
        <v>0.35</v>
      </c>
      <c r="G302">
        <v>40</v>
      </c>
      <c r="H302">
        <v>14.64</v>
      </c>
    </row>
    <row r="303" spans="1:8">
      <c r="A303" s="1">
        <v>18</v>
      </c>
      <c r="B303" t="s">
        <v>1770</v>
      </c>
      <c r="C303">
        <v>62.46</v>
      </c>
      <c r="D303">
        <v>306.79000000000002</v>
      </c>
      <c r="E303">
        <v>0.84285699999999997</v>
      </c>
      <c r="F303">
        <v>0.35</v>
      </c>
      <c r="G303">
        <v>4</v>
      </c>
      <c r="H303">
        <v>13.91</v>
      </c>
    </row>
    <row r="304" spans="1:8">
      <c r="A304" s="1">
        <v>19</v>
      </c>
      <c r="B304" t="s">
        <v>1771</v>
      </c>
      <c r="C304">
        <v>64.58</v>
      </c>
      <c r="D304">
        <v>310.37</v>
      </c>
      <c r="E304">
        <v>0.86271799999999998</v>
      </c>
      <c r="F304">
        <v>9.98</v>
      </c>
      <c r="G304">
        <v>16</v>
      </c>
      <c r="H304">
        <v>14.41</v>
      </c>
    </row>
    <row r="305" spans="1:8">
      <c r="A305" s="1">
        <v>20</v>
      </c>
      <c r="B305" t="s">
        <v>1772</v>
      </c>
      <c r="C305">
        <v>62.95</v>
      </c>
      <c r="D305">
        <v>309.95999999999998</v>
      </c>
      <c r="E305">
        <v>0.86634</v>
      </c>
      <c r="F305">
        <v>8.64</v>
      </c>
      <c r="G305">
        <v>16</v>
      </c>
      <c r="H305">
        <v>13.69</v>
      </c>
    </row>
    <row r="306" spans="1:8">
      <c r="A306" s="1">
        <v>21</v>
      </c>
      <c r="B306" t="s">
        <v>1773</v>
      </c>
      <c r="C306">
        <v>63.68</v>
      </c>
      <c r="D306">
        <v>307</v>
      </c>
      <c r="E306">
        <v>0.84069000000000005</v>
      </c>
      <c r="F306">
        <v>0.08</v>
      </c>
      <c r="G306">
        <v>38</v>
      </c>
      <c r="H306">
        <v>13.74</v>
      </c>
    </row>
    <row r="307" spans="1:8">
      <c r="A307" s="1">
        <v>22</v>
      </c>
      <c r="B307" t="s">
        <v>1774</v>
      </c>
      <c r="C307">
        <v>66.61</v>
      </c>
      <c r="D307">
        <v>306.69</v>
      </c>
      <c r="E307">
        <v>0.83004699999999998</v>
      </c>
      <c r="F307">
        <v>0.19</v>
      </c>
      <c r="G307">
        <v>22</v>
      </c>
      <c r="H307">
        <v>14.27</v>
      </c>
    </row>
    <row r="308" spans="1:8">
      <c r="A308" s="1">
        <v>23</v>
      </c>
      <c r="B308" t="s">
        <v>1775</v>
      </c>
      <c r="C308">
        <v>65.31</v>
      </c>
      <c r="D308">
        <v>309.81</v>
      </c>
      <c r="E308">
        <v>0.845889</v>
      </c>
      <c r="F308">
        <v>1.77</v>
      </c>
      <c r="G308">
        <v>52</v>
      </c>
      <c r="H308">
        <v>14.09</v>
      </c>
    </row>
    <row r="309" spans="1:8">
      <c r="A309" s="1">
        <v>24</v>
      </c>
      <c r="B309" t="s">
        <v>1776</v>
      </c>
      <c r="C309">
        <v>68.67</v>
      </c>
      <c r="D309">
        <v>309.45999999999998</v>
      </c>
      <c r="E309">
        <v>0.84060199999999996</v>
      </c>
      <c r="F309">
        <v>1.08</v>
      </c>
      <c r="G309">
        <v>72</v>
      </c>
      <c r="H309">
        <v>14.56</v>
      </c>
    </row>
    <row r="310" spans="1:8">
      <c r="A310" s="1">
        <v>25</v>
      </c>
      <c r="B310" t="s">
        <v>1777</v>
      </c>
      <c r="C310">
        <v>69</v>
      </c>
      <c r="D310">
        <v>312.29000000000002</v>
      </c>
      <c r="E310">
        <v>0.89729099999999995</v>
      </c>
      <c r="F310">
        <v>15.28</v>
      </c>
      <c r="G310">
        <v>46</v>
      </c>
      <c r="H310">
        <v>15.07</v>
      </c>
    </row>
    <row r="311" spans="1:8">
      <c r="A311" s="1">
        <v>26</v>
      </c>
      <c r="B311" t="s">
        <v>1778</v>
      </c>
      <c r="C311">
        <v>71.14</v>
      </c>
      <c r="D311">
        <v>312.57</v>
      </c>
      <c r="E311">
        <v>0.90418600000000005</v>
      </c>
      <c r="F311">
        <v>7.14</v>
      </c>
      <c r="G311">
        <v>68</v>
      </c>
      <c r="H311">
        <v>15.65</v>
      </c>
    </row>
    <row r="312" spans="1:8">
      <c r="A312" s="1">
        <v>27</v>
      </c>
      <c r="B312" t="s">
        <v>1779</v>
      </c>
      <c r="C312">
        <v>66.709999999999994</v>
      </c>
      <c r="D312">
        <v>309.29000000000002</v>
      </c>
      <c r="E312">
        <v>0.85636900000000005</v>
      </c>
      <c r="F312">
        <v>1.1499999999999999</v>
      </c>
      <c r="G312">
        <v>40</v>
      </c>
      <c r="H312">
        <v>14.61</v>
      </c>
    </row>
    <row r="313" spans="1:8">
      <c r="A313" s="1">
        <v>28</v>
      </c>
      <c r="B313" t="s">
        <v>1780</v>
      </c>
      <c r="C313">
        <v>60.9</v>
      </c>
      <c r="D313">
        <v>307.12</v>
      </c>
      <c r="E313">
        <v>0.79577500000000001</v>
      </c>
      <c r="F313">
        <v>1.08</v>
      </c>
      <c r="G313">
        <v>54</v>
      </c>
      <c r="H313">
        <v>13.52</v>
      </c>
    </row>
    <row r="314" spans="1:8">
      <c r="A314" s="1">
        <v>29</v>
      </c>
      <c r="B314" t="s">
        <v>1781</v>
      </c>
      <c r="C314">
        <v>60.2</v>
      </c>
      <c r="D314">
        <v>303.36</v>
      </c>
      <c r="E314">
        <v>0.78051300000000001</v>
      </c>
      <c r="F314">
        <v>0.38</v>
      </c>
      <c r="G314">
        <v>40</v>
      </c>
      <c r="H314">
        <v>12.51</v>
      </c>
    </row>
    <row r="315" spans="1:8">
      <c r="A315" s="1">
        <v>30</v>
      </c>
      <c r="B315" t="s">
        <v>1782</v>
      </c>
      <c r="C315">
        <v>63.41</v>
      </c>
      <c r="D315">
        <v>308.85000000000002</v>
      </c>
      <c r="E315">
        <v>0.831152</v>
      </c>
      <c r="F315">
        <v>1.08</v>
      </c>
      <c r="G315">
        <v>66</v>
      </c>
      <c r="H315">
        <v>13.79</v>
      </c>
    </row>
    <row r="316" spans="1:8">
      <c r="A316" s="1">
        <v>31</v>
      </c>
      <c r="B316" t="s">
        <v>1783</v>
      </c>
      <c r="C316">
        <v>63.31</v>
      </c>
      <c r="D316">
        <v>309.2</v>
      </c>
      <c r="E316">
        <v>0.83935099999999996</v>
      </c>
      <c r="F316">
        <v>2.46</v>
      </c>
      <c r="G316">
        <v>16</v>
      </c>
      <c r="H316">
        <v>13.85</v>
      </c>
    </row>
    <row r="317" spans="1:8">
      <c r="A317" s="1">
        <v>32</v>
      </c>
      <c r="B317" t="s">
        <v>1784</v>
      </c>
      <c r="C317">
        <v>70.91</v>
      </c>
      <c r="D317">
        <v>308.5</v>
      </c>
      <c r="E317">
        <v>0.865255</v>
      </c>
      <c r="F317">
        <v>0.15</v>
      </c>
      <c r="G317">
        <v>58</v>
      </c>
      <c r="H317">
        <v>15.2</v>
      </c>
    </row>
    <row r="318" spans="1:8">
      <c r="A318" s="1">
        <v>33</v>
      </c>
      <c r="B318" t="s">
        <v>1785</v>
      </c>
      <c r="C318">
        <v>63.96</v>
      </c>
      <c r="D318">
        <v>305.62</v>
      </c>
      <c r="E318">
        <v>0.78980600000000001</v>
      </c>
      <c r="F318">
        <v>0.5</v>
      </c>
      <c r="G318">
        <v>10</v>
      </c>
      <c r="H318">
        <v>13.4</v>
      </c>
    </row>
    <row r="319" spans="1:8">
      <c r="A319" s="1">
        <v>34</v>
      </c>
      <c r="B319" t="s">
        <v>1786</v>
      </c>
      <c r="C319">
        <v>65.02</v>
      </c>
      <c r="D319">
        <v>309.8</v>
      </c>
      <c r="E319">
        <v>0.84931800000000002</v>
      </c>
      <c r="F319">
        <v>1.69</v>
      </c>
      <c r="G319">
        <v>38</v>
      </c>
      <c r="H319">
        <v>13.81</v>
      </c>
    </row>
    <row r="320" spans="1:8">
      <c r="A320" s="1">
        <v>35</v>
      </c>
      <c r="B320" t="s">
        <v>1787</v>
      </c>
      <c r="C320">
        <v>66.2</v>
      </c>
      <c r="D320">
        <v>309.06</v>
      </c>
      <c r="E320">
        <v>0.82653900000000002</v>
      </c>
      <c r="F320">
        <v>2.46</v>
      </c>
      <c r="G320">
        <v>34</v>
      </c>
      <c r="H320">
        <v>14.23</v>
      </c>
    </row>
    <row r="321" spans="1:8">
      <c r="A321" s="1">
        <v>36</v>
      </c>
      <c r="B321" t="s">
        <v>1788</v>
      </c>
      <c r="C321">
        <v>59.81</v>
      </c>
      <c r="D321">
        <v>302.23</v>
      </c>
      <c r="E321">
        <v>0.77610599999999996</v>
      </c>
      <c r="F321">
        <v>0.04</v>
      </c>
      <c r="G321">
        <v>34</v>
      </c>
      <c r="H321">
        <v>12.74</v>
      </c>
    </row>
    <row r="322" spans="1:8">
      <c r="A322" s="1">
        <v>37</v>
      </c>
      <c r="B322" t="s">
        <v>1789</v>
      </c>
      <c r="C322">
        <v>65.87</v>
      </c>
      <c r="D322">
        <v>305.77</v>
      </c>
      <c r="E322">
        <v>0.81844399999999995</v>
      </c>
      <c r="F322">
        <v>0.23</v>
      </c>
      <c r="G322">
        <v>44</v>
      </c>
      <c r="H322">
        <v>14.04</v>
      </c>
    </row>
    <row r="323" spans="1:8">
      <c r="A323" s="1">
        <v>38</v>
      </c>
      <c r="B323" t="s">
        <v>1790</v>
      </c>
      <c r="C323">
        <v>65.59</v>
      </c>
      <c r="D323">
        <v>309.3</v>
      </c>
      <c r="E323">
        <v>0.87624899999999994</v>
      </c>
      <c r="F323">
        <v>0.5</v>
      </c>
      <c r="G323">
        <v>6</v>
      </c>
      <c r="H323">
        <v>14.19</v>
      </c>
    </row>
    <row r="324" spans="1:8">
      <c r="A324" s="1">
        <v>39</v>
      </c>
      <c r="B324" t="s">
        <v>1791</v>
      </c>
      <c r="C324">
        <v>65.06</v>
      </c>
      <c r="D324">
        <v>311.29000000000002</v>
      </c>
      <c r="E324">
        <v>0.883849</v>
      </c>
      <c r="F324">
        <v>27.65</v>
      </c>
      <c r="G324">
        <v>34</v>
      </c>
      <c r="H324">
        <v>13.91</v>
      </c>
    </row>
    <row r="325" spans="1:8">
      <c r="A325" s="1">
        <v>40</v>
      </c>
      <c r="B325" t="s">
        <v>1792</v>
      </c>
      <c r="C325">
        <v>66.89</v>
      </c>
      <c r="D325">
        <v>310.82</v>
      </c>
      <c r="E325">
        <v>0.88200800000000001</v>
      </c>
      <c r="F325">
        <v>3.69</v>
      </c>
      <c r="G325">
        <v>48</v>
      </c>
      <c r="H325">
        <v>14.97</v>
      </c>
    </row>
    <row r="326" spans="1:8">
      <c r="A326" s="1">
        <v>41</v>
      </c>
      <c r="B326" t="s">
        <v>1793</v>
      </c>
      <c r="C326">
        <v>63.03</v>
      </c>
      <c r="D326">
        <v>308.77999999999997</v>
      </c>
      <c r="E326">
        <v>0.84104299999999999</v>
      </c>
      <c r="F326">
        <v>1.23</v>
      </c>
      <c r="G326">
        <v>0</v>
      </c>
      <c r="H326">
        <v>13.63</v>
      </c>
    </row>
    <row r="327" spans="1:8">
      <c r="A327" s="1">
        <v>42</v>
      </c>
      <c r="B327" t="s">
        <v>1794</v>
      </c>
      <c r="C327">
        <v>59.97</v>
      </c>
      <c r="D327">
        <v>307.24</v>
      </c>
      <c r="E327">
        <v>0.82174000000000003</v>
      </c>
      <c r="F327">
        <v>0.27</v>
      </c>
      <c r="G327">
        <v>20</v>
      </c>
      <c r="H327">
        <v>13</v>
      </c>
    </row>
    <row r="328" spans="1:8">
      <c r="A328" s="1">
        <v>43</v>
      </c>
      <c r="B328" t="s">
        <v>1795</v>
      </c>
      <c r="C328">
        <v>62</v>
      </c>
      <c r="D328">
        <v>309.25</v>
      </c>
      <c r="E328">
        <v>0.85200299999999995</v>
      </c>
      <c r="F328">
        <v>2.34</v>
      </c>
      <c r="G328">
        <v>38</v>
      </c>
      <c r="H328">
        <v>13.1</v>
      </c>
    </row>
    <row r="329" spans="1:8">
      <c r="A329" s="1">
        <v>44</v>
      </c>
      <c r="B329" t="s">
        <v>1796</v>
      </c>
      <c r="C329">
        <v>62.28</v>
      </c>
      <c r="D329">
        <v>309.08999999999997</v>
      </c>
      <c r="E329">
        <v>0.84758199999999995</v>
      </c>
      <c r="F329">
        <v>3.15</v>
      </c>
      <c r="G329">
        <v>2</v>
      </c>
      <c r="H329">
        <v>13.38</v>
      </c>
    </row>
    <row r="330" spans="1:8">
      <c r="A330" s="1">
        <v>45</v>
      </c>
      <c r="B330" t="s">
        <v>1797</v>
      </c>
      <c r="C330">
        <v>69.430000000000007</v>
      </c>
      <c r="D330" t="e">
        <f>-inf</f>
        <v>#NAME?</v>
      </c>
      <c r="E330">
        <v>0.82439799999999996</v>
      </c>
      <c r="F330">
        <v>0</v>
      </c>
      <c r="G330">
        <v>36</v>
      </c>
      <c r="H330">
        <v>14.92</v>
      </c>
    </row>
    <row r="331" spans="1:8">
      <c r="A331" s="1">
        <v>46</v>
      </c>
      <c r="B331" t="s">
        <v>1798</v>
      </c>
      <c r="C331">
        <v>63.84</v>
      </c>
      <c r="D331">
        <v>310.02999999999997</v>
      </c>
      <c r="E331">
        <v>0.85363</v>
      </c>
      <c r="F331">
        <v>9.91</v>
      </c>
      <c r="G331">
        <v>12</v>
      </c>
      <c r="H331">
        <v>13.82</v>
      </c>
    </row>
    <row r="332" spans="1:8">
      <c r="A332" s="1">
        <v>47</v>
      </c>
      <c r="B332" t="s">
        <v>1799</v>
      </c>
      <c r="C332">
        <v>60.18</v>
      </c>
      <c r="D332">
        <v>308.67</v>
      </c>
      <c r="E332">
        <v>0.84016599999999997</v>
      </c>
      <c r="F332">
        <v>3.03</v>
      </c>
      <c r="G332">
        <v>22</v>
      </c>
      <c r="H332">
        <v>13.32</v>
      </c>
    </row>
    <row r="333" spans="1:8">
      <c r="A333" s="1">
        <v>48</v>
      </c>
      <c r="B333" t="s">
        <v>1800</v>
      </c>
      <c r="C333">
        <v>64.02</v>
      </c>
      <c r="D333">
        <v>311.18</v>
      </c>
      <c r="E333">
        <v>0.89422800000000002</v>
      </c>
      <c r="F333">
        <v>30.07</v>
      </c>
      <c r="G333">
        <v>32</v>
      </c>
      <c r="H333">
        <v>13.73</v>
      </c>
    </row>
    <row r="334" spans="1:8">
      <c r="A334" s="1">
        <v>49</v>
      </c>
      <c r="B334" t="s">
        <v>1801</v>
      </c>
      <c r="C334">
        <v>58.07</v>
      </c>
      <c r="D334">
        <v>307.93</v>
      </c>
      <c r="E334">
        <v>0.82728900000000005</v>
      </c>
      <c r="F334">
        <v>8.91</v>
      </c>
      <c r="G334">
        <v>54</v>
      </c>
      <c r="H334">
        <v>12.98</v>
      </c>
    </row>
    <row r="335" spans="1:8">
      <c r="A335" s="1">
        <v>50</v>
      </c>
      <c r="B335" t="s">
        <v>1802</v>
      </c>
      <c r="C335">
        <v>65.900000000000006</v>
      </c>
      <c r="D335">
        <v>311.18</v>
      </c>
      <c r="E335">
        <v>0.88670499999999997</v>
      </c>
      <c r="F335">
        <v>8.14</v>
      </c>
      <c r="G335">
        <v>66</v>
      </c>
      <c r="H335">
        <v>14.29</v>
      </c>
    </row>
    <row r="336" spans="1:8">
      <c r="B336" s="1" t="s">
        <v>19</v>
      </c>
      <c r="C336" s="1">
        <f>AVERAGE(C286:C335)</f>
        <v>64.756399999999999</v>
      </c>
      <c r="D336" s="1" t="e">
        <f t="shared" ref="D336:H336" si="12">AVERAGE(D286:D335)</f>
        <v>#NAME?</v>
      </c>
      <c r="E336" s="1">
        <f t="shared" si="12"/>
        <v>0.84766677999999984</v>
      </c>
      <c r="F336" s="1">
        <f t="shared" si="12"/>
        <v>5.7740000000000018</v>
      </c>
      <c r="G336" s="1">
        <f t="shared" si="12"/>
        <v>34.32</v>
      </c>
      <c r="H336" s="1">
        <f t="shared" si="12"/>
        <v>13.997400000000001</v>
      </c>
    </row>
    <row r="337" spans="1:8">
      <c r="B337" s="1" t="s">
        <v>20</v>
      </c>
      <c r="C337" s="1">
        <f>MIN(C285:C335)</f>
        <v>53.29</v>
      </c>
      <c r="D337" s="1" t="e">
        <f t="shared" ref="D337:F337" si="13">MIN(D285:D335)</f>
        <v>#NAME?</v>
      </c>
      <c r="E337" s="1">
        <f t="shared" si="13"/>
        <v>0.76646099999999995</v>
      </c>
      <c r="F337" s="1">
        <f t="shared" si="13"/>
        <v>0</v>
      </c>
      <c r="H337" s="1">
        <f t="shared" ref="H337" si="14">MIN(H285:H335)</f>
        <v>11.28</v>
      </c>
    </row>
    <row r="338" spans="1:8">
      <c r="B338" s="1" t="s">
        <v>3</v>
      </c>
      <c r="C338" s="1">
        <f>STDEV(C286:C335)</f>
        <v>3.4935770569806341</v>
      </c>
      <c r="D338" s="1" t="e">
        <f t="shared" ref="D338:E338" si="15">STDEV(D286:D335)</f>
        <v>#NAME?</v>
      </c>
      <c r="E338" s="1">
        <f t="shared" si="15"/>
        <v>3.120331531986412E-2</v>
      </c>
      <c r="F338" s="1">
        <f>STDEV(F286:F335)</f>
        <v>7.9713881207371013</v>
      </c>
      <c r="H338" s="1">
        <f>STDEV(H286:H335)</f>
        <v>0.80831093734314696</v>
      </c>
    </row>
    <row r="340" spans="1:8">
      <c r="H340" s="23" t="s">
        <v>1435</v>
      </c>
    </row>
    <row r="341" spans="1:8" ht="18">
      <c r="A341" s="23" t="s">
        <v>7</v>
      </c>
      <c r="B341" s="3" t="s">
        <v>6</v>
      </c>
      <c r="C341" s="23" t="s">
        <v>4</v>
      </c>
      <c r="D341" s="23" t="s">
        <v>322</v>
      </c>
      <c r="E341" s="23" t="s">
        <v>321</v>
      </c>
      <c r="F341" s="23" t="s">
        <v>324</v>
      </c>
      <c r="G341" s="23" t="s">
        <v>323</v>
      </c>
      <c r="H341" s="23" t="s">
        <v>1436</v>
      </c>
    </row>
    <row r="342" spans="1:8">
      <c r="A342" s="1">
        <v>1</v>
      </c>
      <c r="B342" t="s">
        <v>3322</v>
      </c>
      <c r="C342">
        <v>57.58</v>
      </c>
      <c r="D342">
        <v>384.39</v>
      </c>
      <c r="E342">
        <v>0.82876499999999997</v>
      </c>
      <c r="F342">
        <v>3.19</v>
      </c>
      <c r="G342">
        <v>8</v>
      </c>
      <c r="H342">
        <v>12.47</v>
      </c>
    </row>
    <row r="343" spans="1:8">
      <c r="A343" s="1">
        <v>2</v>
      </c>
      <c r="B343" t="s">
        <v>3323</v>
      </c>
      <c r="C343">
        <v>54.87</v>
      </c>
      <c r="D343">
        <v>380.75</v>
      </c>
      <c r="E343">
        <v>0.78244899999999995</v>
      </c>
      <c r="F343">
        <v>1.19</v>
      </c>
      <c r="G343">
        <v>6</v>
      </c>
      <c r="H343">
        <v>12.57</v>
      </c>
    </row>
    <row r="344" spans="1:8">
      <c r="A344" s="1">
        <v>3</v>
      </c>
      <c r="B344" t="s">
        <v>3324</v>
      </c>
      <c r="C344">
        <v>59.86</v>
      </c>
      <c r="D344">
        <v>382.17</v>
      </c>
      <c r="E344">
        <v>0.82355999999999996</v>
      </c>
      <c r="F344">
        <v>0.38</v>
      </c>
      <c r="G344">
        <v>68</v>
      </c>
      <c r="H344">
        <v>12.84</v>
      </c>
    </row>
    <row r="345" spans="1:8">
      <c r="A345" s="1">
        <v>4</v>
      </c>
      <c r="B345" t="s">
        <v>3325</v>
      </c>
      <c r="C345">
        <v>60.91</v>
      </c>
      <c r="D345">
        <v>383.38</v>
      </c>
      <c r="E345">
        <v>0.83123499999999995</v>
      </c>
      <c r="F345">
        <v>0.23</v>
      </c>
      <c r="G345">
        <v>28</v>
      </c>
      <c r="H345">
        <v>13.28</v>
      </c>
    </row>
    <row r="346" spans="1:8">
      <c r="A346" s="1">
        <v>5</v>
      </c>
      <c r="B346" t="s">
        <v>3326</v>
      </c>
      <c r="C346">
        <v>60.76</v>
      </c>
      <c r="D346">
        <v>384.69</v>
      </c>
      <c r="E346">
        <v>0.84734799999999999</v>
      </c>
      <c r="F346">
        <v>0.84</v>
      </c>
      <c r="G346">
        <v>32</v>
      </c>
      <c r="H346">
        <v>13.48</v>
      </c>
    </row>
    <row r="347" spans="1:8">
      <c r="A347" s="1">
        <v>6</v>
      </c>
      <c r="B347" t="s">
        <v>3327</v>
      </c>
      <c r="C347">
        <v>56.73</v>
      </c>
      <c r="D347">
        <v>381.99</v>
      </c>
      <c r="E347">
        <v>0.78971199999999997</v>
      </c>
      <c r="F347">
        <v>1.5</v>
      </c>
      <c r="G347">
        <v>52</v>
      </c>
      <c r="H347">
        <v>12.4</v>
      </c>
    </row>
    <row r="348" spans="1:8">
      <c r="A348" s="1">
        <v>7</v>
      </c>
      <c r="B348" t="s">
        <v>3328</v>
      </c>
      <c r="C348">
        <v>60.44</v>
      </c>
      <c r="D348">
        <v>383.45</v>
      </c>
      <c r="E348">
        <v>0.81049099999999996</v>
      </c>
      <c r="F348">
        <v>1.46</v>
      </c>
      <c r="G348">
        <v>4</v>
      </c>
      <c r="H348">
        <v>13.12</v>
      </c>
    </row>
    <row r="349" spans="1:8">
      <c r="A349" s="1">
        <v>8</v>
      </c>
      <c r="B349" t="s">
        <v>3329</v>
      </c>
      <c r="C349">
        <v>58.43</v>
      </c>
      <c r="D349">
        <v>383.06</v>
      </c>
      <c r="E349">
        <v>0.79674400000000001</v>
      </c>
      <c r="F349">
        <v>0.77</v>
      </c>
      <c r="G349">
        <v>74</v>
      </c>
      <c r="H349">
        <v>12.43</v>
      </c>
    </row>
    <row r="350" spans="1:8">
      <c r="A350" s="1">
        <v>9</v>
      </c>
      <c r="B350" t="s">
        <v>3330</v>
      </c>
      <c r="C350">
        <v>57.52</v>
      </c>
      <c r="D350">
        <v>381.05</v>
      </c>
      <c r="E350">
        <v>0.78271500000000005</v>
      </c>
      <c r="F350">
        <v>1</v>
      </c>
      <c r="G350">
        <v>70</v>
      </c>
      <c r="H350">
        <v>12.46</v>
      </c>
    </row>
    <row r="351" spans="1:8">
      <c r="A351" s="1">
        <v>10</v>
      </c>
      <c r="B351" t="s">
        <v>3331</v>
      </c>
      <c r="C351">
        <v>62.49</v>
      </c>
      <c r="D351">
        <v>382.27</v>
      </c>
      <c r="E351">
        <v>0.80777299999999996</v>
      </c>
      <c r="F351">
        <v>0.61</v>
      </c>
      <c r="G351">
        <v>84</v>
      </c>
      <c r="H351">
        <v>13.61</v>
      </c>
    </row>
    <row r="352" spans="1:8">
      <c r="A352" s="1">
        <v>11</v>
      </c>
      <c r="B352" t="s">
        <v>3332</v>
      </c>
      <c r="C352">
        <v>58.93</v>
      </c>
      <c r="D352">
        <v>382.39</v>
      </c>
      <c r="E352">
        <v>0.78489900000000001</v>
      </c>
      <c r="F352">
        <v>0.81</v>
      </c>
      <c r="G352">
        <v>46</v>
      </c>
      <c r="H352">
        <v>12.57</v>
      </c>
    </row>
    <row r="353" spans="1:8">
      <c r="A353" s="1">
        <v>12</v>
      </c>
      <c r="B353" t="s">
        <v>3333</v>
      </c>
      <c r="C353">
        <v>59.11</v>
      </c>
      <c r="D353">
        <v>385.71</v>
      </c>
      <c r="E353">
        <v>0.83527799999999996</v>
      </c>
      <c r="F353">
        <v>9.3699999999999992</v>
      </c>
      <c r="G353">
        <v>2</v>
      </c>
      <c r="H353">
        <v>12.72</v>
      </c>
    </row>
    <row r="354" spans="1:8">
      <c r="A354" s="1">
        <v>13</v>
      </c>
      <c r="B354" t="s">
        <v>3334</v>
      </c>
      <c r="C354">
        <v>63.46</v>
      </c>
      <c r="D354">
        <v>385.66</v>
      </c>
      <c r="E354">
        <v>0.84066799999999997</v>
      </c>
      <c r="F354">
        <v>1.1499999999999999</v>
      </c>
      <c r="G354">
        <v>18</v>
      </c>
      <c r="H354">
        <v>13.74</v>
      </c>
    </row>
    <row r="355" spans="1:8">
      <c r="A355" s="1">
        <v>14</v>
      </c>
      <c r="B355" t="s">
        <v>3335</v>
      </c>
      <c r="C355">
        <v>62.22</v>
      </c>
      <c r="D355">
        <v>383.42</v>
      </c>
      <c r="E355">
        <v>0.81667100000000004</v>
      </c>
      <c r="F355">
        <v>0.19</v>
      </c>
      <c r="G355">
        <v>86</v>
      </c>
      <c r="H355">
        <v>14.04</v>
      </c>
    </row>
    <row r="356" spans="1:8">
      <c r="A356" s="1">
        <v>15</v>
      </c>
      <c r="B356" t="s">
        <v>3336</v>
      </c>
      <c r="C356">
        <v>62.19</v>
      </c>
      <c r="D356">
        <v>384.75</v>
      </c>
      <c r="E356">
        <v>0.82149499999999998</v>
      </c>
      <c r="F356">
        <v>1.92</v>
      </c>
      <c r="G356">
        <v>62</v>
      </c>
      <c r="H356">
        <v>13.48</v>
      </c>
    </row>
    <row r="357" spans="1:8">
      <c r="A357" s="1">
        <v>16</v>
      </c>
      <c r="B357" t="s">
        <v>3337</v>
      </c>
      <c r="C357">
        <v>58.85</v>
      </c>
      <c r="D357" t="e">
        <f>-inf</f>
        <v>#NAME?</v>
      </c>
      <c r="E357">
        <v>0.797095</v>
      </c>
      <c r="F357">
        <v>0</v>
      </c>
      <c r="G357">
        <v>28</v>
      </c>
      <c r="H357">
        <v>13.09</v>
      </c>
    </row>
    <row r="358" spans="1:8">
      <c r="A358" s="1">
        <v>17</v>
      </c>
      <c r="B358" t="s">
        <v>3338</v>
      </c>
      <c r="C358">
        <v>59.29</v>
      </c>
      <c r="D358">
        <v>381.83</v>
      </c>
      <c r="E358">
        <v>0.79859199999999997</v>
      </c>
      <c r="F358">
        <v>0.96</v>
      </c>
      <c r="G358">
        <v>60</v>
      </c>
      <c r="H358">
        <v>12.65</v>
      </c>
    </row>
    <row r="359" spans="1:8">
      <c r="A359" s="1">
        <v>18</v>
      </c>
      <c r="B359" t="s">
        <v>3339</v>
      </c>
      <c r="C359">
        <v>56.97</v>
      </c>
      <c r="D359">
        <v>378.71</v>
      </c>
      <c r="E359">
        <v>0.77104200000000001</v>
      </c>
      <c r="F359">
        <v>0.92</v>
      </c>
      <c r="G359">
        <v>6</v>
      </c>
      <c r="H359">
        <v>12.45</v>
      </c>
    </row>
    <row r="360" spans="1:8">
      <c r="A360" s="1">
        <v>19</v>
      </c>
      <c r="B360" t="s">
        <v>3340</v>
      </c>
      <c r="C360">
        <v>53.15</v>
      </c>
      <c r="D360">
        <v>381.96</v>
      </c>
      <c r="E360">
        <v>0.79607399999999995</v>
      </c>
      <c r="F360">
        <v>3.88</v>
      </c>
      <c r="G360">
        <v>24</v>
      </c>
      <c r="H360">
        <v>11.59</v>
      </c>
    </row>
    <row r="361" spans="1:8">
      <c r="A361" s="1">
        <v>20</v>
      </c>
      <c r="B361" t="s">
        <v>3341</v>
      </c>
      <c r="C361">
        <v>60.35</v>
      </c>
      <c r="D361">
        <v>384.99</v>
      </c>
      <c r="E361">
        <v>0.82343599999999995</v>
      </c>
      <c r="F361">
        <v>5.49</v>
      </c>
      <c r="G361">
        <v>44</v>
      </c>
      <c r="H361">
        <v>13.21</v>
      </c>
    </row>
    <row r="362" spans="1:8">
      <c r="A362" s="1">
        <v>21</v>
      </c>
      <c r="B362" t="s">
        <v>3342</v>
      </c>
      <c r="C362">
        <v>62.15</v>
      </c>
      <c r="D362">
        <v>385.54</v>
      </c>
      <c r="E362">
        <v>0.83688899999999999</v>
      </c>
      <c r="F362">
        <v>0.92</v>
      </c>
      <c r="G362">
        <v>58</v>
      </c>
      <c r="H362">
        <v>13.53</v>
      </c>
    </row>
    <row r="363" spans="1:8">
      <c r="A363" s="1">
        <v>22</v>
      </c>
      <c r="B363" t="s">
        <v>3343</v>
      </c>
      <c r="C363">
        <v>51.96</v>
      </c>
      <c r="D363">
        <v>383</v>
      </c>
      <c r="E363">
        <v>0.81669499999999995</v>
      </c>
      <c r="F363">
        <v>12.63</v>
      </c>
      <c r="G363">
        <v>80</v>
      </c>
      <c r="H363">
        <v>11.15</v>
      </c>
    </row>
    <row r="364" spans="1:8">
      <c r="A364" s="1">
        <v>23</v>
      </c>
      <c r="B364" t="s">
        <v>3344</v>
      </c>
      <c r="C364">
        <v>55.23</v>
      </c>
      <c r="D364">
        <v>381.5</v>
      </c>
      <c r="E364">
        <v>0.77808699999999997</v>
      </c>
      <c r="F364">
        <v>1.08</v>
      </c>
      <c r="G364">
        <v>38</v>
      </c>
      <c r="H364">
        <v>11.86</v>
      </c>
    </row>
    <row r="365" spans="1:8">
      <c r="A365" s="1">
        <v>24</v>
      </c>
      <c r="B365" t="s">
        <v>3345</v>
      </c>
      <c r="C365">
        <v>64.400000000000006</v>
      </c>
      <c r="D365">
        <v>387.73</v>
      </c>
      <c r="E365">
        <v>0.86322500000000002</v>
      </c>
      <c r="F365">
        <v>8.26</v>
      </c>
      <c r="G365">
        <v>2</v>
      </c>
      <c r="H365">
        <v>13.98</v>
      </c>
    </row>
    <row r="366" spans="1:8">
      <c r="A366" s="1">
        <v>25</v>
      </c>
      <c r="B366" t="s">
        <v>3346</v>
      </c>
      <c r="C366">
        <v>66.17</v>
      </c>
      <c r="D366">
        <v>386.71</v>
      </c>
      <c r="E366">
        <v>0.84813899999999998</v>
      </c>
      <c r="F366">
        <v>1.42</v>
      </c>
      <c r="G366">
        <v>30</v>
      </c>
      <c r="H366">
        <v>14.22</v>
      </c>
    </row>
    <row r="367" spans="1:8">
      <c r="A367" s="1">
        <v>26</v>
      </c>
      <c r="B367" t="s">
        <v>3347</v>
      </c>
      <c r="C367">
        <v>60.78</v>
      </c>
      <c r="D367">
        <v>387.82</v>
      </c>
      <c r="E367">
        <v>0.88900199999999996</v>
      </c>
      <c r="F367">
        <v>28.07</v>
      </c>
      <c r="G367">
        <v>12</v>
      </c>
      <c r="H367">
        <v>12.96</v>
      </c>
    </row>
    <row r="368" spans="1:8">
      <c r="A368" s="1">
        <v>27</v>
      </c>
      <c r="B368" t="s">
        <v>3348</v>
      </c>
      <c r="C368">
        <v>55.68</v>
      </c>
      <c r="D368">
        <v>382.53</v>
      </c>
      <c r="E368">
        <v>0.77697799999999995</v>
      </c>
      <c r="F368">
        <v>2.04</v>
      </c>
      <c r="G368">
        <v>6</v>
      </c>
      <c r="H368">
        <v>11.85</v>
      </c>
    </row>
    <row r="369" spans="1:8">
      <c r="A369" s="1">
        <v>28</v>
      </c>
      <c r="B369" t="s">
        <v>3349</v>
      </c>
      <c r="C369">
        <v>57.68</v>
      </c>
      <c r="D369">
        <v>386.02</v>
      </c>
      <c r="E369">
        <v>0.85718099999999997</v>
      </c>
      <c r="F369">
        <v>11.9</v>
      </c>
      <c r="G369">
        <v>22</v>
      </c>
      <c r="H369">
        <v>12.62</v>
      </c>
    </row>
    <row r="370" spans="1:8">
      <c r="A370" s="1">
        <v>29</v>
      </c>
      <c r="B370" t="s">
        <v>3350</v>
      </c>
      <c r="C370">
        <v>61.63</v>
      </c>
      <c r="D370">
        <v>383.57</v>
      </c>
      <c r="E370">
        <v>0.84330300000000002</v>
      </c>
      <c r="F370">
        <v>0.27</v>
      </c>
      <c r="G370">
        <v>88</v>
      </c>
      <c r="H370">
        <v>13.45</v>
      </c>
    </row>
    <row r="371" spans="1:8">
      <c r="A371" s="1">
        <v>30</v>
      </c>
      <c r="B371" t="s">
        <v>3351</v>
      </c>
      <c r="C371">
        <v>56.56</v>
      </c>
      <c r="D371">
        <v>382.94</v>
      </c>
      <c r="E371">
        <v>0.82628400000000002</v>
      </c>
      <c r="F371">
        <v>0.61</v>
      </c>
      <c r="G371">
        <v>52</v>
      </c>
      <c r="H371">
        <v>12.28</v>
      </c>
    </row>
    <row r="372" spans="1:8">
      <c r="A372" s="1">
        <v>31</v>
      </c>
      <c r="B372" t="s">
        <v>3352</v>
      </c>
      <c r="C372">
        <v>55.61</v>
      </c>
      <c r="D372">
        <v>380.83</v>
      </c>
      <c r="E372">
        <v>0.79888599999999999</v>
      </c>
      <c r="F372">
        <v>0.61</v>
      </c>
      <c r="G372">
        <v>28</v>
      </c>
      <c r="H372">
        <v>11.96</v>
      </c>
    </row>
    <row r="373" spans="1:8">
      <c r="A373" s="1">
        <v>32</v>
      </c>
      <c r="B373" t="s">
        <v>3353</v>
      </c>
      <c r="C373">
        <v>67.27</v>
      </c>
      <c r="D373">
        <v>386.68</v>
      </c>
      <c r="E373">
        <v>0.85499199999999997</v>
      </c>
      <c r="F373">
        <v>0.81</v>
      </c>
      <c r="G373">
        <v>78</v>
      </c>
      <c r="H373">
        <v>14.17</v>
      </c>
    </row>
    <row r="374" spans="1:8">
      <c r="A374" s="1">
        <v>33</v>
      </c>
      <c r="B374" t="s">
        <v>3354</v>
      </c>
      <c r="C374">
        <v>62.36</v>
      </c>
      <c r="D374">
        <v>386.71</v>
      </c>
      <c r="E374">
        <v>0.87273000000000001</v>
      </c>
      <c r="F374">
        <v>1</v>
      </c>
      <c r="G374">
        <v>70</v>
      </c>
      <c r="H374">
        <v>13.56</v>
      </c>
    </row>
    <row r="375" spans="1:8">
      <c r="A375" s="1">
        <v>34</v>
      </c>
      <c r="B375" t="s">
        <v>3355</v>
      </c>
      <c r="C375">
        <v>57.94</v>
      </c>
      <c r="D375">
        <v>382.74</v>
      </c>
      <c r="E375">
        <v>0.82624699999999995</v>
      </c>
      <c r="F375">
        <v>1.08</v>
      </c>
      <c r="G375">
        <v>30</v>
      </c>
      <c r="H375">
        <v>12.74</v>
      </c>
    </row>
    <row r="376" spans="1:8">
      <c r="A376" s="1">
        <v>35</v>
      </c>
      <c r="B376" t="s">
        <v>3356</v>
      </c>
      <c r="C376">
        <v>56.99</v>
      </c>
      <c r="D376">
        <v>382.89</v>
      </c>
      <c r="E376">
        <v>0.82835400000000003</v>
      </c>
      <c r="F376">
        <v>0.38</v>
      </c>
      <c r="G376">
        <v>46</v>
      </c>
      <c r="H376">
        <v>12.36</v>
      </c>
    </row>
    <row r="377" spans="1:8">
      <c r="A377" s="1">
        <v>36</v>
      </c>
      <c r="B377" t="s">
        <v>3357</v>
      </c>
      <c r="C377">
        <v>56.65</v>
      </c>
      <c r="D377">
        <v>377.53</v>
      </c>
      <c r="E377">
        <v>0.76017000000000001</v>
      </c>
      <c r="F377">
        <v>0.04</v>
      </c>
      <c r="G377">
        <v>14</v>
      </c>
      <c r="H377">
        <v>12.11</v>
      </c>
    </row>
    <row r="378" spans="1:8">
      <c r="A378" s="1">
        <v>37</v>
      </c>
      <c r="B378" t="s">
        <v>3358</v>
      </c>
      <c r="C378">
        <v>59.05</v>
      </c>
      <c r="D378">
        <v>384.94</v>
      </c>
      <c r="E378">
        <v>0.82642300000000002</v>
      </c>
      <c r="F378">
        <v>2.84</v>
      </c>
      <c r="G378">
        <v>14</v>
      </c>
      <c r="H378">
        <v>12.75</v>
      </c>
    </row>
    <row r="379" spans="1:8">
      <c r="A379" s="1">
        <v>38</v>
      </c>
      <c r="B379" t="s">
        <v>3359</v>
      </c>
      <c r="C379">
        <v>59.92</v>
      </c>
      <c r="D379">
        <v>380.09</v>
      </c>
      <c r="E379">
        <v>0.78120100000000003</v>
      </c>
      <c r="F379">
        <v>0.31</v>
      </c>
      <c r="G379">
        <v>72</v>
      </c>
      <c r="H379">
        <v>13.11</v>
      </c>
    </row>
    <row r="380" spans="1:8">
      <c r="A380" s="1">
        <v>39</v>
      </c>
      <c r="B380" t="s">
        <v>3360</v>
      </c>
      <c r="C380">
        <v>54.85</v>
      </c>
      <c r="D380">
        <v>378.66</v>
      </c>
      <c r="E380">
        <v>0.78140900000000002</v>
      </c>
      <c r="F380">
        <v>0.46</v>
      </c>
      <c r="G380">
        <v>22</v>
      </c>
      <c r="H380">
        <v>11.79</v>
      </c>
    </row>
    <row r="381" spans="1:8">
      <c r="A381" s="1">
        <v>40</v>
      </c>
      <c r="B381" t="s">
        <v>3361</v>
      </c>
      <c r="C381">
        <v>53.29</v>
      </c>
      <c r="D381">
        <v>382.89</v>
      </c>
      <c r="E381">
        <v>0.84120300000000003</v>
      </c>
      <c r="F381">
        <v>0.57999999999999996</v>
      </c>
      <c r="G381">
        <v>28</v>
      </c>
      <c r="H381">
        <v>11.44</v>
      </c>
    </row>
    <row r="382" spans="1:8">
      <c r="A382" s="1">
        <v>41</v>
      </c>
      <c r="B382" t="s">
        <v>3362</v>
      </c>
      <c r="C382">
        <v>51.14</v>
      </c>
      <c r="D382">
        <v>381.17</v>
      </c>
      <c r="E382">
        <v>0.82076800000000005</v>
      </c>
      <c r="F382">
        <v>1.88</v>
      </c>
      <c r="G382">
        <v>64</v>
      </c>
      <c r="H382">
        <v>11.1</v>
      </c>
    </row>
    <row r="383" spans="1:8">
      <c r="A383" s="1">
        <v>42</v>
      </c>
      <c r="B383" t="s">
        <v>3363</v>
      </c>
      <c r="C383">
        <v>59.35</v>
      </c>
      <c r="D383">
        <v>382.24</v>
      </c>
      <c r="E383">
        <v>0.804616</v>
      </c>
      <c r="F383">
        <v>0.35</v>
      </c>
      <c r="G383">
        <v>96</v>
      </c>
      <c r="H383">
        <v>12.88</v>
      </c>
    </row>
    <row r="384" spans="1:8">
      <c r="A384" s="1">
        <v>43</v>
      </c>
      <c r="B384" t="s">
        <v>3364</v>
      </c>
      <c r="C384">
        <v>59.35</v>
      </c>
      <c r="D384">
        <v>382.88</v>
      </c>
      <c r="E384">
        <v>0.79941200000000001</v>
      </c>
      <c r="F384">
        <v>2.15</v>
      </c>
      <c r="G384">
        <v>18</v>
      </c>
      <c r="H384">
        <v>12.91</v>
      </c>
    </row>
    <row r="385" spans="1:8">
      <c r="A385" s="1">
        <v>44</v>
      </c>
      <c r="B385" t="s">
        <v>3365</v>
      </c>
      <c r="C385">
        <v>60.31</v>
      </c>
      <c r="D385">
        <v>385.25</v>
      </c>
      <c r="E385">
        <v>0.83974700000000002</v>
      </c>
      <c r="F385">
        <v>1.34</v>
      </c>
      <c r="G385">
        <v>20</v>
      </c>
      <c r="H385">
        <v>13.44</v>
      </c>
    </row>
    <row r="386" spans="1:8">
      <c r="A386" s="1">
        <v>45</v>
      </c>
      <c r="B386" t="s">
        <v>3366</v>
      </c>
      <c r="C386">
        <v>61.51</v>
      </c>
      <c r="D386" t="e">
        <f>-inf</f>
        <v>#NAME?</v>
      </c>
      <c r="E386">
        <v>0.82082999999999995</v>
      </c>
      <c r="F386">
        <v>0</v>
      </c>
      <c r="G386">
        <v>86</v>
      </c>
      <c r="H386">
        <v>13.49</v>
      </c>
    </row>
    <row r="387" spans="1:8">
      <c r="A387" s="1">
        <v>46</v>
      </c>
      <c r="B387" t="s">
        <v>3367</v>
      </c>
      <c r="C387">
        <v>59.11</v>
      </c>
      <c r="D387" t="e">
        <f>-inf</f>
        <v>#NAME?</v>
      </c>
      <c r="E387">
        <v>0.79218200000000005</v>
      </c>
      <c r="F387">
        <v>0</v>
      </c>
      <c r="G387">
        <v>28</v>
      </c>
      <c r="H387">
        <v>12.97</v>
      </c>
    </row>
    <row r="388" spans="1:8">
      <c r="A388" s="1">
        <v>47</v>
      </c>
      <c r="B388" t="s">
        <v>3368</v>
      </c>
      <c r="C388">
        <v>58.41</v>
      </c>
      <c r="D388">
        <v>381.34</v>
      </c>
      <c r="E388">
        <v>0.79660200000000003</v>
      </c>
      <c r="F388">
        <v>0.96</v>
      </c>
      <c r="G388">
        <v>28</v>
      </c>
      <c r="H388">
        <v>12.65</v>
      </c>
    </row>
    <row r="389" spans="1:8">
      <c r="A389" s="1">
        <v>48</v>
      </c>
      <c r="B389" t="s">
        <v>3369</v>
      </c>
      <c r="C389">
        <v>60.28</v>
      </c>
      <c r="D389">
        <v>383.78</v>
      </c>
      <c r="E389">
        <v>0.814689</v>
      </c>
      <c r="F389">
        <v>0.38</v>
      </c>
      <c r="G389">
        <v>32</v>
      </c>
      <c r="H389">
        <v>12.94</v>
      </c>
    </row>
    <row r="390" spans="1:8">
      <c r="A390" s="1">
        <v>49</v>
      </c>
      <c r="B390" t="s">
        <v>3370</v>
      </c>
      <c r="C390">
        <v>56.05</v>
      </c>
      <c r="D390">
        <v>384.16</v>
      </c>
      <c r="E390">
        <v>0.82283799999999996</v>
      </c>
      <c r="F390">
        <v>6.76</v>
      </c>
      <c r="G390">
        <v>86</v>
      </c>
      <c r="H390">
        <v>12.25</v>
      </c>
    </row>
    <row r="391" spans="1:8">
      <c r="A391" s="1">
        <v>50</v>
      </c>
      <c r="B391" t="s">
        <v>3371</v>
      </c>
      <c r="C391">
        <v>53.99</v>
      </c>
      <c r="D391">
        <v>381.27</v>
      </c>
      <c r="E391">
        <v>0.81185200000000002</v>
      </c>
      <c r="F391">
        <v>1.04</v>
      </c>
      <c r="G391">
        <v>14</v>
      </c>
      <c r="H391">
        <v>12.08</v>
      </c>
    </row>
    <row r="392" spans="1:8">
      <c r="B392" s="1" t="s">
        <v>19</v>
      </c>
      <c r="C392" s="1">
        <f>AVERAGE(C342:C391)</f>
        <v>58.795600000000007</v>
      </c>
      <c r="D392" s="1" t="e">
        <f t="shared" ref="D392:H392" si="16">AVERAGE(D342:D391)</f>
        <v>#NAME?</v>
      </c>
      <c r="E392" s="1">
        <f t="shared" si="16"/>
        <v>0.81633951999999976</v>
      </c>
      <c r="F392" s="1">
        <f t="shared" si="16"/>
        <v>2.5206000000000004</v>
      </c>
      <c r="G392" s="1">
        <f t="shared" si="16"/>
        <v>41.28</v>
      </c>
      <c r="H392" s="1">
        <f t="shared" si="16"/>
        <v>12.776000000000003</v>
      </c>
    </row>
    <row r="393" spans="1:8">
      <c r="B393" s="1" t="s">
        <v>20</v>
      </c>
      <c r="C393" s="1">
        <f>MIN(C341:C391)</f>
        <v>51.14</v>
      </c>
      <c r="D393" s="1" t="e">
        <f t="shared" ref="D393:F393" si="17">MIN(D341:D391)</f>
        <v>#NAME?</v>
      </c>
      <c r="E393" s="1">
        <f t="shared" si="17"/>
        <v>0.76017000000000001</v>
      </c>
      <c r="F393" s="1">
        <f t="shared" si="17"/>
        <v>0</v>
      </c>
      <c r="H393" s="1">
        <f t="shared" ref="H393" si="18">MIN(H341:H391)</f>
        <v>11.1</v>
      </c>
    </row>
    <row r="394" spans="1:8">
      <c r="B394" s="1" t="s">
        <v>3</v>
      </c>
      <c r="C394" s="1">
        <f>STDEV(C342:C391)</f>
        <v>3.406371676725616</v>
      </c>
      <c r="D394" s="1" t="e">
        <f t="shared" ref="D394:E394" si="19">STDEV(D342:D391)</f>
        <v>#NAME?</v>
      </c>
      <c r="E394" s="1">
        <f t="shared" si="19"/>
        <v>2.7867252044282944E-2</v>
      </c>
      <c r="F394" s="1">
        <f>STDEV(F342:F391)</f>
        <v>4.6893641751677722</v>
      </c>
      <c r="H394" s="1">
        <f>STDEV(H342:H391)</f>
        <v>0.74903475301509503</v>
      </c>
    </row>
    <row r="397" spans="1:8" ht="18">
      <c r="A397" s="23"/>
      <c r="B397" s="3"/>
      <c r="C397" s="23"/>
      <c r="D397" s="23"/>
      <c r="E397" s="23"/>
      <c r="F397" s="23"/>
      <c r="G397" s="23"/>
    </row>
    <row r="421" spans="2:4" ht="18">
      <c r="B421" s="3"/>
      <c r="C421" s="23"/>
      <c r="D421" s="23"/>
    </row>
    <row r="445" spans="2:4" ht="18">
      <c r="B445" s="3"/>
      <c r="C445" s="23"/>
      <c r="D445" s="23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45"/>
  <sheetViews>
    <sheetView topLeftCell="A346" zoomScale="50" zoomScaleNormal="50" workbookViewId="0">
      <selection activeCell="C342" sqref="C342:C391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3923</v>
      </c>
      <c r="C1" s="25"/>
      <c r="D1" s="25"/>
    </row>
    <row r="2" spans="1:8">
      <c r="B2" s="25"/>
      <c r="C2" s="25"/>
      <c r="D2" s="25"/>
    </row>
    <row r="4" spans="1:8">
      <c r="H4" s="23" t="s">
        <v>1435</v>
      </c>
    </row>
    <row r="5" spans="1:8" ht="18">
      <c r="A5" s="23" t="s">
        <v>7</v>
      </c>
      <c r="B5" s="3" t="s">
        <v>0</v>
      </c>
      <c r="C5" s="23" t="s">
        <v>4</v>
      </c>
      <c r="D5" s="23" t="s">
        <v>322</v>
      </c>
      <c r="E5" s="23" t="s">
        <v>321</v>
      </c>
      <c r="F5" s="23" t="s">
        <v>324</v>
      </c>
      <c r="G5" s="23" t="s">
        <v>323</v>
      </c>
      <c r="H5" s="23" t="s">
        <v>1436</v>
      </c>
    </row>
    <row r="6" spans="1:8">
      <c r="A6" s="1">
        <v>1</v>
      </c>
      <c r="B6" t="s">
        <v>3472</v>
      </c>
      <c r="C6">
        <v>88.61</v>
      </c>
      <c r="D6">
        <v>15.89</v>
      </c>
      <c r="E6">
        <v>0.98995</v>
      </c>
      <c r="F6">
        <v>79.680000000000007</v>
      </c>
      <c r="G6">
        <v>0</v>
      </c>
      <c r="H6">
        <v>19.21</v>
      </c>
    </row>
    <row r="7" spans="1:8">
      <c r="A7" s="1">
        <v>2</v>
      </c>
      <c r="B7" t="s">
        <v>3473</v>
      </c>
      <c r="C7">
        <v>141.41</v>
      </c>
      <c r="D7">
        <v>16.21</v>
      </c>
      <c r="E7">
        <v>0.83743299999999998</v>
      </c>
      <c r="F7">
        <v>79.099999999999994</v>
      </c>
      <c r="G7">
        <v>0</v>
      </c>
      <c r="H7">
        <v>46.06</v>
      </c>
    </row>
    <row r="8" spans="1:8">
      <c r="A8" s="1">
        <v>3</v>
      </c>
      <c r="B8" t="s">
        <v>3474</v>
      </c>
      <c r="C8">
        <v>235.66</v>
      </c>
      <c r="D8">
        <v>16.66</v>
      </c>
      <c r="E8">
        <v>0.84960999999999998</v>
      </c>
      <c r="F8">
        <v>136.51</v>
      </c>
      <c r="G8">
        <v>0</v>
      </c>
      <c r="H8">
        <v>52.92</v>
      </c>
    </row>
    <row r="9" spans="1:8">
      <c r="A9" s="1">
        <v>4</v>
      </c>
      <c r="B9" t="s">
        <v>3475</v>
      </c>
      <c r="C9">
        <v>282.99</v>
      </c>
      <c r="D9">
        <v>16.899999999999999</v>
      </c>
      <c r="E9">
        <v>0.99226899999999996</v>
      </c>
      <c r="F9">
        <v>258.01</v>
      </c>
      <c r="G9">
        <v>0</v>
      </c>
      <c r="H9">
        <v>70.03</v>
      </c>
    </row>
    <row r="10" spans="1:8" s="19" customFormat="1">
      <c r="A10" s="19">
        <v>5</v>
      </c>
      <c r="B10" t="s">
        <v>3476</v>
      </c>
      <c r="C10">
        <v>124.61</v>
      </c>
      <c r="D10">
        <v>16.170000000000002</v>
      </c>
      <c r="E10">
        <v>0.95517099999999999</v>
      </c>
      <c r="F10">
        <v>97.61</v>
      </c>
      <c r="G10">
        <v>2</v>
      </c>
      <c r="H10">
        <v>28.24</v>
      </c>
    </row>
    <row r="11" spans="1:8">
      <c r="A11" s="1">
        <v>6</v>
      </c>
      <c r="B11" t="s">
        <v>3477</v>
      </c>
      <c r="C11">
        <v>251.42</v>
      </c>
      <c r="D11">
        <v>16.73</v>
      </c>
      <c r="E11">
        <v>0.86320300000000005</v>
      </c>
      <c r="F11">
        <v>151.33000000000001</v>
      </c>
      <c r="G11">
        <v>2</v>
      </c>
      <c r="H11">
        <v>86.26</v>
      </c>
    </row>
    <row r="12" spans="1:8">
      <c r="A12" s="1">
        <v>7</v>
      </c>
      <c r="B12" t="s">
        <v>3478</v>
      </c>
      <c r="C12">
        <v>179.17</v>
      </c>
      <c r="D12">
        <v>16.350000000000001</v>
      </c>
      <c r="E12">
        <v>0.76626700000000003</v>
      </c>
      <c r="F12">
        <v>80.22</v>
      </c>
      <c r="G12">
        <v>0</v>
      </c>
      <c r="H12">
        <v>44.71</v>
      </c>
    </row>
    <row r="13" spans="1:8">
      <c r="A13" s="1">
        <v>8</v>
      </c>
      <c r="B13" t="s">
        <v>3479</v>
      </c>
      <c r="C13">
        <v>176.66</v>
      </c>
      <c r="D13">
        <v>16.48</v>
      </c>
      <c r="E13">
        <v>0.97644699999999995</v>
      </c>
      <c r="F13">
        <v>149.22</v>
      </c>
      <c r="G13">
        <v>2</v>
      </c>
      <c r="H13">
        <v>55.07</v>
      </c>
    </row>
    <row r="14" spans="1:8">
      <c r="A14" s="1">
        <v>9</v>
      </c>
      <c r="B14" t="s">
        <v>3480</v>
      </c>
      <c r="C14">
        <v>117.39</v>
      </c>
      <c r="D14">
        <v>16.13</v>
      </c>
      <c r="E14">
        <v>0.97475199999999995</v>
      </c>
      <c r="F14">
        <v>98.5</v>
      </c>
      <c r="G14">
        <v>0</v>
      </c>
      <c r="H14">
        <v>28.36</v>
      </c>
    </row>
    <row r="15" spans="1:8">
      <c r="A15" s="1">
        <v>10</v>
      </c>
      <c r="B15" t="s">
        <v>3481</v>
      </c>
      <c r="C15">
        <v>71.62</v>
      </c>
      <c r="D15">
        <v>15.67</v>
      </c>
      <c r="E15">
        <v>0.92683400000000005</v>
      </c>
      <c r="F15">
        <v>51.49</v>
      </c>
      <c r="G15">
        <v>2</v>
      </c>
      <c r="H15">
        <v>18.850000000000001</v>
      </c>
    </row>
    <row r="16" spans="1:8">
      <c r="A16" s="1">
        <v>11</v>
      </c>
      <c r="B16" t="s">
        <v>3482</v>
      </c>
      <c r="C16">
        <v>119.69</v>
      </c>
      <c r="D16">
        <v>16.13</v>
      </c>
      <c r="E16">
        <v>0.93718000000000001</v>
      </c>
      <c r="F16">
        <v>88.7</v>
      </c>
      <c r="G16">
        <v>0</v>
      </c>
      <c r="H16">
        <v>28.28</v>
      </c>
    </row>
    <row r="17" spans="1:8">
      <c r="A17" s="1">
        <v>12</v>
      </c>
      <c r="B17" t="s">
        <v>3483</v>
      </c>
      <c r="C17">
        <v>131.31</v>
      </c>
      <c r="D17">
        <v>16.16</v>
      </c>
      <c r="E17">
        <v>0.86437600000000003</v>
      </c>
      <c r="F17">
        <v>79.3</v>
      </c>
      <c r="G17">
        <v>0</v>
      </c>
      <c r="H17">
        <v>28.03</v>
      </c>
    </row>
    <row r="18" spans="1:8">
      <c r="A18" s="1">
        <v>13</v>
      </c>
      <c r="B18" t="s">
        <v>3484</v>
      </c>
      <c r="C18">
        <v>262.48</v>
      </c>
      <c r="D18">
        <v>16.62</v>
      </c>
      <c r="E18">
        <v>0.71765299999999999</v>
      </c>
      <c r="F18">
        <v>97.84</v>
      </c>
      <c r="G18">
        <v>2</v>
      </c>
      <c r="H18">
        <v>74.42</v>
      </c>
    </row>
    <row r="19" spans="1:8">
      <c r="A19" s="1">
        <v>14</v>
      </c>
      <c r="B19" t="s">
        <v>3485</v>
      </c>
      <c r="C19">
        <v>281.77999999999997</v>
      </c>
      <c r="D19">
        <v>16.899999999999999</v>
      </c>
      <c r="E19">
        <v>0.99235700000000004</v>
      </c>
      <c r="F19">
        <v>257.05</v>
      </c>
      <c r="G19">
        <v>2</v>
      </c>
      <c r="H19">
        <v>105.45</v>
      </c>
    </row>
    <row r="20" spans="1:8">
      <c r="A20" s="1">
        <v>15</v>
      </c>
      <c r="B20" t="s">
        <v>3486</v>
      </c>
      <c r="C20">
        <v>201.81</v>
      </c>
      <c r="D20">
        <v>16.41</v>
      </c>
      <c r="E20">
        <v>0.73181399999999996</v>
      </c>
      <c r="F20">
        <v>79.64</v>
      </c>
      <c r="G20">
        <v>2</v>
      </c>
      <c r="H20">
        <v>78.25</v>
      </c>
    </row>
    <row r="21" spans="1:8">
      <c r="A21" s="1">
        <v>16</v>
      </c>
      <c r="B21" t="s">
        <v>3487</v>
      </c>
      <c r="C21">
        <v>94.77</v>
      </c>
      <c r="D21">
        <v>15.95</v>
      </c>
      <c r="E21">
        <v>0.99538800000000005</v>
      </c>
      <c r="F21">
        <v>88.32</v>
      </c>
      <c r="G21">
        <v>0</v>
      </c>
      <c r="H21">
        <v>32.61</v>
      </c>
    </row>
    <row r="22" spans="1:8">
      <c r="A22" s="1">
        <v>17</v>
      </c>
      <c r="B22" t="s">
        <v>3488</v>
      </c>
      <c r="C22">
        <v>108.52</v>
      </c>
      <c r="D22">
        <v>16.04</v>
      </c>
      <c r="E22">
        <v>0.93550699999999998</v>
      </c>
      <c r="F22">
        <v>80.03</v>
      </c>
      <c r="G22">
        <v>2</v>
      </c>
      <c r="H22">
        <v>28.44</v>
      </c>
    </row>
    <row r="23" spans="1:8">
      <c r="A23" s="1">
        <v>18</v>
      </c>
      <c r="B23" t="s">
        <v>3489</v>
      </c>
      <c r="C23">
        <v>117.1</v>
      </c>
      <c r="D23">
        <v>16.12</v>
      </c>
      <c r="E23">
        <v>0.97294700000000001</v>
      </c>
      <c r="F23">
        <v>97.57</v>
      </c>
      <c r="G23">
        <v>2</v>
      </c>
      <c r="H23">
        <v>28.36</v>
      </c>
    </row>
    <row r="24" spans="1:8">
      <c r="A24" s="1">
        <v>19</v>
      </c>
      <c r="B24" t="s">
        <v>3490</v>
      </c>
      <c r="C24">
        <v>177.14</v>
      </c>
      <c r="D24">
        <v>16.399999999999999</v>
      </c>
      <c r="E24">
        <v>0.83292900000000003</v>
      </c>
      <c r="F24">
        <v>97.8</v>
      </c>
      <c r="G24">
        <v>0</v>
      </c>
      <c r="H24">
        <v>80.48</v>
      </c>
    </row>
    <row r="25" spans="1:8">
      <c r="A25" s="1">
        <v>20</v>
      </c>
      <c r="B25" t="s">
        <v>3491</v>
      </c>
      <c r="C25">
        <v>177.14</v>
      </c>
      <c r="D25">
        <v>16.399999999999999</v>
      </c>
      <c r="E25">
        <v>0.83292900000000003</v>
      </c>
      <c r="F25">
        <v>97.8</v>
      </c>
      <c r="G25">
        <v>0</v>
      </c>
      <c r="H25">
        <v>45.02</v>
      </c>
    </row>
    <row r="26" spans="1:8">
      <c r="A26" s="1">
        <v>21</v>
      </c>
      <c r="B26" t="s">
        <v>3492</v>
      </c>
      <c r="C26">
        <v>338.05</v>
      </c>
      <c r="D26">
        <v>17.059999999999999</v>
      </c>
      <c r="E26">
        <v>0.99810600000000005</v>
      </c>
      <c r="F26">
        <v>323.33</v>
      </c>
      <c r="G26">
        <v>0</v>
      </c>
      <c r="H26">
        <v>136.16999999999999</v>
      </c>
    </row>
    <row r="27" spans="1:8">
      <c r="A27" s="1">
        <v>22</v>
      </c>
      <c r="B27" t="s">
        <v>3493</v>
      </c>
      <c r="C27">
        <v>94.12</v>
      </c>
      <c r="D27">
        <v>15.95</v>
      </c>
      <c r="E27">
        <v>0.99719500000000005</v>
      </c>
      <c r="F27">
        <v>89.13</v>
      </c>
      <c r="G27">
        <v>0</v>
      </c>
      <c r="H27">
        <v>19.170000000000002</v>
      </c>
    </row>
    <row r="28" spans="1:8">
      <c r="A28" s="1">
        <v>23</v>
      </c>
      <c r="B28" t="s">
        <v>3494</v>
      </c>
      <c r="C28">
        <v>236.74</v>
      </c>
      <c r="D28">
        <v>16.690000000000001</v>
      </c>
      <c r="E28">
        <v>0.88411399999999996</v>
      </c>
      <c r="F28">
        <v>151.03</v>
      </c>
      <c r="G28">
        <v>0</v>
      </c>
      <c r="H28">
        <v>87.27</v>
      </c>
    </row>
    <row r="29" spans="1:8">
      <c r="A29" s="1">
        <v>24</v>
      </c>
      <c r="B29" t="s">
        <v>3495</v>
      </c>
      <c r="C29">
        <v>192.54</v>
      </c>
      <c r="D29">
        <v>16.39</v>
      </c>
      <c r="E29">
        <v>0.74492700000000001</v>
      </c>
      <c r="F29">
        <v>79.87</v>
      </c>
      <c r="G29">
        <v>0</v>
      </c>
      <c r="H29">
        <v>44.22</v>
      </c>
    </row>
    <row r="30" spans="1:8">
      <c r="A30" s="1">
        <v>25</v>
      </c>
      <c r="B30" t="s">
        <v>3496</v>
      </c>
      <c r="C30">
        <v>207.72</v>
      </c>
      <c r="D30">
        <v>16.579999999999998</v>
      </c>
      <c r="E30">
        <v>0.89279600000000003</v>
      </c>
      <c r="F30">
        <v>135.74</v>
      </c>
      <c r="G30">
        <v>0</v>
      </c>
      <c r="H30">
        <v>53.86</v>
      </c>
    </row>
    <row r="31" spans="1:8">
      <c r="A31" s="1">
        <v>26</v>
      </c>
      <c r="B31" t="s">
        <v>3497</v>
      </c>
      <c r="C31">
        <v>219.88</v>
      </c>
      <c r="D31">
        <v>16.670000000000002</v>
      </c>
      <c r="E31">
        <v>0.972159</v>
      </c>
      <c r="F31">
        <v>182.67</v>
      </c>
      <c r="G31">
        <v>2</v>
      </c>
      <c r="H31">
        <v>89.28</v>
      </c>
    </row>
    <row r="32" spans="1:8">
      <c r="A32" s="1">
        <v>27</v>
      </c>
      <c r="B32" t="s">
        <v>3498</v>
      </c>
      <c r="C32">
        <v>202.79</v>
      </c>
      <c r="D32">
        <v>16.61</v>
      </c>
      <c r="E32">
        <v>0.99999800000000005</v>
      </c>
      <c r="F32">
        <v>202.48</v>
      </c>
      <c r="G32">
        <v>2</v>
      </c>
      <c r="H32">
        <v>72.819999999999993</v>
      </c>
    </row>
    <row r="33" spans="1:8">
      <c r="A33" s="1">
        <v>28</v>
      </c>
      <c r="B33" t="s">
        <v>3499</v>
      </c>
      <c r="C33">
        <v>220.19</v>
      </c>
      <c r="D33">
        <v>16.5</v>
      </c>
      <c r="E33">
        <v>0.73794199999999999</v>
      </c>
      <c r="F33">
        <v>88.97</v>
      </c>
      <c r="G33">
        <v>0</v>
      </c>
      <c r="H33">
        <v>77.22</v>
      </c>
    </row>
    <row r="34" spans="1:8">
      <c r="A34" s="1">
        <v>29</v>
      </c>
      <c r="B34" t="s">
        <v>3500</v>
      </c>
      <c r="C34">
        <v>229.5</v>
      </c>
      <c r="D34">
        <v>16.64</v>
      </c>
      <c r="E34">
        <v>0.86078399999999999</v>
      </c>
      <c r="F34">
        <v>137.19999999999999</v>
      </c>
      <c r="G34">
        <v>0</v>
      </c>
      <c r="H34">
        <v>87.41</v>
      </c>
    </row>
    <row r="35" spans="1:8">
      <c r="A35" s="1">
        <v>30</v>
      </c>
      <c r="B35" t="s">
        <v>3501</v>
      </c>
      <c r="C35">
        <v>278.48</v>
      </c>
      <c r="D35">
        <v>16.649999999999999</v>
      </c>
      <c r="E35">
        <v>0.70491999999999999</v>
      </c>
      <c r="F35">
        <v>98.3</v>
      </c>
      <c r="G35">
        <v>2</v>
      </c>
      <c r="H35">
        <v>73.27</v>
      </c>
    </row>
    <row r="36" spans="1:8">
      <c r="A36" s="1">
        <v>31</v>
      </c>
      <c r="B36" t="s">
        <v>3502</v>
      </c>
      <c r="C36">
        <v>141.35</v>
      </c>
      <c r="D36">
        <v>16.3</v>
      </c>
      <c r="E36">
        <v>0.99761500000000003</v>
      </c>
      <c r="F36">
        <v>134.44</v>
      </c>
      <c r="G36">
        <v>2</v>
      </c>
      <c r="H36">
        <v>46.86</v>
      </c>
    </row>
    <row r="37" spans="1:8">
      <c r="A37" s="1">
        <v>32</v>
      </c>
      <c r="B37" t="s">
        <v>3503</v>
      </c>
      <c r="C37">
        <v>132.21</v>
      </c>
      <c r="D37">
        <v>16.21</v>
      </c>
      <c r="E37">
        <v>0.93670399999999998</v>
      </c>
      <c r="F37">
        <v>97.84</v>
      </c>
      <c r="G37">
        <v>2</v>
      </c>
      <c r="H37">
        <v>28.09</v>
      </c>
    </row>
    <row r="38" spans="1:8">
      <c r="A38" s="1">
        <v>33</v>
      </c>
      <c r="B38" t="s">
        <v>3504</v>
      </c>
      <c r="C38">
        <v>341.64</v>
      </c>
      <c r="D38">
        <v>17.07</v>
      </c>
      <c r="E38">
        <v>0.99939999999999996</v>
      </c>
      <c r="F38">
        <v>333.27</v>
      </c>
      <c r="G38">
        <v>2</v>
      </c>
      <c r="H38">
        <v>101.68</v>
      </c>
    </row>
    <row r="39" spans="1:8">
      <c r="A39" s="1">
        <v>34</v>
      </c>
      <c r="B39" t="s">
        <v>3505</v>
      </c>
      <c r="C39">
        <v>88.61</v>
      </c>
      <c r="D39">
        <v>15.89</v>
      </c>
      <c r="E39">
        <v>0.98995</v>
      </c>
      <c r="F39">
        <v>79.680000000000007</v>
      </c>
      <c r="G39">
        <v>0</v>
      </c>
      <c r="H39">
        <v>19.21</v>
      </c>
    </row>
    <row r="40" spans="1:8">
      <c r="A40" s="1">
        <v>35</v>
      </c>
      <c r="B40" t="s">
        <v>3506</v>
      </c>
      <c r="C40">
        <v>235.66</v>
      </c>
      <c r="D40">
        <v>16.66</v>
      </c>
      <c r="E40">
        <v>0.84960999999999998</v>
      </c>
      <c r="F40">
        <v>136.51</v>
      </c>
      <c r="G40">
        <v>0</v>
      </c>
      <c r="H40">
        <v>52.92</v>
      </c>
    </row>
    <row r="41" spans="1:8">
      <c r="A41" s="1">
        <v>36</v>
      </c>
      <c r="B41" t="s">
        <v>3507</v>
      </c>
      <c r="C41">
        <v>322.44</v>
      </c>
      <c r="D41">
        <v>17.02</v>
      </c>
      <c r="E41">
        <v>0.99998699999999996</v>
      </c>
      <c r="F41">
        <v>321.29000000000002</v>
      </c>
      <c r="G41">
        <v>0</v>
      </c>
      <c r="H41">
        <v>137.22</v>
      </c>
    </row>
    <row r="42" spans="1:8">
      <c r="A42" s="1">
        <v>37</v>
      </c>
      <c r="B42" t="s">
        <v>3508</v>
      </c>
      <c r="C42">
        <v>234.28</v>
      </c>
      <c r="D42">
        <v>16.66</v>
      </c>
      <c r="E42">
        <v>0.85346599999999995</v>
      </c>
      <c r="F42">
        <v>137.19999999999999</v>
      </c>
      <c r="G42">
        <v>0</v>
      </c>
      <c r="H42">
        <v>52.91</v>
      </c>
    </row>
    <row r="43" spans="1:8">
      <c r="A43" s="1">
        <v>38</v>
      </c>
      <c r="B43" t="s">
        <v>3509</v>
      </c>
      <c r="C43">
        <v>169.57</v>
      </c>
      <c r="D43">
        <v>16.440000000000001</v>
      </c>
      <c r="E43">
        <v>0.96079800000000004</v>
      </c>
      <c r="F43">
        <v>135.32</v>
      </c>
      <c r="G43">
        <v>0</v>
      </c>
      <c r="H43">
        <v>55.19</v>
      </c>
    </row>
    <row r="44" spans="1:8">
      <c r="A44" s="1">
        <v>39</v>
      </c>
      <c r="B44" t="s">
        <v>3510</v>
      </c>
      <c r="C44">
        <v>329.2</v>
      </c>
      <c r="D44">
        <v>17.03</v>
      </c>
      <c r="E44">
        <v>0.99492999999999998</v>
      </c>
      <c r="F44">
        <v>305.7</v>
      </c>
      <c r="G44">
        <v>0</v>
      </c>
      <c r="H44">
        <v>102.13</v>
      </c>
    </row>
    <row r="45" spans="1:8">
      <c r="A45" s="1">
        <v>40</v>
      </c>
      <c r="B45" t="s">
        <v>3511</v>
      </c>
      <c r="C45">
        <v>315.67</v>
      </c>
      <c r="D45">
        <v>16.940000000000001</v>
      </c>
      <c r="E45">
        <v>0.88833700000000004</v>
      </c>
      <c r="F45">
        <v>203.75</v>
      </c>
      <c r="G45">
        <v>0</v>
      </c>
      <c r="H45">
        <v>101.26</v>
      </c>
    </row>
    <row r="46" spans="1:8">
      <c r="A46" s="1">
        <v>41</v>
      </c>
      <c r="B46" t="s">
        <v>3512</v>
      </c>
      <c r="C46">
        <v>217.25</v>
      </c>
      <c r="D46">
        <v>16.45</v>
      </c>
      <c r="E46">
        <v>0.715839</v>
      </c>
      <c r="F46">
        <v>80.37</v>
      </c>
      <c r="G46">
        <v>0</v>
      </c>
      <c r="H46">
        <v>77.22</v>
      </c>
    </row>
    <row r="47" spans="1:8">
      <c r="A47" s="1">
        <v>42</v>
      </c>
      <c r="B47" t="s">
        <v>3513</v>
      </c>
      <c r="C47">
        <v>141.33000000000001</v>
      </c>
      <c r="D47">
        <v>16.21</v>
      </c>
      <c r="E47">
        <v>0.84629799999999999</v>
      </c>
      <c r="F47">
        <v>81.099999999999994</v>
      </c>
      <c r="G47">
        <v>0</v>
      </c>
      <c r="H47">
        <v>46.05</v>
      </c>
    </row>
    <row r="48" spans="1:8">
      <c r="A48" s="1">
        <v>43</v>
      </c>
      <c r="B48" t="s">
        <v>3514</v>
      </c>
      <c r="C48">
        <v>178.79</v>
      </c>
      <c r="D48">
        <v>16.350000000000001</v>
      </c>
      <c r="E48">
        <v>0.76591600000000004</v>
      </c>
      <c r="F48">
        <v>79.95</v>
      </c>
      <c r="G48">
        <v>2</v>
      </c>
      <c r="H48">
        <v>44.71</v>
      </c>
    </row>
    <row r="49" spans="1:10">
      <c r="A49" s="1">
        <v>44</v>
      </c>
      <c r="B49" t="s">
        <v>3515</v>
      </c>
      <c r="C49">
        <v>217.25</v>
      </c>
      <c r="D49">
        <v>16.45</v>
      </c>
      <c r="E49">
        <v>0.715839</v>
      </c>
      <c r="F49">
        <v>80.37</v>
      </c>
      <c r="G49">
        <v>0</v>
      </c>
      <c r="H49">
        <v>77.22</v>
      </c>
    </row>
    <row r="50" spans="1:10">
      <c r="A50" s="1">
        <v>45</v>
      </c>
      <c r="B50" t="s">
        <v>3516</v>
      </c>
      <c r="C50">
        <v>330.47</v>
      </c>
      <c r="D50">
        <v>17.04</v>
      </c>
      <c r="E50">
        <v>0.99529000000000001</v>
      </c>
      <c r="F50">
        <v>307.74</v>
      </c>
      <c r="G50">
        <v>2</v>
      </c>
      <c r="H50">
        <v>102.12</v>
      </c>
    </row>
    <row r="51" spans="1:10">
      <c r="A51" s="1">
        <v>46</v>
      </c>
      <c r="B51" t="s">
        <v>3517</v>
      </c>
      <c r="C51">
        <v>333.08</v>
      </c>
      <c r="D51">
        <v>16.97</v>
      </c>
      <c r="E51">
        <v>0.86871500000000001</v>
      </c>
      <c r="F51">
        <v>203.6</v>
      </c>
      <c r="G51">
        <v>0</v>
      </c>
      <c r="H51">
        <v>100.18</v>
      </c>
      <c r="J51" s="1">
        <v>0</v>
      </c>
    </row>
    <row r="52" spans="1:10">
      <c r="A52" s="1">
        <v>47</v>
      </c>
      <c r="B52" t="s">
        <v>3518</v>
      </c>
      <c r="C52">
        <v>141.33000000000001</v>
      </c>
      <c r="D52">
        <v>16.21</v>
      </c>
      <c r="E52">
        <v>0.84629799999999999</v>
      </c>
      <c r="F52">
        <v>81.099999999999994</v>
      </c>
      <c r="G52">
        <v>0</v>
      </c>
      <c r="H52">
        <v>46.05</v>
      </c>
    </row>
    <row r="53" spans="1:10">
      <c r="A53" s="1">
        <v>48</v>
      </c>
      <c r="B53" t="s">
        <v>3519</v>
      </c>
      <c r="C53">
        <v>150.44999999999999</v>
      </c>
      <c r="D53">
        <v>16.350000000000001</v>
      </c>
      <c r="E53">
        <v>0.99999800000000005</v>
      </c>
      <c r="F53">
        <v>150.22</v>
      </c>
      <c r="G53">
        <v>0</v>
      </c>
      <c r="H53">
        <v>37.35</v>
      </c>
    </row>
    <row r="54" spans="1:10">
      <c r="A54" s="1">
        <v>49</v>
      </c>
      <c r="B54" t="s">
        <v>3520</v>
      </c>
      <c r="C54">
        <v>351.63</v>
      </c>
      <c r="D54">
        <v>17.09</v>
      </c>
      <c r="E54">
        <v>1</v>
      </c>
      <c r="F54">
        <v>351.59</v>
      </c>
      <c r="G54">
        <v>0</v>
      </c>
      <c r="H54">
        <v>135.16</v>
      </c>
    </row>
    <row r="55" spans="1:10">
      <c r="A55" s="1">
        <v>50</v>
      </c>
      <c r="B55" t="s">
        <v>3521</v>
      </c>
      <c r="C55">
        <v>267.74</v>
      </c>
      <c r="D55">
        <v>16.850000000000001</v>
      </c>
      <c r="E55">
        <v>0.99819500000000005</v>
      </c>
      <c r="F55">
        <v>256.36</v>
      </c>
      <c r="G55">
        <v>2</v>
      </c>
      <c r="H55">
        <v>70.540000000000006</v>
      </c>
    </row>
    <row r="56" spans="1:10">
      <c r="B56" s="1" t="s">
        <v>19</v>
      </c>
      <c r="C56" s="1">
        <f>AVERAGE(C6:C55)</f>
        <v>204.02479999999997</v>
      </c>
      <c r="D56" s="1">
        <f t="shared" ref="D56:H56" si="0">AVERAGE(D6:D55)</f>
        <v>16.485000000000003</v>
      </c>
      <c r="E56" s="1">
        <f t="shared" si="0"/>
        <v>0.89922283999999975</v>
      </c>
      <c r="F56" s="1">
        <f t="shared" si="0"/>
        <v>145.83680000000001</v>
      </c>
      <c r="H56" s="1">
        <f t="shared" si="0"/>
        <v>63.076199999999993</v>
      </c>
    </row>
    <row r="57" spans="1:10">
      <c r="B57" s="1" t="s">
        <v>20</v>
      </c>
      <c r="C57" s="1">
        <f>MIN(C5:C55)</f>
        <v>71.62</v>
      </c>
      <c r="D57" s="1">
        <f t="shared" ref="D57:H57" si="1">MIN(D5:D55)</f>
        <v>15.67</v>
      </c>
      <c r="E57" s="1">
        <f t="shared" si="1"/>
        <v>0.70491999999999999</v>
      </c>
      <c r="F57" s="1">
        <f t="shared" si="1"/>
        <v>51.49</v>
      </c>
      <c r="H57" s="1">
        <f t="shared" si="1"/>
        <v>18.850000000000001</v>
      </c>
    </row>
    <row r="58" spans="1:10">
      <c r="B58" s="1" t="s">
        <v>3</v>
      </c>
      <c r="C58" s="1">
        <f>STDEV(C6:C55)</f>
        <v>79.042312957771571</v>
      </c>
      <c r="D58" s="1">
        <f t="shared" ref="D58:E58" si="2">STDEV(D6:D55)</f>
        <v>0.35943407899465379</v>
      </c>
      <c r="E58" s="1">
        <f t="shared" si="2"/>
        <v>9.7626598154598523E-2</v>
      </c>
      <c r="F58" s="1">
        <f>STDEV(F6:F55)</f>
        <v>82.96773157938307</v>
      </c>
      <c r="H58" s="1">
        <f>STDEV(H6:H55)</f>
        <v>31.940948952076944</v>
      </c>
    </row>
    <row r="60" spans="1:10">
      <c r="H60" s="23" t="s">
        <v>1435</v>
      </c>
    </row>
    <row r="61" spans="1:10" ht="18">
      <c r="A61" s="23" t="s">
        <v>7</v>
      </c>
      <c r="B61" s="3" t="s">
        <v>8</v>
      </c>
      <c r="C61" s="23" t="s">
        <v>4</v>
      </c>
      <c r="D61" s="23" t="s">
        <v>322</v>
      </c>
      <c r="E61" s="23" t="s">
        <v>321</v>
      </c>
      <c r="F61" s="23" t="s">
        <v>324</v>
      </c>
      <c r="G61" s="23" t="s">
        <v>323</v>
      </c>
      <c r="H61" s="23" t="s">
        <v>1436</v>
      </c>
    </row>
    <row r="62" spans="1:10">
      <c r="A62" s="1">
        <v>1</v>
      </c>
      <c r="B62" t="s">
        <v>3672</v>
      </c>
      <c r="C62">
        <v>182.64</v>
      </c>
      <c r="D62">
        <v>41.08</v>
      </c>
      <c r="E62">
        <v>0.80337099999999995</v>
      </c>
      <c r="F62">
        <v>89.13</v>
      </c>
      <c r="G62">
        <v>0</v>
      </c>
      <c r="H62">
        <v>53.21</v>
      </c>
    </row>
    <row r="63" spans="1:10">
      <c r="A63" s="1">
        <v>2</v>
      </c>
      <c r="B63" t="s">
        <v>3673</v>
      </c>
      <c r="C63">
        <v>141.24</v>
      </c>
      <c r="D63">
        <v>40.51</v>
      </c>
      <c r="E63">
        <v>0.79118999999999995</v>
      </c>
      <c r="F63">
        <v>80.33</v>
      </c>
      <c r="G63">
        <v>2</v>
      </c>
      <c r="H63">
        <v>33</v>
      </c>
    </row>
    <row r="64" spans="1:10">
      <c r="A64" s="1">
        <v>3</v>
      </c>
      <c r="B64" t="s">
        <v>3674</v>
      </c>
      <c r="C64">
        <v>334.69</v>
      </c>
      <c r="D64">
        <v>42.52</v>
      </c>
      <c r="E64">
        <v>0.91988800000000004</v>
      </c>
      <c r="F64">
        <v>203.56</v>
      </c>
      <c r="G64">
        <v>2</v>
      </c>
      <c r="H64">
        <v>107.62</v>
      </c>
    </row>
    <row r="65" spans="1:8">
      <c r="A65" s="1">
        <v>4</v>
      </c>
      <c r="B65" t="s">
        <v>3675</v>
      </c>
      <c r="C65">
        <v>154.94</v>
      </c>
      <c r="D65">
        <v>39.22</v>
      </c>
      <c r="E65">
        <v>0.56338999999999995</v>
      </c>
      <c r="F65">
        <v>4.57</v>
      </c>
      <c r="G65">
        <v>6</v>
      </c>
      <c r="H65">
        <v>48.8</v>
      </c>
    </row>
    <row r="66" spans="1:8">
      <c r="A66" s="1">
        <v>5</v>
      </c>
      <c r="B66" t="s">
        <v>3676</v>
      </c>
      <c r="C66">
        <v>143.54</v>
      </c>
      <c r="D66">
        <v>40.619999999999997</v>
      </c>
      <c r="E66">
        <v>0.85190299999999997</v>
      </c>
      <c r="F66">
        <v>89.05</v>
      </c>
      <c r="G66">
        <v>2</v>
      </c>
      <c r="H66">
        <v>36.89</v>
      </c>
    </row>
    <row r="67" spans="1:8">
      <c r="A67" s="1">
        <v>6</v>
      </c>
      <c r="B67" t="s">
        <v>3677</v>
      </c>
      <c r="C67">
        <v>219.22</v>
      </c>
      <c r="D67">
        <v>41.35</v>
      </c>
      <c r="E67">
        <v>0.74205500000000002</v>
      </c>
      <c r="F67">
        <v>78.87</v>
      </c>
      <c r="G67">
        <v>8</v>
      </c>
      <c r="H67">
        <v>65.95</v>
      </c>
    </row>
    <row r="68" spans="1:8">
      <c r="A68" s="1">
        <v>7</v>
      </c>
      <c r="B68" t="s">
        <v>3678</v>
      </c>
      <c r="C68">
        <v>65.790000000000006</v>
      </c>
      <c r="D68">
        <v>38.4</v>
      </c>
      <c r="E68">
        <v>0.82379500000000005</v>
      </c>
      <c r="F68">
        <v>5.99</v>
      </c>
      <c r="G68">
        <v>4</v>
      </c>
      <c r="H68">
        <v>16.68</v>
      </c>
    </row>
    <row r="69" spans="1:8">
      <c r="A69" s="1">
        <v>8</v>
      </c>
      <c r="B69" t="s">
        <v>3679</v>
      </c>
      <c r="C69">
        <v>194.56</v>
      </c>
      <c r="D69">
        <v>40.840000000000003</v>
      </c>
      <c r="E69">
        <v>0.65981400000000001</v>
      </c>
      <c r="F69">
        <v>65.010000000000005</v>
      </c>
      <c r="G69">
        <v>2</v>
      </c>
      <c r="H69">
        <v>55.65</v>
      </c>
    </row>
    <row r="70" spans="1:8">
      <c r="A70" s="1">
        <v>9</v>
      </c>
      <c r="B70" t="s">
        <v>3680</v>
      </c>
      <c r="C70">
        <v>144.07</v>
      </c>
      <c r="D70">
        <v>40.46</v>
      </c>
      <c r="E70">
        <v>0.73329599999999995</v>
      </c>
      <c r="F70">
        <v>79.87</v>
      </c>
      <c r="G70">
        <v>4</v>
      </c>
      <c r="H70">
        <v>32.799999999999997</v>
      </c>
    </row>
    <row r="71" spans="1:8">
      <c r="A71" s="1">
        <v>10</v>
      </c>
      <c r="B71" t="s">
        <v>3681</v>
      </c>
      <c r="C71">
        <v>158.09</v>
      </c>
      <c r="D71">
        <v>40.67</v>
      </c>
      <c r="E71">
        <v>0.73980599999999996</v>
      </c>
      <c r="F71">
        <v>88.7</v>
      </c>
      <c r="G71">
        <v>4</v>
      </c>
      <c r="H71">
        <v>32.51</v>
      </c>
    </row>
    <row r="72" spans="1:8">
      <c r="A72" s="1">
        <v>11</v>
      </c>
      <c r="B72" t="s">
        <v>3682</v>
      </c>
      <c r="C72">
        <v>131.77000000000001</v>
      </c>
      <c r="D72" t="e">
        <f>-inf</f>
        <v>#NAME?</v>
      </c>
      <c r="E72">
        <v>0.66244499999999995</v>
      </c>
      <c r="F72">
        <v>0</v>
      </c>
      <c r="G72">
        <v>8</v>
      </c>
      <c r="H72">
        <v>32.85</v>
      </c>
    </row>
    <row r="73" spans="1:8">
      <c r="A73" s="1">
        <v>12</v>
      </c>
      <c r="B73" t="s">
        <v>3683</v>
      </c>
      <c r="C73">
        <v>194.03</v>
      </c>
      <c r="D73">
        <v>41.12</v>
      </c>
      <c r="E73">
        <v>0.77810500000000005</v>
      </c>
      <c r="F73">
        <v>90.24</v>
      </c>
      <c r="G73">
        <v>4</v>
      </c>
      <c r="H73">
        <v>56.19</v>
      </c>
    </row>
    <row r="74" spans="1:8">
      <c r="A74" s="1">
        <v>13</v>
      </c>
      <c r="B74" t="s">
        <v>3684</v>
      </c>
      <c r="C74">
        <v>129.96</v>
      </c>
      <c r="D74">
        <v>40.450000000000003</v>
      </c>
      <c r="E74">
        <v>0.89824999999999999</v>
      </c>
      <c r="F74">
        <v>80.680000000000007</v>
      </c>
      <c r="G74">
        <v>4</v>
      </c>
      <c r="H74">
        <v>38.03</v>
      </c>
    </row>
    <row r="75" spans="1:8">
      <c r="A75" s="1">
        <v>14</v>
      </c>
      <c r="B75" t="s">
        <v>3685</v>
      </c>
      <c r="C75">
        <v>142.38999999999999</v>
      </c>
      <c r="D75">
        <v>39.25</v>
      </c>
      <c r="E75">
        <v>0.62880599999999998</v>
      </c>
      <c r="F75">
        <v>3.23</v>
      </c>
      <c r="G75">
        <v>2</v>
      </c>
      <c r="H75">
        <v>49.78</v>
      </c>
    </row>
    <row r="76" spans="1:8">
      <c r="A76" s="1">
        <v>15</v>
      </c>
      <c r="B76" t="s">
        <v>3686</v>
      </c>
      <c r="C76">
        <v>115.92</v>
      </c>
      <c r="D76">
        <v>37.68</v>
      </c>
      <c r="E76">
        <v>0.45402100000000001</v>
      </c>
      <c r="F76">
        <v>3.26</v>
      </c>
      <c r="G76">
        <v>4</v>
      </c>
      <c r="H76">
        <v>38.35</v>
      </c>
    </row>
    <row r="77" spans="1:8">
      <c r="A77" s="1">
        <v>16</v>
      </c>
      <c r="B77" t="s">
        <v>3687</v>
      </c>
      <c r="C77">
        <v>219.03</v>
      </c>
      <c r="D77">
        <v>41</v>
      </c>
      <c r="E77">
        <v>0.66201500000000002</v>
      </c>
      <c r="F77">
        <v>57.72</v>
      </c>
      <c r="G77">
        <v>2</v>
      </c>
      <c r="H77">
        <v>52.07</v>
      </c>
    </row>
    <row r="78" spans="1:8">
      <c r="A78" s="1">
        <v>17</v>
      </c>
      <c r="B78" t="s">
        <v>3688</v>
      </c>
      <c r="C78">
        <v>212.83</v>
      </c>
      <c r="D78">
        <v>41.27</v>
      </c>
      <c r="E78">
        <v>0.72478500000000001</v>
      </c>
      <c r="F78">
        <v>79.45</v>
      </c>
      <c r="G78">
        <v>2</v>
      </c>
      <c r="H78">
        <v>58.8</v>
      </c>
    </row>
    <row r="79" spans="1:8">
      <c r="A79" s="1">
        <v>18</v>
      </c>
      <c r="B79" t="s">
        <v>3689</v>
      </c>
      <c r="C79">
        <v>162.88999999999999</v>
      </c>
      <c r="D79">
        <v>40.74</v>
      </c>
      <c r="E79">
        <v>0.73492400000000002</v>
      </c>
      <c r="F79">
        <v>80.14</v>
      </c>
      <c r="G79">
        <v>8</v>
      </c>
      <c r="H79">
        <v>53.51</v>
      </c>
    </row>
    <row r="80" spans="1:8">
      <c r="A80" s="1">
        <v>19</v>
      </c>
      <c r="B80" t="s">
        <v>3690</v>
      </c>
      <c r="C80">
        <v>248.92</v>
      </c>
      <c r="D80">
        <v>41.88</v>
      </c>
      <c r="E80">
        <v>0.92116600000000004</v>
      </c>
      <c r="F80">
        <v>150.49</v>
      </c>
      <c r="G80">
        <v>0</v>
      </c>
      <c r="H80">
        <v>69.91</v>
      </c>
    </row>
    <row r="81" spans="1:8">
      <c r="A81" s="1">
        <v>20</v>
      </c>
      <c r="B81" t="s">
        <v>3691</v>
      </c>
      <c r="C81">
        <v>252.29</v>
      </c>
      <c r="D81">
        <v>41.97</v>
      </c>
      <c r="E81">
        <v>0.96795699999999996</v>
      </c>
      <c r="F81">
        <v>201.79</v>
      </c>
      <c r="G81">
        <v>8</v>
      </c>
      <c r="H81">
        <v>84.76</v>
      </c>
    </row>
    <row r="82" spans="1:8">
      <c r="A82" s="1">
        <v>21</v>
      </c>
      <c r="B82" t="s">
        <v>3692</v>
      </c>
      <c r="C82">
        <v>253.54</v>
      </c>
      <c r="D82">
        <v>41.85</v>
      </c>
      <c r="E82">
        <v>0.90213100000000002</v>
      </c>
      <c r="F82">
        <v>99.26</v>
      </c>
      <c r="G82">
        <v>0</v>
      </c>
      <c r="H82">
        <v>73.08</v>
      </c>
    </row>
    <row r="83" spans="1:8">
      <c r="A83" s="1">
        <v>22</v>
      </c>
      <c r="B83" t="s">
        <v>3693</v>
      </c>
      <c r="C83">
        <v>271.35000000000002</v>
      </c>
      <c r="D83">
        <v>41.96</v>
      </c>
      <c r="E83">
        <v>0.83994800000000003</v>
      </c>
      <c r="F83">
        <v>136.44</v>
      </c>
      <c r="G83">
        <v>6</v>
      </c>
      <c r="H83">
        <v>89.16</v>
      </c>
    </row>
    <row r="84" spans="1:8">
      <c r="A84" s="1">
        <v>23</v>
      </c>
      <c r="B84" t="s">
        <v>3694</v>
      </c>
      <c r="C84">
        <v>193.06</v>
      </c>
      <c r="D84">
        <v>41.06</v>
      </c>
      <c r="E84">
        <v>0.76604700000000003</v>
      </c>
      <c r="F84">
        <v>78.64</v>
      </c>
      <c r="G84">
        <v>0</v>
      </c>
      <c r="H84">
        <v>56.18</v>
      </c>
    </row>
    <row r="85" spans="1:8">
      <c r="A85" s="1">
        <v>24</v>
      </c>
      <c r="B85" t="s">
        <v>3695</v>
      </c>
      <c r="C85">
        <v>74.86</v>
      </c>
      <c r="D85" t="e">
        <f>-inf</f>
        <v>#NAME?</v>
      </c>
      <c r="E85">
        <v>0.59342399999999995</v>
      </c>
      <c r="F85">
        <v>0</v>
      </c>
      <c r="G85">
        <v>8</v>
      </c>
      <c r="H85">
        <v>18.95</v>
      </c>
    </row>
    <row r="86" spans="1:8">
      <c r="A86" s="1">
        <v>25</v>
      </c>
      <c r="B86" t="s">
        <v>3696</v>
      </c>
      <c r="C86">
        <v>88.34</v>
      </c>
      <c r="D86">
        <v>39.630000000000003</v>
      </c>
      <c r="E86">
        <v>0.92338699999999996</v>
      </c>
      <c r="F86">
        <v>54.18</v>
      </c>
      <c r="G86">
        <v>6</v>
      </c>
      <c r="H86">
        <v>25.3</v>
      </c>
    </row>
    <row r="87" spans="1:8">
      <c r="A87" s="1">
        <v>26</v>
      </c>
      <c r="B87" t="s">
        <v>3697</v>
      </c>
      <c r="C87">
        <v>147.47999999999999</v>
      </c>
      <c r="D87">
        <v>40.75</v>
      </c>
      <c r="E87">
        <v>0.93264999999999998</v>
      </c>
      <c r="F87">
        <v>80.06</v>
      </c>
      <c r="G87">
        <v>6</v>
      </c>
      <c r="H87">
        <v>47.3</v>
      </c>
    </row>
    <row r="88" spans="1:8">
      <c r="A88" s="1">
        <v>27</v>
      </c>
      <c r="B88" t="s">
        <v>3698</v>
      </c>
      <c r="C88">
        <v>127.03</v>
      </c>
      <c r="D88">
        <v>39.92</v>
      </c>
      <c r="E88">
        <v>0.55900799999999995</v>
      </c>
      <c r="F88">
        <v>54.72</v>
      </c>
      <c r="G88">
        <v>8</v>
      </c>
      <c r="H88">
        <v>43.31</v>
      </c>
    </row>
    <row r="89" spans="1:8">
      <c r="A89" s="1">
        <v>28</v>
      </c>
      <c r="B89" t="s">
        <v>3699</v>
      </c>
      <c r="C89">
        <v>186.67</v>
      </c>
      <c r="D89">
        <v>40.64</v>
      </c>
      <c r="E89">
        <v>0.59408300000000003</v>
      </c>
      <c r="F89">
        <v>66.66</v>
      </c>
      <c r="G89">
        <v>8</v>
      </c>
      <c r="H89">
        <v>50.47</v>
      </c>
    </row>
    <row r="90" spans="1:8">
      <c r="A90" s="1">
        <v>29</v>
      </c>
      <c r="B90" t="s">
        <v>3700</v>
      </c>
      <c r="C90">
        <v>125.41</v>
      </c>
      <c r="D90">
        <v>39.880000000000003</v>
      </c>
      <c r="E90">
        <v>0.54893800000000004</v>
      </c>
      <c r="F90">
        <v>62.21</v>
      </c>
      <c r="G90">
        <v>0</v>
      </c>
      <c r="H90">
        <v>40.61</v>
      </c>
    </row>
    <row r="91" spans="1:8">
      <c r="A91" s="1">
        <v>30</v>
      </c>
      <c r="B91" t="s">
        <v>3701</v>
      </c>
      <c r="C91">
        <v>202.07</v>
      </c>
      <c r="D91">
        <v>41.39</v>
      </c>
      <c r="E91">
        <v>0.86980100000000005</v>
      </c>
      <c r="F91">
        <v>136.9</v>
      </c>
      <c r="G91">
        <v>6</v>
      </c>
      <c r="H91">
        <v>60.8</v>
      </c>
    </row>
    <row r="92" spans="1:8">
      <c r="A92" s="1">
        <v>31</v>
      </c>
      <c r="B92" t="s">
        <v>3702</v>
      </c>
      <c r="C92">
        <v>172.84</v>
      </c>
      <c r="D92">
        <v>40.93</v>
      </c>
      <c r="E92">
        <v>0.77427000000000001</v>
      </c>
      <c r="F92">
        <v>88.01</v>
      </c>
      <c r="G92">
        <v>4</v>
      </c>
      <c r="H92">
        <v>58.43</v>
      </c>
    </row>
    <row r="93" spans="1:8">
      <c r="A93" s="1">
        <v>32</v>
      </c>
      <c r="B93" t="s">
        <v>3703</v>
      </c>
      <c r="C93">
        <v>151.66</v>
      </c>
      <c r="D93">
        <v>40.71</v>
      </c>
      <c r="E93">
        <v>0.84090699999999996</v>
      </c>
      <c r="F93">
        <v>97.04</v>
      </c>
      <c r="G93">
        <v>2</v>
      </c>
      <c r="H93">
        <v>43.13</v>
      </c>
    </row>
    <row r="94" spans="1:8">
      <c r="A94" s="1">
        <v>33</v>
      </c>
      <c r="B94" t="s">
        <v>3704</v>
      </c>
      <c r="C94">
        <v>83.01</v>
      </c>
      <c r="D94">
        <v>36.590000000000003</v>
      </c>
      <c r="E94">
        <v>0.74467700000000003</v>
      </c>
      <c r="F94">
        <v>0.04</v>
      </c>
      <c r="G94">
        <v>0</v>
      </c>
      <c r="H94">
        <v>22.82</v>
      </c>
    </row>
    <row r="95" spans="1:8">
      <c r="A95" s="1">
        <v>34</v>
      </c>
      <c r="B95" t="s">
        <v>3705</v>
      </c>
      <c r="C95">
        <v>109.72</v>
      </c>
      <c r="D95">
        <v>40.01</v>
      </c>
      <c r="E95">
        <v>0.84278299999999995</v>
      </c>
      <c r="F95">
        <v>67.89</v>
      </c>
      <c r="G95">
        <v>0</v>
      </c>
      <c r="H95">
        <v>26.21</v>
      </c>
    </row>
    <row r="96" spans="1:8">
      <c r="A96" s="1">
        <v>35</v>
      </c>
      <c r="B96" t="s">
        <v>3706</v>
      </c>
      <c r="C96">
        <v>123.73</v>
      </c>
      <c r="D96">
        <v>40.340000000000003</v>
      </c>
      <c r="E96">
        <v>0.88819599999999999</v>
      </c>
      <c r="F96">
        <v>79.760000000000005</v>
      </c>
      <c r="G96">
        <v>8</v>
      </c>
      <c r="H96">
        <v>38.74</v>
      </c>
    </row>
    <row r="97" spans="1:8">
      <c r="A97" s="1">
        <v>36</v>
      </c>
      <c r="B97" t="s">
        <v>3707</v>
      </c>
      <c r="C97">
        <v>144.24</v>
      </c>
      <c r="D97">
        <v>37.56</v>
      </c>
      <c r="E97">
        <v>0.751745</v>
      </c>
      <c r="F97">
        <v>0.04</v>
      </c>
      <c r="G97">
        <v>8</v>
      </c>
      <c r="H97">
        <v>56.43</v>
      </c>
    </row>
    <row r="98" spans="1:8">
      <c r="A98" s="1">
        <v>37</v>
      </c>
      <c r="B98" t="s">
        <v>3708</v>
      </c>
      <c r="C98">
        <v>100.57</v>
      </c>
      <c r="D98">
        <v>39.89</v>
      </c>
      <c r="E98">
        <v>0.90602300000000002</v>
      </c>
      <c r="F98">
        <v>55.87</v>
      </c>
      <c r="G98">
        <v>2</v>
      </c>
      <c r="H98">
        <v>26.73</v>
      </c>
    </row>
    <row r="99" spans="1:8">
      <c r="A99" s="1">
        <v>38</v>
      </c>
      <c r="B99" t="s">
        <v>3709</v>
      </c>
      <c r="C99">
        <v>94.7</v>
      </c>
      <c r="D99">
        <v>39.78</v>
      </c>
      <c r="E99">
        <v>0.90605899999999995</v>
      </c>
      <c r="F99">
        <v>64.78</v>
      </c>
      <c r="G99">
        <v>4</v>
      </c>
      <c r="H99">
        <v>22.48</v>
      </c>
    </row>
    <row r="100" spans="1:8">
      <c r="A100" s="1">
        <v>39</v>
      </c>
      <c r="B100" t="s">
        <v>3710</v>
      </c>
      <c r="C100">
        <v>175.79</v>
      </c>
      <c r="D100">
        <v>40.51</v>
      </c>
      <c r="E100">
        <v>0.74530300000000005</v>
      </c>
      <c r="F100">
        <v>19.43</v>
      </c>
      <c r="G100">
        <v>2</v>
      </c>
      <c r="H100">
        <v>43.49</v>
      </c>
    </row>
    <row r="101" spans="1:8">
      <c r="A101" s="1">
        <v>40</v>
      </c>
      <c r="B101" t="s">
        <v>3711</v>
      </c>
      <c r="C101">
        <v>136.91</v>
      </c>
      <c r="D101">
        <v>40.6</v>
      </c>
      <c r="E101">
        <v>0.93101400000000001</v>
      </c>
      <c r="F101">
        <v>88.97</v>
      </c>
      <c r="G101">
        <v>4</v>
      </c>
      <c r="H101">
        <v>39.39</v>
      </c>
    </row>
    <row r="102" spans="1:8">
      <c r="A102" s="1">
        <v>41</v>
      </c>
      <c r="B102" t="s">
        <v>3712</v>
      </c>
      <c r="C102">
        <v>163.87</v>
      </c>
      <c r="D102">
        <v>41.01</v>
      </c>
      <c r="E102">
        <v>0.95386499999999996</v>
      </c>
      <c r="F102">
        <v>100.15</v>
      </c>
      <c r="G102">
        <v>2</v>
      </c>
      <c r="H102">
        <v>40.57</v>
      </c>
    </row>
    <row r="103" spans="1:8">
      <c r="A103" s="1">
        <v>42</v>
      </c>
      <c r="B103" t="s">
        <v>3713</v>
      </c>
      <c r="C103">
        <v>160.13</v>
      </c>
      <c r="D103">
        <v>40.67</v>
      </c>
      <c r="E103">
        <v>0.71715300000000004</v>
      </c>
      <c r="F103">
        <v>79.599999999999994</v>
      </c>
      <c r="G103">
        <v>4</v>
      </c>
      <c r="H103">
        <v>49.63</v>
      </c>
    </row>
    <row r="104" spans="1:8">
      <c r="A104" s="1">
        <v>43</v>
      </c>
      <c r="B104" t="s">
        <v>3714</v>
      </c>
      <c r="C104">
        <v>204.75</v>
      </c>
      <c r="D104">
        <v>41.45</v>
      </c>
      <c r="E104">
        <v>0.90186500000000003</v>
      </c>
      <c r="F104">
        <v>137.13</v>
      </c>
      <c r="G104">
        <v>2</v>
      </c>
      <c r="H104">
        <v>50.5</v>
      </c>
    </row>
    <row r="105" spans="1:8">
      <c r="A105" s="1">
        <v>44</v>
      </c>
      <c r="B105" t="s">
        <v>3715</v>
      </c>
      <c r="C105">
        <v>136.41</v>
      </c>
      <c r="D105">
        <v>40.44</v>
      </c>
      <c r="E105">
        <v>0.80730599999999997</v>
      </c>
      <c r="F105">
        <v>71.040000000000006</v>
      </c>
      <c r="G105">
        <v>6</v>
      </c>
      <c r="H105">
        <v>37.159999999999997</v>
      </c>
    </row>
    <row r="106" spans="1:8">
      <c r="A106" s="1">
        <v>45</v>
      </c>
      <c r="B106" t="s">
        <v>3716</v>
      </c>
      <c r="C106">
        <v>151.19</v>
      </c>
      <c r="D106">
        <v>40.840000000000003</v>
      </c>
      <c r="E106">
        <v>0.95076099999999997</v>
      </c>
      <c r="F106">
        <v>98.92</v>
      </c>
      <c r="G106">
        <v>8</v>
      </c>
      <c r="H106">
        <v>40.78</v>
      </c>
    </row>
    <row r="107" spans="1:8">
      <c r="A107" s="1">
        <v>46</v>
      </c>
      <c r="B107" t="s">
        <v>3717</v>
      </c>
      <c r="C107">
        <v>198.44</v>
      </c>
      <c r="D107">
        <v>39.46</v>
      </c>
      <c r="E107">
        <v>0.55329499999999998</v>
      </c>
      <c r="F107">
        <v>1.69</v>
      </c>
      <c r="G107">
        <v>0</v>
      </c>
      <c r="H107">
        <v>43.06</v>
      </c>
    </row>
    <row r="108" spans="1:8">
      <c r="A108" s="1">
        <v>47</v>
      </c>
      <c r="B108" t="s">
        <v>3718</v>
      </c>
      <c r="C108">
        <v>181.89</v>
      </c>
      <c r="D108">
        <v>40.78</v>
      </c>
      <c r="E108">
        <v>0.61843599999999999</v>
      </c>
      <c r="F108">
        <v>84.83</v>
      </c>
      <c r="G108">
        <v>2</v>
      </c>
      <c r="H108">
        <v>47.51</v>
      </c>
    </row>
    <row r="109" spans="1:8">
      <c r="A109" s="1">
        <v>48</v>
      </c>
      <c r="B109" t="s">
        <v>3719</v>
      </c>
      <c r="C109">
        <v>199.71</v>
      </c>
      <c r="D109">
        <v>41.41</v>
      </c>
      <c r="E109">
        <v>0.91759299999999999</v>
      </c>
      <c r="F109">
        <v>136.4</v>
      </c>
      <c r="G109">
        <v>0</v>
      </c>
      <c r="H109">
        <v>57.91</v>
      </c>
    </row>
    <row r="110" spans="1:8">
      <c r="A110" s="1">
        <v>49</v>
      </c>
      <c r="B110" t="s">
        <v>3720</v>
      </c>
      <c r="C110">
        <v>155.44</v>
      </c>
      <c r="D110">
        <v>40.409999999999997</v>
      </c>
      <c r="E110">
        <v>0.66113100000000002</v>
      </c>
      <c r="F110">
        <v>57.33</v>
      </c>
      <c r="G110">
        <v>8</v>
      </c>
      <c r="H110">
        <v>54.64</v>
      </c>
    </row>
    <row r="111" spans="1:8">
      <c r="A111" s="1">
        <v>50</v>
      </c>
      <c r="B111" t="s">
        <v>3721</v>
      </c>
      <c r="C111">
        <v>214.23</v>
      </c>
      <c r="D111">
        <v>38.89</v>
      </c>
      <c r="E111">
        <v>0.73061200000000004</v>
      </c>
      <c r="F111">
        <v>0.19</v>
      </c>
      <c r="G111">
        <v>4</v>
      </c>
      <c r="H111">
        <v>90.36</v>
      </c>
    </row>
    <row r="112" spans="1:8">
      <c r="B112" s="1" t="s">
        <v>19</v>
      </c>
      <c r="C112" s="1">
        <f>AVERAGE(C62:C111)</f>
        <v>165.55699999999993</v>
      </c>
      <c r="D112" s="1" t="e">
        <f t="shared" ref="D112:F112" si="3">AVERAGE(D62:D111)</f>
        <v>#NAME?</v>
      </c>
      <c r="E112" s="1">
        <f t="shared" si="3"/>
        <v>0.77466785999999999</v>
      </c>
      <c r="F112" s="1">
        <f t="shared" si="3"/>
        <v>72.605200000000011</v>
      </c>
      <c r="H112" s="1">
        <f t="shared" ref="H112" si="4">AVERAGE(H62:H111)</f>
        <v>48.249800000000008</v>
      </c>
    </row>
    <row r="113" spans="1:8">
      <c r="B113" s="1" t="s">
        <v>20</v>
      </c>
      <c r="C113" s="1">
        <f>MIN(C61:C111)</f>
        <v>65.790000000000006</v>
      </c>
      <c r="D113" s="1" t="e">
        <f t="shared" ref="D113:F113" si="5">MIN(D61:D111)</f>
        <v>#NAME?</v>
      </c>
      <c r="E113" s="1">
        <f t="shared" si="5"/>
        <v>0.45402100000000001</v>
      </c>
      <c r="F113" s="1">
        <f t="shared" si="5"/>
        <v>0</v>
      </c>
      <c r="H113" s="1">
        <f t="shared" ref="H113" si="6">MIN(H61:H111)</f>
        <v>16.68</v>
      </c>
    </row>
    <row r="114" spans="1:8">
      <c r="B114" s="1" t="s">
        <v>3</v>
      </c>
      <c r="C114" s="1">
        <f>STDEV(C62:C111)</f>
        <v>53.320917450425767</v>
      </c>
      <c r="D114" s="1" t="e">
        <f t="shared" ref="D114:E114" si="7">STDEV(D62:D111)</f>
        <v>#NAME?</v>
      </c>
      <c r="E114" s="1">
        <f t="shared" si="7"/>
        <v>0.13054654921865447</v>
      </c>
      <c r="F114" s="1">
        <f>STDEV(F62:F111)</f>
        <v>48.640635705096592</v>
      </c>
      <c r="H114" s="1">
        <f>STDEV(H62:H111)</f>
        <v>18.645538010856225</v>
      </c>
    </row>
    <row r="116" spans="1:8">
      <c r="H116" s="23" t="s">
        <v>1435</v>
      </c>
    </row>
    <row r="117" spans="1:8" ht="18">
      <c r="A117" s="23" t="s">
        <v>7</v>
      </c>
      <c r="B117" s="3" t="s">
        <v>1</v>
      </c>
      <c r="C117" s="24" t="s">
        <v>4</v>
      </c>
      <c r="D117" s="23" t="s">
        <v>322</v>
      </c>
      <c r="E117" s="23" t="s">
        <v>321</v>
      </c>
      <c r="F117" s="23" t="s">
        <v>324</v>
      </c>
      <c r="G117" s="23" t="s">
        <v>323</v>
      </c>
      <c r="H117" s="23" t="s">
        <v>1436</v>
      </c>
    </row>
    <row r="118" spans="1:8">
      <c r="A118" s="1">
        <v>1</v>
      </c>
      <c r="B118" t="s">
        <v>3272</v>
      </c>
      <c r="C118">
        <v>157.62</v>
      </c>
      <c r="D118" t="e">
        <f>-inf</f>
        <v>#NAME?</v>
      </c>
      <c r="E118">
        <v>0.60787999999999998</v>
      </c>
      <c r="F118">
        <v>0</v>
      </c>
      <c r="G118">
        <v>12</v>
      </c>
      <c r="H118">
        <v>46.19</v>
      </c>
    </row>
    <row r="119" spans="1:8">
      <c r="A119" s="1">
        <v>2</v>
      </c>
      <c r="B119" t="s">
        <v>3273</v>
      </c>
      <c r="C119">
        <v>126.92</v>
      </c>
      <c r="D119" t="e">
        <f>-inf</f>
        <v>#NAME?</v>
      </c>
      <c r="E119">
        <v>0.57562500000000005</v>
      </c>
      <c r="F119">
        <v>0</v>
      </c>
      <c r="G119">
        <v>2</v>
      </c>
      <c r="H119">
        <v>37.39</v>
      </c>
    </row>
    <row r="120" spans="1:8">
      <c r="A120" s="1">
        <v>3</v>
      </c>
      <c r="B120" t="s">
        <v>3274</v>
      </c>
      <c r="C120">
        <v>143.80000000000001</v>
      </c>
      <c r="D120">
        <v>80.25</v>
      </c>
      <c r="E120">
        <v>0.76859500000000003</v>
      </c>
      <c r="F120">
        <v>5.38</v>
      </c>
      <c r="G120">
        <v>12</v>
      </c>
      <c r="H120">
        <v>43.04</v>
      </c>
    </row>
    <row r="121" spans="1:8">
      <c r="A121" s="1">
        <v>4</v>
      </c>
      <c r="B121" t="s">
        <v>3275</v>
      </c>
      <c r="C121">
        <v>115.81</v>
      </c>
      <c r="D121">
        <v>79.81</v>
      </c>
      <c r="E121">
        <v>0.63218200000000002</v>
      </c>
      <c r="F121">
        <v>55.76</v>
      </c>
      <c r="G121">
        <v>12</v>
      </c>
      <c r="H121">
        <v>38.78</v>
      </c>
    </row>
    <row r="122" spans="1:8">
      <c r="A122" s="1">
        <v>5</v>
      </c>
      <c r="B122" t="s">
        <v>3276</v>
      </c>
      <c r="C122">
        <v>146.76</v>
      </c>
      <c r="D122" t="e">
        <f>-inf</f>
        <v>#NAME?</v>
      </c>
      <c r="E122">
        <v>0.64255399999999996</v>
      </c>
      <c r="F122">
        <v>0</v>
      </c>
      <c r="G122">
        <v>12</v>
      </c>
      <c r="H122">
        <v>48.23</v>
      </c>
    </row>
    <row r="123" spans="1:8">
      <c r="A123" s="1">
        <v>6</v>
      </c>
      <c r="B123" t="s">
        <v>3277</v>
      </c>
      <c r="C123">
        <v>172.47</v>
      </c>
      <c r="D123">
        <v>77.87</v>
      </c>
      <c r="E123">
        <v>0.59856200000000004</v>
      </c>
      <c r="F123">
        <v>0.04</v>
      </c>
      <c r="G123">
        <v>6</v>
      </c>
      <c r="H123">
        <v>50.52</v>
      </c>
    </row>
    <row r="124" spans="1:8">
      <c r="A124" s="1">
        <v>7</v>
      </c>
      <c r="B124" t="s">
        <v>3278</v>
      </c>
      <c r="C124">
        <v>127.56</v>
      </c>
      <c r="D124" t="e">
        <f>-inf</f>
        <v>#NAME?</v>
      </c>
      <c r="E124">
        <v>0.54588000000000003</v>
      </c>
      <c r="F124">
        <v>0</v>
      </c>
      <c r="G124">
        <v>8</v>
      </c>
      <c r="H124">
        <v>44.52</v>
      </c>
    </row>
    <row r="125" spans="1:8">
      <c r="A125" s="1">
        <v>8</v>
      </c>
      <c r="B125" t="s">
        <v>3279</v>
      </c>
      <c r="C125">
        <v>108.02</v>
      </c>
      <c r="D125">
        <v>80.08</v>
      </c>
      <c r="E125">
        <v>0.87839299999999998</v>
      </c>
      <c r="F125">
        <v>63.82</v>
      </c>
      <c r="G125">
        <v>6</v>
      </c>
      <c r="H125">
        <v>32.549999999999997</v>
      </c>
    </row>
    <row r="126" spans="1:8">
      <c r="A126" s="1">
        <v>9</v>
      </c>
      <c r="B126" t="s">
        <v>3280</v>
      </c>
      <c r="C126">
        <v>113.98</v>
      </c>
      <c r="D126" t="e">
        <f>-inf</f>
        <v>#NAME?</v>
      </c>
      <c r="E126">
        <v>0.73045499999999997</v>
      </c>
      <c r="F126">
        <v>0</v>
      </c>
      <c r="G126">
        <v>16</v>
      </c>
      <c r="H126">
        <v>34.64</v>
      </c>
    </row>
    <row r="127" spans="1:8">
      <c r="A127" s="1">
        <v>10</v>
      </c>
      <c r="B127" t="s">
        <v>3281</v>
      </c>
      <c r="C127">
        <v>122.68</v>
      </c>
      <c r="D127">
        <v>79.459999999999994</v>
      </c>
      <c r="E127">
        <v>0.55840599999999996</v>
      </c>
      <c r="F127">
        <v>8.8699999999999992</v>
      </c>
      <c r="G127">
        <v>14</v>
      </c>
      <c r="H127">
        <v>29.26</v>
      </c>
    </row>
    <row r="128" spans="1:8">
      <c r="A128" s="1">
        <v>11</v>
      </c>
      <c r="B128" t="s">
        <v>3282</v>
      </c>
      <c r="C128">
        <v>150.84</v>
      </c>
      <c r="D128">
        <v>78.36</v>
      </c>
      <c r="E128">
        <v>0.69959800000000005</v>
      </c>
      <c r="F128">
        <v>0.08</v>
      </c>
      <c r="G128">
        <v>8</v>
      </c>
      <c r="H128">
        <v>46.6</v>
      </c>
    </row>
    <row r="129" spans="1:8">
      <c r="A129" s="1">
        <v>12</v>
      </c>
      <c r="B129" t="s">
        <v>3283</v>
      </c>
      <c r="C129">
        <v>130.52000000000001</v>
      </c>
      <c r="D129">
        <v>79.52</v>
      </c>
      <c r="E129">
        <v>0.82328199999999996</v>
      </c>
      <c r="F129">
        <v>1.88</v>
      </c>
      <c r="G129">
        <v>6</v>
      </c>
      <c r="H129">
        <v>37.119999999999997</v>
      </c>
    </row>
    <row r="130" spans="1:8">
      <c r="A130" s="1">
        <v>13</v>
      </c>
      <c r="B130" t="s">
        <v>3284</v>
      </c>
      <c r="C130">
        <v>86.83</v>
      </c>
      <c r="D130">
        <v>77.459999999999994</v>
      </c>
      <c r="E130">
        <v>0.68470299999999995</v>
      </c>
      <c r="F130">
        <v>1.46</v>
      </c>
      <c r="G130">
        <v>6</v>
      </c>
      <c r="H130">
        <v>25.9</v>
      </c>
    </row>
    <row r="131" spans="1:8">
      <c r="A131" s="1">
        <v>14</v>
      </c>
      <c r="B131" t="s">
        <v>3285</v>
      </c>
      <c r="C131">
        <v>130.83000000000001</v>
      </c>
      <c r="D131">
        <v>77.650000000000006</v>
      </c>
      <c r="E131">
        <v>0.69948900000000003</v>
      </c>
      <c r="F131">
        <v>0.04</v>
      </c>
      <c r="G131">
        <v>6</v>
      </c>
      <c r="H131">
        <v>37.28</v>
      </c>
    </row>
    <row r="132" spans="1:8">
      <c r="A132" s="1">
        <v>15</v>
      </c>
      <c r="B132" t="s">
        <v>3286</v>
      </c>
      <c r="C132">
        <v>109.91</v>
      </c>
      <c r="D132" t="e">
        <f>-inf</f>
        <v>#NAME?</v>
      </c>
      <c r="E132">
        <v>0.69323100000000004</v>
      </c>
      <c r="F132">
        <v>0</v>
      </c>
      <c r="G132">
        <v>10</v>
      </c>
      <c r="H132">
        <v>31.36</v>
      </c>
    </row>
    <row r="133" spans="1:8">
      <c r="A133" s="1">
        <v>16</v>
      </c>
      <c r="B133" t="s">
        <v>3287</v>
      </c>
      <c r="C133">
        <v>97.37</v>
      </c>
      <c r="D133">
        <v>77.16</v>
      </c>
      <c r="E133">
        <v>0.721244</v>
      </c>
      <c r="F133">
        <v>0.19</v>
      </c>
      <c r="G133">
        <v>2</v>
      </c>
      <c r="H133">
        <v>28.56</v>
      </c>
    </row>
    <row r="134" spans="1:8">
      <c r="A134" s="1">
        <v>17</v>
      </c>
      <c r="B134" t="s">
        <v>3288</v>
      </c>
      <c r="C134">
        <v>104.76</v>
      </c>
      <c r="D134">
        <v>73.89</v>
      </c>
      <c r="E134">
        <v>0.71388499999999999</v>
      </c>
      <c r="F134">
        <v>0.04</v>
      </c>
      <c r="G134">
        <v>4</v>
      </c>
      <c r="H134">
        <v>26</v>
      </c>
    </row>
    <row r="135" spans="1:8">
      <c r="A135" s="1">
        <v>18</v>
      </c>
      <c r="B135" t="s">
        <v>3289</v>
      </c>
      <c r="C135">
        <v>147</v>
      </c>
      <c r="D135">
        <v>80.48</v>
      </c>
      <c r="E135">
        <v>0.74391700000000005</v>
      </c>
      <c r="F135">
        <v>9.6</v>
      </c>
      <c r="G135">
        <v>18</v>
      </c>
      <c r="H135">
        <v>45.97</v>
      </c>
    </row>
    <row r="136" spans="1:8">
      <c r="A136" s="1">
        <v>19</v>
      </c>
      <c r="B136" t="s">
        <v>3290</v>
      </c>
      <c r="C136">
        <v>181.82</v>
      </c>
      <c r="D136">
        <v>80.819999999999993</v>
      </c>
      <c r="E136">
        <v>0.70238500000000004</v>
      </c>
      <c r="F136">
        <v>4.03</v>
      </c>
      <c r="G136">
        <v>4</v>
      </c>
      <c r="H136">
        <v>52.86</v>
      </c>
    </row>
    <row r="137" spans="1:8">
      <c r="A137" s="1">
        <v>20</v>
      </c>
      <c r="B137" t="s">
        <v>3291</v>
      </c>
      <c r="C137">
        <v>137.54</v>
      </c>
      <c r="D137">
        <v>80.8</v>
      </c>
      <c r="E137">
        <v>0.77583899999999995</v>
      </c>
      <c r="F137">
        <v>60.4</v>
      </c>
      <c r="G137">
        <v>4</v>
      </c>
      <c r="H137">
        <v>37.659999999999997</v>
      </c>
    </row>
    <row r="138" spans="1:8">
      <c r="A138" s="1">
        <v>21</v>
      </c>
      <c r="B138" t="s">
        <v>3292</v>
      </c>
      <c r="C138">
        <v>133.66999999999999</v>
      </c>
      <c r="D138">
        <v>80.010000000000005</v>
      </c>
      <c r="E138">
        <v>0.65958499999999998</v>
      </c>
      <c r="F138">
        <v>15.51</v>
      </c>
      <c r="G138">
        <v>6</v>
      </c>
      <c r="H138">
        <v>39.61</v>
      </c>
    </row>
    <row r="139" spans="1:8">
      <c r="A139" s="1">
        <v>22</v>
      </c>
      <c r="B139" t="s">
        <v>3293</v>
      </c>
      <c r="C139">
        <v>155.03</v>
      </c>
      <c r="D139">
        <v>81.03</v>
      </c>
      <c r="E139">
        <v>0.64577399999999996</v>
      </c>
      <c r="F139">
        <v>69.89</v>
      </c>
      <c r="G139">
        <v>14</v>
      </c>
      <c r="H139">
        <v>45.55</v>
      </c>
    </row>
    <row r="140" spans="1:8">
      <c r="A140" s="1">
        <v>23</v>
      </c>
      <c r="B140" t="s">
        <v>3294</v>
      </c>
      <c r="C140">
        <v>122.08</v>
      </c>
      <c r="D140">
        <v>78.53</v>
      </c>
      <c r="E140">
        <v>0.58033500000000005</v>
      </c>
      <c r="F140">
        <v>8.2200000000000006</v>
      </c>
      <c r="G140">
        <v>16</v>
      </c>
      <c r="H140">
        <v>37.26</v>
      </c>
    </row>
    <row r="141" spans="1:8">
      <c r="A141" s="1">
        <v>24</v>
      </c>
      <c r="B141" t="s">
        <v>3295</v>
      </c>
      <c r="C141">
        <v>111.18</v>
      </c>
      <c r="D141">
        <v>80.17</v>
      </c>
      <c r="E141">
        <v>0.88004499999999997</v>
      </c>
      <c r="F141">
        <v>58.71</v>
      </c>
      <c r="G141">
        <v>0</v>
      </c>
      <c r="H141">
        <v>30.23</v>
      </c>
    </row>
    <row r="142" spans="1:8">
      <c r="A142" s="1">
        <v>25</v>
      </c>
      <c r="B142" t="s">
        <v>3296</v>
      </c>
      <c r="C142">
        <v>99.95</v>
      </c>
      <c r="D142">
        <v>79.13</v>
      </c>
      <c r="E142">
        <v>0.71249899999999999</v>
      </c>
      <c r="F142">
        <v>15.94</v>
      </c>
      <c r="G142">
        <v>16</v>
      </c>
      <c r="H142">
        <v>27.56</v>
      </c>
    </row>
    <row r="143" spans="1:8">
      <c r="A143" s="1">
        <v>26</v>
      </c>
      <c r="B143" t="s">
        <v>3297</v>
      </c>
      <c r="C143">
        <v>121.87</v>
      </c>
      <c r="D143" t="e">
        <f>-inf</f>
        <v>#NAME?</v>
      </c>
      <c r="E143">
        <v>0.66857500000000003</v>
      </c>
      <c r="F143">
        <v>0</v>
      </c>
      <c r="G143">
        <v>10</v>
      </c>
      <c r="H143">
        <v>37.22</v>
      </c>
    </row>
    <row r="144" spans="1:8">
      <c r="A144" s="1">
        <v>27</v>
      </c>
      <c r="B144" t="s">
        <v>3298</v>
      </c>
      <c r="C144">
        <v>94.33</v>
      </c>
      <c r="D144">
        <v>76.89</v>
      </c>
      <c r="E144">
        <v>0.83143100000000003</v>
      </c>
      <c r="F144">
        <v>0.08</v>
      </c>
      <c r="G144">
        <v>6</v>
      </c>
      <c r="H144">
        <v>25.15</v>
      </c>
    </row>
    <row r="145" spans="1:8">
      <c r="A145" s="1">
        <v>28</v>
      </c>
      <c r="B145" t="s">
        <v>3299</v>
      </c>
      <c r="C145">
        <v>94.24</v>
      </c>
      <c r="D145">
        <v>79.56</v>
      </c>
      <c r="E145">
        <v>0.91014399999999995</v>
      </c>
      <c r="F145">
        <v>61.29</v>
      </c>
      <c r="G145">
        <v>16</v>
      </c>
      <c r="H145">
        <v>25.11</v>
      </c>
    </row>
    <row r="146" spans="1:8">
      <c r="A146" s="1">
        <v>29</v>
      </c>
      <c r="B146" t="s">
        <v>3300</v>
      </c>
      <c r="C146">
        <v>136.49</v>
      </c>
      <c r="D146">
        <v>74.89</v>
      </c>
      <c r="E146">
        <v>0.628467</v>
      </c>
      <c r="F146">
        <v>0.04</v>
      </c>
      <c r="G146">
        <v>4</v>
      </c>
      <c r="H146">
        <v>41.89</v>
      </c>
    </row>
    <row r="147" spans="1:8">
      <c r="A147" s="1">
        <v>30</v>
      </c>
      <c r="B147" t="s">
        <v>3301</v>
      </c>
      <c r="C147">
        <v>92.54</v>
      </c>
      <c r="D147">
        <v>79.52</v>
      </c>
      <c r="E147">
        <v>0.93003400000000003</v>
      </c>
      <c r="F147">
        <v>66.510000000000005</v>
      </c>
      <c r="G147">
        <v>10</v>
      </c>
      <c r="H147">
        <v>24.35</v>
      </c>
    </row>
    <row r="148" spans="1:8">
      <c r="A148" s="1">
        <v>31</v>
      </c>
      <c r="B148" t="s">
        <v>3302</v>
      </c>
      <c r="C148">
        <v>93.45</v>
      </c>
      <c r="D148">
        <v>76.22</v>
      </c>
      <c r="E148">
        <v>0.74508799999999997</v>
      </c>
      <c r="F148">
        <v>0.04</v>
      </c>
      <c r="G148">
        <v>14</v>
      </c>
      <c r="H148">
        <v>27.69</v>
      </c>
    </row>
    <row r="149" spans="1:8">
      <c r="A149" s="1">
        <v>32</v>
      </c>
      <c r="B149" t="s">
        <v>3303</v>
      </c>
      <c r="C149">
        <v>167.77</v>
      </c>
      <c r="D149">
        <v>80.09</v>
      </c>
      <c r="E149">
        <v>0.63277700000000003</v>
      </c>
      <c r="F149">
        <v>2.65</v>
      </c>
      <c r="G149">
        <v>16</v>
      </c>
      <c r="H149">
        <v>45.72</v>
      </c>
    </row>
    <row r="150" spans="1:8">
      <c r="A150" s="1">
        <v>33</v>
      </c>
      <c r="B150" t="s">
        <v>3304</v>
      </c>
      <c r="C150">
        <v>123.53</v>
      </c>
      <c r="D150">
        <v>78.59</v>
      </c>
      <c r="E150">
        <v>0.65723799999999999</v>
      </c>
      <c r="F150">
        <v>1.04</v>
      </c>
      <c r="G150">
        <v>16</v>
      </c>
      <c r="H150">
        <v>37.700000000000003</v>
      </c>
    </row>
    <row r="151" spans="1:8">
      <c r="A151" s="1">
        <v>34</v>
      </c>
      <c r="B151" t="s">
        <v>3305</v>
      </c>
      <c r="C151">
        <v>121.38</v>
      </c>
      <c r="D151" t="e">
        <f>-inf</f>
        <v>#NAME?</v>
      </c>
      <c r="E151">
        <v>0.65919000000000005</v>
      </c>
      <c r="F151">
        <v>0</v>
      </c>
      <c r="G151">
        <v>4</v>
      </c>
      <c r="H151">
        <v>32.6</v>
      </c>
    </row>
    <row r="152" spans="1:8">
      <c r="A152" s="1">
        <v>35</v>
      </c>
      <c r="B152" t="s">
        <v>3306</v>
      </c>
      <c r="C152">
        <v>136.82</v>
      </c>
      <c r="D152">
        <v>75.099999999999994</v>
      </c>
      <c r="E152">
        <v>0.57351799999999997</v>
      </c>
      <c r="F152">
        <v>0.04</v>
      </c>
      <c r="G152">
        <v>8</v>
      </c>
      <c r="H152">
        <v>45.47</v>
      </c>
    </row>
    <row r="153" spans="1:8">
      <c r="A153" s="1">
        <v>36</v>
      </c>
      <c r="B153" t="s">
        <v>3307</v>
      </c>
      <c r="C153">
        <v>94.74</v>
      </c>
      <c r="D153">
        <v>75.489999999999995</v>
      </c>
      <c r="E153">
        <v>0.51047299999999995</v>
      </c>
      <c r="F153">
        <v>0.38</v>
      </c>
      <c r="G153">
        <v>18</v>
      </c>
      <c r="H153">
        <v>30.25</v>
      </c>
    </row>
    <row r="154" spans="1:8">
      <c r="A154" s="1">
        <v>37</v>
      </c>
      <c r="B154" t="s">
        <v>3308</v>
      </c>
      <c r="C154">
        <v>119.48</v>
      </c>
      <c r="D154">
        <v>79.709999999999994</v>
      </c>
      <c r="E154">
        <v>0.64178299999999999</v>
      </c>
      <c r="F154">
        <v>18.850000000000001</v>
      </c>
      <c r="G154">
        <v>16</v>
      </c>
      <c r="H154">
        <v>36.85</v>
      </c>
    </row>
    <row r="155" spans="1:8">
      <c r="A155" s="1">
        <v>38</v>
      </c>
      <c r="B155" t="s">
        <v>3309</v>
      </c>
      <c r="C155">
        <v>151.88</v>
      </c>
      <c r="D155">
        <v>81.38</v>
      </c>
      <c r="E155">
        <v>0.84322200000000003</v>
      </c>
      <c r="F155">
        <v>75.760000000000005</v>
      </c>
      <c r="G155">
        <v>8</v>
      </c>
      <c r="H155">
        <v>41.98</v>
      </c>
    </row>
    <row r="156" spans="1:8">
      <c r="A156" s="1">
        <v>39</v>
      </c>
      <c r="B156" t="s">
        <v>3310</v>
      </c>
      <c r="C156">
        <v>101.29</v>
      </c>
      <c r="D156">
        <v>79.040000000000006</v>
      </c>
      <c r="E156">
        <v>0.86773699999999998</v>
      </c>
      <c r="F156">
        <v>4.92</v>
      </c>
      <c r="G156">
        <v>6</v>
      </c>
      <c r="H156">
        <v>29.34</v>
      </c>
    </row>
    <row r="157" spans="1:8">
      <c r="A157" s="1">
        <v>40</v>
      </c>
      <c r="B157" t="s">
        <v>3311</v>
      </c>
      <c r="C157">
        <v>105.69</v>
      </c>
      <c r="D157" t="e">
        <f>-inf</f>
        <v>#NAME?</v>
      </c>
      <c r="E157">
        <v>0.72993399999999997</v>
      </c>
      <c r="F157">
        <v>0</v>
      </c>
      <c r="G157">
        <v>4</v>
      </c>
      <c r="H157">
        <v>31.54</v>
      </c>
    </row>
    <row r="158" spans="1:8">
      <c r="A158" s="1">
        <v>41</v>
      </c>
      <c r="B158" t="s">
        <v>3312</v>
      </c>
      <c r="C158">
        <v>92.91</v>
      </c>
      <c r="D158">
        <v>78.11</v>
      </c>
      <c r="E158">
        <v>0.78189799999999998</v>
      </c>
      <c r="F158">
        <v>1.73</v>
      </c>
      <c r="G158">
        <v>16</v>
      </c>
      <c r="H158">
        <v>28.42</v>
      </c>
    </row>
    <row r="159" spans="1:8">
      <c r="A159" s="1">
        <v>42</v>
      </c>
      <c r="B159" t="s">
        <v>3313</v>
      </c>
      <c r="C159">
        <v>181.05</v>
      </c>
      <c r="D159">
        <v>81.39</v>
      </c>
      <c r="E159">
        <v>0.64571599999999996</v>
      </c>
      <c r="F159">
        <v>57.87</v>
      </c>
      <c r="G159">
        <v>8</v>
      </c>
      <c r="H159">
        <v>56.94</v>
      </c>
    </row>
    <row r="160" spans="1:8">
      <c r="A160" s="1">
        <v>43</v>
      </c>
      <c r="B160" t="s">
        <v>3314</v>
      </c>
      <c r="C160">
        <v>133.29</v>
      </c>
      <c r="D160">
        <v>77.849999999999994</v>
      </c>
      <c r="E160">
        <v>0.65006399999999998</v>
      </c>
      <c r="F160">
        <v>0.12</v>
      </c>
      <c r="G160">
        <v>16</v>
      </c>
      <c r="H160">
        <v>36.479999999999997</v>
      </c>
    </row>
    <row r="161" spans="1:8">
      <c r="A161" s="1">
        <v>44</v>
      </c>
      <c r="B161" t="s">
        <v>3315</v>
      </c>
      <c r="C161">
        <v>144.93</v>
      </c>
      <c r="D161">
        <v>80.7</v>
      </c>
      <c r="E161">
        <v>0.68776400000000004</v>
      </c>
      <c r="F161">
        <v>40.17</v>
      </c>
      <c r="G161">
        <v>6</v>
      </c>
      <c r="H161">
        <v>50.22</v>
      </c>
    </row>
    <row r="162" spans="1:8">
      <c r="A162" s="1">
        <v>45</v>
      </c>
      <c r="B162" t="s">
        <v>3316</v>
      </c>
      <c r="C162">
        <v>128.94999999999999</v>
      </c>
      <c r="D162" t="e">
        <f>-inf</f>
        <v>#NAME?</v>
      </c>
      <c r="E162">
        <v>0.55649400000000004</v>
      </c>
      <c r="F162">
        <v>0</v>
      </c>
      <c r="G162">
        <v>14</v>
      </c>
      <c r="H162">
        <v>35.869999999999997</v>
      </c>
    </row>
    <row r="163" spans="1:8">
      <c r="A163" s="1">
        <v>46</v>
      </c>
      <c r="B163" t="s">
        <v>3317</v>
      </c>
      <c r="C163">
        <v>155.84</v>
      </c>
      <c r="D163">
        <v>80.709999999999994</v>
      </c>
      <c r="E163">
        <v>0.77157200000000004</v>
      </c>
      <c r="F163">
        <v>7.64</v>
      </c>
      <c r="G163">
        <v>12</v>
      </c>
      <c r="H163">
        <v>46.41</v>
      </c>
    </row>
    <row r="164" spans="1:8">
      <c r="A164" s="1">
        <v>47</v>
      </c>
      <c r="B164" t="s">
        <v>3318</v>
      </c>
      <c r="C164">
        <v>144.86000000000001</v>
      </c>
      <c r="D164">
        <v>79.97</v>
      </c>
      <c r="E164">
        <v>0.77382600000000001</v>
      </c>
      <c r="F164">
        <v>2.69</v>
      </c>
      <c r="G164">
        <v>4</v>
      </c>
      <c r="H164">
        <v>38.46</v>
      </c>
    </row>
    <row r="165" spans="1:8">
      <c r="A165" s="1">
        <v>48</v>
      </c>
      <c r="B165" t="s">
        <v>3319</v>
      </c>
      <c r="C165">
        <v>149.91</v>
      </c>
      <c r="D165">
        <v>79.66</v>
      </c>
      <c r="E165">
        <v>0.69339499999999998</v>
      </c>
      <c r="F165">
        <v>3.42</v>
      </c>
      <c r="G165">
        <v>8</v>
      </c>
      <c r="H165">
        <v>43.61</v>
      </c>
    </row>
    <row r="166" spans="1:8">
      <c r="A166" s="1">
        <v>49</v>
      </c>
      <c r="B166" t="s">
        <v>3320</v>
      </c>
      <c r="C166">
        <v>86.09</v>
      </c>
      <c r="D166" t="e">
        <f>-inf</f>
        <v>#NAME?</v>
      </c>
      <c r="E166">
        <v>0.445716</v>
      </c>
      <c r="F166">
        <v>0</v>
      </c>
      <c r="G166">
        <v>8</v>
      </c>
      <c r="H166">
        <v>20.39</v>
      </c>
    </row>
    <row r="167" spans="1:8">
      <c r="A167" s="1">
        <v>50</v>
      </c>
      <c r="B167" t="s">
        <v>3321</v>
      </c>
      <c r="C167">
        <v>126.39</v>
      </c>
      <c r="D167">
        <v>78.37</v>
      </c>
      <c r="E167">
        <v>0.71057800000000004</v>
      </c>
      <c r="F167">
        <v>1.46</v>
      </c>
      <c r="G167">
        <v>14</v>
      </c>
      <c r="H167">
        <v>35.630000000000003</v>
      </c>
    </row>
    <row r="168" spans="1:8">
      <c r="B168" s="1" t="s">
        <v>19</v>
      </c>
      <c r="C168" s="1">
        <f>AVERAGE(C118:C167)</f>
        <v>126.69339999999998</v>
      </c>
      <c r="D168" s="1" t="e">
        <f t="shared" ref="D168:F168" si="8">AVERAGE(D118:D167)</f>
        <v>#NAME?</v>
      </c>
      <c r="E168" s="1">
        <f t="shared" si="8"/>
        <v>0.69641953999999995</v>
      </c>
      <c r="F168" s="1">
        <f t="shared" si="8"/>
        <v>14.531200000000002</v>
      </c>
      <c r="H168" s="1">
        <f t="shared" ref="H168" si="9">AVERAGE(H118:H167)</f>
        <v>37.198599999999999</v>
      </c>
    </row>
    <row r="169" spans="1:8">
      <c r="B169" s="1" t="s">
        <v>20</v>
      </c>
      <c r="C169" s="1">
        <f>MIN(C117:C167)</f>
        <v>86.09</v>
      </c>
      <c r="D169" s="1" t="e">
        <f>MIN(D117:D167)</f>
        <v>#NAME?</v>
      </c>
      <c r="E169" s="1">
        <f>MIN(E117:E167)</f>
        <v>0.445716</v>
      </c>
      <c r="F169" s="1">
        <f>MIN(F117:F167)</f>
        <v>0</v>
      </c>
      <c r="H169" s="1">
        <f>MIN(H117:H167)</f>
        <v>20.39</v>
      </c>
    </row>
    <row r="170" spans="1:8">
      <c r="B170" s="1" t="s">
        <v>3</v>
      </c>
      <c r="C170" s="1">
        <f>STDEV(C118:C167)</f>
        <v>24.979595723105756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3" t="s">
        <v>1435</v>
      </c>
    </row>
    <row r="173" spans="1:8" ht="18">
      <c r="A173" s="23" t="s">
        <v>7</v>
      </c>
      <c r="B173" s="3" t="s">
        <v>9</v>
      </c>
      <c r="C173" s="23" t="s">
        <v>4</v>
      </c>
      <c r="D173" s="23" t="s">
        <v>322</v>
      </c>
      <c r="E173" s="23" t="s">
        <v>321</v>
      </c>
      <c r="F173" s="23" t="s">
        <v>324</v>
      </c>
      <c r="G173" s="23" t="s">
        <v>323</v>
      </c>
      <c r="H173" s="23" t="s">
        <v>1436</v>
      </c>
    </row>
    <row r="174" spans="1:8">
      <c r="A174" s="1">
        <v>1</v>
      </c>
      <c r="B174" t="s">
        <v>3422</v>
      </c>
      <c r="C174">
        <v>103.99</v>
      </c>
      <c r="D174" t="e">
        <f>-inf</f>
        <v>#NAME?</v>
      </c>
      <c r="E174">
        <v>0.49631199999999998</v>
      </c>
      <c r="F174">
        <v>0</v>
      </c>
      <c r="G174">
        <v>16</v>
      </c>
      <c r="H174">
        <v>29.01</v>
      </c>
    </row>
    <row r="175" spans="1:8">
      <c r="A175" s="1">
        <v>2</v>
      </c>
      <c r="B175" t="s">
        <v>3423</v>
      </c>
      <c r="C175">
        <v>54.2</v>
      </c>
      <c r="D175" t="e">
        <f>-inf</f>
        <v>#NAME?</v>
      </c>
      <c r="E175">
        <v>0.40096799999999999</v>
      </c>
      <c r="F175">
        <v>0</v>
      </c>
      <c r="G175">
        <v>16</v>
      </c>
      <c r="H175">
        <v>13.3</v>
      </c>
    </row>
    <row r="176" spans="1:8">
      <c r="A176" s="1">
        <v>3</v>
      </c>
      <c r="B176" t="s">
        <v>3424</v>
      </c>
      <c r="C176">
        <v>88.1</v>
      </c>
      <c r="D176">
        <v>148.86000000000001</v>
      </c>
      <c r="E176">
        <v>0.62904400000000005</v>
      </c>
      <c r="F176">
        <v>0.04</v>
      </c>
      <c r="G176">
        <v>26</v>
      </c>
      <c r="H176">
        <v>27.92</v>
      </c>
    </row>
    <row r="177" spans="1:8">
      <c r="A177" s="1">
        <v>4</v>
      </c>
      <c r="B177" t="s">
        <v>3425</v>
      </c>
      <c r="C177">
        <v>93.09</v>
      </c>
      <c r="D177">
        <v>149.22999999999999</v>
      </c>
      <c r="E177">
        <v>0.52165399999999995</v>
      </c>
      <c r="F177">
        <v>0.04</v>
      </c>
      <c r="G177">
        <v>20</v>
      </c>
      <c r="H177">
        <v>27.55</v>
      </c>
    </row>
    <row r="178" spans="1:8">
      <c r="A178" s="1">
        <v>5</v>
      </c>
      <c r="B178" t="s">
        <v>3426</v>
      </c>
      <c r="C178">
        <v>85.04</v>
      </c>
      <c r="D178" t="e">
        <f>-inf</f>
        <v>#NAME?</v>
      </c>
      <c r="E178">
        <v>0.58439200000000002</v>
      </c>
      <c r="F178">
        <v>0</v>
      </c>
      <c r="G178">
        <v>32</v>
      </c>
      <c r="H178">
        <v>26.68</v>
      </c>
    </row>
    <row r="179" spans="1:8">
      <c r="A179" s="1">
        <v>6</v>
      </c>
      <c r="B179" t="s">
        <v>3427</v>
      </c>
      <c r="C179">
        <v>99.07</v>
      </c>
      <c r="D179">
        <v>148.4</v>
      </c>
      <c r="E179">
        <v>0.56238100000000002</v>
      </c>
      <c r="F179">
        <v>0.08</v>
      </c>
      <c r="G179">
        <v>14</v>
      </c>
      <c r="H179">
        <v>28.28</v>
      </c>
    </row>
    <row r="180" spans="1:8">
      <c r="A180" s="1">
        <v>7</v>
      </c>
      <c r="B180" t="s">
        <v>3428</v>
      </c>
      <c r="C180">
        <v>98.27</v>
      </c>
      <c r="D180" t="e">
        <f>-inf</f>
        <v>#NAME?</v>
      </c>
      <c r="E180">
        <v>0.49570199999999998</v>
      </c>
      <c r="F180">
        <v>0</v>
      </c>
      <c r="G180">
        <v>38</v>
      </c>
      <c r="H180">
        <v>27.05</v>
      </c>
    </row>
    <row r="181" spans="1:8">
      <c r="A181" s="1">
        <v>8</v>
      </c>
      <c r="B181" t="s">
        <v>3429</v>
      </c>
      <c r="C181">
        <v>67.42</v>
      </c>
      <c r="D181">
        <v>147.35</v>
      </c>
      <c r="E181">
        <v>0.60074000000000005</v>
      </c>
      <c r="F181">
        <v>0.08</v>
      </c>
      <c r="G181">
        <v>16</v>
      </c>
      <c r="H181">
        <v>16.8</v>
      </c>
    </row>
    <row r="182" spans="1:8">
      <c r="A182" s="1">
        <v>9</v>
      </c>
      <c r="B182" t="s">
        <v>3430</v>
      </c>
      <c r="C182">
        <v>62.73</v>
      </c>
      <c r="D182" t="e">
        <f>-inf</f>
        <v>#NAME?</v>
      </c>
      <c r="E182">
        <v>0.69964599999999999</v>
      </c>
      <c r="F182">
        <v>0</v>
      </c>
      <c r="G182">
        <v>16</v>
      </c>
      <c r="H182">
        <v>17.850000000000001</v>
      </c>
    </row>
    <row r="183" spans="1:8">
      <c r="A183" s="1">
        <v>10</v>
      </c>
      <c r="B183" t="s">
        <v>3431</v>
      </c>
      <c r="C183">
        <v>107.57</v>
      </c>
      <c r="D183">
        <v>151.71</v>
      </c>
      <c r="E183">
        <v>0.56394999999999995</v>
      </c>
      <c r="F183">
        <v>0.08</v>
      </c>
      <c r="G183">
        <v>20</v>
      </c>
      <c r="H183">
        <v>34.17</v>
      </c>
    </row>
    <row r="184" spans="1:8">
      <c r="A184" s="1">
        <v>11</v>
      </c>
      <c r="B184" t="s">
        <v>3432</v>
      </c>
      <c r="C184">
        <v>76.75</v>
      </c>
      <c r="D184" t="e">
        <f>-inf</f>
        <v>#NAME?</v>
      </c>
      <c r="E184">
        <v>0.53259900000000004</v>
      </c>
      <c r="F184">
        <v>0</v>
      </c>
      <c r="G184">
        <v>30</v>
      </c>
      <c r="H184">
        <v>19.739999999999998</v>
      </c>
    </row>
    <row r="185" spans="1:8">
      <c r="A185" s="1">
        <v>12</v>
      </c>
      <c r="B185" t="s">
        <v>3433</v>
      </c>
      <c r="C185">
        <v>76.69</v>
      </c>
      <c r="D185" t="e">
        <f>-inf</f>
        <v>#NAME?</v>
      </c>
      <c r="E185">
        <v>0.435255</v>
      </c>
      <c r="F185">
        <v>0</v>
      </c>
      <c r="G185">
        <v>38</v>
      </c>
      <c r="H185">
        <v>24.1</v>
      </c>
    </row>
    <row r="186" spans="1:8">
      <c r="A186" s="1">
        <v>13</v>
      </c>
      <c r="B186" t="s">
        <v>3434</v>
      </c>
      <c r="C186">
        <v>76.44</v>
      </c>
      <c r="D186" t="e">
        <f>-inf</f>
        <v>#NAME?</v>
      </c>
      <c r="E186">
        <v>0.46898899999999999</v>
      </c>
      <c r="F186">
        <v>0</v>
      </c>
      <c r="G186">
        <v>4</v>
      </c>
      <c r="H186">
        <v>23.33</v>
      </c>
    </row>
    <row r="187" spans="1:8">
      <c r="A187" s="1">
        <v>14</v>
      </c>
      <c r="B187" t="s">
        <v>3435</v>
      </c>
      <c r="C187">
        <v>62.87</v>
      </c>
      <c r="D187" t="e">
        <f>-inf</f>
        <v>#NAME?</v>
      </c>
      <c r="E187">
        <v>0.52726200000000001</v>
      </c>
      <c r="F187">
        <v>0</v>
      </c>
      <c r="G187">
        <v>30</v>
      </c>
      <c r="H187">
        <v>17.25</v>
      </c>
    </row>
    <row r="188" spans="1:8">
      <c r="A188" s="1">
        <v>15</v>
      </c>
      <c r="B188" t="s">
        <v>3436</v>
      </c>
      <c r="C188">
        <v>89.53</v>
      </c>
      <c r="D188" t="e">
        <f>-inf</f>
        <v>#NAME?</v>
      </c>
      <c r="E188">
        <v>0.46845799999999999</v>
      </c>
      <c r="F188">
        <v>0</v>
      </c>
      <c r="G188">
        <v>8</v>
      </c>
      <c r="H188">
        <v>24.1</v>
      </c>
    </row>
    <row r="189" spans="1:8">
      <c r="A189" s="1">
        <v>16</v>
      </c>
      <c r="B189" t="s">
        <v>3437</v>
      </c>
      <c r="C189">
        <v>72.47</v>
      </c>
      <c r="D189">
        <v>146.74</v>
      </c>
      <c r="E189">
        <v>0.66621300000000006</v>
      </c>
      <c r="F189">
        <v>0.04</v>
      </c>
      <c r="G189">
        <v>36</v>
      </c>
      <c r="H189">
        <v>17.89</v>
      </c>
    </row>
    <row r="190" spans="1:8">
      <c r="A190" s="1">
        <v>17</v>
      </c>
      <c r="B190" t="s">
        <v>3438</v>
      </c>
      <c r="C190">
        <v>96.49</v>
      </c>
      <c r="D190">
        <v>155.51</v>
      </c>
      <c r="E190">
        <v>0.61888500000000002</v>
      </c>
      <c r="F190">
        <v>3.61</v>
      </c>
      <c r="G190">
        <v>34</v>
      </c>
      <c r="H190">
        <v>28.02</v>
      </c>
    </row>
    <row r="191" spans="1:8">
      <c r="A191" s="1">
        <v>18</v>
      </c>
      <c r="B191" t="s">
        <v>3439</v>
      </c>
      <c r="C191">
        <v>73.94</v>
      </c>
      <c r="D191" t="e">
        <f>-inf</f>
        <v>#NAME?</v>
      </c>
      <c r="E191">
        <v>0.48062500000000002</v>
      </c>
      <c r="F191">
        <v>0</v>
      </c>
      <c r="G191">
        <v>10</v>
      </c>
      <c r="H191">
        <v>22.59</v>
      </c>
    </row>
    <row r="192" spans="1:8">
      <c r="A192" s="1">
        <v>19</v>
      </c>
      <c r="B192" t="s">
        <v>3440</v>
      </c>
      <c r="C192">
        <v>70.91</v>
      </c>
      <c r="D192" t="e">
        <f>-inf</f>
        <v>#NAME?</v>
      </c>
      <c r="E192">
        <v>0.62516499999999997</v>
      </c>
      <c r="F192">
        <v>0</v>
      </c>
      <c r="G192">
        <v>0</v>
      </c>
      <c r="H192">
        <v>19</v>
      </c>
    </row>
    <row r="193" spans="1:8">
      <c r="A193" s="1">
        <v>20</v>
      </c>
      <c r="B193" t="s">
        <v>3441</v>
      </c>
      <c r="C193">
        <v>108.59</v>
      </c>
      <c r="D193">
        <v>154.1</v>
      </c>
      <c r="E193">
        <v>0.65937100000000004</v>
      </c>
      <c r="F193">
        <v>0.08</v>
      </c>
      <c r="G193">
        <v>20</v>
      </c>
      <c r="H193">
        <v>27.58</v>
      </c>
    </row>
    <row r="194" spans="1:8">
      <c r="A194" s="1">
        <v>21</v>
      </c>
      <c r="B194" t="s">
        <v>3442</v>
      </c>
      <c r="C194">
        <v>93.57</v>
      </c>
      <c r="D194" t="e">
        <f t="shared" ref="D194:D203" si="10">-inf</f>
        <v>#NAME?</v>
      </c>
      <c r="E194">
        <v>0.69514799999999999</v>
      </c>
      <c r="F194">
        <v>0</v>
      </c>
      <c r="G194">
        <v>8</v>
      </c>
      <c r="H194">
        <v>27.34</v>
      </c>
    </row>
    <row r="195" spans="1:8">
      <c r="A195" s="1">
        <v>22</v>
      </c>
      <c r="B195" t="s">
        <v>3443</v>
      </c>
      <c r="C195">
        <v>85.85</v>
      </c>
      <c r="D195" t="e">
        <f t="shared" si="10"/>
        <v>#NAME?</v>
      </c>
      <c r="E195">
        <v>0.64287799999999995</v>
      </c>
      <c r="F195">
        <v>0</v>
      </c>
      <c r="G195">
        <v>10</v>
      </c>
      <c r="H195">
        <v>25.33</v>
      </c>
    </row>
    <row r="196" spans="1:8">
      <c r="A196" s="1">
        <v>23</v>
      </c>
      <c r="B196" t="s">
        <v>3444</v>
      </c>
      <c r="C196">
        <v>84.68</v>
      </c>
      <c r="D196" t="e">
        <f t="shared" si="10"/>
        <v>#NAME?</v>
      </c>
      <c r="E196">
        <v>0.44820199999999999</v>
      </c>
      <c r="F196">
        <v>0</v>
      </c>
      <c r="G196">
        <v>22</v>
      </c>
      <c r="H196">
        <v>25.06</v>
      </c>
    </row>
    <row r="197" spans="1:8">
      <c r="A197" s="1">
        <v>24</v>
      </c>
      <c r="B197" t="s">
        <v>3445</v>
      </c>
      <c r="C197">
        <v>92.07</v>
      </c>
      <c r="D197" t="e">
        <f t="shared" si="10"/>
        <v>#NAME?</v>
      </c>
      <c r="E197">
        <v>0.67607300000000004</v>
      </c>
      <c r="F197">
        <v>0</v>
      </c>
      <c r="G197">
        <v>26</v>
      </c>
      <c r="H197">
        <v>22.55</v>
      </c>
    </row>
    <row r="198" spans="1:8">
      <c r="A198" s="1">
        <v>25</v>
      </c>
      <c r="B198" t="s">
        <v>3446</v>
      </c>
      <c r="C198">
        <v>77.66</v>
      </c>
      <c r="D198" t="e">
        <f t="shared" si="10"/>
        <v>#NAME?</v>
      </c>
      <c r="E198">
        <v>0.55760399999999999</v>
      </c>
      <c r="F198">
        <v>0</v>
      </c>
      <c r="G198">
        <v>14</v>
      </c>
      <c r="H198">
        <v>25.43</v>
      </c>
    </row>
    <row r="199" spans="1:8">
      <c r="A199" s="1">
        <v>26</v>
      </c>
      <c r="B199" t="s">
        <v>3447</v>
      </c>
      <c r="C199">
        <v>85.3</v>
      </c>
      <c r="D199" t="e">
        <f t="shared" si="10"/>
        <v>#NAME?</v>
      </c>
      <c r="E199">
        <v>0.42244500000000001</v>
      </c>
      <c r="F199">
        <v>0</v>
      </c>
      <c r="G199">
        <v>12</v>
      </c>
      <c r="H199">
        <v>25.35</v>
      </c>
    </row>
    <row r="200" spans="1:8">
      <c r="A200" s="1">
        <v>27</v>
      </c>
      <c r="B200" t="s">
        <v>3448</v>
      </c>
      <c r="C200">
        <v>87.65</v>
      </c>
      <c r="D200" t="e">
        <f t="shared" si="10"/>
        <v>#NAME?</v>
      </c>
      <c r="E200">
        <v>0.46452700000000002</v>
      </c>
      <c r="F200">
        <v>0</v>
      </c>
      <c r="G200">
        <v>0</v>
      </c>
      <c r="H200">
        <v>25.5</v>
      </c>
    </row>
    <row r="201" spans="1:8">
      <c r="A201" s="1">
        <v>28</v>
      </c>
      <c r="B201" t="s">
        <v>3449</v>
      </c>
      <c r="C201">
        <v>100.44</v>
      </c>
      <c r="D201" t="e">
        <f t="shared" si="10"/>
        <v>#NAME?</v>
      </c>
      <c r="E201">
        <v>0.58059300000000003</v>
      </c>
      <c r="F201">
        <v>0</v>
      </c>
      <c r="G201">
        <v>10</v>
      </c>
      <c r="H201">
        <v>29.61</v>
      </c>
    </row>
    <row r="202" spans="1:8">
      <c r="A202" s="1">
        <v>29</v>
      </c>
      <c r="B202" t="s">
        <v>3450</v>
      </c>
      <c r="C202">
        <v>107.04</v>
      </c>
      <c r="D202" t="e">
        <f t="shared" si="10"/>
        <v>#NAME?</v>
      </c>
      <c r="E202">
        <v>0.620502</v>
      </c>
      <c r="F202">
        <v>0</v>
      </c>
      <c r="G202">
        <v>36</v>
      </c>
      <c r="H202">
        <v>34.159999999999997</v>
      </c>
    </row>
    <row r="203" spans="1:8">
      <c r="A203" s="1">
        <v>30</v>
      </c>
      <c r="B203" t="s">
        <v>3451</v>
      </c>
      <c r="C203">
        <v>103.26</v>
      </c>
      <c r="D203" t="e">
        <f t="shared" si="10"/>
        <v>#NAME?</v>
      </c>
      <c r="E203">
        <v>0.57343900000000003</v>
      </c>
      <c r="F203">
        <v>0</v>
      </c>
      <c r="G203">
        <v>0</v>
      </c>
      <c r="H203">
        <v>35.049999999999997</v>
      </c>
    </row>
    <row r="204" spans="1:8">
      <c r="A204" s="1">
        <v>31</v>
      </c>
      <c r="B204" t="s">
        <v>3452</v>
      </c>
      <c r="C204">
        <v>81.260000000000005</v>
      </c>
      <c r="D204">
        <v>154.07</v>
      </c>
      <c r="E204">
        <v>0.53145600000000004</v>
      </c>
      <c r="F204">
        <v>1.19</v>
      </c>
      <c r="G204">
        <v>6</v>
      </c>
      <c r="H204">
        <v>23.59</v>
      </c>
    </row>
    <row r="205" spans="1:8">
      <c r="A205" s="1">
        <v>32</v>
      </c>
      <c r="B205" t="s">
        <v>3453</v>
      </c>
      <c r="C205">
        <v>84.68</v>
      </c>
      <c r="D205">
        <v>153.54</v>
      </c>
      <c r="E205">
        <v>0.63602199999999998</v>
      </c>
      <c r="F205">
        <v>0.04</v>
      </c>
      <c r="G205">
        <v>6</v>
      </c>
      <c r="H205">
        <v>21</v>
      </c>
    </row>
    <row r="206" spans="1:8">
      <c r="A206" s="1">
        <v>33</v>
      </c>
      <c r="B206" t="s">
        <v>3454</v>
      </c>
      <c r="C206">
        <v>107.04</v>
      </c>
      <c r="D206" t="e">
        <f>-inf</f>
        <v>#NAME?</v>
      </c>
      <c r="E206">
        <v>0.574071</v>
      </c>
      <c r="F206">
        <v>0</v>
      </c>
      <c r="G206">
        <v>0</v>
      </c>
      <c r="H206">
        <v>33.44</v>
      </c>
    </row>
    <row r="207" spans="1:8">
      <c r="A207" s="1">
        <v>34</v>
      </c>
      <c r="B207" t="s">
        <v>3455</v>
      </c>
      <c r="C207">
        <v>96.18</v>
      </c>
      <c r="D207">
        <v>151.33000000000001</v>
      </c>
      <c r="E207">
        <v>0.62877300000000003</v>
      </c>
      <c r="F207">
        <v>0.38</v>
      </c>
      <c r="G207">
        <v>18</v>
      </c>
      <c r="H207">
        <v>26.57</v>
      </c>
    </row>
    <row r="208" spans="1:8">
      <c r="A208" s="1">
        <v>35</v>
      </c>
      <c r="B208" t="s">
        <v>3456</v>
      </c>
      <c r="C208">
        <v>86.53</v>
      </c>
      <c r="D208" t="e">
        <f>-inf</f>
        <v>#NAME?</v>
      </c>
      <c r="E208">
        <v>0.43512099999999998</v>
      </c>
      <c r="F208">
        <v>0</v>
      </c>
      <c r="G208">
        <v>2</v>
      </c>
      <c r="H208">
        <v>26.91</v>
      </c>
    </row>
    <row r="209" spans="1:8">
      <c r="A209" s="1">
        <v>36</v>
      </c>
      <c r="B209" t="s">
        <v>3457</v>
      </c>
      <c r="C209">
        <v>99.42</v>
      </c>
      <c r="D209" t="e">
        <f>-inf</f>
        <v>#NAME?</v>
      </c>
      <c r="E209">
        <v>0.68499600000000005</v>
      </c>
      <c r="F209">
        <v>0</v>
      </c>
      <c r="G209">
        <v>38</v>
      </c>
      <c r="H209">
        <v>28.12</v>
      </c>
    </row>
    <row r="210" spans="1:8">
      <c r="A210" s="1">
        <v>37</v>
      </c>
      <c r="B210" t="s">
        <v>3458</v>
      </c>
      <c r="C210">
        <v>79.61</v>
      </c>
      <c r="D210">
        <v>150.02000000000001</v>
      </c>
      <c r="E210">
        <v>0.68724600000000002</v>
      </c>
      <c r="F210">
        <v>0.04</v>
      </c>
      <c r="G210">
        <v>4</v>
      </c>
      <c r="H210">
        <v>21.61</v>
      </c>
    </row>
    <row r="211" spans="1:8">
      <c r="A211" s="1">
        <v>38</v>
      </c>
      <c r="B211" t="s">
        <v>3459</v>
      </c>
      <c r="C211">
        <v>77.849999999999994</v>
      </c>
      <c r="D211" t="e">
        <f>-inf</f>
        <v>#NAME?</v>
      </c>
      <c r="E211">
        <v>0.452513</v>
      </c>
      <c r="F211">
        <v>0</v>
      </c>
      <c r="G211">
        <v>4</v>
      </c>
      <c r="H211">
        <v>23.34</v>
      </c>
    </row>
    <row r="212" spans="1:8">
      <c r="A212" s="1">
        <v>39</v>
      </c>
      <c r="B212" t="s">
        <v>3460</v>
      </c>
      <c r="C212">
        <v>80.09</v>
      </c>
      <c r="D212" t="e">
        <f>-inf</f>
        <v>#NAME?</v>
      </c>
      <c r="E212">
        <v>0.55853399999999997</v>
      </c>
      <c r="F212">
        <v>0</v>
      </c>
      <c r="G212">
        <v>26</v>
      </c>
      <c r="H212">
        <v>22.14</v>
      </c>
    </row>
    <row r="213" spans="1:8">
      <c r="A213" s="1">
        <v>40</v>
      </c>
      <c r="B213" t="s">
        <v>3461</v>
      </c>
      <c r="C213">
        <v>89.22</v>
      </c>
      <c r="D213">
        <v>147.74</v>
      </c>
      <c r="E213">
        <v>0.45837699999999998</v>
      </c>
      <c r="F213">
        <v>0.04</v>
      </c>
      <c r="G213">
        <v>36</v>
      </c>
      <c r="H213">
        <v>27.27</v>
      </c>
    </row>
    <row r="214" spans="1:8">
      <c r="A214" s="1">
        <v>41</v>
      </c>
      <c r="B214" t="s">
        <v>3462</v>
      </c>
      <c r="C214">
        <v>89.77</v>
      </c>
      <c r="D214" t="e">
        <f>-inf</f>
        <v>#NAME?</v>
      </c>
      <c r="E214">
        <v>0.54228600000000005</v>
      </c>
      <c r="F214">
        <v>0</v>
      </c>
      <c r="G214">
        <v>36</v>
      </c>
      <c r="H214">
        <v>26.31</v>
      </c>
    </row>
    <row r="215" spans="1:8">
      <c r="A215" s="1">
        <v>42</v>
      </c>
      <c r="B215" t="s">
        <v>3463</v>
      </c>
      <c r="C215">
        <v>109</v>
      </c>
      <c r="D215">
        <v>149.43</v>
      </c>
      <c r="E215">
        <v>0.43179600000000001</v>
      </c>
      <c r="F215">
        <v>0.04</v>
      </c>
      <c r="G215">
        <v>26</v>
      </c>
      <c r="H215">
        <v>33.79</v>
      </c>
    </row>
    <row r="216" spans="1:8">
      <c r="A216" s="1">
        <v>43</v>
      </c>
      <c r="B216" t="s">
        <v>3464</v>
      </c>
      <c r="C216">
        <v>73.81</v>
      </c>
      <c r="D216" t="e">
        <f t="shared" ref="D216:D223" si="11">-inf</f>
        <v>#NAME?</v>
      </c>
      <c r="E216">
        <v>0.45222699999999999</v>
      </c>
      <c r="F216">
        <v>0</v>
      </c>
      <c r="G216">
        <v>8</v>
      </c>
      <c r="H216">
        <v>21.3</v>
      </c>
    </row>
    <row r="217" spans="1:8">
      <c r="A217" s="1">
        <v>44</v>
      </c>
      <c r="B217" t="s">
        <v>3465</v>
      </c>
      <c r="C217">
        <v>97.49</v>
      </c>
      <c r="D217" t="e">
        <f t="shared" si="11"/>
        <v>#NAME?</v>
      </c>
      <c r="E217">
        <v>0.52091200000000004</v>
      </c>
      <c r="F217">
        <v>0</v>
      </c>
      <c r="G217">
        <v>30</v>
      </c>
      <c r="H217">
        <v>27.52</v>
      </c>
    </row>
    <row r="218" spans="1:8">
      <c r="A218" s="1">
        <v>45</v>
      </c>
      <c r="B218" t="s">
        <v>3466</v>
      </c>
      <c r="C218">
        <v>85.41</v>
      </c>
      <c r="D218" t="e">
        <f t="shared" si="11"/>
        <v>#NAME?</v>
      </c>
      <c r="E218">
        <v>0.48982399999999998</v>
      </c>
      <c r="F218">
        <v>0</v>
      </c>
      <c r="G218">
        <v>6</v>
      </c>
      <c r="H218">
        <v>24.61</v>
      </c>
    </row>
    <row r="219" spans="1:8">
      <c r="A219" s="1">
        <v>46</v>
      </c>
      <c r="B219" t="s">
        <v>3467</v>
      </c>
      <c r="C219">
        <v>76.3</v>
      </c>
      <c r="D219" t="e">
        <f t="shared" si="11"/>
        <v>#NAME?</v>
      </c>
      <c r="E219">
        <v>0.50115299999999996</v>
      </c>
      <c r="F219">
        <v>0</v>
      </c>
      <c r="G219">
        <v>24</v>
      </c>
      <c r="H219">
        <v>20.66</v>
      </c>
    </row>
    <row r="220" spans="1:8">
      <c r="A220" s="1">
        <v>47</v>
      </c>
      <c r="B220" t="s">
        <v>3468</v>
      </c>
      <c r="C220">
        <v>92.67</v>
      </c>
      <c r="D220" t="e">
        <f t="shared" si="11"/>
        <v>#NAME?</v>
      </c>
      <c r="E220">
        <v>0.60935499999999998</v>
      </c>
      <c r="F220">
        <v>0</v>
      </c>
      <c r="G220">
        <v>28</v>
      </c>
      <c r="H220">
        <v>25.98</v>
      </c>
    </row>
    <row r="221" spans="1:8">
      <c r="A221" s="1">
        <v>48</v>
      </c>
      <c r="B221" t="s">
        <v>3469</v>
      </c>
      <c r="C221">
        <v>91.89</v>
      </c>
      <c r="D221" t="e">
        <f t="shared" si="11"/>
        <v>#NAME?</v>
      </c>
      <c r="E221">
        <v>0.55437800000000004</v>
      </c>
      <c r="F221">
        <v>0</v>
      </c>
      <c r="G221">
        <v>0</v>
      </c>
      <c r="H221">
        <v>27.62</v>
      </c>
    </row>
    <row r="222" spans="1:8">
      <c r="A222" s="1">
        <v>49</v>
      </c>
      <c r="B222" t="s">
        <v>3470</v>
      </c>
      <c r="C222">
        <v>60.18</v>
      </c>
      <c r="D222" t="e">
        <f t="shared" si="11"/>
        <v>#NAME?</v>
      </c>
      <c r="E222">
        <v>0.56825999999999999</v>
      </c>
      <c r="F222">
        <v>0</v>
      </c>
      <c r="G222">
        <v>16</v>
      </c>
      <c r="H222">
        <v>15.75</v>
      </c>
    </row>
    <row r="223" spans="1:8">
      <c r="A223" s="1">
        <v>50</v>
      </c>
      <c r="B223" t="s">
        <v>3471</v>
      </c>
      <c r="C223">
        <v>73.02</v>
      </c>
      <c r="D223" t="e">
        <f t="shared" si="11"/>
        <v>#NAME?</v>
      </c>
      <c r="E223">
        <v>0.56897399999999998</v>
      </c>
      <c r="F223">
        <v>0</v>
      </c>
      <c r="G223">
        <v>8</v>
      </c>
      <c r="H223">
        <v>20.41</v>
      </c>
    </row>
    <row r="224" spans="1:8">
      <c r="B224" s="1" t="s">
        <v>19</v>
      </c>
      <c r="C224" s="1">
        <f>AVERAGE(C174:C223)</f>
        <v>86.262000000000029</v>
      </c>
      <c r="D224" s="1" t="e">
        <f t="shared" ref="D224:H224" si="12">AVERAGE(D174:D223)</f>
        <v>#NAME?</v>
      </c>
      <c r="E224" s="1">
        <f t="shared" si="12"/>
        <v>0.55210591999999992</v>
      </c>
      <c r="F224" s="1">
        <f t="shared" si="12"/>
        <v>0.11560000000000001</v>
      </c>
      <c r="G224" s="1">
        <f t="shared" si="12"/>
        <v>17.68</v>
      </c>
      <c r="H224" s="1">
        <f t="shared" si="12"/>
        <v>24.910599999999995</v>
      </c>
    </row>
    <row r="225" spans="1:8">
      <c r="B225" s="1" t="s">
        <v>20</v>
      </c>
      <c r="C225" s="1">
        <f>MIN(C173:C223)</f>
        <v>54.2</v>
      </c>
      <c r="D225" s="1" t="e">
        <f>MIN(D173:D223)</f>
        <v>#NAME?</v>
      </c>
      <c r="E225" s="1">
        <f>MIN(E173:E223)</f>
        <v>0.40096799999999999</v>
      </c>
      <c r="F225" s="1">
        <f>MIN(F173:F223)</f>
        <v>0</v>
      </c>
      <c r="H225" s="1">
        <f>MIN(H173:H223)</f>
        <v>13.3</v>
      </c>
    </row>
    <row r="226" spans="1:8">
      <c r="B226" s="1" t="s">
        <v>3</v>
      </c>
      <c r="C226" s="1">
        <f>STDEV(C174:C223)</f>
        <v>13.478546369875874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3" t="s">
        <v>1435</v>
      </c>
    </row>
    <row r="229" spans="1:8" ht="18">
      <c r="A229" s="23" t="s">
        <v>7</v>
      </c>
      <c r="B229" s="3" t="s">
        <v>2</v>
      </c>
      <c r="C229" s="24" t="s">
        <v>4</v>
      </c>
      <c r="D229" s="23" t="s">
        <v>322</v>
      </c>
      <c r="E229" s="23" t="s">
        <v>321</v>
      </c>
      <c r="F229" s="23" t="s">
        <v>324</v>
      </c>
      <c r="G229" s="23" t="s">
        <v>323</v>
      </c>
      <c r="H229" s="23" t="s">
        <v>1436</v>
      </c>
    </row>
    <row r="230" spans="1:8">
      <c r="A230" s="1">
        <v>1</v>
      </c>
      <c r="B230" t="s">
        <v>3522</v>
      </c>
      <c r="C230">
        <v>57.9</v>
      </c>
      <c r="D230" t="e">
        <f t="shared" ref="D230:D253" si="13">-inf</f>
        <v>#NAME?</v>
      </c>
      <c r="E230">
        <v>0.465723</v>
      </c>
      <c r="F230">
        <v>0</v>
      </c>
      <c r="G230">
        <v>10</v>
      </c>
      <c r="H230">
        <v>14.03</v>
      </c>
    </row>
    <row r="231" spans="1:8">
      <c r="A231" s="1">
        <v>2</v>
      </c>
      <c r="B231" t="s">
        <v>3523</v>
      </c>
      <c r="C231">
        <v>77.47</v>
      </c>
      <c r="D231" t="e">
        <f t="shared" si="13"/>
        <v>#NAME?</v>
      </c>
      <c r="E231">
        <v>0.555616</v>
      </c>
      <c r="F231">
        <v>0</v>
      </c>
      <c r="G231">
        <v>38</v>
      </c>
      <c r="H231">
        <v>20.02</v>
      </c>
    </row>
    <row r="232" spans="1:8">
      <c r="A232" s="1">
        <v>3</v>
      </c>
      <c r="B232" t="s">
        <v>3524</v>
      </c>
      <c r="C232">
        <v>64.849999999999994</v>
      </c>
      <c r="D232" t="e">
        <f t="shared" si="13"/>
        <v>#NAME?</v>
      </c>
      <c r="E232">
        <v>0.46371200000000001</v>
      </c>
      <c r="F232">
        <v>0</v>
      </c>
      <c r="G232">
        <v>22</v>
      </c>
      <c r="H232">
        <v>18.29</v>
      </c>
    </row>
    <row r="233" spans="1:8">
      <c r="A233" s="1">
        <v>4</v>
      </c>
      <c r="B233" t="s">
        <v>3525</v>
      </c>
      <c r="C233">
        <v>55.63</v>
      </c>
      <c r="D233" t="e">
        <f t="shared" si="13"/>
        <v>#NAME?</v>
      </c>
      <c r="E233">
        <v>0.67003400000000002</v>
      </c>
      <c r="F233">
        <v>0</v>
      </c>
      <c r="G233">
        <v>4</v>
      </c>
      <c r="H233">
        <v>14.86</v>
      </c>
    </row>
    <row r="234" spans="1:8">
      <c r="A234" s="1">
        <v>5</v>
      </c>
      <c r="B234" t="s">
        <v>3526</v>
      </c>
      <c r="C234">
        <v>56.64</v>
      </c>
      <c r="D234" t="e">
        <f t="shared" si="13"/>
        <v>#NAME?</v>
      </c>
      <c r="E234">
        <v>0.40775400000000001</v>
      </c>
      <c r="F234">
        <v>0</v>
      </c>
      <c r="G234">
        <v>26</v>
      </c>
      <c r="H234">
        <v>17.45</v>
      </c>
    </row>
    <row r="235" spans="1:8">
      <c r="A235" s="1">
        <v>6</v>
      </c>
      <c r="B235" t="s">
        <v>3527</v>
      </c>
      <c r="C235">
        <v>56.5</v>
      </c>
      <c r="D235" t="e">
        <f t="shared" si="13"/>
        <v>#NAME?</v>
      </c>
      <c r="E235">
        <v>0.51814300000000002</v>
      </c>
      <c r="F235">
        <v>0</v>
      </c>
      <c r="G235">
        <v>12</v>
      </c>
      <c r="H235">
        <v>13.89</v>
      </c>
    </row>
    <row r="236" spans="1:8">
      <c r="A236" s="1">
        <v>7</v>
      </c>
      <c r="B236" t="s">
        <v>3528</v>
      </c>
      <c r="C236">
        <v>74.45</v>
      </c>
      <c r="D236" t="e">
        <f t="shared" si="13"/>
        <v>#NAME?</v>
      </c>
      <c r="E236">
        <v>0.40432400000000002</v>
      </c>
      <c r="F236">
        <v>0</v>
      </c>
      <c r="G236">
        <v>2</v>
      </c>
      <c r="H236">
        <v>21.3</v>
      </c>
    </row>
    <row r="237" spans="1:8">
      <c r="A237" s="1">
        <v>8</v>
      </c>
      <c r="B237" t="s">
        <v>3529</v>
      </c>
      <c r="C237">
        <v>53.75</v>
      </c>
      <c r="D237" t="e">
        <f t="shared" si="13"/>
        <v>#NAME?</v>
      </c>
      <c r="E237">
        <v>0.49034100000000003</v>
      </c>
      <c r="F237">
        <v>0</v>
      </c>
      <c r="G237">
        <v>8</v>
      </c>
      <c r="H237">
        <v>13.94</v>
      </c>
    </row>
    <row r="238" spans="1:8">
      <c r="A238" s="1">
        <v>9</v>
      </c>
      <c r="B238" t="s">
        <v>3530</v>
      </c>
      <c r="C238">
        <v>57.08</v>
      </c>
      <c r="D238" t="e">
        <f t="shared" si="13"/>
        <v>#NAME?</v>
      </c>
      <c r="E238">
        <v>0.48225099999999999</v>
      </c>
      <c r="F238">
        <v>0</v>
      </c>
      <c r="G238">
        <v>40</v>
      </c>
      <c r="H238">
        <v>14.21</v>
      </c>
    </row>
    <row r="239" spans="1:8">
      <c r="A239" s="1">
        <v>10</v>
      </c>
      <c r="B239" t="s">
        <v>3531</v>
      </c>
      <c r="C239">
        <v>57.32</v>
      </c>
      <c r="D239" t="e">
        <f t="shared" si="13"/>
        <v>#NAME?</v>
      </c>
      <c r="E239">
        <v>0.55943799999999999</v>
      </c>
      <c r="F239">
        <v>0</v>
      </c>
      <c r="G239">
        <v>30</v>
      </c>
      <c r="H239">
        <v>17.809999999999999</v>
      </c>
    </row>
    <row r="240" spans="1:8">
      <c r="A240" s="1">
        <v>11</v>
      </c>
      <c r="B240" t="s">
        <v>3532</v>
      </c>
      <c r="C240">
        <v>71.150000000000006</v>
      </c>
      <c r="D240" t="e">
        <f t="shared" si="13"/>
        <v>#NAME?</v>
      </c>
      <c r="E240">
        <v>0.52504700000000004</v>
      </c>
      <c r="F240">
        <v>0</v>
      </c>
      <c r="G240">
        <v>28</v>
      </c>
      <c r="H240">
        <v>19.420000000000002</v>
      </c>
    </row>
    <row r="241" spans="1:8">
      <c r="A241" s="1">
        <v>12</v>
      </c>
      <c r="B241" t="s">
        <v>3533</v>
      </c>
      <c r="C241">
        <v>72.97</v>
      </c>
      <c r="D241" t="e">
        <f t="shared" si="13"/>
        <v>#NAME?</v>
      </c>
      <c r="E241">
        <v>0.30115999999999998</v>
      </c>
      <c r="F241">
        <v>0</v>
      </c>
      <c r="G241">
        <v>28</v>
      </c>
      <c r="H241">
        <v>21.23</v>
      </c>
    </row>
    <row r="242" spans="1:8">
      <c r="A242" s="1">
        <v>13</v>
      </c>
      <c r="B242" t="s">
        <v>3534</v>
      </c>
      <c r="C242">
        <v>65.84</v>
      </c>
      <c r="D242" t="e">
        <f t="shared" si="13"/>
        <v>#NAME?</v>
      </c>
      <c r="E242">
        <v>0.53351700000000002</v>
      </c>
      <c r="F242">
        <v>0</v>
      </c>
      <c r="G242">
        <v>20</v>
      </c>
      <c r="H242">
        <v>18.27</v>
      </c>
    </row>
    <row r="243" spans="1:8">
      <c r="A243" s="1">
        <v>14</v>
      </c>
      <c r="B243" t="s">
        <v>3535</v>
      </c>
      <c r="C243">
        <v>74.959999999999994</v>
      </c>
      <c r="D243" t="e">
        <f t="shared" si="13"/>
        <v>#NAME?</v>
      </c>
      <c r="E243">
        <v>0.40193499999999999</v>
      </c>
      <c r="F243">
        <v>0</v>
      </c>
      <c r="G243">
        <v>0</v>
      </c>
      <c r="H243">
        <v>18.07</v>
      </c>
    </row>
    <row r="244" spans="1:8">
      <c r="A244" s="1">
        <v>15</v>
      </c>
      <c r="B244" t="s">
        <v>3536</v>
      </c>
      <c r="C244">
        <v>65.8</v>
      </c>
      <c r="D244" t="e">
        <f t="shared" si="13"/>
        <v>#NAME?</v>
      </c>
      <c r="E244">
        <v>0.65786900000000004</v>
      </c>
      <c r="F244">
        <v>0</v>
      </c>
      <c r="G244">
        <v>10</v>
      </c>
      <c r="H244">
        <v>16.71</v>
      </c>
    </row>
    <row r="245" spans="1:8">
      <c r="A245" s="1">
        <v>16</v>
      </c>
      <c r="B245" t="s">
        <v>3537</v>
      </c>
      <c r="C245">
        <v>48.85</v>
      </c>
      <c r="D245" t="e">
        <f t="shared" si="13"/>
        <v>#NAME?</v>
      </c>
      <c r="E245">
        <v>0.30662099999999998</v>
      </c>
      <c r="F245">
        <v>0</v>
      </c>
      <c r="G245">
        <v>10</v>
      </c>
      <c r="H245">
        <v>13.34</v>
      </c>
    </row>
    <row r="246" spans="1:8">
      <c r="A246" s="1">
        <v>17</v>
      </c>
      <c r="B246" t="s">
        <v>3538</v>
      </c>
      <c r="C246">
        <v>69.209999999999994</v>
      </c>
      <c r="D246" t="e">
        <f t="shared" si="13"/>
        <v>#NAME?</v>
      </c>
      <c r="E246">
        <v>0.519509</v>
      </c>
      <c r="F246">
        <v>0</v>
      </c>
      <c r="G246">
        <v>42</v>
      </c>
      <c r="H246">
        <v>19.87</v>
      </c>
    </row>
    <row r="247" spans="1:8">
      <c r="A247" s="1">
        <v>18</v>
      </c>
      <c r="B247" t="s">
        <v>3539</v>
      </c>
      <c r="C247">
        <v>69.459999999999994</v>
      </c>
      <c r="D247" t="e">
        <f t="shared" si="13"/>
        <v>#NAME?</v>
      </c>
      <c r="E247">
        <v>0.58118099999999995</v>
      </c>
      <c r="F247">
        <v>0</v>
      </c>
      <c r="G247">
        <v>52</v>
      </c>
      <c r="H247">
        <v>17.68</v>
      </c>
    </row>
    <row r="248" spans="1:8">
      <c r="A248" s="1">
        <v>19</v>
      </c>
      <c r="B248" t="s">
        <v>3540</v>
      </c>
      <c r="C248">
        <v>64.87</v>
      </c>
      <c r="D248" t="e">
        <f t="shared" si="13"/>
        <v>#NAME?</v>
      </c>
      <c r="E248">
        <v>0.48003800000000002</v>
      </c>
      <c r="F248">
        <v>0</v>
      </c>
      <c r="G248">
        <v>0</v>
      </c>
      <c r="H248">
        <v>18.329999999999998</v>
      </c>
    </row>
    <row r="249" spans="1:8">
      <c r="A249" s="1">
        <v>20</v>
      </c>
      <c r="B249" t="s">
        <v>3541</v>
      </c>
      <c r="C249">
        <v>71.17</v>
      </c>
      <c r="D249" t="e">
        <f t="shared" si="13"/>
        <v>#NAME?</v>
      </c>
      <c r="E249">
        <v>0.44674199999999997</v>
      </c>
      <c r="F249">
        <v>0</v>
      </c>
      <c r="G249">
        <v>50</v>
      </c>
      <c r="H249">
        <v>22.19</v>
      </c>
    </row>
    <row r="250" spans="1:8">
      <c r="A250" s="1">
        <v>21</v>
      </c>
      <c r="B250" t="s">
        <v>3542</v>
      </c>
      <c r="C250">
        <v>65.430000000000007</v>
      </c>
      <c r="D250" t="e">
        <f t="shared" si="13"/>
        <v>#NAME?</v>
      </c>
      <c r="E250">
        <v>0.42522599999999999</v>
      </c>
      <c r="F250">
        <v>0</v>
      </c>
      <c r="G250">
        <v>6</v>
      </c>
      <c r="H250">
        <v>18.989999999999998</v>
      </c>
    </row>
    <row r="251" spans="1:8">
      <c r="A251" s="1">
        <v>22</v>
      </c>
      <c r="B251" t="s">
        <v>3543</v>
      </c>
      <c r="C251">
        <v>56.27</v>
      </c>
      <c r="D251" t="e">
        <f t="shared" si="13"/>
        <v>#NAME?</v>
      </c>
      <c r="E251">
        <v>0.57253200000000004</v>
      </c>
      <c r="F251">
        <v>0</v>
      </c>
      <c r="G251">
        <v>22</v>
      </c>
      <c r="H251">
        <v>15.87</v>
      </c>
    </row>
    <row r="252" spans="1:8">
      <c r="A252" s="1">
        <v>23</v>
      </c>
      <c r="B252" t="s">
        <v>3544</v>
      </c>
      <c r="C252">
        <v>71.989999999999995</v>
      </c>
      <c r="D252" t="e">
        <f t="shared" si="13"/>
        <v>#NAME?</v>
      </c>
      <c r="E252">
        <v>0.55284199999999994</v>
      </c>
      <c r="F252">
        <v>0</v>
      </c>
      <c r="G252">
        <v>4</v>
      </c>
      <c r="H252">
        <v>20.87</v>
      </c>
    </row>
    <row r="253" spans="1:8">
      <c r="A253" s="1">
        <v>24</v>
      </c>
      <c r="B253" t="s">
        <v>3545</v>
      </c>
      <c r="C253">
        <v>61.31</v>
      </c>
      <c r="D253" t="e">
        <f t="shared" si="13"/>
        <v>#NAME?</v>
      </c>
      <c r="E253">
        <v>0.51468599999999998</v>
      </c>
      <c r="F253">
        <v>0</v>
      </c>
      <c r="G253">
        <v>10</v>
      </c>
      <c r="H253">
        <v>17.82</v>
      </c>
    </row>
    <row r="254" spans="1:8">
      <c r="A254" s="1">
        <v>25</v>
      </c>
      <c r="B254" t="s">
        <v>3546</v>
      </c>
      <c r="C254">
        <v>59.06</v>
      </c>
      <c r="D254">
        <v>217.28</v>
      </c>
      <c r="E254">
        <v>0.52672300000000005</v>
      </c>
      <c r="F254">
        <v>0.04</v>
      </c>
      <c r="G254">
        <v>32</v>
      </c>
      <c r="H254">
        <v>19.95</v>
      </c>
    </row>
    <row r="255" spans="1:8">
      <c r="A255" s="1">
        <v>26</v>
      </c>
      <c r="B255" t="s">
        <v>3547</v>
      </c>
      <c r="C255">
        <v>57.38</v>
      </c>
      <c r="D255">
        <v>216.08</v>
      </c>
      <c r="E255">
        <v>0.53112800000000004</v>
      </c>
      <c r="F255">
        <v>0.04</v>
      </c>
      <c r="G255">
        <v>32</v>
      </c>
      <c r="H255">
        <v>15.7</v>
      </c>
    </row>
    <row r="256" spans="1:8">
      <c r="A256" s="1">
        <v>27</v>
      </c>
      <c r="B256" t="s">
        <v>3548</v>
      </c>
      <c r="C256">
        <v>58.6</v>
      </c>
      <c r="D256" t="e">
        <f t="shared" ref="D256:D279" si="14">-inf</f>
        <v>#NAME?</v>
      </c>
      <c r="E256">
        <v>0.57056899999999999</v>
      </c>
      <c r="F256">
        <v>0</v>
      </c>
      <c r="G256">
        <v>12</v>
      </c>
      <c r="H256">
        <v>15.08</v>
      </c>
    </row>
    <row r="257" spans="1:8">
      <c r="A257" s="1">
        <v>28</v>
      </c>
      <c r="B257" t="s">
        <v>3549</v>
      </c>
      <c r="C257">
        <v>71.260000000000005</v>
      </c>
      <c r="D257" t="e">
        <f t="shared" si="14"/>
        <v>#NAME?</v>
      </c>
      <c r="E257">
        <v>0.32792199999999999</v>
      </c>
      <c r="F257">
        <v>0</v>
      </c>
      <c r="G257">
        <v>8</v>
      </c>
      <c r="H257">
        <v>20.94</v>
      </c>
    </row>
    <row r="258" spans="1:8">
      <c r="A258" s="1">
        <v>29</v>
      </c>
      <c r="B258" t="s">
        <v>3550</v>
      </c>
      <c r="C258">
        <v>77.069999999999993</v>
      </c>
      <c r="D258" t="e">
        <f t="shared" si="14"/>
        <v>#NAME?</v>
      </c>
      <c r="E258">
        <v>0.49593999999999999</v>
      </c>
      <c r="F258">
        <v>0</v>
      </c>
      <c r="G258">
        <v>6</v>
      </c>
      <c r="H258">
        <v>18.899999999999999</v>
      </c>
    </row>
    <row r="259" spans="1:8">
      <c r="A259" s="1">
        <v>30</v>
      </c>
      <c r="B259" t="s">
        <v>3551</v>
      </c>
      <c r="C259">
        <v>65.42</v>
      </c>
      <c r="D259" t="e">
        <f t="shared" si="14"/>
        <v>#NAME?</v>
      </c>
      <c r="E259">
        <v>0.43822</v>
      </c>
      <c r="F259">
        <v>0</v>
      </c>
      <c r="G259">
        <v>56</v>
      </c>
      <c r="H259">
        <v>18.72</v>
      </c>
    </row>
    <row r="260" spans="1:8">
      <c r="A260" s="1">
        <v>31</v>
      </c>
      <c r="B260" t="s">
        <v>3552</v>
      </c>
      <c r="C260">
        <v>64.89</v>
      </c>
      <c r="D260" t="e">
        <f t="shared" si="14"/>
        <v>#NAME?</v>
      </c>
      <c r="E260">
        <v>0.50047299999999995</v>
      </c>
      <c r="F260">
        <v>0</v>
      </c>
      <c r="G260">
        <v>30</v>
      </c>
      <c r="H260">
        <v>18.8</v>
      </c>
    </row>
    <row r="261" spans="1:8">
      <c r="A261" s="1">
        <v>32</v>
      </c>
      <c r="B261" t="s">
        <v>3553</v>
      </c>
      <c r="C261">
        <v>71.260000000000005</v>
      </c>
      <c r="D261" t="e">
        <f t="shared" si="14"/>
        <v>#NAME?</v>
      </c>
      <c r="E261">
        <v>0.43070799999999998</v>
      </c>
      <c r="F261">
        <v>0</v>
      </c>
      <c r="G261">
        <v>0</v>
      </c>
      <c r="H261">
        <v>19.48</v>
      </c>
    </row>
    <row r="262" spans="1:8">
      <c r="A262" s="1">
        <v>33</v>
      </c>
      <c r="B262" t="s">
        <v>3554</v>
      </c>
      <c r="C262">
        <v>68.31</v>
      </c>
      <c r="D262" t="e">
        <f t="shared" si="14"/>
        <v>#NAME?</v>
      </c>
      <c r="E262">
        <v>0.31079099999999998</v>
      </c>
      <c r="F262">
        <v>0</v>
      </c>
      <c r="G262">
        <v>20</v>
      </c>
      <c r="H262">
        <v>19.079999999999998</v>
      </c>
    </row>
    <row r="263" spans="1:8">
      <c r="A263" s="1">
        <v>34</v>
      </c>
      <c r="B263" t="s">
        <v>3555</v>
      </c>
      <c r="C263">
        <v>62.28</v>
      </c>
      <c r="D263" t="e">
        <f t="shared" si="14"/>
        <v>#NAME?</v>
      </c>
      <c r="E263">
        <v>0.42925999999999997</v>
      </c>
      <c r="F263">
        <v>0</v>
      </c>
      <c r="G263">
        <v>8</v>
      </c>
      <c r="H263">
        <v>18.07</v>
      </c>
    </row>
    <row r="264" spans="1:8">
      <c r="A264" s="1">
        <v>35</v>
      </c>
      <c r="B264" t="s">
        <v>3556</v>
      </c>
      <c r="C264">
        <v>71.83</v>
      </c>
      <c r="D264" t="e">
        <f t="shared" si="14"/>
        <v>#NAME?</v>
      </c>
      <c r="E264">
        <v>0.61240899999999998</v>
      </c>
      <c r="F264">
        <v>0</v>
      </c>
      <c r="G264">
        <v>8</v>
      </c>
      <c r="H264">
        <v>20.23</v>
      </c>
    </row>
    <row r="265" spans="1:8">
      <c r="A265" s="1">
        <v>36</v>
      </c>
      <c r="B265" t="s">
        <v>3557</v>
      </c>
      <c r="C265">
        <v>63.51</v>
      </c>
      <c r="D265" t="e">
        <f t="shared" si="14"/>
        <v>#NAME?</v>
      </c>
      <c r="E265">
        <v>0.56898300000000002</v>
      </c>
      <c r="F265">
        <v>0</v>
      </c>
      <c r="G265">
        <v>30</v>
      </c>
      <c r="H265">
        <v>18.43</v>
      </c>
    </row>
    <row r="266" spans="1:8">
      <c r="A266" s="1">
        <v>37</v>
      </c>
      <c r="B266" t="s">
        <v>3558</v>
      </c>
      <c r="C266">
        <v>63.37</v>
      </c>
      <c r="D266" t="e">
        <f t="shared" si="14"/>
        <v>#NAME?</v>
      </c>
      <c r="E266">
        <v>0.53391100000000002</v>
      </c>
      <c r="F266">
        <v>0</v>
      </c>
      <c r="G266">
        <v>2</v>
      </c>
      <c r="H266">
        <v>16.54</v>
      </c>
    </row>
    <row r="267" spans="1:8">
      <c r="A267" s="1">
        <v>38</v>
      </c>
      <c r="B267" t="s">
        <v>3559</v>
      </c>
      <c r="C267">
        <v>80.900000000000006</v>
      </c>
      <c r="D267" t="e">
        <f t="shared" si="14"/>
        <v>#NAME?</v>
      </c>
      <c r="E267">
        <v>0.55341200000000002</v>
      </c>
      <c r="F267">
        <v>0</v>
      </c>
      <c r="G267">
        <v>30</v>
      </c>
      <c r="H267">
        <v>18.95</v>
      </c>
    </row>
    <row r="268" spans="1:8">
      <c r="A268" s="1">
        <v>39</v>
      </c>
      <c r="B268" t="s">
        <v>3560</v>
      </c>
      <c r="C268">
        <v>56.1</v>
      </c>
      <c r="D268" t="e">
        <f t="shared" si="14"/>
        <v>#NAME?</v>
      </c>
      <c r="E268">
        <v>0.58651799999999998</v>
      </c>
      <c r="F268">
        <v>0</v>
      </c>
      <c r="G268">
        <v>44</v>
      </c>
      <c r="H268">
        <v>15.97</v>
      </c>
    </row>
    <row r="269" spans="1:8">
      <c r="A269" s="1">
        <v>40</v>
      </c>
      <c r="B269" t="s">
        <v>3561</v>
      </c>
      <c r="C269">
        <v>64.77</v>
      </c>
      <c r="D269" t="e">
        <f t="shared" si="14"/>
        <v>#NAME?</v>
      </c>
      <c r="E269">
        <v>0.45141199999999998</v>
      </c>
      <c r="F269">
        <v>0</v>
      </c>
      <c r="G269">
        <v>16</v>
      </c>
      <c r="H269">
        <v>17.420000000000002</v>
      </c>
    </row>
    <row r="270" spans="1:8">
      <c r="A270" s="1">
        <v>41</v>
      </c>
      <c r="B270" t="s">
        <v>3562</v>
      </c>
      <c r="C270">
        <v>78.28</v>
      </c>
      <c r="D270" t="e">
        <f t="shared" si="14"/>
        <v>#NAME?</v>
      </c>
      <c r="E270">
        <v>0.39647300000000002</v>
      </c>
      <c r="F270">
        <v>0</v>
      </c>
      <c r="G270">
        <v>4</v>
      </c>
      <c r="H270">
        <v>22.08</v>
      </c>
    </row>
    <row r="271" spans="1:8">
      <c r="A271" s="1">
        <v>42</v>
      </c>
      <c r="B271" t="s">
        <v>3563</v>
      </c>
      <c r="C271">
        <v>62.87</v>
      </c>
      <c r="D271" t="e">
        <f t="shared" si="14"/>
        <v>#NAME?</v>
      </c>
      <c r="E271">
        <v>0.444048</v>
      </c>
      <c r="F271">
        <v>0</v>
      </c>
      <c r="G271">
        <v>28</v>
      </c>
      <c r="H271">
        <v>17.100000000000001</v>
      </c>
    </row>
    <row r="272" spans="1:8">
      <c r="A272" s="1">
        <v>43</v>
      </c>
      <c r="B272" t="s">
        <v>3564</v>
      </c>
      <c r="C272">
        <v>73.25</v>
      </c>
      <c r="D272" t="e">
        <f t="shared" si="14"/>
        <v>#NAME?</v>
      </c>
      <c r="E272">
        <v>0.58815399999999995</v>
      </c>
      <c r="F272">
        <v>0</v>
      </c>
      <c r="G272">
        <v>2</v>
      </c>
      <c r="H272">
        <v>17.62</v>
      </c>
    </row>
    <row r="273" spans="1:8">
      <c r="A273" s="1">
        <v>44</v>
      </c>
      <c r="B273" t="s">
        <v>3565</v>
      </c>
      <c r="C273">
        <v>62.49</v>
      </c>
      <c r="D273" t="e">
        <f t="shared" si="14"/>
        <v>#NAME?</v>
      </c>
      <c r="E273">
        <v>0.48608800000000002</v>
      </c>
      <c r="F273">
        <v>0</v>
      </c>
      <c r="G273">
        <v>10</v>
      </c>
      <c r="H273">
        <v>15.6</v>
      </c>
    </row>
    <row r="274" spans="1:8">
      <c r="A274" s="1">
        <v>45</v>
      </c>
      <c r="B274" t="s">
        <v>3566</v>
      </c>
      <c r="C274">
        <v>75.37</v>
      </c>
      <c r="D274" t="e">
        <f t="shared" si="14"/>
        <v>#NAME?</v>
      </c>
      <c r="E274">
        <v>0.50012299999999998</v>
      </c>
      <c r="F274">
        <v>0</v>
      </c>
      <c r="G274">
        <v>16</v>
      </c>
      <c r="H274">
        <v>19.18</v>
      </c>
    </row>
    <row r="275" spans="1:8">
      <c r="A275" s="1">
        <v>46</v>
      </c>
      <c r="B275" t="s">
        <v>3567</v>
      </c>
      <c r="C275">
        <v>63.65</v>
      </c>
      <c r="D275" t="e">
        <f t="shared" si="14"/>
        <v>#NAME?</v>
      </c>
      <c r="E275">
        <v>0.439114</v>
      </c>
      <c r="F275">
        <v>0</v>
      </c>
      <c r="G275">
        <v>40</v>
      </c>
      <c r="H275">
        <v>16.100000000000001</v>
      </c>
    </row>
    <row r="276" spans="1:8">
      <c r="A276" s="1">
        <v>47</v>
      </c>
      <c r="B276" t="s">
        <v>3568</v>
      </c>
      <c r="C276">
        <v>72.48</v>
      </c>
      <c r="D276" t="e">
        <f t="shared" si="14"/>
        <v>#NAME?</v>
      </c>
      <c r="E276">
        <v>0.60404400000000003</v>
      </c>
      <c r="F276">
        <v>0</v>
      </c>
      <c r="G276">
        <v>8</v>
      </c>
      <c r="H276">
        <v>18.239999999999998</v>
      </c>
    </row>
    <row r="277" spans="1:8">
      <c r="A277" s="1">
        <v>48</v>
      </c>
      <c r="B277" t="s">
        <v>3569</v>
      </c>
      <c r="C277">
        <v>66.88</v>
      </c>
      <c r="D277" t="e">
        <f t="shared" si="14"/>
        <v>#NAME?</v>
      </c>
      <c r="E277">
        <v>0.55596400000000001</v>
      </c>
      <c r="F277">
        <v>0</v>
      </c>
      <c r="G277">
        <v>48</v>
      </c>
      <c r="H277">
        <v>18.059999999999999</v>
      </c>
    </row>
    <row r="278" spans="1:8">
      <c r="A278" s="1">
        <v>49</v>
      </c>
      <c r="B278" t="s">
        <v>3570</v>
      </c>
      <c r="C278">
        <v>51.93</v>
      </c>
      <c r="D278" t="e">
        <f t="shared" si="14"/>
        <v>#NAME?</v>
      </c>
      <c r="E278">
        <v>0.52917899999999995</v>
      </c>
      <c r="F278">
        <v>0</v>
      </c>
      <c r="G278">
        <v>2</v>
      </c>
      <c r="H278">
        <v>12.03</v>
      </c>
    </row>
    <row r="279" spans="1:8">
      <c r="A279" s="1">
        <v>50</v>
      </c>
      <c r="B279" t="s">
        <v>3571</v>
      </c>
      <c r="C279">
        <v>63.14</v>
      </c>
      <c r="D279" t="e">
        <f t="shared" si="14"/>
        <v>#NAME?</v>
      </c>
      <c r="E279">
        <v>0.51333600000000001</v>
      </c>
      <c r="F279">
        <v>0</v>
      </c>
      <c r="G279">
        <v>10</v>
      </c>
      <c r="H279">
        <v>18.649999999999999</v>
      </c>
    </row>
    <row r="280" spans="1:8">
      <c r="B280" s="1" t="s">
        <v>19</v>
      </c>
      <c r="C280" s="1">
        <f>AVERAGE(C230:C279)</f>
        <v>65.344400000000007</v>
      </c>
      <c r="D280" s="1" t="e">
        <f t="shared" ref="D280:H280" si="15">AVERAGE(D230:D279)</f>
        <v>#NAME?</v>
      </c>
      <c r="E280" s="1">
        <f t="shared" si="15"/>
        <v>0.49522285999999993</v>
      </c>
      <c r="F280" s="1">
        <f t="shared" si="15"/>
        <v>1.6000000000000001E-3</v>
      </c>
      <c r="G280" s="1">
        <f t="shared" si="15"/>
        <v>19.52</v>
      </c>
      <c r="H280" s="1">
        <f t="shared" si="15"/>
        <v>17.8276</v>
      </c>
    </row>
    <row r="281" spans="1:8">
      <c r="B281" s="1" t="s">
        <v>20</v>
      </c>
      <c r="C281" s="1">
        <f>MIN(C229:C279)</f>
        <v>48.85</v>
      </c>
      <c r="D281" s="1" t="e">
        <f>MIN(D229:D279)</f>
        <v>#NAME?</v>
      </c>
      <c r="E281" s="1">
        <f>MIN(E229:E279)</f>
        <v>0.30115999999999998</v>
      </c>
      <c r="F281" s="1">
        <f>MIN(F229:F279)</f>
        <v>0</v>
      </c>
      <c r="H281" s="1">
        <f>MIN(H229:H279)</f>
        <v>12.03</v>
      </c>
    </row>
    <row r="282" spans="1:8">
      <c r="B282" s="1" t="s">
        <v>3</v>
      </c>
      <c r="C282" s="1">
        <f>STDEV(C230:C279)</f>
        <v>7.5642799568303936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3" t="s">
        <v>1435</v>
      </c>
    </row>
    <row r="285" spans="1:8" ht="18">
      <c r="A285" s="23" t="s">
        <v>7</v>
      </c>
      <c r="B285" s="3" t="s">
        <v>10</v>
      </c>
      <c r="C285" s="23" t="s">
        <v>4</v>
      </c>
      <c r="D285" s="23" t="s">
        <v>322</v>
      </c>
      <c r="E285" s="23" t="s">
        <v>321</v>
      </c>
      <c r="F285" s="23" t="s">
        <v>324</v>
      </c>
      <c r="G285" s="23" t="s">
        <v>323</v>
      </c>
      <c r="H285" s="23" t="s">
        <v>1436</v>
      </c>
    </row>
    <row r="286" spans="1:8">
      <c r="A286" s="1">
        <v>1</v>
      </c>
      <c r="B286" t="s">
        <v>3572</v>
      </c>
      <c r="C286">
        <v>53.28</v>
      </c>
      <c r="D286" t="e">
        <f t="shared" ref="D286:D317" si="16">-inf</f>
        <v>#NAME?</v>
      </c>
      <c r="E286">
        <v>0.46203</v>
      </c>
      <c r="F286">
        <v>0</v>
      </c>
      <c r="G286">
        <v>10</v>
      </c>
      <c r="H286">
        <v>13.1</v>
      </c>
    </row>
    <row r="287" spans="1:8">
      <c r="A287" s="1">
        <v>2</v>
      </c>
      <c r="B287" t="s">
        <v>3573</v>
      </c>
      <c r="C287">
        <v>44.16</v>
      </c>
      <c r="D287" t="e">
        <f t="shared" si="16"/>
        <v>#NAME?</v>
      </c>
      <c r="E287">
        <v>0.462557</v>
      </c>
      <c r="F287">
        <v>0</v>
      </c>
      <c r="G287">
        <v>30</v>
      </c>
      <c r="H287">
        <v>11.15</v>
      </c>
    </row>
    <row r="288" spans="1:8">
      <c r="A288" s="1">
        <v>3</v>
      </c>
      <c r="B288" t="s">
        <v>3574</v>
      </c>
      <c r="C288">
        <v>68.239999999999995</v>
      </c>
      <c r="D288" t="e">
        <f t="shared" si="16"/>
        <v>#NAME?</v>
      </c>
      <c r="E288">
        <v>0.44701800000000003</v>
      </c>
      <c r="F288">
        <v>0</v>
      </c>
      <c r="G288">
        <v>2</v>
      </c>
      <c r="H288">
        <v>16.72</v>
      </c>
    </row>
    <row r="289" spans="1:8">
      <c r="A289" s="1">
        <v>4</v>
      </c>
      <c r="B289" t="s">
        <v>3575</v>
      </c>
      <c r="C289">
        <v>42.73</v>
      </c>
      <c r="D289" t="e">
        <f t="shared" si="16"/>
        <v>#NAME?</v>
      </c>
      <c r="E289">
        <v>0.47962900000000003</v>
      </c>
      <c r="F289">
        <v>0</v>
      </c>
      <c r="G289">
        <v>10</v>
      </c>
      <c r="H289">
        <v>10.71</v>
      </c>
    </row>
    <row r="290" spans="1:8">
      <c r="A290" s="1">
        <v>5</v>
      </c>
      <c r="B290" t="s">
        <v>3576</v>
      </c>
      <c r="C290">
        <v>64.13</v>
      </c>
      <c r="D290" t="e">
        <f t="shared" si="16"/>
        <v>#NAME?</v>
      </c>
      <c r="E290">
        <v>0.38149899999999998</v>
      </c>
      <c r="F290">
        <v>0</v>
      </c>
      <c r="G290">
        <v>4</v>
      </c>
      <c r="H290">
        <v>17.22</v>
      </c>
    </row>
    <row r="291" spans="1:8">
      <c r="A291" s="1">
        <v>6</v>
      </c>
      <c r="B291" t="s">
        <v>3577</v>
      </c>
      <c r="C291">
        <v>54.73</v>
      </c>
      <c r="D291" t="e">
        <f t="shared" si="16"/>
        <v>#NAME?</v>
      </c>
      <c r="E291">
        <v>0.45274700000000001</v>
      </c>
      <c r="F291">
        <v>0</v>
      </c>
      <c r="G291">
        <v>4</v>
      </c>
      <c r="H291">
        <v>13.03</v>
      </c>
    </row>
    <row r="292" spans="1:8">
      <c r="A292" s="1">
        <v>7</v>
      </c>
      <c r="B292" t="s">
        <v>3578</v>
      </c>
      <c r="C292">
        <v>54.56</v>
      </c>
      <c r="D292" t="e">
        <f t="shared" si="16"/>
        <v>#NAME?</v>
      </c>
      <c r="E292">
        <v>0.44255</v>
      </c>
      <c r="F292">
        <v>0</v>
      </c>
      <c r="G292">
        <v>8</v>
      </c>
      <c r="H292">
        <v>12.36</v>
      </c>
    </row>
    <row r="293" spans="1:8">
      <c r="A293" s="1">
        <v>8</v>
      </c>
      <c r="B293" t="s">
        <v>3579</v>
      </c>
      <c r="C293">
        <v>61.12</v>
      </c>
      <c r="D293" t="e">
        <f t="shared" si="16"/>
        <v>#NAME?</v>
      </c>
      <c r="E293">
        <v>0.37844699999999998</v>
      </c>
      <c r="F293">
        <v>0</v>
      </c>
      <c r="G293">
        <v>0</v>
      </c>
      <c r="H293">
        <v>16.57</v>
      </c>
    </row>
    <row r="294" spans="1:8">
      <c r="A294" s="1">
        <v>9</v>
      </c>
      <c r="B294" t="s">
        <v>3580</v>
      </c>
      <c r="C294">
        <v>53.29</v>
      </c>
      <c r="D294" t="e">
        <f t="shared" si="16"/>
        <v>#NAME?</v>
      </c>
      <c r="E294">
        <v>0.41982399999999997</v>
      </c>
      <c r="F294">
        <v>0</v>
      </c>
      <c r="G294">
        <v>4</v>
      </c>
      <c r="H294">
        <v>15.1</v>
      </c>
    </row>
    <row r="295" spans="1:8">
      <c r="A295" s="1">
        <v>10</v>
      </c>
      <c r="B295" t="s">
        <v>3581</v>
      </c>
      <c r="C295">
        <v>53.56</v>
      </c>
      <c r="D295" t="e">
        <f t="shared" si="16"/>
        <v>#NAME?</v>
      </c>
      <c r="E295">
        <v>0.42036200000000001</v>
      </c>
      <c r="F295">
        <v>0</v>
      </c>
      <c r="G295">
        <v>2</v>
      </c>
      <c r="H295">
        <v>13.42</v>
      </c>
    </row>
    <row r="296" spans="1:8">
      <c r="A296" s="1">
        <v>11</v>
      </c>
      <c r="B296" t="s">
        <v>3582</v>
      </c>
      <c r="C296">
        <v>47.64</v>
      </c>
      <c r="D296" t="e">
        <f t="shared" si="16"/>
        <v>#NAME?</v>
      </c>
      <c r="E296">
        <v>0.47374300000000003</v>
      </c>
      <c r="F296">
        <v>0</v>
      </c>
      <c r="G296">
        <v>0</v>
      </c>
      <c r="H296">
        <v>12.09</v>
      </c>
    </row>
    <row r="297" spans="1:8">
      <c r="A297" s="1">
        <v>12</v>
      </c>
      <c r="B297" t="s">
        <v>3583</v>
      </c>
      <c r="C297">
        <v>50.44</v>
      </c>
      <c r="D297" t="e">
        <f t="shared" si="16"/>
        <v>#NAME?</v>
      </c>
      <c r="E297">
        <v>0.429149</v>
      </c>
      <c r="F297">
        <v>0</v>
      </c>
      <c r="G297">
        <v>16</v>
      </c>
      <c r="H297">
        <v>14.1</v>
      </c>
    </row>
    <row r="298" spans="1:8">
      <c r="A298" s="1">
        <v>13</v>
      </c>
      <c r="B298" t="s">
        <v>3584</v>
      </c>
      <c r="C298">
        <v>62.98</v>
      </c>
      <c r="D298" t="e">
        <f t="shared" si="16"/>
        <v>#NAME?</v>
      </c>
      <c r="E298">
        <v>0.34397100000000003</v>
      </c>
      <c r="F298">
        <v>0</v>
      </c>
      <c r="G298">
        <v>2</v>
      </c>
      <c r="H298">
        <v>16.850000000000001</v>
      </c>
    </row>
    <row r="299" spans="1:8">
      <c r="A299" s="1">
        <v>14</v>
      </c>
      <c r="B299" t="s">
        <v>3585</v>
      </c>
      <c r="C299">
        <v>68.72</v>
      </c>
      <c r="D299" t="e">
        <f t="shared" si="16"/>
        <v>#NAME?</v>
      </c>
      <c r="E299">
        <v>0.40814699999999998</v>
      </c>
      <c r="F299">
        <v>0</v>
      </c>
      <c r="G299">
        <v>8</v>
      </c>
      <c r="H299">
        <v>19.29</v>
      </c>
    </row>
    <row r="300" spans="1:8">
      <c r="A300" s="1">
        <v>15</v>
      </c>
      <c r="B300" t="s">
        <v>3586</v>
      </c>
      <c r="C300">
        <v>67.900000000000006</v>
      </c>
      <c r="D300" t="e">
        <f t="shared" si="16"/>
        <v>#NAME?</v>
      </c>
      <c r="E300">
        <v>0.46682499999999999</v>
      </c>
      <c r="F300">
        <v>0</v>
      </c>
      <c r="G300">
        <v>0</v>
      </c>
      <c r="H300">
        <v>17.46</v>
      </c>
    </row>
    <row r="301" spans="1:8">
      <c r="A301" s="1">
        <v>16</v>
      </c>
      <c r="B301" t="s">
        <v>3587</v>
      </c>
      <c r="C301">
        <v>50.79</v>
      </c>
      <c r="D301" t="e">
        <f t="shared" si="16"/>
        <v>#NAME?</v>
      </c>
      <c r="E301">
        <v>0.52405800000000002</v>
      </c>
      <c r="F301">
        <v>0</v>
      </c>
      <c r="G301">
        <v>12</v>
      </c>
      <c r="H301">
        <v>14.37</v>
      </c>
    </row>
    <row r="302" spans="1:8">
      <c r="A302" s="1">
        <v>17</v>
      </c>
      <c r="B302" t="s">
        <v>3588</v>
      </c>
      <c r="C302">
        <v>51.03</v>
      </c>
      <c r="D302" t="e">
        <f t="shared" si="16"/>
        <v>#NAME?</v>
      </c>
      <c r="E302">
        <v>0.48059000000000002</v>
      </c>
      <c r="F302">
        <v>0</v>
      </c>
      <c r="G302">
        <v>4</v>
      </c>
      <c r="H302">
        <v>14.6</v>
      </c>
    </row>
    <row r="303" spans="1:8">
      <c r="A303" s="1">
        <v>18</v>
      </c>
      <c r="B303" t="s">
        <v>3589</v>
      </c>
      <c r="C303">
        <v>55.71</v>
      </c>
      <c r="D303" t="e">
        <f t="shared" si="16"/>
        <v>#NAME?</v>
      </c>
      <c r="E303">
        <v>0.35836899999999999</v>
      </c>
      <c r="F303">
        <v>0</v>
      </c>
      <c r="G303">
        <v>0</v>
      </c>
      <c r="H303">
        <v>15.69</v>
      </c>
    </row>
    <row r="304" spans="1:8">
      <c r="A304" s="1">
        <v>19</v>
      </c>
      <c r="B304" t="s">
        <v>3590</v>
      </c>
      <c r="C304">
        <v>63.24</v>
      </c>
      <c r="D304" t="e">
        <f t="shared" si="16"/>
        <v>#NAME?</v>
      </c>
      <c r="E304">
        <v>0.51957900000000001</v>
      </c>
      <c r="F304">
        <v>0</v>
      </c>
      <c r="G304">
        <v>2</v>
      </c>
      <c r="H304">
        <v>16.329999999999998</v>
      </c>
    </row>
    <row r="305" spans="1:8">
      <c r="A305" s="1">
        <v>20</v>
      </c>
      <c r="B305" t="s">
        <v>3591</v>
      </c>
      <c r="C305">
        <v>58.21</v>
      </c>
      <c r="D305" t="e">
        <f t="shared" si="16"/>
        <v>#NAME?</v>
      </c>
      <c r="E305">
        <v>0.47687400000000002</v>
      </c>
      <c r="F305">
        <v>0</v>
      </c>
      <c r="G305">
        <v>4</v>
      </c>
      <c r="H305">
        <v>14.54</v>
      </c>
    </row>
    <row r="306" spans="1:8">
      <c r="A306" s="1">
        <v>21</v>
      </c>
      <c r="B306" t="s">
        <v>3592</v>
      </c>
      <c r="C306">
        <v>46.71</v>
      </c>
      <c r="D306" t="e">
        <f t="shared" si="16"/>
        <v>#NAME?</v>
      </c>
      <c r="E306">
        <v>0.60463800000000001</v>
      </c>
      <c r="F306">
        <v>0</v>
      </c>
      <c r="G306">
        <v>0</v>
      </c>
      <c r="H306">
        <v>10.4</v>
      </c>
    </row>
    <row r="307" spans="1:8">
      <c r="A307" s="1">
        <v>22</v>
      </c>
      <c r="B307" t="s">
        <v>3593</v>
      </c>
      <c r="C307">
        <v>60.03</v>
      </c>
      <c r="D307" t="e">
        <f t="shared" si="16"/>
        <v>#NAME?</v>
      </c>
      <c r="E307">
        <v>0.52818399999999999</v>
      </c>
      <c r="F307">
        <v>0</v>
      </c>
      <c r="G307">
        <v>74</v>
      </c>
      <c r="H307">
        <v>15.92</v>
      </c>
    </row>
    <row r="308" spans="1:8">
      <c r="A308" s="1">
        <v>23</v>
      </c>
      <c r="B308" t="s">
        <v>3594</v>
      </c>
      <c r="C308">
        <v>57.38</v>
      </c>
      <c r="D308" t="e">
        <f t="shared" si="16"/>
        <v>#NAME?</v>
      </c>
      <c r="E308">
        <v>0.476663</v>
      </c>
      <c r="F308">
        <v>0</v>
      </c>
      <c r="G308">
        <v>0</v>
      </c>
      <c r="H308">
        <v>14.88</v>
      </c>
    </row>
    <row r="309" spans="1:8">
      <c r="A309" s="1">
        <v>24</v>
      </c>
      <c r="B309" t="s">
        <v>3595</v>
      </c>
      <c r="C309">
        <v>48.18</v>
      </c>
      <c r="D309" t="e">
        <f t="shared" si="16"/>
        <v>#NAME?</v>
      </c>
      <c r="E309">
        <v>0.40386899999999998</v>
      </c>
      <c r="F309">
        <v>0</v>
      </c>
      <c r="G309">
        <v>8</v>
      </c>
      <c r="H309">
        <v>12.87</v>
      </c>
    </row>
    <row r="310" spans="1:8">
      <c r="A310" s="1">
        <v>25</v>
      </c>
      <c r="B310" t="s">
        <v>3596</v>
      </c>
      <c r="C310">
        <v>55.38</v>
      </c>
      <c r="D310" t="e">
        <f t="shared" si="16"/>
        <v>#NAME?</v>
      </c>
      <c r="E310">
        <v>0.435114</v>
      </c>
      <c r="F310">
        <v>0</v>
      </c>
      <c r="G310">
        <v>4</v>
      </c>
      <c r="H310">
        <v>15.39</v>
      </c>
    </row>
    <row r="311" spans="1:8">
      <c r="A311" s="1">
        <v>26</v>
      </c>
      <c r="B311" t="s">
        <v>3597</v>
      </c>
      <c r="C311">
        <v>56.74</v>
      </c>
      <c r="D311" t="e">
        <f t="shared" si="16"/>
        <v>#NAME?</v>
      </c>
      <c r="E311">
        <v>0.45388000000000001</v>
      </c>
      <c r="F311">
        <v>0</v>
      </c>
      <c r="G311">
        <v>2</v>
      </c>
      <c r="H311">
        <v>14.82</v>
      </c>
    </row>
    <row r="312" spans="1:8">
      <c r="A312" s="1">
        <v>27</v>
      </c>
      <c r="B312" t="s">
        <v>3598</v>
      </c>
      <c r="C312">
        <v>57.94</v>
      </c>
      <c r="D312" t="e">
        <f t="shared" si="16"/>
        <v>#NAME?</v>
      </c>
      <c r="E312">
        <v>0.34105400000000002</v>
      </c>
      <c r="F312">
        <v>0</v>
      </c>
      <c r="G312">
        <v>8</v>
      </c>
      <c r="H312">
        <v>16.940000000000001</v>
      </c>
    </row>
    <row r="313" spans="1:8">
      <c r="A313" s="1">
        <v>28</v>
      </c>
      <c r="B313" t="s">
        <v>3599</v>
      </c>
      <c r="C313">
        <v>54.79</v>
      </c>
      <c r="D313" t="e">
        <f t="shared" si="16"/>
        <v>#NAME?</v>
      </c>
      <c r="E313">
        <v>0.48923499999999998</v>
      </c>
      <c r="F313">
        <v>0</v>
      </c>
      <c r="G313">
        <v>4</v>
      </c>
      <c r="H313">
        <v>15.5</v>
      </c>
    </row>
    <row r="314" spans="1:8">
      <c r="A314" s="1">
        <v>29</v>
      </c>
      <c r="B314" t="s">
        <v>3600</v>
      </c>
      <c r="C314">
        <v>52.22</v>
      </c>
      <c r="D314" t="e">
        <f t="shared" si="16"/>
        <v>#NAME?</v>
      </c>
      <c r="E314">
        <v>0.42388100000000001</v>
      </c>
      <c r="F314">
        <v>0</v>
      </c>
      <c r="G314">
        <v>38</v>
      </c>
      <c r="H314">
        <v>12.3</v>
      </c>
    </row>
    <row r="315" spans="1:8">
      <c r="A315" s="1">
        <v>30</v>
      </c>
      <c r="B315" t="s">
        <v>3601</v>
      </c>
      <c r="C315">
        <v>60.65</v>
      </c>
      <c r="D315" t="e">
        <f t="shared" si="16"/>
        <v>#NAME?</v>
      </c>
      <c r="E315">
        <v>0.44272699999999998</v>
      </c>
      <c r="F315">
        <v>0</v>
      </c>
      <c r="G315">
        <v>16</v>
      </c>
      <c r="H315">
        <v>15.22</v>
      </c>
    </row>
    <row r="316" spans="1:8">
      <c r="A316" s="1">
        <v>31</v>
      </c>
      <c r="B316" t="s">
        <v>3602</v>
      </c>
      <c r="C316">
        <v>58.39</v>
      </c>
      <c r="D316" t="e">
        <f t="shared" si="16"/>
        <v>#NAME?</v>
      </c>
      <c r="E316">
        <v>0.42154799999999998</v>
      </c>
      <c r="F316">
        <v>0</v>
      </c>
      <c r="G316">
        <v>10</v>
      </c>
      <c r="H316">
        <v>16.989999999999998</v>
      </c>
    </row>
    <row r="317" spans="1:8">
      <c r="A317" s="1">
        <v>32</v>
      </c>
      <c r="B317" t="s">
        <v>3603</v>
      </c>
      <c r="C317">
        <v>61.09</v>
      </c>
      <c r="D317" t="e">
        <f t="shared" si="16"/>
        <v>#NAME?</v>
      </c>
      <c r="E317">
        <v>0.44925700000000002</v>
      </c>
      <c r="F317">
        <v>0</v>
      </c>
      <c r="G317">
        <v>2</v>
      </c>
      <c r="H317">
        <v>15.23</v>
      </c>
    </row>
    <row r="318" spans="1:8">
      <c r="A318" s="1">
        <v>33</v>
      </c>
      <c r="B318" t="s">
        <v>3604</v>
      </c>
      <c r="C318">
        <v>51.75</v>
      </c>
      <c r="D318" t="e">
        <f t="shared" ref="D318:D335" si="17">-inf</f>
        <v>#NAME?</v>
      </c>
      <c r="E318">
        <v>0.438498</v>
      </c>
      <c r="F318">
        <v>0</v>
      </c>
      <c r="G318">
        <v>0</v>
      </c>
      <c r="H318">
        <v>13.5</v>
      </c>
    </row>
    <row r="319" spans="1:8">
      <c r="A319" s="1">
        <v>34</v>
      </c>
      <c r="B319" t="s">
        <v>3605</v>
      </c>
      <c r="C319">
        <v>45.09</v>
      </c>
      <c r="D319" t="e">
        <f t="shared" si="17"/>
        <v>#NAME?</v>
      </c>
      <c r="E319">
        <v>0.40332299999999999</v>
      </c>
      <c r="F319">
        <v>0</v>
      </c>
      <c r="G319">
        <v>28</v>
      </c>
      <c r="H319">
        <v>11.73</v>
      </c>
    </row>
    <row r="320" spans="1:8">
      <c r="A320" s="1">
        <v>35</v>
      </c>
      <c r="B320" t="s">
        <v>3606</v>
      </c>
      <c r="C320">
        <v>49.08</v>
      </c>
      <c r="D320" t="e">
        <f t="shared" si="17"/>
        <v>#NAME?</v>
      </c>
      <c r="E320">
        <v>0.35665400000000003</v>
      </c>
      <c r="F320">
        <v>0</v>
      </c>
      <c r="G320">
        <v>12</v>
      </c>
      <c r="H320">
        <v>12.18</v>
      </c>
    </row>
    <row r="321" spans="1:8">
      <c r="A321" s="1">
        <v>36</v>
      </c>
      <c r="B321" t="s">
        <v>3607</v>
      </c>
      <c r="C321">
        <v>61.07</v>
      </c>
      <c r="D321" t="e">
        <f t="shared" si="17"/>
        <v>#NAME?</v>
      </c>
      <c r="E321">
        <v>0.49685200000000002</v>
      </c>
      <c r="F321">
        <v>0</v>
      </c>
      <c r="G321">
        <v>10</v>
      </c>
      <c r="H321">
        <v>17.440000000000001</v>
      </c>
    </row>
    <row r="322" spans="1:8">
      <c r="A322" s="1">
        <v>37</v>
      </c>
      <c r="B322" t="s">
        <v>3608</v>
      </c>
      <c r="C322">
        <v>53.16</v>
      </c>
      <c r="D322" t="e">
        <f t="shared" si="17"/>
        <v>#NAME?</v>
      </c>
      <c r="E322">
        <v>0.44068600000000002</v>
      </c>
      <c r="F322">
        <v>0</v>
      </c>
      <c r="G322">
        <v>46</v>
      </c>
      <c r="H322">
        <v>15.58</v>
      </c>
    </row>
    <row r="323" spans="1:8">
      <c r="A323" s="1">
        <v>38</v>
      </c>
      <c r="B323" t="s">
        <v>3609</v>
      </c>
      <c r="C323">
        <v>56.36</v>
      </c>
      <c r="D323" t="e">
        <f t="shared" si="17"/>
        <v>#NAME?</v>
      </c>
      <c r="E323">
        <v>0.52048399999999995</v>
      </c>
      <c r="F323">
        <v>0</v>
      </c>
      <c r="G323">
        <v>0</v>
      </c>
      <c r="H323">
        <v>14.1</v>
      </c>
    </row>
    <row r="324" spans="1:8">
      <c r="A324" s="1">
        <v>39</v>
      </c>
      <c r="B324" t="s">
        <v>3610</v>
      </c>
      <c r="C324">
        <v>51.88</v>
      </c>
      <c r="D324" t="e">
        <f t="shared" si="17"/>
        <v>#NAME?</v>
      </c>
      <c r="E324">
        <v>0.38804300000000003</v>
      </c>
      <c r="F324">
        <v>0</v>
      </c>
      <c r="G324">
        <v>12</v>
      </c>
      <c r="H324">
        <v>12.8</v>
      </c>
    </row>
    <row r="325" spans="1:8">
      <c r="A325" s="1">
        <v>40</v>
      </c>
      <c r="B325" t="s">
        <v>3611</v>
      </c>
      <c r="C325">
        <v>52.46</v>
      </c>
      <c r="D325" t="e">
        <f t="shared" si="17"/>
        <v>#NAME?</v>
      </c>
      <c r="E325">
        <v>0.55707399999999996</v>
      </c>
      <c r="F325">
        <v>0</v>
      </c>
      <c r="G325">
        <v>2</v>
      </c>
      <c r="H325">
        <v>13.43</v>
      </c>
    </row>
    <row r="326" spans="1:8">
      <c r="A326" s="1">
        <v>41</v>
      </c>
      <c r="B326" t="s">
        <v>3612</v>
      </c>
      <c r="C326">
        <v>57.23</v>
      </c>
      <c r="D326" t="e">
        <f t="shared" si="17"/>
        <v>#NAME?</v>
      </c>
      <c r="E326">
        <v>0.472576</v>
      </c>
      <c r="F326">
        <v>0</v>
      </c>
      <c r="G326">
        <v>36</v>
      </c>
      <c r="H326">
        <v>13.95</v>
      </c>
    </row>
    <row r="327" spans="1:8">
      <c r="A327" s="1">
        <v>42</v>
      </c>
      <c r="B327" t="s">
        <v>3613</v>
      </c>
      <c r="C327">
        <v>53.85</v>
      </c>
      <c r="D327" t="e">
        <f t="shared" si="17"/>
        <v>#NAME?</v>
      </c>
      <c r="E327">
        <v>0.49068299999999998</v>
      </c>
      <c r="F327">
        <v>0</v>
      </c>
      <c r="G327">
        <v>48</v>
      </c>
      <c r="H327">
        <v>14.37</v>
      </c>
    </row>
    <row r="328" spans="1:8">
      <c r="A328" s="1">
        <v>43</v>
      </c>
      <c r="B328" t="s">
        <v>3614</v>
      </c>
      <c r="C328">
        <v>47.11</v>
      </c>
      <c r="D328" t="e">
        <f t="shared" si="17"/>
        <v>#NAME?</v>
      </c>
      <c r="E328">
        <v>0.38204399999999999</v>
      </c>
      <c r="F328">
        <v>0</v>
      </c>
      <c r="G328">
        <v>2</v>
      </c>
      <c r="H328">
        <v>11.65</v>
      </c>
    </row>
    <row r="329" spans="1:8">
      <c r="A329" s="1">
        <v>44</v>
      </c>
      <c r="B329" t="s">
        <v>3615</v>
      </c>
      <c r="C329">
        <v>46.47</v>
      </c>
      <c r="D329" t="e">
        <f t="shared" si="17"/>
        <v>#NAME?</v>
      </c>
      <c r="E329">
        <v>0.43860399999999999</v>
      </c>
      <c r="F329">
        <v>0</v>
      </c>
      <c r="G329">
        <v>8</v>
      </c>
      <c r="H329">
        <v>12.2</v>
      </c>
    </row>
    <row r="330" spans="1:8">
      <c r="A330" s="1">
        <v>45</v>
      </c>
      <c r="B330" t="s">
        <v>3616</v>
      </c>
      <c r="C330">
        <v>49.01</v>
      </c>
      <c r="D330" t="e">
        <f t="shared" si="17"/>
        <v>#NAME?</v>
      </c>
      <c r="E330">
        <v>0.52324999999999999</v>
      </c>
      <c r="F330">
        <v>0</v>
      </c>
      <c r="G330">
        <v>16</v>
      </c>
      <c r="H330">
        <v>12.34</v>
      </c>
    </row>
    <row r="331" spans="1:8">
      <c r="A331" s="1">
        <v>46</v>
      </c>
      <c r="B331" t="s">
        <v>3617</v>
      </c>
      <c r="C331">
        <v>51.57</v>
      </c>
      <c r="D331" t="e">
        <f t="shared" si="17"/>
        <v>#NAME?</v>
      </c>
      <c r="E331">
        <v>0.46171299999999998</v>
      </c>
      <c r="F331">
        <v>0</v>
      </c>
      <c r="G331">
        <v>10</v>
      </c>
      <c r="H331">
        <v>13.06</v>
      </c>
    </row>
    <row r="332" spans="1:8">
      <c r="A332" s="1">
        <v>47</v>
      </c>
      <c r="B332" t="s">
        <v>3618</v>
      </c>
      <c r="C332">
        <v>48.9</v>
      </c>
      <c r="D332" t="e">
        <f t="shared" si="17"/>
        <v>#NAME?</v>
      </c>
      <c r="E332">
        <v>0.455322</v>
      </c>
      <c r="F332">
        <v>0</v>
      </c>
      <c r="G332">
        <v>38</v>
      </c>
      <c r="H332">
        <v>13.62</v>
      </c>
    </row>
    <row r="333" spans="1:8">
      <c r="A333" s="1">
        <v>48</v>
      </c>
      <c r="B333" t="s">
        <v>3619</v>
      </c>
      <c r="C333">
        <v>48.19</v>
      </c>
      <c r="D333" t="e">
        <f t="shared" si="17"/>
        <v>#NAME?</v>
      </c>
      <c r="E333">
        <v>0.45192199999999999</v>
      </c>
      <c r="F333">
        <v>0</v>
      </c>
      <c r="G333">
        <v>18</v>
      </c>
      <c r="H333">
        <v>14.39</v>
      </c>
    </row>
    <row r="334" spans="1:8">
      <c r="A334" s="1">
        <v>49</v>
      </c>
      <c r="B334" t="s">
        <v>3620</v>
      </c>
      <c r="C334">
        <v>59.46</v>
      </c>
      <c r="D334" t="e">
        <f t="shared" si="17"/>
        <v>#NAME?</v>
      </c>
      <c r="E334">
        <v>0.44798399999999999</v>
      </c>
      <c r="F334">
        <v>0</v>
      </c>
      <c r="G334">
        <v>4</v>
      </c>
      <c r="H334">
        <v>17.100000000000001</v>
      </c>
    </row>
    <row r="335" spans="1:8">
      <c r="A335" s="1">
        <v>50</v>
      </c>
      <c r="B335" t="s">
        <v>3621</v>
      </c>
      <c r="C335">
        <v>48.44</v>
      </c>
      <c r="D335" t="e">
        <f t="shared" si="17"/>
        <v>#NAME?</v>
      </c>
      <c r="E335">
        <v>0.45920800000000001</v>
      </c>
      <c r="F335">
        <v>0</v>
      </c>
      <c r="G335">
        <v>16</v>
      </c>
      <c r="H335">
        <v>12.52</v>
      </c>
    </row>
    <row r="336" spans="1:8">
      <c r="B336" s="1" t="s">
        <v>19</v>
      </c>
      <c r="C336" s="1">
        <f>AVERAGE(C286:C335)</f>
        <v>54.540800000000019</v>
      </c>
      <c r="D336" s="1" t="e">
        <f t="shared" ref="D336:H336" si="18">AVERAGE(D286:D335)</f>
        <v>#NAME?</v>
      </c>
      <c r="E336" s="1">
        <f t="shared" si="18"/>
        <v>0.44965875999999999</v>
      </c>
      <c r="F336" s="1">
        <f t="shared" si="18"/>
        <v>0</v>
      </c>
      <c r="G336" s="1">
        <f t="shared" si="18"/>
        <v>11.88</v>
      </c>
      <c r="H336" s="1">
        <f t="shared" si="18"/>
        <v>14.342400000000003</v>
      </c>
    </row>
    <row r="337" spans="1:8">
      <c r="B337" s="1" t="s">
        <v>20</v>
      </c>
      <c r="C337" s="1">
        <f>MIN(C285:C335)</f>
        <v>42.73</v>
      </c>
      <c r="D337" s="1" t="e">
        <f t="shared" ref="D337:F337" si="19">MIN(D285:D335)</f>
        <v>#NAME?</v>
      </c>
      <c r="E337" s="1">
        <f t="shared" si="19"/>
        <v>0.34105400000000002</v>
      </c>
      <c r="F337" s="1">
        <f t="shared" si="19"/>
        <v>0</v>
      </c>
      <c r="H337" s="1">
        <f t="shared" ref="H337" si="20">MIN(H285:H335)</f>
        <v>10.4</v>
      </c>
    </row>
    <row r="338" spans="1:8">
      <c r="B338" s="1" t="s">
        <v>3</v>
      </c>
      <c r="C338" s="1">
        <f>STDEV(C286:C335)</f>
        <v>6.3102928034523567</v>
      </c>
      <c r="D338" s="1" t="e">
        <f t="shared" ref="D338:E338" si="21">STDEV(D286:D335)</f>
        <v>#NAME?</v>
      </c>
      <c r="E338" s="1">
        <f t="shared" si="21"/>
        <v>5.3770540033101402E-2</v>
      </c>
      <c r="F338" s="1">
        <f>STDEV(F286:F335)</f>
        <v>0</v>
      </c>
      <c r="H338" s="1">
        <f>STDEV(H286:H335)</f>
        <v>2.0240317009697684</v>
      </c>
    </row>
    <row r="340" spans="1:8">
      <c r="H340" s="23" t="s">
        <v>1435</v>
      </c>
    </row>
    <row r="341" spans="1:8" ht="18">
      <c r="A341" s="23" t="s">
        <v>7</v>
      </c>
      <c r="B341" s="3" t="s">
        <v>6</v>
      </c>
      <c r="C341" s="23" t="s">
        <v>4</v>
      </c>
      <c r="D341" s="23" t="s">
        <v>322</v>
      </c>
      <c r="E341" s="23" t="s">
        <v>321</v>
      </c>
      <c r="F341" s="23" t="s">
        <v>324</v>
      </c>
      <c r="G341" s="23" t="s">
        <v>323</v>
      </c>
      <c r="H341" s="23" t="s">
        <v>1436</v>
      </c>
    </row>
    <row r="342" spans="1:8">
      <c r="A342" s="1">
        <v>1</v>
      </c>
      <c r="B342" t="s">
        <v>3622</v>
      </c>
      <c r="C342">
        <v>54.9</v>
      </c>
      <c r="D342" t="e">
        <f t="shared" ref="D342:D373" si="22">-inf</f>
        <v>#NAME?</v>
      </c>
      <c r="E342">
        <v>0.43858000000000003</v>
      </c>
      <c r="F342">
        <v>0</v>
      </c>
      <c r="G342">
        <v>0</v>
      </c>
      <c r="H342">
        <v>14.46</v>
      </c>
    </row>
    <row r="343" spans="1:8">
      <c r="A343" s="1">
        <v>2</v>
      </c>
      <c r="B343" t="s">
        <v>3623</v>
      </c>
      <c r="C343">
        <v>45.04</v>
      </c>
      <c r="D343" t="e">
        <f t="shared" si="22"/>
        <v>#NAME?</v>
      </c>
      <c r="E343">
        <v>0.46033600000000002</v>
      </c>
      <c r="F343">
        <v>0</v>
      </c>
      <c r="G343">
        <v>10</v>
      </c>
      <c r="H343">
        <v>12.15</v>
      </c>
    </row>
    <row r="344" spans="1:8">
      <c r="A344" s="1">
        <v>3</v>
      </c>
      <c r="B344" t="s">
        <v>3624</v>
      </c>
      <c r="C344">
        <v>55.86</v>
      </c>
      <c r="D344" t="e">
        <f t="shared" si="22"/>
        <v>#NAME?</v>
      </c>
      <c r="E344">
        <v>0.47680699999999998</v>
      </c>
      <c r="F344">
        <v>0</v>
      </c>
      <c r="G344">
        <v>28</v>
      </c>
      <c r="H344">
        <v>14.4</v>
      </c>
    </row>
    <row r="345" spans="1:8">
      <c r="A345" s="1">
        <v>4</v>
      </c>
      <c r="B345" t="s">
        <v>3625</v>
      </c>
      <c r="C345">
        <v>50.35</v>
      </c>
      <c r="D345" t="e">
        <f t="shared" si="22"/>
        <v>#NAME?</v>
      </c>
      <c r="E345">
        <v>0.40184900000000001</v>
      </c>
      <c r="F345">
        <v>0</v>
      </c>
      <c r="G345">
        <v>4</v>
      </c>
      <c r="H345">
        <v>12.07</v>
      </c>
    </row>
    <row r="346" spans="1:8">
      <c r="A346" s="1">
        <v>5</v>
      </c>
      <c r="B346" t="s">
        <v>3626</v>
      </c>
      <c r="C346">
        <v>55.22</v>
      </c>
      <c r="D346" t="e">
        <f t="shared" si="22"/>
        <v>#NAME?</v>
      </c>
      <c r="E346">
        <v>0.47895399999999999</v>
      </c>
      <c r="F346">
        <v>0</v>
      </c>
      <c r="G346">
        <v>12</v>
      </c>
      <c r="H346">
        <v>15.8</v>
      </c>
    </row>
    <row r="347" spans="1:8">
      <c r="A347" s="1">
        <v>6</v>
      </c>
      <c r="B347" t="s">
        <v>3627</v>
      </c>
      <c r="C347">
        <v>54.03</v>
      </c>
      <c r="D347" t="e">
        <f t="shared" si="22"/>
        <v>#NAME?</v>
      </c>
      <c r="E347">
        <v>0.38709700000000002</v>
      </c>
      <c r="F347">
        <v>0</v>
      </c>
      <c r="G347">
        <v>28</v>
      </c>
      <c r="H347">
        <v>13.97</v>
      </c>
    </row>
    <row r="348" spans="1:8">
      <c r="A348" s="1">
        <v>7</v>
      </c>
      <c r="B348" t="s">
        <v>3628</v>
      </c>
      <c r="C348">
        <v>44.09</v>
      </c>
      <c r="D348" t="e">
        <f t="shared" si="22"/>
        <v>#NAME?</v>
      </c>
      <c r="E348">
        <v>0.44289499999999998</v>
      </c>
      <c r="F348">
        <v>0</v>
      </c>
      <c r="G348">
        <v>0</v>
      </c>
      <c r="H348">
        <v>11.26</v>
      </c>
    </row>
    <row r="349" spans="1:8">
      <c r="A349" s="1">
        <v>8</v>
      </c>
      <c r="B349" t="s">
        <v>3629</v>
      </c>
      <c r="C349">
        <v>56.72</v>
      </c>
      <c r="D349" t="e">
        <f t="shared" si="22"/>
        <v>#NAME?</v>
      </c>
      <c r="E349">
        <v>0.485232</v>
      </c>
      <c r="F349">
        <v>0</v>
      </c>
      <c r="G349">
        <v>16</v>
      </c>
      <c r="H349">
        <v>13.77</v>
      </c>
    </row>
    <row r="350" spans="1:8">
      <c r="A350" s="1">
        <v>9</v>
      </c>
      <c r="B350" t="s">
        <v>3630</v>
      </c>
      <c r="C350">
        <v>48.86</v>
      </c>
      <c r="D350" t="e">
        <f t="shared" si="22"/>
        <v>#NAME?</v>
      </c>
      <c r="E350">
        <v>0.33342899999999998</v>
      </c>
      <c r="F350">
        <v>0</v>
      </c>
      <c r="G350">
        <v>4</v>
      </c>
      <c r="H350">
        <v>12.5</v>
      </c>
    </row>
    <row r="351" spans="1:8">
      <c r="A351" s="1">
        <v>10</v>
      </c>
      <c r="B351" t="s">
        <v>3631</v>
      </c>
      <c r="C351">
        <v>50.03</v>
      </c>
      <c r="D351" t="e">
        <f t="shared" si="22"/>
        <v>#NAME?</v>
      </c>
      <c r="E351">
        <v>0.443631</v>
      </c>
      <c r="F351">
        <v>0</v>
      </c>
      <c r="G351">
        <v>8</v>
      </c>
      <c r="H351">
        <v>13.38</v>
      </c>
    </row>
    <row r="352" spans="1:8">
      <c r="A352" s="1">
        <v>11</v>
      </c>
      <c r="B352" t="s">
        <v>3632</v>
      </c>
      <c r="C352">
        <v>39.11</v>
      </c>
      <c r="D352" t="e">
        <f t="shared" si="22"/>
        <v>#NAME?</v>
      </c>
      <c r="E352">
        <v>0.35114000000000001</v>
      </c>
      <c r="F352">
        <v>0</v>
      </c>
      <c r="G352">
        <v>0</v>
      </c>
      <c r="H352">
        <v>10.41</v>
      </c>
    </row>
    <row r="353" spans="1:8">
      <c r="A353" s="1">
        <v>12</v>
      </c>
      <c r="B353" t="s">
        <v>3633</v>
      </c>
      <c r="C353">
        <v>50.63</v>
      </c>
      <c r="D353" t="e">
        <f t="shared" si="22"/>
        <v>#NAME?</v>
      </c>
      <c r="E353">
        <v>0.48663400000000001</v>
      </c>
      <c r="F353">
        <v>0</v>
      </c>
      <c r="G353">
        <v>0</v>
      </c>
      <c r="H353">
        <v>12.68</v>
      </c>
    </row>
    <row r="354" spans="1:8">
      <c r="A354" s="1">
        <v>13</v>
      </c>
      <c r="B354" t="s">
        <v>3634</v>
      </c>
      <c r="C354">
        <v>54.87</v>
      </c>
      <c r="D354" t="e">
        <f t="shared" si="22"/>
        <v>#NAME?</v>
      </c>
      <c r="E354">
        <v>0.48596800000000001</v>
      </c>
      <c r="F354">
        <v>0</v>
      </c>
      <c r="G354">
        <v>16</v>
      </c>
      <c r="H354">
        <v>12.73</v>
      </c>
    </row>
    <row r="355" spans="1:8">
      <c r="A355" s="1">
        <v>14</v>
      </c>
      <c r="B355" t="s">
        <v>3635</v>
      </c>
      <c r="C355">
        <v>53.37</v>
      </c>
      <c r="D355" t="e">
        <f t="shared" si="22"/>
        <v>#NAME?</v>
      </c>
      <c r="E355">
        <v>0.42648799999999998</v>
      </c>
      <c r="F355">
        <v>0</v>
      </c>
      <c r="G355">
        <v>4</v>
      </c>
      <c r="H355">
        <v>13.43</v>
      </c>
    </row>
    <row r="356" spans="1:8">
      <c r="A356" s="1">
        <v>15</v>
      </c>
      <c r="B356" t="s">
        <v>3636</v>
      </c>
      <c r="C356">
        <v>47.28</v>
      </c>
      <c r="D356" t="e">
        <f t="shared" si="22"/>
        <v>#NAME?</v>
      </c>
      <c r="E356">
        <v>0.302591</v>
      </c>
      <c r="F356">
        <v>0</v>
      </c>
      <c r="G356">
        <v>14</v>
      </c>
      <c r="H356">
        <v>11.61</v>
      </c>
    </row>
    <row r="357" spans="1:8">
      <c r="A357" s="1">
        <v>16</v>
      </c>
      <c r="B357" t="s">
        <v>3637</v>
      </c>
      <c r="C357">
        <v>42.4</v>
      </c>
      <c r="D357" t="e">
        <f t="shared" si="22"/>
        <v>#NAME?</v>
      </c>
      <c r="E357">
        <v>0.43871100000000002</v>
      </c>
      <c r="F357">
        <v>0</v>
      </c>
      <c r="G357">
        <v>0</v>
      </c>
      <c r="H357">
        <v>10.15</v>
      </c>
    </row>
    <row r="358" spans="1:8">
      <c r="A358" s="1">
        <v>17</v>
      </c>
      <c r="B358" t="s">
        <v>3638</v>
      </c>
      <c r="C358">
        <v>44.91</v>
      </c>
      <c r="D358" t="e">
        <f t="shared" si="22"/>
        <v>#NAME?</v>
      </c>
      <c r="E358">
        <v>0.34427799999999997</v>
      </c>
      <c r="F358">
        <v>0</v>
      </c>
      <c r="G358">
        <v>2</v>
      </c>
      <c r="H358">
        <v>11.3</v>
      </c>
    </row>
    <row r="359" spans="1:8">
      <c r="A359" s="1">
        <v>18</v>
      </c>
      <c r="B359" t="s">
        <v>3639</v>
      </c>
      <c r="C359">
        <v>44.85</v>
      </c>
      <c r="D359" t="e">
        <f t="shared" si="22"/>
        <v>#NAME?</v>
      </c>
      <c r="E359">
        <v>0.45823900000000001</v>
      </c>
      <c r="F359">
        <v>0</v>
      </c>
      <c r="G359">
        <v>6</v>
      </c>
      <c r="H359">
        <v>11.46</v>
      </c>
    </row>
    <row r="360" spans="1:8">
      <c r="A360" s="1">
        <v>19</v>
      </c>
      <c r="B360" t="s">
        <v>3640</v>
      </c>
      <c r="C360">
        <v>45.36</v>
      </c>
      <c r="D360" t="e">
        <f t="shared" si="22"/>
        <v>#NAME?</v>
      </c>
      <c r="E360">
        <v>0.40549499999999999</v>
      </c>
      <c r="F360">
        <v>0</v>
      </c>
      <c r="G360">
        <v>10</v>
      </c>
      <c r="H360">
        <v>11.73</v>
      </c>
    </row>
    <row r="361" spans="1:8">
      <c r="A361" s="1">
        <v>20</v>
      </c>
      <c r="B361" t="s">
        <v>3641</v>
      </c>
      <c r="C361">
        <v>50.78</v>
      </c>
      <c r="D361" t="e">
        <f t="shared" si="22"/>
        <v>#NAME?</v>
      </c>
      <c r="E361">
        <v>0.52575899999999998</v>
      </c>
      <c r="F361">
        <v>0</v>
      </c>
      <c r="G361">
        <v>28</v>
      </c>
      <c r="H361">
        <v>13.73</v>
      </c>
    </row>
    <row r="362" spans="1:8">
      <c r="A362" s="1">
        <v>21</v>
      </c>
      <c r="B362" t="s">
        <v>3642</v>
      </c>
      <c r="C362">
        <v>43.86</v>
      </c>
      <c r="D362" t="e">
        <f t="shared" si="22"/>
        <v>#NAME?</v>
      </c>
      <c r="E362">
        <v>0.35830600000000001</v>
      </c>
      <c r="F362">
        <v>0</v>
      </c>
      <c r="G362">
        <v>26</v>
      </c>
      <c r="H362">
        <v>12.18</v>
      </c>
    </row>
    <row r="363" spans="1:8">
      <c r="A363" s="1">
        <v>22</v>
      </c>
      <c r="B363" t="s">
        <v>3643</v>
      </c>
      <c r="C363">
        <v>41.19</v>
      </c>
      <c r="D363" t="e">
        <f t="shared" si="22"/>
        <v>#NAME?</v>
      </c>
      <c r="E363">
        <v>0.28215499999999999</v>
      </c>
      <c r="F363">
        <v>0</v>
      </c>
      <c r="G363">
        <v>0</v>
      </c>
      <c r="H363">
        <v>11.6</v>
      </c>
    </row>
    <row r="364" spans="1:8">
      <c r="A364" s="1">
        <v>23</v>
      </c>
      <c r="B364" t="s">
        <v>3644</v>
      </c>
      <c r="C364">
        <v>41.89</v>
      </c>
      <c r="D364" t="e">
        <f t="shared" si="22"/>
        <v>#NAME?</v>
      </c>
      <c r="E364">
        <v>0.44246999999999997</v>
      </c>
      <c r="F364">
        <v>0</v>
      </c>
      <c r="G364">
        <v>0</v>
      </c>
      <c r="H364">
        <v>9.89</v>
      </c>
    </row>
    <row r="365" spans="1:8">
      <c r="A365" s="1">
        <v>24</v>
      </c>
      <c r="B365" t="s">
        <v>3645</v>
      </c>
      <c r="C365">
        <v>57.94</v>
      </c>
      <c r="D365" t="e">
        <f t="shared" si="22"/>
        <v>#NAME?</v>
      </c>
      <c r="E365">
        <v>0.46981499999999998</v>
      </c>
      <c r="F365">
        <v>0</v>
      </c>
      <c r="G365">
        <v>0</v>
      </c>
      <c r="H365">
        <v>14.99</v>
      </c>
    </row>
    <row r="366" spans="1:8">
      <c r="A366" s="1">
        <v>25</v>
      </c>
      <c r="B366" t="s">
        <v>3646</v>
      </c>
      <c r="C366">
        <v>48.27</v>
      </c>
      <c r="D366" t="e">
        <f t="shared" si="22"/>
        <v>#NAME?</v>
      </c>
      <c r="E366">
        <v>0.445546</v>
      </c>
      <c r="F366">
        <v>0</v>
      </c>
      <c r="G366">
        <v>2</v>
      </c>
      <c r="H366">
        <v>11.31</v>
      </c>
    </row>
    <row r="367" spans="1:8">
      <c r="A367" s="1">
        <v>26</v>
      </c>
      <c r="B367" t="s">
        <v>3647</v>
      </c>
      <c r="C367">
        <v>44.05</v>
      </c>
      <c r="D367" t="e">
        <f t="shared" si="22"/>
        <v>#NAME?</v>
      </c>
      <c r="E367">
        <v>0.51806600000000003</v>
      </c>
      <c r="F367">
        <v>0</v>
      </c>
      <c r="G367">
        <v>2</v>
      </c>
      <c r="H367">
        <v>10.19</v>
      </c>
    </row>
    <row r="368" spans="1:8">
      <c r="A368" s="1">
        <v>27</v>
      </c>
      <c r="B368" t="s">
        <v>3648</v>
      </c>
      <c r="C368">
        <v>49.13</v>
      </c>
      <c r="D368" t="e">
        <f t="shared" si="22"/>
        <v>#NAME?</v>
      </c>
      <c r="E368">
        <v>0.38561600000000001</v>
      </c>
      <c r="F368">
        <v>0</v>
      </c>
      <c r="G368">
        <v>6</v>
      </c>
      <c r="H368">
        <v>12.4</v>
      </c>
    </row>
    <row r="369" spans="1:8">
      <c r="A369" s="1">
        <v>28</v>
      </c>
      <c r="B369" t="s">
        <v>3649</v>
      </c>
      <c r="C369">
        <v>38.57</v>
      </c>
      <c r="D369" t="e">
        <f t="shared" si="22"/>
        <v>#NAME?</v>
      </c>
      <c r="E369">
        <v>0.47907300000000003</v>
      </c>
      <c r="F369">
        <v>0</v>
      </c>
      <c r="G369">
        <v>18</v>
      </c>
      <c r="H369">
        <v>9.39</v>
      </c>
    </row>
    <row r="370" spans="1:8">
      <c r="A370" s="1">
        <v>29</v>
      </c>
      <c r="B370" t="s">
        <v>3650</v>
      </c>
      <c r="C370">
        <v>45.18</v>
      </c>
      <c r="D370" t="e">
        <f t="shared" si="22"/>
        <v>#NAME?</v>
      </c>
      <c r="E370">
        <v>0.37322699999999998</v>
      </c>
      <c r="F370">
        <v>0</v>
      </c>
      <c r="G370">
        <v>22</v>
      </c>
      <c r="H370">
        <v>11.34</v>
      </c>
    </row>
    <row r="371" spans="1:8">
      <c r="A371" s="1">
        <v>30</v>
      </c>
      <c r="B371" t="s">
        <v>3651</v>
      </c>
      <c r="C371">
        <v>44.97</v>
      </c>
      <c r="D371" t="e">
        <f t="shared" si="22"/>
        <v>#NAME?</v>
      </c>
      <c r="E371">
        <v>0.55653799999999998</v>
      </c>
      <c r="F371">
        <v>0</v>
      </c>
      <c r="G371">
        <v>24</v>
      </c>
      <c r="H371">
        <v>11.1</v>
      </c>
    </row>
    <row r="372" spans="1:8">
      <c r="A372" s="1">
        <v>31</v>
      </c>
      <c r="B372" t="s">
        <v>3652</v>
      </c>
      <c r="C372">
        <v>44.7</v>
      </c>
      <c r="D372" t="e">
        <f t="shared" si="22"/>
        <v>#NAME?</v>
      </c>
      <c r="E372">
        <v>0.430647</v>
      </c>
      <c r="F372">
        <v>0</v>
      </c>
      <c r="G372">
        <v>12</v>
      </c>
      <c r="H372">
        <v>11.23</v>
      </c>
    </row>
    <row r="373" spans="1:8">
      <c r="A373" s="1">
        <v>32</v>
      </c>
      <c r="B373" t="s">
        <v>3653</v>
      </c>
      <c r="C373">
        <v>56.75</v>
      </c>
      <c r="D373" t="e">
        <f t="shared" si="22"/>
        <v>#NAME?</v>
      </c>
      <c r="E373">
        <v>0.436838</v>
      </c>
      <c r="F373">
        <v>0</v>
      </c>
      <c r="G373">
        <v>8</v>
      </c>
      <c r="H373">
        <v>14.25</v>
      </c>
    </row>
    <row r="374" spans="1:8">
      <c r="A374" s="1">
        <v>33</v>
      </c>
      <c r="B374" t="s">
        <v>3654</v>
      </c>
      <c r="C374">
        <v>49.46</v>
      </c>
      <c r="D374" t="e">
        <f t="shared" ref="D374:D391" si="23">-inf</f>
        <v>#NAME?</v>
      </c>
      <c r="E374">
        <v>0.45963799999999999</v>
      </c>
      <c r="F374">
        <v>0</v>
      </c>
      <c r="G374">
        <v>12</v>
      </c>
      <c r="H374">
        <v>13.47</v>
      </c>
    </row>
    <row r="375" spans="1:8">
      <c r="A375" s="1">
        <v>34</v>
      </c>
      <c r="B375" t="s">
        <v>3655</v>
      </c>
      <c r="C375">
        <v>46.13</v>
      </c>
      <c r="D375" t="e">
        <f t="shared" si="23"/>
        <v>#NAME?</v>
      </c>
      <c r="E375">
        <v>0.35042699999999999</v>
      </c>
      <c r="F375">
        <v>0</v>
      </c>
      <c r="G375">
        <v>10</v>
      </c>
      <c r="H375">
        <v>11.58</v>
      </c>
    </row>
    <row r="376" spans="1:8">
      <c r="A376" s="1">
        <v>35</v>
      </c>
      <c r="B376" t="s">
        <v>3656</v>
      </c>
      <c r="C376">
        <v>47.63</v>
      </c>
      <c r="D376" t="e">
        <f t="shared" si="23"/>
        <v>#NAME?</v>
      </c>
      <c r="E376">
        <v>0.40093299999999998</v>
      </c>
      <c r="F376">
        <v>0</v>
      </c>
      <c r="G376">
        <v>2</v>
      </c>
      <c r="H376">
        <v>12.73</v>
      </c>
    </row>
    <row r="377" spans="1:8">
      <c r="A377" s="1">
        <v>36</v>
      </c>
      <c r="B377" t="s">
        <v>3657</v>
      </c>
      <c r="C377">
        <v>53.73</v>
      </c>
      <c r="D377" t="e">
        <f t="shared" si="23"/>
        <v>#NAME?</v>
      </c>
      <c r="E377">
        <v>0.44512499999999999</v>
      </c>
      <c r="F377">
        <v>0</v>
      </c>
      <c r="G377">
        <v>8</v>
      </c>
      <c r="H377">
        <v>14.17</v>
      </c>
    </row>
    <row r="378" spans="1:8">
      <c r="A378" s="1">
        <v>37</v>
      </c>
      <c r="B378" t="s">
        <v>3658</v>
      </c>
      <c r="C378">
        <v>47.96</v>
      </c>
      <c r="D378" t="e">
        <f t="shared" si="23"/>
        <v>#NAME?</v>
      </c>
      <c r="E378">
        <v>0.40816000000000002</v>
      </c>
      <c r="F378">
        <v>0</v>
      </c>
      <c r="G378">
        <v>4</v>
      </c>
      <c r="H378">
        <v>12.41</v>
      </c>
    </row>
    <row r="379" spans="1:8">
      <c r="A379" s="1">
        <v>38</v>
      </c>
      <c r="B379" t="s">
        <v>3659</v>
      </c>
      <c r="C379">
        <v>49.51</v>
      </c>
      <c r="D379" t="e">
        <f t="shared" si="23"/>
        <v>#NAME?</v>
      </c>
      <c r="E379">
        <v>0.377247</v>
      </c>
      <c r="F379">
        <v>0</v>
      </c>
      <c r="G379">
        <v>0</v>
      </c>
      <c r="H379">
        <v>15.04</v>
      </c>
    </row>
    <row r="380" spans="1:8">
      <c r="A380" s="1">
        <v>39</v>
      </c>
      <c r="B380" t="s">
        <v>3660</v>
      </c>
      <c r="C380">
        <v>49.93</v>
      </c>
      <c r="D380" t="e">
        <f t="shared" si="23"/>
        <v>#NAME?</v>
      </c>
      <c r="E380">
        <v>0.31037799999999999</v>
      </c>
      <c r="F380">
        <v>0</v>
      </c>
      <c r="G380">
        <v>12</v>
      </c>
      <c r="H380">
        <v>15.23</v>
      </c>
    </row>
    <row r="381" spans="1:8">
      <c r="A381" s="1">
        <v>40</v>
      </c>
      <c r="B381" t="s">
        <v>3661</v>
      </c>
      <c r="C381">
        <v>43.68</v>
      </c>
      <c r="D381" t="e">
        <f t="shared" si="23"/>
        <v>#NAME?</v>
      </c>
      <c r="E381">
        <v>0.45944499999999999</v>
      </c>
      <c r="F381">
        <v>0</v>
      </c>
      <c r="G381">
        <v>88</v>
      </c>
      <c r="H381">
        <v>11.05</v>
      </c>
    </row>
    <row r="382" spans="1:8">
      <c r="A382" s="1">
        <v>41</v>
      </c>
      <c r="B382" t="s">
        <v>3662</v>
      </c>
      <c r="C382">
        <v>45.51</v>
      </c>
      <c r="D382" t="e">
        <f t="shared" si="23"/>
        <v>#NAME?</v>
      </c>
      <c r="E382">
        <v>0.42859199999999997</v>
      </c>
      <c r="F382">
        <v>0</v>
      </c>
      <c r="G382">
        <v>12</v>
      </c>
      <c r="H382">
        <v>11.17</v>
      </c>
    </row>
    <row r="383" spans="1:8">
      <c r="A383" s="1">
        <v>42</v>
      </c>
      <c r="B383" t="s">
        <v>3663</v>
      </c>
      <c r="C383">
        <v>47.62</v>
      </c>
      <c r="D383" t="e">
        <f t="shared" si="23"/>
        <v>#NAME?</v>
      </c>
      <c r="E383">
        <v>0.41705199999999998</v>
      </c>
      <c r="F383">
        <v>0</v>
      </c>
      <c r="G383">
        <v>0</v>
      </c>
      <c r="H383">
        <v>11.5</v>
      </c>
    </row>
    <row r="384" spans="1:8">
      <c r="A384" s="1">
        <v>43</v>
      </c>
      <c r="B384" t="s">
        <v>3664</v>
      </c>
      <c r="C384">
        <v>60</v>
      </c>
      <c r="D384" t="e">
        <f t="shared" si="23"/>
        <v>#NAME?</v>
      </c>
      <c r="E384">
        <v>0.38863999999999999</v>
      </c>
      <c r="F384">
        <v>0</v>
      </c>
      <c r="G384">
        <v>4</v>
      </c>
      <c r="H384">
        <v>16.13</v>
      </c>
    </row>
    <row r="385" spans="1:8">
      <c r="A385" s="1">
        <v>44</v>
      </c>
      <c r="B385" t="s">
        <v>3665</v>
      </c>
      <c r="C385">
        <v>47.29</v>
      </c>
      <c r="D385" t="e">
        <f t="shared" si="23"/>
        <v>#NAME?</v>
      </c>
      <c r="E385">
        <v>0.38147199999999998</v>
      </c>
      <c r="F385">
        <v>0</v>
      </c>
      <c r="G385">
        <v>26</v>
      </c>
      <c r="H385">
        <v>12.3</v>
      </c>
    </row>
    <row r="386" spans="1:8">
      <c r="A386" s="1">
        <v>45</v>
      </c>
      <c r="B386" t="s">
        <v>3666</v>
      </c>
      <c r="C386">
        <v>43.37</v>
      </c>
      <c r="D386" t="e">
        <f t="shared" si="23"/>
        <v>#NAME?</v>
      </c>
      <c r="E386">
        <v>0.42644300000000002</v>
      </c>
      <c r="F386">
        <v>0</v>
      </c>
      <c r="G386">
        <v>10</v>
      </c>
      <c r="H386">
        <v>11.05</v>
      </c>
    </row>
    <row r="387" spans="1:8">
      <c r="A387" s="1">
        <v>46</v>
      </c>
      <c r="B387" t="s">
        <v>3667</v>
      </c>
      <c r="C387">
        <v>45.12</v>
      </c>
      <c r="D387" t="e">
        <f t="shared" si="23"/>
        <v>#NAME?</v>
      </c>
      <c r="E387">
        <v>0.24151500000000001</v>
      </c>
      <c r="F387">
        <v>0</v>
      </c>
      <c r="G387">
        <v>2</v>
      </c>
      <c r="H387">
        <v>12.35</v>
      </c>
    </row>
    <row r="388" spans="1:8">
      <c r="A388" s="1">
        <v>47</v>
      </c>
      <c r="B388" t="s">
        <v>3668</v>
      </c>
      <c r="C388">
        <v>41.78</v>
      </c>
      <c r="D388" t="e">
        <f t="shared" si="23"/>
        <v>#NAME?</v>
      </c>
      <c r="E388">
        <v>0.45602500000000001</v>
      </c>
      <c r="F388">
        <v>0</v>
      </c>
      <c r="G388">
        <v>10</v>
      </c>
      <c r="H388">
        <v>10.71</v>
      </c>
    </row>
    <row r="389" spans="1:8">
      <c r="A389" s="1">
        <v>48</v>
      </c>
      <c r="B389" t="s">
        <v>3669</v>
      </c>
      <c r="C389">
        <v>49.1</v>
      </c>
      <c r="D389" t="e">
        <f t="shared" si="23"/>
        <v>#NAME?</v>
      </c>
      <c r="E389">
        <v>0.390459</v>
      </c>
      <c r="F389">
        <v>0</v>
      </c>
      <c r="G389">
        <v>2</v>
      </c>
      <c r="H389">
        <v>11.3</v>
      </c>
    </row>
    <row r="390" spans="1:8">
      <c r="A390" s="1">
        <v>49</v>
      </c>
      <c r="B390" t="s">
        <v>3670</v>
      </c>
      <c r="C390">
        <v>45.36</v>
      </c>
      <c r="D390" t="e">
        <f t="shared" si="23"/>
        <v>#NAME?</v>
      </c>
      <c r="E390">
        <v>0.397119</v>
      </c>
      <c r="F390">
        <v>0</v>
      </c>
      <c r="G390">
        <v>16</v>
      </c>
      <c r="H390">
        <v>11.56</v>
      </c>
    </row>
    <row r="391" spans="1:8">
      <c r="A391" s="1">
        <v>50</v>
      </c>
      <c r="B391" t="s">
        <v>3671</v>
      </c>
      <c r="C391">
        <v>47.35</v>
      </c>
      <c r="D391" t="e">
        <f t="shared" si="23"/>
        <v>#NAME?</v>
      </c>
      <c r="E391">
        <v>0.4259</v>
      </c>
      <c r="F391">
        <v>0</v>
      </c>
      <c r="G391">
        <v>2</v>
      </c>
      <c r="H391">
        <v>12.14</v>
      </c>
    </row>
    <row r="392" spans="1:8">
      <c r="B392" s="1" t="s">
        <v>19</v>
      </c>
      <c r="C392" s="1">
        <f>AVERAGE(C342:C391)</f>
        <v>48.113800000000012</v>
      </c>
      <c r="D392" s="1" t="e">
        <f t="shared" ref="D392:F392" si="24">AVERAGE(D342:D391)</f>
        <v>#NAME?</v>
      </c>
      <c r="E392" s="1">
        <f t="shared" si="24"/>
        <v>0.41833959999999976</v>
      </c>
      <c r="F392" s="1">
        <f t="shared" si="24"/>
        <v>0</v>
      </c>
      <c r="H392" s="1">
        <f t="shared" ref="H392" si="25">AVERAGE(H342:H391)</f>
        <v>12.375</v>
      </c>
    </row>
    <row r="393" spans="1:8">
      <c r="B393" s="1" t="s">
        <v>20</v>
      </c>
      <c r="C393" s="1">
        <f>MIN(C341:C391)</f>
        <v>38.57</v>
      </c>
      <c r="D393" s="1" t="e">
        <f t="shared" ref="D393:F393" si="26">MIN(D341:D391)</f>
        <v>#NAME?</v>
      </c>
      <c r="E393" s="1">
        <f t="shared" si="26"/>
        <v>0.24151500000000001</v>
      </c>
      <c r="F393" s="1">
        <f t="shared" si="26"/>
        <v>0</v>
      </c>
      <c r="H393" s="1">
        <f t="shared" ref="H393" si="27">MIN(H341:H391)</f>
        <v>9.39</v>
      </c>
    </row>
    <row r="394" spans="1:8">
      <c r="B394" s="1" t="s">
        <v>3</v>
      </c>
      <c r="C394" s="1">
        <f>STDEV(C342:C391)</f>
        <v>5.0243983861607981</v>
      </c>
      <c r="D394" s="1" t="e">
        <f t="shared" ref="D394:E394" si="28">STDEV(D342:D391)</f>
        <v>#NAME?</v>
      </c>
      <c r="E394" s="1">
        <f t="shared" si="28"/>
        <v>6.2461544074115451E-2</v>
      </c>
      <c r="F394" s="1">
        <f>STDEV(F342:F391)</f>
        <v>0</v>
      </c>
      <c r="H394" s="1">
        <f>STDEV(H342:H391)</f>
        <v>1.5841436880819226</v>
      </c>
    </row>
    <row r="397" spans="1:8" ht="18">
      <c r="A397" s="23"/>
      <c r="B397" s="3"/>
      <c r="C397" s="23"/>
      <c r="D397" s="23"/>
      <c r="E397" s="23"/>
      <c r="F397" s="23"/>
      <c r="G397" s="23"/>
    </row>
    <row r="421" spans="2:4" ht="18">
      <c r="B421" s="3"/>
      <c r="C421" s="23"/>
      <c r="D421" s="23"/>
    </row>
    <row r="445" spans="2:4" ht="18">
      <c r="B445" s="3"/>
      <c r="C445" s="23"/>
      <c r="D445" s="23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45"/>
  <sheetViews>
    <sheetView topLeftCell="A334" zoomScale="50" zoomScaleNormal="50" workbookViewId="0">
      <selection activeCell="C342" sqref="C342:C391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3924</v>
      </c>
      <c r="C1" s="25"/>
      <c r="D1" s="25"/>
    </row>
    <row r="2" spans="1:8">
      <c r="B2" s="25"/>
      <c r="C2" s="25"/>
      <c r="D2" s="25"/>
    </row>
    <row r="4" spans="1:8">
      <c r="H4" s="23" t="s">
        <v>1435</v>
      </c>
    </row>
    <row r="5" spans="1:8" ht="18">
      <c r="A5" s="23" t="s">
        <v>7</v>
      </c>
      <c r="B5" s="3" t="s">
        <v>0</v>
      </c>
      <c r="C5" s="23" t="s">
        <v>4</v>
      </c>
      <c r="D5" s="23" t="s">
        <v>322</v>
      </c>
      <c r="E5" s="23" t="s">
        <v>321</v>
      </c>
      <c r="F5" s="23" t="s">
        <v>324</v>
      </c>
      <c r="G5" s="23" t="s">
        <v>323</v>
      </c>
      <c r="H5" s="23" t="s">
        <v>1436</v>
      </c>
    </row>
    <row r="6" spans="1:8">
      <c r="A6" s="1">
        <v>1</v>
      </c>
      <c r="B6" t="s">
        <v>1454</v>
      </c>
      <c r="C6">
        <v>88.61</v>
      </c>
      <c r="D6">
        <v>15.89</v>
      </c>
      <c r="E6">
        <v>0.98995</v>
      </c>
      <c r="F6">
        <v>79.680000000000007</v>
      </c>
      <c r="G6">
        <v>0</v>
      </c>
      <c r="H6">
        <v>19.21</v>
      </c>
    </row>
    <row r="7" spans="1:8">
      <c r="A7" s="1">
        <v>2</v>
      </c>
      <c r="B7" t="s">
        <v>1457</v>
      </c>
      <c r="C7">
        <v>141.41</v>
      </c>
      <c r="D7">
        <v>16.21</v>
      </c>
      <c r="E7">
        <v>0.83743299999999998</v>
      </c>
      <c r="F7">
        <v>79.099999999999994</v>
      </c>
      <c r="G7">
        <v>0</v>
      </c>
      <c r="H7">
        <v>46.06</v>
      </c>
    </row>
    <row r="8" spans="1:8">
      <c r="A8" s="1">
        <v>3</v>
      </c>
      <c r="B8" t="s">
        <v>1460</v>
      </c>
      <c r="C8">
        <v>235.66</v>
      </c>
      <c r="D8">
        <v>16.66</v>
      </c>
      <c r="E8">
        <v>0.84960999999999998</v>
      </c>
      <c r="F8">
        <v>136.51</v>
      </c>
      <c r="G8">
        <v>0</v>
      </c>
      <c r="H8">
        <v>52.92</v>
      </c>
    </row>
    <row r="9" spans="1:8">
      <c r="A9" s="1">
        <v>4</v>
      </c>
      <c r="B9" t="s">
        <v>1463</v>
      </c>
      <c r="C9">
        <v>282.99</v>
      </c>
      <c r="D9">
        <v>16.899999999999999</v>
      </c>
      <c r="E9">
        <v>0.99226899999999996</v>
      </c>
      <c r="F9">
        <v>258.01</v>
      </c>
      <c r="G9">
        <v>0</v>
      </c>
      <c r="H9">
        <v>70.03</v>
      </c>
    </row>
    <row r="10" spans="1:8" s="19" customFormat="1">
      <c r="A10" s="19">
        <v>5</v>
      </c>
      <c r="B10" t="s">
        <v>1466</v>
      </c>
      <c r="C10">
        <v>124.61</v>
      </c>
      <c r="D10">
        <v>16.170000000000002</v>
      </c>
      <c r="E10">
        <v>0.95517099999999999</v>
      </c>
      <c r="F10">
        <v>97.61</v>
      </c>
      <c r="G10">
        <v>2</v>
      </c>
      <c r="H10">
        <v>28.24</v>
      </c>
    </row>
    <row r="11" spans="1:8">
      <c r="A11" s="1">
        <v>6</v>
      </c>
      <c r="B11" t="s">
        <v>1469</v>
      </c>
      <c r="C11">
        <v>251.42</v>
      </c>
      <c r="D11">
        <v>16.73</v>
      </c>
      <c r="E11">
        <v>0.86320300000000005</v>
      </c>
      <c r="F11">
        <v>151.33000000000001</v>
      </c>
      <c r="G11">
        <v>2</v>
      </c>
      <c r="H11">
        <v>86.26</v>
      </c>
    </row>
    <row r="12" spans="1:8">
      <c r="A12" s="1">
        <v>7</v>
      </c>
      <c r="B12" t="s">
        <v>1472</v>
      </c>
      <c r="C12">
        <v>179.17</v>
      </c>
      <c r="D12">
        <v>16.350000000000001</v>
      </c>
      <c r="E12">
        <v>0.76626700000000003</v>
      </c>
      <c r="F12">
        <v>80.22</v>
      </c>
      <c r="G12">
        <v>0</v>
      </c>
      <c r="H12">
        <v>44.71</v>
      </c>
    </row>
    <row r="13" spans="1:8">
      <c r="A13" s="1">
        <v>8</v>
      </c>
      <c r="B13" t="s">
        <v>1475</v>
      </c>
      <c r="C13">
        <v>176.66</v>
      </c>
      <c r="D13">
        <v>16.48</v>
      </c>
      <c r="E13">
        <v>0.97644699999999995</v>
      </c>
      <c r="F13">
        <v>149.22</v>
      </c>
      <c r="G13">
        <v>2</v>
      </c>
      <c r="H13">
        <v>55.07</v>
      </c>
    </row>
    <row r="14" spans="1:8">
      <c r="A14" s="1">
        <v>9</v>
      </c>
      <c r="B14" t="s">
        <v>1478</v>
      </c>
      <c r="C14">
        <v>117.39</v>
      </c>
      <c r="D14">
        <v>16.13</v>
      </c>
      <c r="E14">
        <v>0.97475199999999995</v>
      </c>
      <c r="F14">
        <v>98.5</v>
      </c>
      <c r="G14">
        <v>0</v>
      </c>
      <c r="H14">
        <v>28.36</v>
      </c>
    </row>
    <row r="15" spans="1:8">
      <c r="A15" s="1">
        <v>10</v>
      </c>
      <c r="B15" t="s">
        <v>1481</v>
      </c>
      <c r="C15">
        <v>94.1</v>
      </c>
      <c r="D15">
        <v>15.95</v>
      </c>
      <c r="E15">
        <v>0.99811499999999997</v>
      </c>
      <c r="F15">
        <v>90.01</v>
      </c>
      <c r="G15">
        <v>2</v>
      </c>
      <c r="H15">
        <v>19.36</v>
      </c>
    </row>
    <row r="16" spans="1:8">
      <c r="A16" s="1">
        <v>11</v>
      </c>
      <c r="B16" t="s">
        <v>1484</v>
      </c>
      <c r="C16">
        <v>119.69</v>
      </c>
      <c r="D16">
        <v>16.13</v>
      </c>
      <c r="E16">
        <v>0.93718000000000001</v>
      </c>
      <c r="F16">
        <v>88.7</v>
      </c>
      <c r="G16">
        <v>0</v>
      </c>
      <c r="H16">
        <v>28.28</v>
      </c>
    </row>
    <row r="17" spans="1:8">
      <c r="A17" s="1">
        <v>12</v>
      </c>
      <c r="B17" t="s">
        <v>1487</v>
      </c>
      <c r="C17">
        <v>131.31</v>
      </c>
      <c r="D17">
        <v>16.16</v>
      </c>
      <c r="E17">
        <v>0.86437600000000003</v>
      </c>
      <c r="F17">
        <v>79.3</v>
      </c>
      <c r="G17">
        <v>0</v>
      </c>
      <c r="H17">
        <v>28.03</v>
      </c>
    </row>
    <row r="18" spans="1:8">
      <c r="A18" s="1">
        <v>13</v>
      </c>
      <c r="B18" t="s">
        <v>1490</v>
      </c>
      <c r="C18">
        <v>262.48</v>
      </c>
      <c r="D18">
        <v>16.62</v>
      </c>
      <c r="E18">
        <v>0.71765299999999999</v>
      </c>
      <c r="F18">
        <v>97.84</v>
      </c>
      <c r="G18">
        <v>2</v>
      </c>
      <c r="H18">
        <v>74.42</v>
      </c>
    </row>
    <row r="19" spans="1:8">
      <c r="A19" s="1">
        <v>14</v>
      </c>
      <c r="B19" t="s">
        <v>1493</v>
      </c>
      <c r="C19">
        <v>281.77999999999997</v>
      </c>
      <c r="D19">
        <v>16.899999999999999</v>
      </c>
      <c r="E19">
        <v>0.99235700000000004</v>
      </c>
      <c r="F19">
        <v>257.05</v>
      </c>
      <c r="G19">
        <v>2</v>
      </c>
      <c r="H19">
        <v>105.45</v>
      </c>
    </row>
    <row r="20" spans="1:8">
      <c r="A20" s="1">
        <v>15</v>
      </c>
      <c r="B20" t="s">
        <v>1496</v>
      </c>
      <c r="C20">
        <v>201.81</v>
      </c>
      <c r="D20">
        <v>16.41</v>
      </c>
      <c r="E20">
        <v>0.73181399999999996</v>
      </c>
      <c r="F20">
        <v>79.64</v>
      </c>
      <c r="G20">
        <v>2</v>
      </c>
      <c r="H20">
        <v>78.25</v>
      </c>
    </row>
    <row r="21" spans="1:8">
      <c r="A21" s="1">
        <v>16</v>
      </c>
      <c r="B21" t="s">
        <v>1499</v>
      </c>
      <c r="C21">
        <v>169.75</v>
      </c>
      <c r="D21">
        <v>16.440000000000001</v>
      </c>
      <c r="E21">
        <v>0.95835400000000004</v>
      </c>
      <c r="F21">
        <v>134.36000000000001</v>
      </c>
      <c r="G21">
        <v>2</v>
      </c>
      <c r="H21">
        <v>55.48</v>
      </c>
    </row>
    <row r="22" spans="1:8">
      <c r="A22" s="1">
        <v>17</v>
      </c>
      <c r="B22" t="s">
        <v>1502</v>
      </c>
      <c r="C22">
        <v>108.52</v>
      </c>
      <c r="D22">
        <v>16.04</v>
      </c>
      <c r="E22">
        <v>0.93550699999999998</v>
      </c>
      <c r="F22">
        <v>80.03</v>
      </c>
      <c r="G22">
        <v>2</v>
      </c>
      <c r="H22">
        <v>28.44</v>
      </c>
    </row>
    <row r="23" spans="1:8">
      <c r="A23" s="1">
        <v>18</v>
      </c>
      <c r="B23" t="s">
        <v>1505</v>
      </c>
      <c r="C23">
        <v>117.1</v>
      </c>
      <c r="D23">
        <v>16.12</v>
      </c>
      <c r="E23">
        <v>0.97294700000000001</v>
      </c>
      <c r="F23">
        <v>97.57</v>
      </c>
      <c r="G23">
        <v>2</v>
      </c>
      <c r="H23">
        <v>28.36</v>
      </c>
    </row>
    <row r="24" spans="1:8">
      <c r="A24" s="1">
        <v>19</v>
      </c>
      <c r="B24" t="s">
        <v>1508</v>
      </c>
      <c r="C24">
        <v>177.14</v>
      </c>
      <c r="D24">
        <v>16.399999999999999</v>
      </c>
      <c r="E24">
        <v>0.83292900000000003</v>
      </c>
      <c r="F24">
        <v>97.8</v>
      </c>
      <c r="G24">
        <v>0</v>
      </c>
      <c r="H24">
        <v>80.48</v>
      </c>
    </row>
    <row r="25" spans="1:8">
      <c r="A25" s="1">
        <v>20</v>
      </c>
      <c r="B25" t="s">
        <v>1511</v>
      </c>
      <c r="C25">
        <v>177.14</v>
      </c>
      <c r="D25">
        <v>16.399999999999999</v>
      </c>
      <c r="E25">
        <v>0.83292900000000003</v>
      </c>
      <c r="F25">
        <v>97.8</v>
      </c>
      <c r="G25">
        <v>0</v>
      </c>
      <c r="H25">
        <v>45.02</v>
      </c>
    </row>
    <row r="26" spans="1:8">
      <c r="A26" s="1">
        <v>21</v>
      </c>
      <c r="B26" t="s">
        <v>1514</v>
      </c>
      <c r="C26">
        <v>338.05</v>
      </c>
      <c r="D26">
        <v>17.059999999999999</v>
      </c>
      <c r="E26">
        <v>0.99810600000000005</v>
      </c>
      <c r="F26">
        <v>323.33</v>
      </c>
      <c r="G26">
        <v>0</v>
      </c>
      <c r="H26">
        <v>136.16999999999999</v>
      </c>
    </row>
    <row r="27" spans="1:8">
      <c r="A27" s="1">
        <v>22</v>
      </c>
      <c r="B27" t="s">
        <v>1517</v>
      </c>
      <c r="C27">
        <v>94.12</v>
      </c>
      <c r="D27">
        <v>15.95</v>
      </c>
      <c r="E27">
        <v>0.99719500000000005</v>
      </c>
      <c r="F27">
        <v>89.13</v>
      </c>
      <c r="G27">
        <v>0</v>
      </c>
      <c r="H27">
        <v>19.170000000000002</v>
      </c>
    </row>
    <row r="28" spans="1:8">
      <c r="A28" s="1">
        <v>23</v>
      </c>
      <c r="B28" t="s">
        <v>1520</v>
      </c>
      <c r="C28">
        <v>236.74</v>
      </c>
      <c r="D28">
        <v>16.690000000000001</v>
      </c>
      <c r="E28">
        <v>0.88411399999999996</v>
      </c>
      <c r="F28">
        <v>151.03</v>
      </c>
      <c r="G28">
        <v>0</v>
      </c>
      <c r="H28">
        <v>87.27</v>
      </c>
    </row>
    <row r="29" spans="1:8">
      <c r="A29" s="1">
        <v>24</v>
      </c>
      <c r="B29" t="s">
        <v>1523</v>
      </c>
      <c r="C29">
        <v>192.54</v>
      </c>
      <c r="D29">
        <v>16.39</v>
      </c>
      <c r="E29">
        <v>0.74492700000000001</v>
      </c>
      <c r="F29">
        <v>79.87</v>
      </c>
      <c r="G29">
        <v>0</v>
      </c>
      <c r="H29">
        <v>44.22</v>
      </c>
    </row>
    <row r="30" spans="1:8">
      <c r="A30" s="1">
        <v>25</v>
      </c>
      <c r="B30" t="s">
        <v>1526</v>
      </c>
      <c r="C30">
        <v>207.72</v>
      </c>
      <c r="D30">
        <v>16.579999999999998</v>
      </c>
      <c r="E30">
        <v>0.89279600000000003</v>
      </c>
      <c r="F30">
        <v>135.74</v>
      </c>
      <c r="G30">
        <v>0</v>
      </c>
      <c r="H30">
        <v>53.86</v>
      </c>
    </row>
    <row r="31" spans="1:8">
      <c r="A31" s="1">
        <v>26</v>
      </c>
      <c r="B31" t="s">
        <v>1529</v>
      </c>
      <c r="C31">
        <v>219.88</v>
      </c>
      <c r="D31">
        <v>16.670000000000002</v>
      </c>
      <c r="E31">
        <v>0.972159</v>
      </c>
      <c r="F31">
        <v>182.67</v>
      </c>
      <c r="G31">
        <v>2</v>
      </c>
      <c r="H31">
        <v>89.28</v>
      </c>
    </row>
    <row r="32" spans="1:8">
      <c r="A32" s="1">
        <v>27</v>
      </c>
      <c r="B32" t="s">
        <v>1532</v>
      </c>
      <c r="C32">
        <v>202.79</v>
      </c>
      <c r="D32">
        <v>16.61</v>
      </c>
      <c r="E32">
        <v>0.99999800000000005</v>
      </c>
      <c r="F32">
        <v>202.48</v>
      </c>
      <c r="G32">
        <v>2</v>
      </c>
      <c r="H32">
        <v>72.819999999999993</v>
      </c>
    </row>
    <row r="33" spans="1:8">
      <c r="A33" s="1">
        <v>28</v>
      </c>
      <c r="B33" t="s">
        <v>1535</v>
      </c>
      <c r="C33">
        <v>220.19</v>
      </c>
      <c r="D33">
        <v>16.5</v>
      </c>
      <c r="E33">
        <v>0.73794199999999999</v>
      </c>
      <c r="F33">
        <v>88.97</v>
      </c>
      <c r="G33">
        <v>0</v>
      </c>
      <c r="H33">
        <v>77.22</v>
      </c>
    </row>
    <row r="34" spans="1:8">
      <c r="A34" s="1">
        <v>29</v>
      </c>
      <c r="B34" t="s">
        <v>1538</v>
      </c>
      <c r="C34">
        <v>229.5</v>
      </c>
      <c r="D34">
        <v>16.64</v>
      </c>
      <c r="E34">
        <v>0.86078399999999999</v>
      </c>
      <c r="F34">
        <v>137.19999999999999</v>
      </c>
      <c r="G34">
        <v>0</v>
      </c>
      <c r="H34">
        <v>87.41</v>
      </c>
    </row>
    <row r="35" spans="1:8">
      <c r="A35" s="1">
        <v>30</v>
      </c>
      <c r="B35" t="s">
        <v>1541</v>
      </c>
      <c r="C35">
        <v>278.48</v>
      </c>
      <c r="D35">
        <v>16.649999999999999</v>
      </c>
      <c r="E35">
        <v>0.70491999999999999</v>
      </c>
      <c r="F35">
        <v>98.3</v>
      </c>
      <c r="G35">
        <v>2</v>
      </c>
      <c r="H35">
        <v>73.27</v>
      </c>
    </row>
    <row r="36" spans="1:8">
      <c r="A36" s="1">
        <v>31</v>
      </c>
      <c r="B36" t="s">
        <v>1544</v>
      </c>
      <c r="C36">
        <v>239.94</v>
      </c>
      <c r="D36">
        <v>16.75</v>
      </c>
      <c r="E36">
        <v>0.96873699999999996</v>
      </c>
      <c r="F36">
        <v>196.84</v>
      </c>
      <c r="G36">
        <v>0</v>
      </c>
      <c r="H36">
        <v>71.400000000000006</v>
      </c>
    </row>
    <row r="37" spans="1:8">
      <c r="A37" s="1">
        <v>32</v>
      </c>
      <c r="B37" t="s">
        <v>1547</v>
      </c>
      <c r="C37">
        <v>132.21</v>
      </c>
      <c r="D37">
        <v>16.21</v>
      </c>
      <c r="E37">
        <v>0.93670399999999998</v>
      </c>
      <c r="F37">
        <v>97.84</v>
      </c>
      <c r="G37">
        <v>2</v>
      </c>
      <c r="H37">
        <v>28.09</v>
      </c>
    </row>
    <row r="38" spans="1:8">
      <c r="A38" s="1">
        <v>33</v>
      </c>
      <c r="B38" t="s">
        <v>1550</v>
      </c>
      <c r="C38">
        <v>341.64</v>
      </c>
      <c r="D38">
        <v>17.07</v>
      </c>
      <c r="E38">
        <v>0.99939999999999996</v>
      </c>
      <c r="F38">
        <v>333.27</v>
      </c>
      <c r="G38">
        <v>2</v>
      </c>
      <c r="H38">
        <v>101.68</v>
      </c>
    </row>
    <row r="39" spans="1:8">
      <c r="A39" s="1">
        <v>34</v>
      </c>
      <c r="B39" t="s">
        <v>1553</v>
      </c>
      <c r="C39">
        <v>88.61</v>
      </c>
      <c r="D39">
        <v>15.89</v>
      </c>
      <c r="E39">
        <v>0.98995</v>
      </c>
      <c r="F39">
        <v>79.680000000000007</v>
      </c>
      <c r="G39">
        <v>0</v>
      </c>
      <c r="H39">
        <v>19.21</v>
      </c>
    </row>
    <row r="40" spans="1:8">
      <c r="A40" s="1">
        <v>35</v>
      </c>
      <c r="B40" t="s">
        <v>1556</v>
      </c>
      <c r="C40">
        <v>235.66</v>
      </c>
      <c r="D40">
        <v>16.66</v>
      </c>
      <c r="E40">
        <v>0.84960999999999998</v>
      </c>
      <c r="F40">
        <v>136.51</v>
      </c>
      <c r="G40">
        <v>0</v>
      </c>
      <c r="H40">
        <v>52.92</v>
      </c>
    </row>
    <row r="41" spans="1:8">
      <c r="A41" s="1">
        <v>36</v>
      </c>
      <c r="B41" t="s">
        <v>1559</v>
      </c>
      <c r="C41">
        <v>322.44</v>
      </c>
      <c r="D41">
        <v>17.02</v>
      </c>
      <c r="E41">
        <v>0.99998699999999996</v>
      </c>
      <c r="F41">
        <v>321.29000000000002</v>
      </c>
      <c r="G41">
        <v>0</v>
      </c>
      <c r="H41">
        <v>137.22</v>
      </c>
    </row>
    <row r="42" spans="1:8">
      <c r="A42" s="1">
        <v>37</v>
      </c>
      <c r="B42" t="s">
        <v>1562</v>
      </c>
      <c r="C42">
        <v>234.28</v>
      </c>
      <c r="D42">
        <v>16.66</v>
      </c>
      <c r="E42">
        <v>0.85346599999999995</v>
      </c>
      <c r="F42">
        <v>137.19999999999999</v>
      </c>
      <c r="G42">
        <v>0</v>
      </c>
      <c r="H42">
        <v>52.91</v>
      </c>
    </row>
    <row r="43" spans="1:8">
      <c r="A43" s="1">
        <v>38</v>
      </c>
      <c r="B43" t="s">
        <v>1565</v>
      </c>
      <c r="C43">
        <v>169.57</v>
      </c>
      <c r="D43">
        <v>16.440000000000001</v>
      </c>
      <c r="E43">
        <v>0.96079800000000004</v>
      </c>
      <c r="F43">
        <v>135.32</v>
      </c>
      <c r="G43">
        <v>0</v>
      </c>
      <c r="H43">
        <v>55.19</v>
      </c>
    </row>
    <row r="44" spans="1:8">
      <c r="A44" s="1">
        <v>39</v>
      </c>
      <c r="B44" t="s">
        <v>1568</v>
      </c>
      <c r="C44">
        <v>329.2</v>
      </c>
      <c r="D44">
        <v>17.03</v>
      </c>
      <c r="E44">
        <v>0.99492999999999998</v>
      </c>
      <c r="F44">
        <v>305.7</v>
      </c>
      <c r="G44">
        <v>0</v>
      </c>
      <c r="H44">
        <v>102.13</v>
      </c>
    </row>
    <row r="45" spans="1:8">
      <c r="A45" s="1">
        <v>40</v>
      </c>
      <c r="B45" t="s">
        <v>1571</v>
      </c>
      <c r="C45">
        <v>315.67</v>
      </c>
      <c r="D45">
        <v>16.940000000000001</v>
      </c>
      <c r="E45">
        <v>0.88833700000000004</v>
      </c>
      <c r="F45">
        <v>203.75</v>
      </c>
      <c r="G45">
        <v>0</v>
      </c>
      <c r="H45">
        <v>101.26</v>
      </c>
    </row>
    <row r="46" spans="1:8">
      <c r="A46" s="1">
        <v>41</v>
      </c>
      <c r="B46" t="s">
        <v>1574</v>
      </c>
      <c r="C46">
        <v>217.25</v>
      </c>
      <c r="D46">
        <v>16.45</v>
      </c>
      <c r="E46">
        <v>0.715839</v>
      </c>
      <c r="F46">
        <v>80.37</v>
      </c>
      <c r="G46">
        <v>0</v>
      </c>
      <c r="H46">
        <v>77.22</v>
      </c>
    </row>
    <row r="47" spans="1:8">
      <c r="A47" s="1">
        <v>42</v>
      </c>
      <c r="B47" t="s">
        <v>1577</v>
      </c>
      <c r="C47">
        <v>141.33000000000001</v>
      </c>
      <c r="D47">
        <v>16.21</v>
      </c>
      <c r="E47">
        <v>0.84629799999999999</v>
      </c>
      <c r="F47">
        <v>81.099999999999994</v>
      </c>
      <c r="G47">
        <v>0</v>
      </c>
      <c r="H47">
        <v>46.05</v>
      </c>
    </row>
    <row r="48" spans="1:8">
      <c r="A48" s="1">
        <v>43</v>
      </c>
      <c r="B48" t="s">
        <v>1580</v>
      </c>
      <c r="C48">
        <v>178.79</v>
      </c>
      <c r="D48">
        <v>16.350000000000001</v>
      </c>
      <c r="E48">
        <v>0.76591600000000004</v>
      </c>
      <c r="F48">
        <v>79.95</v>
      </c>
      <c r="G48">
        <v>2</v>
      </c>
      <c r="H48">
        <v>44.71</v>
      </c>
    </row>
    <row r="49" spans="1:10">
      <c r="A49" s="1">
        <v>44</v>
      </c>
      <c r="B49" t="s">
        <v>1583</v>
      </c>
      <c r="C49">
        <v>217.25</v>
      </c>
      <c r="D49">
        <v>16.45</v>
      </c>
      <c r="E49">
        <v>0.715839</v>
      </c>
      <c r="F49">
        <v>80.37</v>
      </c>
      <c r="G49">
        <v>0</v>
      </c>
      <c r="H49">
        <v>77.22</v>
      </c>
    </row>
    <row r="50" spans="1:10">
      <c r="A50" s="1">
        <v>45</v>
      </c>
      <c r="B50" t="s">
        <v>1586</v>
      </c>
      <c r="C50">
        <v>330.47</v>
      </c>
      <c r="D50">
        <v>17.04</v>
      </c>
      <c r="E50">
        <v>0.99529000000000001</v>
      </c>
      <c r="F50">
        <v>307.74</v>
      </c>
      <c r="G50">
        <v>2</v>
      </c>
      <c r="H50">
        <v>102.12</v>
      </c>
    </row>
    <row r="51" spans="1:10">
      <c r="A51" s="1">
        <v>46</v>
      </c>
      <c r="B51" t="s">
        <v>1589</v>
      </c>
      <c r="C51">
        <v>333.08</v>
      </c>
      <c r="D51">
        <v>16.97</v>
      </c>
      <c r="E51">
        <v>0.86871500000000001</v>
      </c>
      <c r="F51">
        <v>203.6</v>
      </c>
      <c r="G51">
        <v>0</v>
      </c>
      <c r="H51">
        <v>100.18</v>
      </c>
      <c r="J51" s="1">
        <v>0</v>
      </c>
    </row>
    <row r="52" spans="1:10">
      <c r="A52" s="1">
        <v>47</v>
      </c>
      <c r="B52" t="s">
        <v>1592</v>
      </c>
      <c r="C52">
        <v>141.33000000000001</v>
      </c>
      <c r="D52">
        <v>16.21</v>
      </c>
      <c r="E52">
        <v>0.84629799999999999</v>
      </c>
      <c r="F52">
        <v>81.099999999999994</v>
      </c>
      <c r="G52">
        <v>0</v>
      </c>
      <c r="H52">
        <v>46.05</v>
      </c>
    </row>
    <row r="53" spans="1:10">
      <c r="A53" s="1">
        <v>48</v>
      </c>
      <c r="B53" t="s">
        <v>1595</v>
      </c>
      <c r="C53">
        <v>150.44999999999999</v>
      </c>
      <c r="D53">
        <v>16.350000000000001</v>
      </c>
      <c r="E53">
        <v>0.99999800000000005</v>
      </c>
      <c r="F53">
        <v>150.22</v>
      </c>
      <c r="G53">
        <v>0</v>
      </c>
      <c r="H53">
        <v>37.35</v>
      </c>
    </row>
    <row r="54" spans="1:10">
      <c r="A54" s="1">
        <v>49</v>
      </c>
      <c r="B54" t="s">
        <v>1598</v>
      </c>
      <c r="C54">
        <v>351.63</v>
      </c>
      <c r="D54">
        <v>17.09</v>
      </c>
      <c r="E54">
        <v>1</v>
      </c>
      <c r="F54">
        <v>351.59</v>
      </c>
      <c r="G54">
        <v>0</v>
      </c>
      <c r="H54">
        <v>135.16</v>
      </c>
    </row>
    <row r="55" spans="1:10">
      <c r="A55" s="1">
        <v>50</v>
      </c>
      <c r="B55" t="s">
        <v>1601</v>
      </c>
      <c r="C55">
        <v>267.74</v>
      </c>
      <c r="D55">
        <v>16.850000000000001</v>
      </c>
      <c r="E55">
        <v>0.99819500000000005</v>
      </c>
      <c r="F55">
        <v>256.36</v>
      </c>
      <c r="G55">
        <v>2</v>
      </c>
      <c r="H55">
        <v>70.540000000000006</v>
      </c>
    </row>
    <row r="56" spans="1:10">
      <c r="B56" s="1" t="s">
        <v>19</v>
      </c>
      <c r="C56" s="1">
        <f>AVERAGE(C6:C55)</f>
        <v>207.94579999999993</v>
      </c>
      <c r="D56" s="1">
        <f t="shared" ref="D56:H56" si="0">AVERAGE(D6:D55)</f>
        <v>16.509400000000007</v>
      </c>
      <c r="E56" s="1">
        <f t="shared" si="0"/>
        <v>0.89933021999999985</v>
      </c>
      <c r="F56" s="1">
        <f t="shared" si="0"/>
        <v>148.77600000000001</v>
      </c>
      <c r="G56" s="1">
        <f t="shared" si="0"/>
        <v>0.72</v>
      </c>
      <c r="H56" s="1">
        <f t="shared" si="0"/>
        <v>64.034599999999998</v>
      </c>
    </row>
    <row r="57" spans="1:10">
      <c r="B57" s="1" t="s">
        <v>20</v>
      </c>
      <c r="C57" s="1">
        <f>MIN(C5:C55)</f>
        <v>88.61</v>
      </c>
      <c r="D57" s="1">
        <f t="shared" ref="D57:H57" si="1">MIN(D5:D55)</f>
        <v>15.89</v>
      </c>
      <c r="E57" s="1">
        <f t="shared" si="1"/>
        <v>0.70491999999999999</v>
      </c>
      <c r="F57" s="1">
        <f t="shared" si="1"/>
        <v>79.099999999999994</v>
      </c>
      <c r="H57" s="1">
        <f t="shared" si="1"/>
        <v>19.170000000000002</v>
      </c>
    </row>
    <row r="58" spans="1:10">
      <c r="B58" s="1" t="s">
        <v>3</v>
      </c>
      <c r="C58" s="1">
        <f>STDEV(C6:C55)</f>
        <v>76.467989143383861</v>
      </c>
      <c r="D58" s="1">
        <f t="shared" ref="D58:E58" si="2">STDEV(D6:D55)</f>
        <v>0.34030244651188413</v>
      </c>
      <c r="E58" s="1">
        <f t="shared" si="2"/>
        <v>9.7460964943752421E-2</v>
      </c>
      <c r="F58" s="1">
        <f>STDEV(F6:F55)</f>
        <v>82.112034192216072</v>
      </c>
      <c r="H58" s="1">
        <f>STDEV(H6:H55)</f>
        <v>31.569826411189737</v>
      </c>
    </row>
    <row r="60" spans="1:10">
      <c r="H60" s="23" t="s">
        <v>1435</v>
      </c>
    </row>
    <row r="61" spans="1:10" ht="18">
      <c r="A61" s="23" t="s">
        <v>7</v>
      </c>
      <c r="B61" s="3" t="s">
        <v>8</v>
      </c>
      <c r="C61" s="23" t="s">
        <v>4</v>
      </c>
      <c r="D61" s="23" t="s">
        <v>322</v>
      </c>
      <c r="E61" s="23" t="s">
        <v>321</v>
      </c>
      <c r="F61" s="23" t="s">
        <v>324</v>
      </c>
      <c r="G61" s="23" t="s">
        <v>323</v>
      </c>
      <c r="H61" s="23" t="s">
        <v>1436</v>
      </c>
    </row>
    <row r="62" spans="1:10">
      <c r="A62" s="1">
        <v>1</v>
      </c>
      <c r="B62" t="s">
        <v>3772</v>
      </c>
      <c r="C62">
        <v>182.64</v>
      </c>
      <c r="D62">
        <v>41.08</v>
      </c>
      <c r="E62">
        <v>0.80337099999999995</v>
      </c>
      <c r="F62">
        <v>89.13</v>
      </c>
      <c r="G62">
        <v>0</v>
      </c>
      <c r="H62">
        <v>53.21</v>
      </c>
    </row>
    <row r="63" spans="1:10">
      <c r="A63" s="1">
        <v>2</v>
      </c>
      <c r="B63" t="s">
        <v>3773</v>
      </c>
      <c r="C63">
        <v>141.24</v>
      </c>
      <c r="D63">
        <v>40.51</v>
      </c>
      <c r="E63">
        <v>0.79118999999999995</v>
      </c>
      <c r="F63">
        <v>80.33</v>
      </c>
      <c r="G63">
        <v>2</v>
      </c>
      <c r="H63">
        <v>33</v>
      </c>
    </row>
    <row r="64" spans="1:10">
      <c r="A64" s="1">
        <v>3</v>
      </c>
      <c r="B64" t="s">
        <v>3774</v>
      </c>
      <c r="C64">
        <v>334.69</v>
      </c>
      <c r="D64">
        <v>42.52</v>
      </c>
      <c r="E64">
        <v>0.91988800000000004</v>
      </c>
      <c r="F64">
        <v>203.56</v>
      </c>
      <c r="G64">
        <v>2</v>
      </c>
      <c r="H64">
        <v>107.62</v>
      </c>
    </row>
    <row r="65" spans="1:8">
      <c r="A65" s="1">
        <v>4</v>
      </c>
      <c r="B65" t="s">
        <v>3775</v>
      </c>
      <c r="C65">
        <v>161.31</v>
      </c>
      <c r="D65">
        <v>40.97</v>
      </c>
      <c r="E65">
        <v>0.95070299999999996</v>
      </c>
      <c r="F65">
        <v>97.92</v>
      </c>
      <c r="G65">
        <v>8</v>
      </c>
      <c r="H65">
        <v>41.37</v>
      </c>
    </row>
    <row r="66" spans="1:8">
      <c r="A66" s="1">
        <v>5</v>
      </c>
      <c r="B66" t="s">
        <v>3776</v>
      </c>
      <c r="C66">
        <v>143.54</v>
      </c>
      <c r="D66">
        <v>40.619999999999997</v>
      </c>
      <c r="E66">
        <v>0.85190299999999997</v>
      </c>
      <c r="F66">
        <v>89.05</v>
      </c>
      <c r="G66">
        <v>2</v>
      </c>
      <c r="H66">
        <v>36.89</v>
      </c>
    </row>
    <row r="67" spans="1:8">
      <c r="A67" s="1">
        <v>6</v>
      </c>
      <c r="B67" t="s">
        <v>3777</v>
      </c>
      <c r="C67">
        <v>219.22</v>
      </c>
      <c r="D67">
        <v>41.35</v>
      </c>
      <c r="E67">
        <v>0.74205500000000002</v>
      </c>
      <c r="F67">
        <v>78.87</v>
      </c>
      <c r="G67">
        <v>8</v>
      </c>
      <c r="H67">
        <v>65.95</v>
      </c>
    </row>
    <row r="68" spans="1:8">
      <c r="A68" s="1">
        <v>7</v>
      </c>
      <c r="B68" t="s">
        <v>3778</v>
      </c>
      <c r="C68">
        <v>127.34</v>
      </c>
      <c r="D68">
        <v>40.24</v>
      </c>
      <c r="E68">
        <v>0.734711</v>
      </c>
      <c r="F68">
        <v>79.56</v>
      </c>
      <c r="G68">
        <v>2</v>
      </c>
      <c r="H68">
        <v>29.52</v>
      </c>
    </row>
    <row r="69" spans="1:8">
      <c r="A69" s="1">
        <v>8</v>
      </c>
      <c r="B69" t="s">
        <v>3779</v>
      </c>
      <c r="C69">
        <v>240</v>
      </c>
      <c r="D69">
        <v>41.55</v>
      </c>
      <c r="E69">
        <v>0.79466499999999995</v>
      </c>
      <c r="F69">
        <v>78.72</v>
      </c>
      <c r="G69">
        <v>8</v>
      </c>
      <c r="H69">
        <v>65.5</v>
      </c>
    </row>
    <row r="70" spans="1:8">
      <c r="A70" s="1">
        <v>9</v>
      </c>
      <c r="B70" t="s">
        <v>3780</v>
      </c>
      <c r="C70">
        <v>144.07</v>
      </c>
      <c r="D70">
        <v>40.46</v>
      </c>
      <c r="E70">
        <v>0.73329599999999995</v>
      </c>
      <c r="F70">
        <v>79.87</v>
      </c>
      <c r="G70">
        <v>4</v>
      </c>
      <c r="H70">
        <v>32.799999999999997</v>
      </c>
    </row>
    <row r="71" spans="1:8">
      <c r="A71" s="1">
        <v>10</v>
      </c>
      <c r="B71" t="s">
        <v>3781</v>
      </c>
      <c r="C71">
        <v>158.09</v>
      </c>
      <c r="D71">
        <v>40.67</v>
      </c>
      <c r="E71">
        <v>0.73980599999999996</v>
      </c>
      <c r="F71">
        <v>88.7</v>
      </c>
      <c r="G71">
        <v>4</v>
      </c>
      <c r="H71">
        <v>32.51</v>
      </c>
    </row>
    <row r="72" spans="1:8">
      <c r="A72" s="1">
        <v>11</v>
      </c>
      <c r="B72" t="s">
        <v>3782</v>
      </c>
      <c r="C72">
        <v>160.97</v>
      </c>
      <c r="D72">
        <v>40.85</v>
      </c>
      <c r="E72">
        <v>0.85124699999999998</v>
      </c>
      <c r="F72">
        <v>89.2</v>
      </c>
      <c r="G72">
        <v>6</v>
      </c>
      <c r="H72">
        <v>40.31</v>
      </c>
    </row>
    <row r="73" spans="1:8">
      <c r="A73" s="1">
        <v>12</v>
      </c>
      <c r="B73" t="s">
        <v>3783</v>
      </c>
      <c r="C73">
        <v>194.03</v>
      </c>
      <c r="D73">
        <v>41.12</v>
      </c>
      <c r="E73">
        <v>0.77810500000000005</v>
      </c>
      <c r="F73">
        <v>90.24</v>
      </c>
      <c r="G73">
        <v>4</v>
      </c>
      <c r="H73">
        <v>56.19</v>
      </c>
    </row>
    <row r="74" spans="1:8">
      <c r="A74" s="1">
        <v>13</v>
      </c>
      <c r="B74" t="s">
        <v>3784</v>
      </c>
      <c r="C74">
        <v>169.53</v>
      </c>
      <c r="D74">
        <v>40.96</v>
      </c>
      <c r="E74">
        <v>0.85777199999999998</v>
      </c>
      <c r="F74">
        <v>78.599999999999994</v>
      </c>
      <c r="G74">
        <v>4</v>
      </c>
      <c r="H74">
        <v>47.6</v>
      </c>
    </row>
    <row r="75" spans="1:8">
      <c r="A75" s="1">
        <v>14</v>
      </c>
      <c r="B75" t="s">
        <v>3785</v>
      </c>
      <c r="C75">
        <v>162.46</v>
      </c>
      <c r="D75">
        <v>40.81</v>
      </c>
      <c r="E75">
        <v>0.78722400000000003</v>
      </c>
      <c r="F75">
        <v>89.32</v>
      </c>
      <c r="G75">
        <v>8</v>
      </c>
      <c r="H75">
        <v>50.05</v>
      </c>
    </row>
    <row r="76" spans="1:8">
      <c r="A76" s="1">
        <v>15</v>
      </c>
      <c r="B76" t="s">
        <v>3786</v>
      </c>
      <c r="C76">
        <v>116.58</v>
      </c>
      <c r="D76">
        <v>40.270000000000003</v>
      </c>
      <c r="E76">
        <v>0.94624699999999995</v>
      </c>
      <c r="F76">
        <v>88.09</v>
      </c>
      <c r="G76">
        <v>2</v>
      </c>
      <c r="H76">
        <v>33.659999999999997</v>
      </c>
    </row>
    <row r="77" spans="1:8">
      <c r="A77" s="1">
        <v>16</v>
      </c>
      <c r="B77" t="s">
        <v>3787</v>
      </c>
      <c r="C77">
        <v>219.03</v>
      </c>
      <c r="D77">
        <v>41</v>
      </c>
      <c r="E77">
        <v>0.66201500000000002</v>
      </c>
      <c r="F77">
        <v>57.72</v>
      </c>
      <c r="G77">
        <v>2</v>
      </c>
      <c r="H77">
        <v>52.07</v>
      </c>
    </row>
    <row r="78" spans="1:8">
      <c r="A78" s="1">
        <v>17</v>
      </c>
      <c r="B78" t="s">
        <v>3788</v>
      </c>
      <c r="C78">
        <v>212.83</v>
      </c>
      <c r="D78">
        <v>41.27</v>
      </c>
      <c r="E78">
        <v>0.72478500000000001</v>
      </c>
      <c r="F78">
        <v>79.45</v>
      </c>
      <c r="G78">
        <v>2</v>
      </c>
      <c r="H78">
        <v>58.8</v>
      </c>
    </row>
    <row r="79" spans="1:8">
      <c r="A79" s="1">
        <v>18</v>
      </c>
      <c r="B79" t="s">
        <v>3789</v>
      </c>
      <c r="C79">
        <v>162.88999999999999</v>
      </c>
      <c r="D79">
        <v>40.74</v>
      </c>
      <c r="E79">
        <v>0.73492400000000002</v>
      </c>
      <c r="F79">
        <v>80.14</v>
      </c>
      <c r="G79">
        <v>8</v>
      </c>
      <c r="H79">
        <v>53.51</v>
      </c>
    </row>
    <row r="80" spans="1:8">
      <c r="A80" s="1">
        <v>19</v>
      </c>
      <c r="B80" t="s">
        <v>3790</v>
      </c>
      <c r="C80">
        <v>248.92</v>
      </c>
      <c r="D80">
        <v>41.88</v>
      </c>
      <c r="E80">
        <v>0.92116600000000004</v>
      </c>
      <c r="F80">
        <v>150.49</v>
      </c>
      <c r="G80">
        <v>0</v>
      </c>
      <c r="H80">
        <v>69.91</v>
      </c>
    </row>
    <row r="81" spans="1:8">
      <c r="A81" s="1">
        <v>20</v>
      </c>
      <c r="B81" t="s">
        <v>3791</v>
      </c>
      <c r="C81">
        <v>252.29</v>
      </c>
      <c r="D81">
        <v>41.97</v>
      </c>
      <c r="E81">
        <v>0.96795699999999996</v>
      </c>
      <c r="F81">
        <v>201.79</v>
      </c>
      <c r="G81">
        <v>8</v>
      </c>
      <c r="H81">
        <v>84.76</v>
      </c>
    </row>
    <row r="82" spans="1:8">
      <c r="A82" s="1">
        <v>21</v>
      </c>
      <c r="B82" t="s">
        <v>3792</v>
      </c>
      <c r="C82">
        <v>253.54</v>
      </c>
      <c r="D82">
        <v>41.85</v>
      </c>
      <c r="E82">
        <v>0.90213100000000002</v>
      </c>
      <c r="F82">
        <v>99.26</v>
      </c>
      <c r="G82">
        <v>0</v>
      </c>
      <c r="H82">
        <v>73.08</v>
      </c>
    </row>
    <row r="83" spans="1:8">
      <c r="A83" s="1">
        <v>22</v>
      </c>
      <c r="B83" t="s">
        <v>3793</v>
      </c>
      <c r="C83">
        <v>271.35000000000002</v>
      </c>
      <c r="D83">
        <v>41.96</v>
      </c>
      <c r="E83">
        <v>0.83994800000000003</v>
      </c>
      <c r="F83">
        <v>136.44</v>
      </c>
      <c r="G83">
        <v>6</v>
      </c>
      <c r="H83">
        <v>89.16</v>
      </c>
    </row>
    <row r="84" spans="1:8">
      <c r="A84" s="1">
        <v>23</v>
      </c>
      <c r="B84" t="s">
        <v>3794</v>
      </c>
      <c r="C84">
        <v>193.06</v>
      </c>
      <c r="D84">
        <v>41.06</v>
      </c>
      <c r="E84">
        <v>0.76604700000000003</v>
      </c>
      <c r="F84">
        <v>78.64</v>
      </c>
      <c r="G84">
        <v>0</v>
      </c>
      <c r="H84">
        <v>56.18</v>
      </c>
    </row>
    <row r="85" spans="1:8">
      <c r="A85" s="1">
        <v>24</v>
      </c>
      <c r="B85" t="s">
        <v>3795</v>
      </c>
      <c r="C85">
        <v>155.77000000000001</v>
      </c>
      <c r="D85">
        <v>40.85</v>
      </c>
      <c r="E85">
        <v>0.89538799999999996</v>
      </c>
      <c r="F85">
        <v>97.46</v>
      </c>
      <c r="G85">
        <v>6</v>
      </c>
      <c r="H85">
        <v>40.56</v>
      </c>
    </row>
    <row r="86" spans="1:8">
      <c r="A86" s="1">
        <v>25</v>
      </c>
      <c r="B86" t="s">
        <v>3796</v>
      </c>
      <c r="C86">
        <v>130.84</v>
      </c>
      <c r="D86">
        <v>40.5</v>
      </c>
      <c r="E86">
        <v>0.93267599999999995</v>
      </c>
      <c r="F86">
        <v>78.87</v>
      </c>
      <c r="G86">
        <v>6</v>
      </c>
      <c r="H86">
        <v>33.869999999999997</v>
      </c>
    </row>
    <row r="87" spans="1:8">
      <c r="A87" s="1">
        <v>26</v>
      </c>
      <c r="B87" t="s">
        <v>3797</v>
      </c>
      <c r="C87">
        <v>147.47999999999999</v>
      </c>
      <c r="D87">
        <v>40.75</v>
      </c>
      <c r="E87">
        <v>0.93264999999999998</v>
      </c>
      <c r="F87">
        <v>80.06</v>
      </c>
      <c r="G87">
        <v>6</v>
      </c>
      <c r="H87">
        <v>47.3</v>
      </c>
    </row>
    <row r="88" spans="1:8">
      <c r="A88" s="1">
        <v>27</v>
      </c>
      <c r="B88" t="s">
        <v>3798</v>
      </c>
      <c r="C88">
        <v>140.99</v>
      </c>
      <c r="D88">
        <v>39.89</v>
      </c>
      <c r="E88">
        <v>0.60284400000000005</v>
      </c>
      <c r="F88">
        <v>19.239999999999998</v>
      </c>
      <c r="G88">
        <v>8</v>
      </c>
      <c r="H88">
        <v>45.89</v>
      </c>
    </row>
    <row r="89" spans="1:8">
      <c r="A89" s="1">
        <v>28</v>
      </c>
      <c r="B89" t="s">
        <v>3799</v>
      </c>
      <c r="C89">
        <v>240.79</v>
      </c>
      <c r="D89">
        <v>41.39</v>
      </c>
      <c r="E89">
        <v>0.73031100000000004</v>
      </c>
      <c r="F89">
        <v>79.260000000000005</v>
      </c>
      <c r="G89">
        <v>2</v>
      </c>
      <c r="H89">
        <v>60.79</v>
      </c>
    </row>
    <row r="90" spans="1:8">
      <c r="A90" s="1">
        <v>29</v>
      </c>
      <c r="B90" t="s">
        <v>3800</v>
      </c>
      <c r="C90">
        <v>155.62</v>
      </c>
      <c r="D90">
        <v>40.44</v>
      </c>
      <c r="E90">
        <v>0.66601699999999997</v>
      </c>
      <c r="F90">
        <v>61.32</v>
      </c>
      <c r="G90">
        <v>2</v>
      </c>
      <c r="H90">
        <v>50.77</v>
      </c>
    </row>
    <row r="91" spans="1:8">
      <c r="A91" s="1">
        <v>30</v>
      </c>
      <c r="B91" t="s">
        <v>3801</v>
      </c>
      <c r="C91">
        <v>205.16</v>
      </c>
      <c r="D91">
        <v>41.43</v>
      </c>
      <c r="E91">
        <v>0.87360800000000005</v>
      </c>
      <c r="F91">
        <v>137.43</v>
      </c>
      <c r="G91">
        <v>6</v>
      </c>
      <c r="H91">
        <v>61.16</v>
      </c>
    </row>
    <row r="92" spans="1:8">
      <c r="A92" s="1">
        <v>31</v>
      </c>
      <c r="B92" t="s">
        <v>3802</v>
      </c>
      <c r="C92">
        <v>202.75</v>
      </c>
      <c r="D92">
        <v>41.33</v>
      </c>
      <c r="E92">
        <v>0.84813700000000003</v>
      </c>
      <c r="F92">
        <v>88.51</v>
      </c>
      <c r="G92">
        <v>4</v>
      </c>
      <c r="H92">
        <v>67.41</v>
      </c>
    </row>
    <row r="93" spans="1:8">
      <c r="A93" s="1">
        <v>32</v>
      </c>
      <c r="B93" t="s">
        <v>3803</v>
      </c>
      <c r="C93">
        <v>151.66</v>
      </c>
      <c r="D93">
        <v>40.71</v>
      </c>
      <c r="E93">
        <v>0.84090699999999996</v>
      </c>
      <c r="F93">
        <v>97.04</v>
      </c>
      <c r="G93">
        <v>2</v>
      </c>
      <c r="H93">
        <v>43.13</v>
      </c>
    </row>
    <row r="94" spans="1:8">
      <c r="A94" s="1">
        <v>33</v>
      </c>
      <c r="B94" t="s">
        <v>3804</v>
      </c>
      <c r="C94">
        <v>116.42</v>
      </c>
      <c r="D94">
        <v>40.22</v>
      </c>
      <c r="E94">
        <v>0.90713299999999997</v>
      </c>
      <c r="F94">
        <v>77.38</v>
      </c>
      <c r="G94">
        <v>2</v>
      </c>
      <c r="H94">
        <v>30.36</v>
      </c>
    </row>
    <row r="95" spans="1:8">
      <c r="A95" s="1">
        <v>34</v>
      </c>
      <c r="B95" t="s">
        <v>3805</v>
      </c>
      <c r="C95">
        <v>123.49</v>
      </c>
      <c r="D95">
        <v>40.36</v>
      </c>
      <c r="E95">
        <v>0.91528299999999996</v>
      </c>
      <c r="F95">
        <v>80.37</v>
      </c>
      <c r="G95">
        <v>4</v>
      </c>
      <c r="H95">
        <v>30.17</v>
      </c>
    </row>
    <row r="96" spans="1:8">
      <c r="A96" s="1">
        <v>35</v>
      </c>
      <c r="B96" t="s">
        <v>3806</v>
      </c>
      <c r="C96">
        <v>132.99</v>
      </c>
      <c r="D96">
        <v>40.49</v>
      </c>
      <c r="E96">
        <v>0.89797199999999999</v>
      </c>
      <c r="F96">
        <v>80.260000000000005</v>
      </c>
      <c r="G96">
        <v>8</v>
      </c>
      <c r="H96">
        <v>37.880000000000003</v>
      </c>
    </row>
    <row r="97" spans="1:8">
      <c r="A97" s="1">
        <v>36</v>
      </c>
      <c r="B97" t="s">
        <v>3807</v>
      </c>
      <c r="C97">
        <v>205.9</v>
      </c>
      <c r="D97">
        <v>41.48</v>
      </c>
      <c r="E97">
        <v>0.92955699999999997</v>
      </c>
      <c r="F97">
        <v>135.97</v>
      </c>
      <c r="G97">
        <v>4</v>
      </c>
      <c r="H97">
        <v>71.98</v>
      </c>
    </row>
    <row r="98" spans="1:8">
      <c r="A98" s="1">
        <v>37</v>
      </c>
      <c r="B98" t="s">
        <v>3808</v>
      </c>
      <c r="C98">
        <v>142.13999999999999</v>
      </c>
      <c r="D98">
        <v>40.58</v>
      </c>
      <c r="E98">
        <v>0.83758600000000005</v>
      </c>
      <c r="F98">
        <v>79.64</v>
      </c>
      <c r="G98">
        <v>6</v>
      </c>
      <c r="H98">
        <v>37.03</v>
      </c>
    </row>
    <row r="99" spans="1:8">
      <c r="A99" s="1">
        <v>38</v>
      </c>
      <c r="B99" t="s">
        <v>3809</v>
      </c>
      <c r="C99">
        <v>103.7</v>
      </c>
      <c r="D99">
        <v>40.03</v>
      </c>
      <c r="E99">
        <v>0.94666499999999998</v>
      </c>
      <c r="F99">
        <v>81.25</v>
      </c>
      <c r="G99">
        <v>4</v>
      </c>
      <c r="H99">
        <v>22.88</v>
      </c>
    </row>
    <row r="100" spans="1:8">
      <c r="A100" s="1">
        <v>39</v>
      </c>
      <c r="B100" t="s">
        <v>3810</v>
      </c>
      <c r="C100">
        <v>203.12</v>
      </c>
      <c r="D100">
        <v>41.39</v>
      </c>
      <c r="E100">
        <v>0.86992700000000001</v>
      </c>
      <c r="F100">
        <v>136.82</v>
      </c>
      <c r="G100">
        <v>0</v>
      </c>
      <c r="H100">
        <v>50.56</v>
      </c>
    </row>
    <row r="101" spans="1:8">
      <c r="A101" s="1">
        <v>40</v>
      </c>
      <c r="B101" t="s">
        <v>3811</v>
      </c>
      <c r="C101">
        <v>136.91</v>
      </c>
      <c r="D101">
        <v>40.6</v>
      </c>
      <c r="E101">
        <v>0.93101400000000001</v>
      </c>
      <c r="F101">
        <v>88.97</v>
      </c>
      <c r="G101">
        <v>4</v>
      </c>
      <c r="H101">
        <v>39.39</v>
      </c>
    </row>
    <row r="102" spans="1:8">
      <c r="A102" s="1">
        <v>41</v>
      </c>
      <c r="B102" t="s">
        <v>3812</v>
      </c>
      <c r="C102">
        <v>163.87</v>
      </c>
      <c r="D102">
        <v>41.01</v>
      </c>
      <c r="E102">
        <v>0.95386499999999996</v>
      </c>
      <c r="F102">
        <v>100.15</v>
      </c>
      <c r="G102">
        <v>2</v>
      </c>
      <c r="H102">
        <v>40.57</v>
      </c>
    </row>
    <row r="103" spans="1:8">
      <c r="A103" s="1">
        <v>42</v>
      </c>
      <c r="B103" t="s">
        <v>3813</v>
      </c>
      <c r="C103">
        <v>160.13</v>
      </c>
      <c r="D103">
        <v>40.67</v>
      </c>
      <c r="E103">
        <v>0.71715300000000004</v>
      </c>
      <c r="F103">
        <v>79.599999999999994</v>
      </c>
      <c r="G103">
        <v>4</v>
      </c>
      <c r="H103">
        <v>49.63</v>
      </c>
    </row>
    <row r="104" spans="1:8">
      <c r="A104" s="1">
        <v>43</v>
      </c>
      <c r="B104" t="s">
        <v>3814</v>
      </c>
      <c r="C104">
        <v>204.75</v>
      </c>
      <c r="D104">
        <v>41.45</v>
      </c>
      <c r="E104">
        <v>0.90186500000000003</v>
      </c>
      <c r="F104">
        <v>137.13</v>
      </c>
      <c r="G104">
        <v>2</v>
      </c>
      <c r="H104">
        <v>50.5</v>
      </c>
    </row>
    <row r="105" spans="1:8">
      <c r="A105" s="1">
        <v>44</v>
      </c>
      <c r="B105" t="s">
        <v>3815</v>
      </c>
      <c r="C105">
        <v>145.66999999999999</v>
      </c>
      <c r="D105">
        <v>40.67</v>
      </c>
      <c r="E105">
        <v>0.85923400000000005</v>
      </c>
      <c r="F105">
        <v>97.88</v>
      </c>
      <c r="G105">
        <v>8</v>
      </c>
      <c r="H105">
        <v>37.07</v>
      </c>
    </row>
    <row r="106" spans="1:8">
      <c r="A106" s="1">
        <v>45</v>
      </c>
      <c r="B106" t="s">
        <v>3816</v>
      </c>
      <c r="C106">
        <v>151.19</v>
      </c>
      <c r="D106">
        <v>40.840000000000003</v>
      </c>
      <c r="E106">
        <v>0.95076099999999997</v>
      </c>
      <c r="F106">
        <v>98.92</v>
      </c>
      <c r="G106">
        <v>8</v>
      </c>
      <c r="H106">
        <v>40.78</v>
      </c>
    </row>
    <row r="107" spans="1:8">
      <c r="A107" s="1">
        <v>46</v>
      </c>
      <c r="B107" t="s">
        <v>3817</v>
      </c>
      <c r="C107">
        <v>198.44</v>
      </c>
      <c r="D107">
        <v>39.46</v>
      </c>
      <c r="E107">
        <v>0.55329499999999998</v>
      </c>
      <c r="F107">
        <v>1.69</v>
      </c>
      <c r="G107">
        <v>0</v>
      </c>
      <c r="H107">
        <v>43.06</v>
      </c>
    </row>
    <row r="108" spans="1:8">
      <c r="A108" s="1">
        <v>47</v>
      </c>
      <c r="B108" t="s">
        <v>3818</v>
      </c>
      <c r="C108">
        <v>181.89</v>
      </c>
      <c r="D108">
        <v>40.78</v>
      </c>
      <c r="E108">
        <v>0.61843599999999999</v>
      </c>
      <c r="F108">
        <v>84.83</v>
      </c>
      <c r="G108">
        <v>2</v>
      </c>
      <c r="H108">
        <v>47.51</v>
      </c>
    </row>
    <row r="109" spans="1:8">
      <c r="A109" s="1">
        <v>48</v>
      </c>
      <c r="B109" t="s">
        <v>3819</v>
      </c>
      <c r="C109">
        <v>199.71</v>
      </c>
      <c r="D109">
        <v>41.41</v>
      </c>
      <c r="E109">
        <v>0.91759299999999999</v>
      </c>
      <c r="F109">
        <v>136.4</v>
      </c>
      <c r="G109">
        <v>0</v>
      </c>
      <c r="H109">
        <v>57.91</v>
      </c>
    </row>
    <row r="110" spans="1:8">
      <c r="A110" s="1">
        <v>49</v>
      </c>
      <c r="B110" t="s">
        <v>3820</v>
      </c>
      <c r="C110">
        <v>155.44</v>
      </c>
      <c r="D110">
        <v>40.409999999999997</v>
      </c>
      <c r="E110">
        <v>0.66113100000000002</v>
      </c>
      <c r="F110">
        <v>57.33</v>
      </c>
      <c r="G110">
        <v>8</v>
      </c>
      <c r="H110">
        <v>54.64</v>
      </c>
    </row>
    <row r="111" spans="1:8">
      <c r="A111" s="1">
        <v>50</v>
      </c>
      <c r="B111" t="s">
        <v>3821</v>
      </c>
      <c r="C111">
        <v>237.53</v>
      </c>
      <c r="D111">
        <v>41.68</v>
      </c>
      <c r="E111">
        <v>0.87200100000000003</v>
      </c>
      <c r="F111">
        <v>99.49</v>
      </c>
      <c r="G111">
        <v>0</v>
      </c>
      <c r="H111">
        <v>97.61</v>
      </c>
    </row>
    <row r="112" spans="1:8">
      <c r="B112" s="1" t="s">
        <v>19</v>
      </c>
      <c r="C112" s="1">
        <f>AVERAGE(C62:C111)</f>
        <v>179.27939999999998</v>
      </c>
      <c r="D112" s="1">
        <f t="shared" ref="D112:H112" si="3">AVERAGE(D62:D111)</f>
        <v>40.930600000000005</v>
      </c>
      <c r="E112" s="1">
        <f t="shared" si="3"/>
        <v>0.82728329999999994</v>
      </c>
      <c r="F112" s="1">
        <f t="shared" si="3"/>
        <v>93.567199999999971</v>
      </c>
      <c r="G112" s="1">
        <f t="shared" si="3"/>
        <v>3.96</v>
      </c>
      <c r="H112" s="1">
        <f t="shared" si="3"/>
        <v>51.081200000000017</v>
      </c>
    </row>
    <row r="113" spans="1:8">
      <c r="B113" s="1" t="s">
        <v>20</v>
      </c>
      <c r="C113" s="1">
        <f>MIN(C61:C111)</f>
        <v>103.7</v>
      </c>
      <c r="D113" s="1">
        <f t="shared" ref="D113:F113" si="4">MIN(D61:D111)</f>
        <v>39.46</v>
      </c>
      <c r="E113" s="1">
        <f t="shared" si="4"/>
        <v>0.55329499999999998</v>
      </c>
      <c r="F113" s="1">
        <f t="shared" si="4"/>
        <v>1.69</v>
      </c>
      <c r="H113" s="1">
        <f t="shared" ref="H113" si="5">MIN(H61:H111)</f>
        <v>22.88</v>
      </c>
    </row>
    <row r="114" spans="1:8">
      <c r="B114" s="1" t="s">
        <v>3</v>
      </c>
      <c r="C114" s="1">
        <f>STDEV(C62:C111)</f>
        <v>46.964065959724998</v>
      </c>
      <c r="D114" s="1">
        <f t="shared" ref="D114:E114" si="6">STDEV(D62:D111)</f>
        <v>0.59193011859956601</v>
      </c>
      <c r="E114" s="1">
        <f t="shared" si="6"/>
        <v>0.10518774041649834</v>
      </c>
      <c r="F114" s="1">
        <f>STDEV(F62:F111)</f>
        <v>34.95370629613889</v>
      </c>
      <c r="H114" s="1">
        <f>STDEV(H62:H111)</f>
        <v>17.882124998136497</v>
      </c>
    </row>
    <row r="116" spans="1:8">
      <c r="H116" s="23" t="s">
        <v>1435</v>
      </c>
    </row>
    <row r="117" spans="1:8" ht="18">
      <c r="A117" s="23" t="s">
        <v>7</v>
      </c>
      <c r="B117" s="3" t="s">
        <v>1</v>
      </c>
      <c r="C117" s="23" t="s">
        <v>4</v>
      </c>
      <c r="D117" s="23" t="s">
        <v>322</v>
      </c>
      <c r="E117" s="23" t="s">
        <v>321</v>
      </c>
      <c r="F117" s="23" t="s">
        <v>324</v>
      </c>
      <c r="G117" s="23" t="s">
        <v>323</v>
      </c>
      <c r="H117" s="23" t="s">
        <v>1436</v>
      </c>
    </row>
    <row r="118" spans="1:8">
      <c r="A118" s="1">
        <v>1</v>
      </c>
      <c r="B118" t="s">
        <v>1854</v>
      </c>
      <c r="C118">
        <v>178.41</v>
      </c>
      <c r="D118">
        <v>81.44</v>
      </c>
      <c r="E118">
        <v>0.72287999999999997</v>
      </c>
      <c r="F118">
        <v>41.36</v>
      </c>
      <c r="G118">
        <v>6</v>
      </c>
      <c r="H118">
        <v>47.58</v>
      </c>
    </row>
    <row r="119" spans="1:8">
      <c r="A119" s="1">
        <v>2</v>
      </c>
      <c r="B119" t="s">
        <v>1855</v>
      </c>
      <c r="C119">
        <v>134.58000000000001</v>
      </c>
      <c r="D119">
        <v>80.83</v>
      </c>
      <c r="E119">
        <v>0.78620400000000001</v>
      </c>
      <c r="F119">
        <v>69.7</v>
      </c>
      <c r="G119">
        <v>18</v>
      </c>
      <c r="H119">
        <v>39.25</v>
      </c>
    </row>
    <row r="120" spans="1:8">
      <c r="A120" s="1">
        <v>3</v>
      </c>
      <c r="B120" t="s">
        <v>1856</v>
      </c>
      <c r="C120">
        <v>158.58000000000001</v>
      </c>
      <c r="D120">
        <v>81.75</v>
      </c>
      <c r="E120">
        <v>0.89915900000000004</v>
      </c>
      <c r="F120">
        <v>89.74</v>
      </c>
      <c r="G120">
        <v>0</v>
      </c>
      <c r="H120">
        <v>43.51</v>
      </c>
    </row>
    <row r="121" spans="1:8">
      <c r="A121" s="1">
        <v>4</v>
      </c>
      <c r="B121" t="s">
        <v>1857</v>
      </c>
      <c r="C121">
        <v>115.81</v>
      </c>
      <c r="D121">
        <v>79.81</v>
      </c>
      <c r="E121">
        <v>0.63218200000000002</v>
      </c>
      <c r="F121">
        <v>55.76</v>
      </c>
      <c r="G121">
        <v>12</v>
      </c>
      <c r="H121">
        <v>38.78</v>
      </c>
    </row>
    <row r="122" spans="1:8">
      <c r="A122" s="1">
        <v>5</v>
      </c>
      <c r="B122" t="s">
        <v>1858</v>
      </c>
      <c r="C122">
        <v>165.44</v>
      </c>
      <c r="D122">
        <v>80.97</v>
      </c>
      <c r="E122">
        <v>0.82520199999999999</v>
      </c>
      <c r="F122">
        <v>6.64</v>
      </c>
      <c r="G122">
        <v>14</v>
      </c>
      <c r="H122">
        <v>48.98</v>
      </c>
    </row>
    <row r="123" spans="1:8">
      <c r="A123" s="1">
        <v>6</v>
      </c>
      <c r="B123" t="s">
        <v>1859</v>
      </c>
      <c r="C123">
        <v>182.66</v>
      </c>
      <c r="D123">
        <v>81.75</v>
      </c>
      <c r="E123">
        <v>0.690909</v>
      </c>
      <c r="F123">
        <v>79.72</v>
      </c>
      <c r="G123">
        <v>10</v>
      </c>
      <c r="H123">
        <v>51.86</v>
      </c>
    </row>
    <row r="124" spans="1:8">
      <c r="A124" s="1">
        <v>7</v>
      </c>
      <c r="B124" t="s">
        <v>1860</v>
      </c>
      <c r="C124">
        <v>145.85</v>
      </c>
      <c r="D124">
        <v>81.010000000000005</v>
      </c>
      <c r="E124">
        <v>0.73727500000000001</v>
      </c>
      <c r="F124">
        <v>76.260000000000005</v>
      </c>
      <c r="G124">
        <v>0</v>
      </c>
      <c r="H124">
        <v>49.6</v>
      </c>
    </row>
    <row r="125" spans="1:8">
      <c r="A125" s="1">
        <v>8</v>
      </c>
      <c r="B125" t="s">
        <v>1861</v>
      </c>
      <c r="C125">
        <v>108.02</v>
      </c>
      <c r="D125">
        <v>80.08</v>
      </c>
      <c r="E125">
        <v>0.87839299999999998</v>
      </c>
      <c r="F125">
        <v>63.82</v>
      </c>
      <c r="G125">
        <v>6</v>
      </c>
      <c r="H125">
        <v>32.549999999999997</v>
      </c>
    </row>
    <row r="126" spans="1:8">
      <c r="A126" s="1">
        <v>9</v>
      </c>
      <c r="B126" t="s">
        <v>1862</v>
      </c>
      <c r="C126">
        <v>145.36000000000001</v>
      </c>
      <c r="D126">
        <v>81.430000000000007</v>
      </c>
      <c r="E126">
        <v>0.92706299999999997</v>
      </c>
      <c r="F126">
        <v>75.11</v>
      </c>
      <c r="G126">
        <v>2</v>
      </c>
      <c r="H126">
        <v>42.12</v>
      </c>
    </row>
    <row r="127" spans="1:8">
      <c r="A127" s="1">
        <v>10</v>
      </c>
      <c r="B127" t="s">
        <v>1863</v>
      </c>
      <c r="C127">
        <v>129.47999999999999</v>
      </c>
      <c r="D127">
        <v>80.5</v>
      </c>
      <c r="E127">
        <v>0.72370699999999999</v>
      </c>
      <c r="F127">
        <v>57.87</v>
      </c>
      <c r="G127">
        <v>12</v>
      </c>
      <c r="H127">
        <v>30.38</v>
      </c>
    </row>
    <row r="128" spans="1:8">
      <c r="A128" s="1">
        <v>11</v>
      </c>
      <c r="B128" t="s">
        <v>1864</v>
      </c>
      <c r="C128">
        <v>165.53</v>
      </c>
      <c r="D128">
        <v>81.64</v>
      </c>
      <c r="E128">
        <v>0.792296</v>
      </c>
      <c r="F128">
        <v>79.91</v>
      </c>
      <c r="G128">
        <v>2</v>
      </c>
      <c r="H128">
        <v>50.45</v>
      </c>
    </row>
    <row r="129" spans="1:8">
      <c r="A129" s="1">
        <v>12</v>
      </c>
      <c r="B129" t="s">
        <v>1865</v>
      </c>
      <c r="C129">
        <v>167.41</v>
      </c>
      <c r="D129">
        <v>81.78</v>
      </c>
      <c r="E129">
        <v>0.83868600000000004</v>
      </c>
      <c r="F129">
        <v>85.9</v>
      </c>
      <c r="G129">
        <v>16</v>
      </c>
      <c r="H129">
        <v>43.59</v>
      </c>
    </row>
    <row r="130" spans="1:8">
      <c r="A130" s="1">
        <v>13</v>
      </c>
      <c r="B130" t="s">
        <v>1866</v>
      </c>
      <c r="C130">
        <v>123.14</v>
      </c>
      <c r="D130">
        <v>80.03</v>
      </c>
      <c r="E130">
        <v>0.67414499999999999</v>
      </c>
      <c r="F130">
        <v>47.08</v>
      </c>
      <c r="G130">
        <v>16</v>
      </c>
      <c r="H130">
        <v>32.590000000000003</v>
      </c>
    </row>
    <row r="131" spans="1:8">
      <c r="A131" s="1">
        <v>14</v>
      </c>
      <c r="B131" t="s">
        <v>1867</v>
      </c>
      <c r="C131">
        <v>145.88999999999999</v>
      </c>
      <c r="D131">
        <v>81.239999999999995</v>
      </c>
      <c r="E131">
        <v>0.79524499999999998</v>
      </c>
      <c r="F131">
        <v>80.489999999999995</v>
      </c>
      <c r="G131">
        <v>2</v>
      </c>
      <c r="H131">
        <v>39.880000000000003</v>
      </c>
    </row>
    <row r="132" spans="1:8">
      <c r="A132" s="1">
        <v>15</v>
      </c>
      <c r="B132" t="s">
        <v>1868</v>
      </c>
      <c r="C132">
        <v>132.9</v>
      </c>
      <c r="D132">
        <v>80.87</v>
      </c>
      <c r="E132">
        <v>0.84344200000000003</v>
      </c>
      <c r="F132">
        <v>79.8</v>
      </c>
      <c r="G132">
        <v>6</v>
      </c>
      <c r="H132">
        <v>35.26</v>
      </c>
    </row>
    <row r="133" spans="1:8">
      <c r="A133" s="1">
        <v>16</v>
      </c>
      <c r="B133" t="s">
        <v>1869</v>
      </c>
      <c r="C133">
        <v>115.4</v>
      </c>
      <c r="D133">
        <v>78.959999999999994</v>
      </c>
      <c r="E133">
        <v>0.61452899999999999</v>
      </c>
      <c r="F133">
        <v>4.99</v>
      </c>
      <c r="G133">
        <v>8</v>
      </c>
      <c r="H133">
        <v>35.04</v>
      </c>
    </row>
    <row r="134" spans="1:8">
      <c r="A134" s="1">
        <v>17</v>
      </c>
      <c r="B134" t="s">
        <v>1870</v>
      </c>
      <c r="C134">
        <v>116.79</v>
      </c>
      <c r="D134">
        <v>80.28</v>
      </c>
      <c r="E134">
        <v>0.85053299999999998</v>
      </c>
      <c r="F134">
        <v>56.87</v>
      </c>
      <c r="G134">
        <v>4</v>
      </c>
      <c r="H134">
        <v>28.62</v>
      </c>
    </row>
    <row r="135" spans="1:8">
      <c r="A135" s="1">
        <v>18</v>
      </c>
      <c r="B135" t="s">
        <v>1871</v>
      </c>
      <c r="C135">
        <v>168.89</v>
      </c>
      <c r="D135">
        <v>81.25</v>
      </c>
      <c r="E135">
        <v>0.78188000000000002</v>
      </c>
      <c r="F135">
        <v>14.13</v>
      </c>
      <c r="G135">
        <v>18</v>
      </c>
      <c r="H135">
        <v>51.27</v>
      </c>
    </row>
    <row r="136" spans="1:8">
      <c r="A136" s="1">
        <v>19</v>
      </c>
      <c r="B136" t="s">
        <v>1872</v>
      </c>
      <c r="C136">
        <v>183.6</v>
      </c>
      <c r="D136">
        <v>82</v>
      </c>
      <c r="E136">
        <v>0.739958</v>
      </c>
      <c r="F136">
        <v>91.32</v>
      </c>
      <c r="G136">
        <v>12</v>
      </c>
      <c r="H136">
        <v>53.51</v>
      </c>
    </row>
    <row r="137" spans="1:8">
      <c r="A137" s="1">
        <v>20</v>
      </c>
      <c r="B137" t="s">
        <v>1873</v>
      </c>
      <c r="C137">
        <v>140.79</v>
      </c>
      <c r="D137">
        <v>81.11</v>
      </c>
      <c r="E137">
        <v>0.83374499999999996</v>
      </c>
      <c r="F137">
        <v>80.22</v>
      </c>
      <c r="G137">
        <v>0</v>
      </c>
      <c r="H137">
        <v>37.619999999999997</v>
      </c>
    </row>
    <row r="138" spans="1:8">
      <c r="A138" s="1">
        <v>21</v>
      </c>
      <c r="B138" t="s">
        <v>1874</v>
      </c>
      <c r="C138">
        <v>153.79</v>
      </c>
      <c r="D138">
        <v>80.45</v>
      </c>
      <c r="E138">
        <v>0.68290200000000001</v>
      </c>
      <c r="F138">
        <v>13.32</v>
      </c>
      <c r="G138">
        <v>6</v>
      </c>
      <c r="H138">
        <v>43.42</v>
      </c>
    </row>
    <row r="139" spans="1:8">
      <c r="A139" s="1">
        <v>22</v>
      </c>
      <c r="B139" t="s">
        <v>1875</v>
      </c>
      <c r="C139">
        <v>177.64</v>
      </c>
      <c r="D139">
        <v>81.790000000000006</v>
      </c>
      <c r="E139">
        <v>0.73293600000000003</v>
      </c>
      <c r="F139">
        <v>86.67</v>
      </c>
      <c r="G139">
        <v>4</v>
      </c>
      <c r="H139">
        <v>48.76</v>
      </c>
    </row>
    <row r="140" spans="1:8">
      <c r="A140" s="1">
        <v>23</v>
      </c>
      <c r="B140" t="s">
        <v>1876</v>
      </c>
      <c r="C140">
        <v>153.30000000000001</v>
      </c>
      <c r="D140">
        <v>78.89</v>
      </c>
      <c r="E140">
        <v>0.52304799999999996</v>
      </c>
      <c r="F140">
        <v>3.72</v>
      </c>
      <c r="G140">
        <v>2</v>
      </c>
      <c r="H140">
        <v>43.04</v>
      </c>
    </row>
    <row r="141" spans="1:8">
      <c r="A141" s="1">
        <v>24</v>
      </c>
      <c r="B141" t="s">
        <v>1877</v>
      </c>
      <c r="C141">
        <v>135.28</v>
      </c>
      <c r="D141">
        <v>81.010000000000005</v>
      </c>
      <c r="E141">
        <v>0.88070000000000004</v>
      </c>
      <c r="F141">
        <v>75.760000000000005</v>
      </c>
      <c r="G141">
        <v>2</v>
      </c>
      <c r="H141">
        <v>36.92</v>
      </c>
    </row>
    <row r="142" spans="1:8">
      <c r="A142" s="1">
        <v>25</v>
      </c>
      <c r="B142" t="s">
        <v>1878</v>
      </c>
      <c r="C142">
        <v>135.66999999999999</v>
      </c>
      <c r="D142">
        <v>80.98</v>
      </c>
      <c r="E142">
        <v>0.85650700000000002</v>
      </c>
      <c r="F142">
        <v>79.760000000000005</v>
      </c>
      <c r="G142">
        <v>14</v>
      </c>
      <c r="H142">
        <v>33.630000000000003</v>
      </c>
    </row>
    <row r="143" spans="1:8">
      <c r="A143" s="1">
        <v>26</v>
      </c>
      <c r="B143" t="s">
        <v>1879</v>
      </c>
      <c r="C143">
        <v>128.4</v>
      </c>
      <c r="D143">
        <v>80.86</v>
      </c>
      <c r="E143">
        <v>0.91128799999999999</v>
      </c>
      <c r="F143">
        <v>78.8</v>
      </c>
      <c r="G143">
        <v>0</v>
      </c>
      <c r="H143">
        <v>33.76</v>
      </c>
    </row>
    <row r="144" spans="1:8">
      <c r="A144" s="1">
        <v>27</v>
      </c>
      <c r="B144" t="s">
        <v>1880</v>
      </c>
      <c r="C144">
        <v>120.18</v>
      </c>
      <c r="D144">
        <v>80.62</v>
      </c>
      <c r="E144">
        <v>0.92688700000000002</v>
      </c>
      <c r="F144">
        <v>67.58</v>
      </c>
      <c r="G144">
        <v>16</v>
      </c>
      <c r="H144">
        <v>31.88</v>
      </c>
    </row>
    <row r="145" spans="1:8">
      <c r="A145" s="1">
        <v>28</v>
      </c>
      <c r="B145" t="s">
        <v>1881</v>
      </c>
      <c r="C145">
        <v>112.98</v>
      </c>
      <c r="D145">
        <v>80.27</v>
      </c>
      <c r="E145">
        <v>0.89817400000000003</v>
      </c>
      <c r="F145">
        <v>61.94</v>
      </c>
      <c r="G145">
        <v>16</v>
      </c>
      <c r="H145">
        <v>27.38</v>
      </c>
    </row>
    <row r="146" spans="1:8">
      <c r="A146" s="1">
        <v>29</v>
      </c>
      <c r="B146" t="s">
        <v>1882</v>
      </c>
      <c r="C146">
        <v>176.02</v>
      </c>
      <c r="D146">
        <v>81.900000000000006</v>
      </c>
      <c r="E146">
        <v>0.80820899999999996</v>
      </c>
      <c r="F146">
        <v>64.86</v>
      </c>
      <c r="G146">
        <v>4</v>
      </c>
      <c r="H146">
        <v>50.65</v>
      </c>
    </row>
    <row r="147" spans="1:8">
      <c r="A147" s="1">
        <v>30</v>
      </c>
      <c r="B147" t="s">
        <v>1883</v>
      </c>
      <c r="C147">
        <v>135.09</v>
      </c>
      <c r="D147">
        <v>80.91</v>
      </c>
      <c r="E147">
        <v>0.81118100000000004</v>
      </c>
      <c r="F147">
        <v>80.41</v>
      </c>
      <c r="G147">
        <v>6</v>
      </c>
      <c r="H147">
        <v>33.200000000000003</v>
      </c>
    </row>
    <row r="148" spans="1:8">
      <c r="A148" s="1">
        <v>31</v>
      </c>
      <c r="B148" t="s">
        <v>1884</v>
      </c>
      <c r="C148">
        <v>152.54</v>
      </c>
      <c r="D148">
        <v>81.430000000000007</v>
      </c>
      <c r="E148">
        <v>0.84623800000000005</v>
      </c>
      <c r="F148">
        <v>78.989999999999995</v>
      </c>
      <c r="G148">
        <v>8</v>
      </c>
      <c r="H148">
        <v>41.83</v>
      </c>
    </row>
    <row r="149" spans="1:8">
      <c r="A149" s="1">
        <v>32</v>
      </c>
      <c r="B149" t="s">
        <v>1885</v>
      </c>
      <c r="C149">
        <v>185.92</v>
      </c>
      <c r="D149">
        <v>81.93</v>
      </c>
      <c r="E149">
        <v>0.72157099999999996</v>
      </c>
      <c r="F149">
        <v>78.95</v>
      </c>
      <c r="G149">
        <v>18</v>
      </c>
      <c r="H149">
        <v>49.36</v>
      </c>
    </row>
    <row r="150" spans="1:8">
      <c r="A150" s="1">
        <v>33</v>
      </c>
      <c r="B150" t="s">
        <v>1886</v>
      </c>
      <c r="C150">
        <v>145.52000000000001</v>
      </c>
      <c r="D150">
        <v>80.819999999999993</v>
      </c>
      <c r="E150">
        <v>0.84345099999999995</v>
      </c>
      <c r="F150">
        <v>15.48</v>
      </c>
      <c r="G150">
        <v>8</v>
      </c>
      <c r="H150">
        <v>45.3</v>
      </c>
    </row>
    <row r="151" spans="1:8">
      <c r="A151" s="1">
        <v>34</v>
      </c>
      <c r="B151" t="s">
        <v>1887</v>
      </c>
      <c r="C151">
        <v>163.34</v>
      </c>
      <c r="D151">
        <v>80.23</v>
      </c>
      <c r="E151">
        <v>0.69983200000000001</v>
      </c>
      <c r="F151">
        <v>3.65</v>
      </c>
      <c r="G151">
        <v>16</v>
      </c>
      <c r="H151">
        <v>43.04</v>
      </c>
    </row>
    <row r="152" spans="1:8">
      <c r="A152" s="1">
        <v>35</v>
      </c>
      <c r="B152" t="s">
        <v>1888</v>
      </c>
      <c r="C152">
        <v>177.24</v>
      </c>
      <c r="D152">
        <v>81.93</v>
      </c>
      <c r="E152">
        <v>0.79399399999999998</v>
      </c>
      <c r="F152">
        <v>60.52</v>
      </c>
      <c r="G152">
        <v>4</v>
      </c>
      <c r="H152">
        <v>51.68</v>
      </c>
    </row>
    <row r="153" spans="1:8">
      <c r="A153" s="1">
        <v>36</v>
      </c>
      <c r="B153" t="s">
        <v>1889</v>
      </c>
      <c r="C153">
        <v>130.12</v>
      </c>
      <c r="D153">
        <v>80.14</v>
      </c>
      <c r="E153">
        <v>0.65738700000000005</v>
      </c>
      <c r="F153">
        <v>30.41</v>
      </c>
      <c r="G153">
        <v>12</v>
      </c>
      <c r="H153">
        <v>36.6</v>
      </c>
    </row>
    <row r="154" spans="1:8">
      <c r="A154" s="1">
        <v>37</v>
      </c>
      <c r="B154" t="s">
        <v>1890</v>
      </c>
      <c r="C154">
        <v>120.32</v>
      </c>
      <c r="D154">
        <v>79.989999999999995</v>
      </c>
      <c r="E154">
        <v>0.65440399999999999</v>
      </c>
      <c r="F154">
        <v>47.92</v>
      </c>
      <c r="G154">
        <v>8</v>
      </c>
      <c r="H154">
        <v>36.85</v>
      </c>
    </row>
    <row r="155" spans="1:8">
      <c r="A155" s="1">
        <v>38</v>
      </c>
      <c r="B155" t="s">
        <v>1891</v>
      </c>
      <c r="C155">
        <v>151.88</v>
      </c>
      <c r="D155">
        <v>81.38</v>
      </c>
      <c r="E155">
        <v>0.84322200000000003</v>
      </c>
      <c r="F155">
        <v>75.760000000000005</v>
      </c>
      <c r="G155">
        <v>8</v>
      </c>
      <c r="H155">
        <v>41.98</v>
      </c>
    </row>
    <row r="156" spans="1:8">
      <c r="A156" s="1">
        <v>39</v>
      </c>
      <c r="B156" t="s">
        <v>1892</v>
      </c>
      <c r="C156">
        <v>138.93</v>
      </c>
      <c r="D156">
        <v>81.17</v>
      </c>
      <c r="E156">
        <v>0.89602700000000002</v>
      </c>
      <c r="F156">
        <v>80.22</v>
      </c>
      <c r="G156">
        <v>10</v>
      </c>
      <c r="H156">
        <v>40.72</v>
      </c>
    </row>
    <row r="157" spans="1:8">
      <c r="A157" s="1">
        <v>40</v>
      </c>
      <c r="B157" t="s">
        <v>1893</v>
      </c>
      <c r="C157">
        <v>135.91</v>
      </c>
      <c r="D157">
        <v>81.150000000000006</v>
      </c>
      <c r="E157">
        <v>0.92969999999999997</v>
      </c>
      <c r="F157">
        <v>79.83</v>
      </c>
      <c r="G157">
        <v>0</v>
      </c>
      <c r="H157">
        <v>38.26</v>
      </c>
    </row>
    <row r="158" spans="1:8">
      <c r="A158" s="1">
        <v>41</v>
      </c>
      <c r="B158" t="s">
        <v>1894</v>
      </c>
      <c r="C158">
        <v>112.82</v>
      </c>
      <c r="D158">
        <v>80.209999999999994</v>
      </c>
      <c r="E158">
        <v>0.86157099999999998</v>
      </c>
      <c r="F158">
        <v>59.94</v>
      </c>
      <c r="G158">
        <v>4</v>
      </c>
      <c r="H158">
        <v>31.29</v>
      </c>
    </row>
    <row r="159" spans="1:8">
      <c r="A159" s="1">
        <v>42</v>
      </c>
      <c r="B159" t="s">
        <v>1895</v>
      </c>
      <c r="C159">
        <v>190.74</v>
      </c>
      <c r="D159">
        <v>81.86</v>
      </c>
      <c r="E159">
        <v>0.68913800000000003</v>
      </c>
      <c r="F159">
        <v>78.34</v>
      </c>
      <c r="G159">
        <v>8</v>
      </c>
      <c r="H159">
        <v>59.04</v>
      </c>
    </row>
    <row r="160" spans="1:8">
      <c r="A160" s="1">
        <v>43</v>
      </c>
      <c r="B160" t="s">
        <v>1896</v>
      </c>
      <c r="C160">
        <v>151.72</v>
      </c>
      <c r="D160">
        <v>81.040000000000006</v>
      </c>
      <c r="E160">
        <v>0.73819299999999999</v>
      </c>
      <c r="F160">
        <v>59.67</v>
      </c>
      <c r="G160">
        <v>0</v>
      </c>
      <c r="H160">
        <v>39.94</v>
      </c>
    </row>
    <row r="161" spans="1:8">
      <c r="A161" s="1">
        <v>44</v>
      </c>
      <c r="B161" t="s">
        <v>1897</v>
      </c>
      <c r="C161">
        <v>139.59</v>
      </c>
      <c r="D161">
        <v>80.59</v>
      </c>
      <c r="E161">
        <v>0.64063700000000001</v>
      </c>
      <c r="F161">
        <v>72.31</v>
      </c>
      <c r="G161">
        <v>8</v>
      </c>
      <c r="H161">
        <v>42.48</v>
      </c>
    </row>
    <row r="162" spans="1:8">
      <c r="A162" s="1">
        <v>45</v>
      </c>
      <c r="B162" t="s">
        <v>1898</v>
      </c>
      <c r="C162">
        <v>169.47</v>
      </c>
      <c r="D162">
        <v>81.84</v>
      </c>
      <c r="E162">
        <v>0.76968599999999998</v>
      </c>
      <c r="F162">
        <v>97.5</v>
      </c>
      <c r="G162">
        <v>0</v>
      </c>
      <c r="H162">
        <v>46.24</v>
      </c>
    </row>
    <row r="163" spans="1:8">
      <c r="A163" s="1">
        <v>46</v>
      </c>
      <c r="B163" t="s">
        <v>1899</v>
      </c>
      <c r="C163">
        <v>155.02000000000001</v>
      </c>
      <c r="D163">
        <v>81.2</v>
      </c>
      <c r="E163">
        <v>0.79783599999999999</v>
      </c>
      <c r="F163">
        <v>26.69</v>
      </c>
      <c r="G163">
        <v>12</v>
      </c>
      <c r="H163">
        <v>45.93</v>
      </c>
    </row>
    <row r="164" spans="1:8">
      <c r="A164" s="1">
        <v>47</v>
      </c>
      <c r="B164" t="s">
        <v>1900</v>
      </c>
      <c r="C164">
        <v>153.15</v>
      </c>
      <c r="D164">
        <v>81.459999999999994</v>
      </c>
      <c r="E164">
        <v>0.83786799999999995</v>
      </c>
      <c r="F164">
        <v>80.599999999999994</v>
      </c>
      <c r="G164">
        <v>4</v>
      </c>
      <c r="H164">
        <v>40.299999999999997</v>
      </c>
    </row>
    <row r="165" spans="1:8">
      <c r="A165" s="1">
        <v>48</v>
      </c>
      <c r="B165" t="s">
        <v>1901</v>
      </c>
      <c r="C165">
        <v>170.3</v>
      </c>
      <c r="D165">
        <v>81.28</v>
      </c>
      <c r="E165">
        <v>0.81376499999999996</v>
      </c>
      <c r="F165">
        <v>12.13</v>
      </c>
      <c r="G165">
        <v>14</v>
      </c>
      <c r="H165">
        <v>45.5</v>
      </c>
    </row>
    <row r="166" spans="1:8">
      <c r="A166" s="1">
        <v>49</v>
      </c>
      <c r="B166" t="s">
        <v>1902</v>
      </c>
      <c r="C166">
        <v>115.14</v>
      </c>
      <c r="D166">
        <v>79.63</v>
      </c>
      <c r="E166">
        <v>0.79224700000000003</v>
      </c>
      <c r="F166">
        <v>9.64</v>
      </c>
      <c r="G166">
        <v>16</v>
      </c>
      <c r="H166">
        <v>31.55</v>
      </c>
    </row>
    <row r="167" spans="1:8">
      <c r="A167" s="1">
        <v>50</v>
      </c>
      <c r="B167" t="s">
        <v>1903</v>
      </c>
      <c r="C167">
        <v>162.37</v>
      </c>
      <c r="D167">
        <v>81.77</v>
      </c>
      <c r="E167">
        <v>0.85355899999999996</v>
      </c>
      <c r="F167">
        <v>78.34</v>
      </c>
      <c r="G167">
        <v>0</v>
      </c>
      <c r="H167">
        <v>43.86</v>
      </c>
    </row>
    <row r="168" spans="1:8">
      <c r="B168" s="1" t="s">
        <v>19</v>
      </c>
      <c r="C168" s="1">
        <f>AVERAGE(C118:C167)</f>
        <v>147.49840000000003</v>
      </c>
      <c r="D168" s="1">
        <f t="shared" ref="D168:H168" si="7">AVERAGE(D118:D167)</f>
        <v>80.949200000000005</v>
      </c>
      <c r="E168" s="1">
        <f t="shared" si="7"/>
        <v>0.7859918199999999</v>
      </c>
      <c r="F168" s="1">
        <f t="shared" si="7"/>
        <v>59.527999999999999</v>
      </c>
      <c r="G168" s="1">
        <f t="shared" si="7"/>
        <v>7.84</v>
      </c>
      <c r="H168" s="1">
        <f t="shared" si="7"/>
        <v>41.336599999999997</v>
      </c>
    </row>
    <row r="169" spans="1:8">
      <c r="B169" s="1" t="s">
        <v>20</v>
      </c>
      <c r="C169" s="1">
        <f>MIN(C117:C167)</f>
        <v>108.02</v>
      </c>
      <c r="D169" s="1">
        <f>MIN(D117:D167)</f>
        <v>78.89</v>
      </c>
      <c r="E169" s="1">
        <f>MIN(E117:E167)</f>
        <v>0.52304799999999996</v>
      </c>
      <c r="F169" s="1">
        <f>MIN(F117:F167)</f>
        <v>3.65</v>
      </c>
      <c r="H169" s="1">
        <f>MIN(H117:H167)</f>
        <v>27.38</v>
      </c>
    </row>
    <row r="170" spans="1:8">
      <c r="B170" s="1" t="s">
        <v>3</v>
      </c>
      <c r="C170" s="1">
        <f>STDEV(C118:C167)</f>
        <v>22.574057203175361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3" t="s">
        <v>1435</v>
      </c>
    </row>
    <row r="173" spans="1:8" ht="18">
      <c r="A173" s="23" t="s">
        <v>7</v>
      </c>
      <c r="B173" s="3" t="s">
        <v>9</v>
      </c>
      <c r="C173" s="23" t="s">
        <v>4</v>
      </c>
      <c r="D173" s="23" t="s">
        <v>322</v>
      </c>
      <c r="E173" s="23" t="s">
        <v>321</v>
      </c>
      <c r="F173" s="23" t="s">
        <v>324</v>
      </c>
      <c r="G173" s="23" t="s">
        <v>323</v>
      </c>
      <c r="H173" s="23" t="s">
        <v>1436</v>
      </c>
    </row>
    <row r="174" spans="1:8">
      <c r="A174" s="1">
        <v>1</v>
      </c>
      <c r="B174" t="s">
        <v>1904</v>
      </c>
      <c r="C174">
        <v>113.67</v>
      </c>
      <c r="D174">
        <v>159.75</v>
      </c>
      <c r="E174">
        <v>0.694102</v>
      </c>
      <c r="F174">
        <v>53.72</v>
      </c>
      <c r="G174">
        <v>6</v>
      </c>
      <c r="H174">
        <v>28.7</v>
      </c>
    </row>
    <row r="175" spans="1:8">
      <c r="A175" s="1">
        <v>2</v>
      </c>
      <c r="B175" t="s">
        <v>1905</v>
      </c>
      <c r="C175">
        <v>96.82</v>
      </c>
      <c r="D175">
        <v>158.44</v>
      </c>
      <c r="E175">
        <v>0.80317899999999998</v>
      </c>
      <c r="F175">
        <v>29.68</v>
      </c>
      <c r="G175">
        <v>28</v>
      </c>
      <c r="H175">
        <v>24.86</v>
      </c>
    </row>
    <row r="176" spans="1:8">
      <c r="A176" s="1">
        <v>3</v>
      </c>
      <c r="B176" t="s">
        <v>1906</v>
      </c>
      <c r="C176">
        <v>125.5</v>
      </c>
      <c r="D176">
        <v>160.02000000000001</v>
      </c>
      <c r="E176">
        <v>0.709457</v>
      </c>
      <c r="F176">
        <v>24.73</v>
      </c>
      <c r="G176">
        <v>22</v>
      </c>
      <c r="H176">
        <v>35.1</v>
      </c>
    </row>
    <row r="177" spans="1:8">
      <c r="A177" s="1">
        <v>4</v>
      </c>
      <c r="B177" t="s">
        <v>1907</v>
      </c>
      <c r="C177">
        <v>107.92</v>
      </c>
      <c r="D177">
        <v>158.53</v>
      </c>
      <c r="E177">
        <v>0.70086400000000004</v>
      </c>
      <c r="F177">
        <v>13.48</v>
      </c>
      <c r="G177">
        <v>26</v>
      </c>
      <c r="H177">
        <v>29.74</v>
      </c>
    </row>
    <row r="178" spans="1:8">
      <c r="A178" s="1">
        <v>5</v>
      </c>
      <c r="B178" t="s">
        <v>1908</v>
      </c>
      <c r="C178">
        <v>101.48</v>
      </c>
      <c r="D178">
        <v>158.32</v>
      </c>
      <c r="E178">
        <v>0.68561499999999997</v>
      </c>
      <c r="F178">
        <v>26.53</v>
      </c>
      <c r="G178">
        <v>22</v>
      </c>
      <c r="H178">
        <v>24.83</v>
      </c>
    </row>
    <row r="179" spans="1:8">
      <c r="A179" s="1">
        <v>6</v>
      </c>
      <c r="B179" t="s">
        <v>1909</v>
      </c>
      <c r="C179">
        <v>127.45</v>
      </c>
      <c r="D179">
        <v>160.05000000000001</v>
      </c>
      <c r="E179">
        <v>0.79190899999999997</v>
      </c>
      <c r="F179">
        <v>3.19</v>
      </c>
      <c r="G179">
        <v>8</v>
      </c>
      <c r="H179">
        <v>32.840000000000003</v>
      </c>
    </row>
    <row r="180" spans="1:8">
      <c r="A180" s="1">
        <v>7</v>
      </c>
      <c r="B180" t="s">
        <v>1910</v>
      </c>
      <c r="C180">
        <v>117.73</v>
      </c>
      <c r="D180">
        <v>159.66</v>
      </c>
      <c r="E180">
        <v>0.80441200000000002</v>
      </c>
      <c r="F180">
        <v>5.26</v>
      </c>
      <c r="G180">
        <v>2</v>
      </c>
      <c r="H180">
        <v>28.74</v>
      </c>
    </row>
    <row r="181" spans="1:8">
      <c r="A181" s="1">
        <v>8</v>
      </c>
      <c r="B181" t="s">
        <v>1911</v>
      </c>
      <c r="C181">
        <v>85.71</v>
      </c>
      <c r="D181">
        <v>157.29</v>
      </c>
      <c r="E181">
        <v>0.762598</v>
      </c>
      <c r="F181">
        <v>15.36</v>
      </c>
      <c r="G181">
        <v>18</v>
      </c>
      <c r="H181">
        <v>21.68</v>
      </c>
    </row>
    <row r="182" spans="1:8">
      <c r="A182" s="1">
        <v>9</v>
      </c>
      <c r="B182" t="s">
        <v>1912</v>
      </c>
      <c r="C182">
        <v>96.31</v>
      </c>
      <c r="D182">
        <v>159.11000000000001</v>
      </c>
      <c r="E182">
        <v>0.88288699999999998</v>
      </c>
      <c r="F182">
        <v>51.23</v>
      </c>
      <c r="G182">
        <v>36</v>
      </c>
      <c r="H182">
        <v>24.69</v>
      </c>
    </row>
    <row r="183" spans="1:8">
      <c r="A183" s="1">
        <v>10</v>
      </c>
      <c r="B183" t="s">
        <v>1913</v>
      </c>
      <c r="C183">
        <v>117.67</v>
      </c>
      <c r="D183">
        <v>160.57</v>
      </c>
      <c r="E183">
        <v>0.82815099999999997</v>
      </c>
      <c r="F183">
        <v>40.01</v>
      </c>
      <c r="G183">
        <v>30</v>
      </c>
      <c r="H183">
        <v>29.93</v>
      </c>
    </row>
    <row r="184" spans="1:8">
      <c r="A184" s="1">
        <v>11</v>
      </c>
      <c r="B184" t="s">
        <v>1914</v>
      </c>
      <c r="C184">
        <v>115.87</v>
      </c>
      <c r="D184">
        <v>158</v>
      </c>
      <c r="E184">
        <v>0.72157899999999997</v>
      </c>
      <c r="F184">
        <v>0.92</v>
      </c>
      <c r="G184">
        <v>18</v>
      </c>
      <c r="H184">
        <v>28.97</v>
      </c>
    </row>
    <row r="185" spans="1:8">
      <c r="A185" s="1">
        <v>12</v>
      </c>
      <c r="B185" t="s">
        <v>1915</v>
      </c>
      <c r="C185">
        <v>103.54</v>
      </c>
      <c r="D185">
        <v>159.56</v>
      </c>
      <c r="E185">
        <v>0.85107999999999995</v>
      </c>
      <c r="F185">
        <v>34.21</v>
      </c>
      <c r="G185">
        <v>8</v>
      </c>
      <c r="H185">
        <v>28.39</v>
      </c>
    </row>
    <row r="186" spans="1:8">
      <c r="A186" s="1">
        <v>13</v>
      </c>
      <c r="B186" t="s">
        <v>1916</v>
      </c>
      <c r="C186">
        <v>110.07</v>
      </c>
      <c r="D186">
        <v>158.12</v>
      </c>
      <c r="E186">
        <v>0.72577800000000003</v>
      </c>
      <c r="F186">
        <v>2.2999999999999998</v>
      </c>
      <c r="G186">
        <v>4</v>
      </c>
      <c r="H186">
        <v>29.69</v>
      </c>
    </row>
    <row r="187" spans="1:8">
      <c r="A187" s="1">
        <v>14</v>
      </c>
      <c r="B187" t="s">
        <v>1917</v>
      </c>
      <c r="C187">
        <v>96.12</v>
      </c>
      <c r="D187">
        <v>158.35</v>
      </c>
      <c r="E187">
        <v>0.74617699999999998</v>
      </c>
      <c r="F187">
        <v>40.82</v>
      </c>
      <c r="G187">
        <v>24</v>
      </c>
      <c r="H187">
        <v>25.15</v>
      </c>
    </row>
    <row r="188" spans="1:8">
      <c r="A188" s="1">
        <v>15</v>
      </c>
      <c r="B188" t="s">
        <v>1918</v>
      </c>
      <c r="C188">
        <v>118.93</v>
      </c>
      <c r="D188">
        <v>159.33000000000001</v>
      </c>
      <c r="E188">
        <v>0.75002599999999997</v>
      </c>
      <c r="F188">
        <v>5.88</v>
      </c>
      <c r="G188">
        <v>20</v>
      </c>
      <c r="H188">
        <v>31.28</v>
      </c>
    </row>
    <row r="189" spans="1:8">
      <c r="A189" s="1">
        <v>16</v>
      </c>
      <c r="B189" t="s">
        <v>1919</v>
      </c>
      <c r="C189">
        <v>100.82</v>
      </c>
      <c r="D189">
        <v>159.36000000000001</v>
      </c>
      <c r="E189">
        <v>0.88006099999999998</v>
      </c>
      <c r="F189">
        <v>20.16</v>
      </c>
      <c r="G189">
        <v>18</v>
      </c>
      <c r="H189">
        <v>25</v>
      </c>
    </row>
    <row r="190" spans="1:8">
      <c r="A190" s="1">
        <v>17</v>
      </c>
      <c r="B190" t="s">
        <v>1920</v>
      </c>
      <c r="C190">
        <v>109.7</v>
      </c>
      <c r="D190">
        <v>159.82</v>
      </c>
      <c r="E190">
        <v>0.77497199999999999</v>
      </c>
      <c r="F190">
        <v>45.27</v>
      </c>
      <c r="G190">
        <v>20</v>
      </c>
      <c r="H190">
        <v>28.89</v>
      </c>
    </row>
    <row r="191" spans="1:8">
      <c r="A191" s="1">
        <v>18</v>
      </c>
      <c r="B191" t="s">
        <v>1921</v>
      </c>
      <c r="C191">
        <v>95.11</v>
      </c>
      <c r="D191">
        <v>158.49</v>
      </c>
      <c r="E191">
        <v>0.81560699999999997</v>
      </c>
      <c r="F191">
        <v>22.96</v>
      </c>
      <c r="G191">
        <v>32</v>
      </c>
      <c r="H191">
        <v>24.16</v>
      </c>
    </row>
    <row r="192" spans="1:8">
      <c r="A192" s="1">
        <v>19</v>
      </c>
      <c r="B192" t="s">
        <v>1922</v>
      </c>
      <c r="C192">
        <v>90.65</v>
      </c>
      <c r="D192">
        <v>156.97999999999999</v>
      </c>
      <c r="E192">
        <v>0.79287300000000005</v>
      </c>
      <c r="F192">
        <v>3.11</v>
      </c>
      <c r="G192">
        <v>20</v>
      </c>
      <c r="H192">
        <v>22.06</v>
      </c>
    </row>
    <row r="193" spans="1:8">
      <c r="A193" s="1">
        <v>20</v>
      </c>
      <c r="B193" t="s">
        <v>1923</v>
      </c>
      <c r="C193">
        <v>130.07</v>
      </c>
      <c r="D193">
        <v>159.63</v>
      </c>
      <c r="E193">
        <v>0.72670100000000004</v>
      </c>
      <c r="F193">
        <v>2.38</v>
      </c>
      <c r="G193">
        <v>24</v>
      </c>
      <c r="H193">
        <v>33.22</v>
      </c>
    </row>
    <row r="194" spans="1:8">
      <c r="A194" s="1">
        <v>21</v>
      </c>
      <c r="B194" t="s">
        <v>1924</v>
      </c>
      <c r="C194">
        <v>109.31</v>
      </c>
      <c r="D194">
        <v>160.08000000000001</v>
      </c>
      <c r="E194">
        <v>0.86339200000000005</v>
      </c>
      <c r="F194">
        <v>36.520000000000003</v>
      </c>
      <c r="G194">
        <v>18</v>
      </c>
      <c r="H194">
        <v>30.55</v>
      </c>
    </row>
    <row r="195" spans="1:8">
      <c r="A195" s="1">
        <v>22</v>
      </c>
      <c r="B195" t="s">
        <v>1925</v>
      </c>
      <c r="C195">
        <v>111.47</v>
      </c>
      <c r="D195">
        <v>159.86000000000001</v>
      </c>
      <c r="E195">
        <v>0.812639</v>
      </c>
      <c r="F195">
        <v>34.479999999999997</v>
      </c>
      <c r="G195">
        <v>6</v>
      </c>
      <c r="H195">
        <v>30.56</v>
      </c>
    </row>
    <row r="196" spans="1:8">
      <c r="A196" s="1">
        <v>23</v>
      </c>
      <c r="B196" t="s">
        <v>1926</v>
      </c>
      <c r="C196">
        <v>105.61</v>
      </c>
      <c r="D196">
        <v>158.41</v>
      </c>
      <c r="E196">
        <v>0.76676699999999998</v>
      </c>
      <c r="F196">
        <v>3.07</v>
      </c>
      <c r="G196">
        <v>12</v>
      </c>
      <c r="H196">
        <v>27</v>
      </c>
    </row>
    <row r="197" spans="1:8">
      <c r="A197" s="1">
        <v>24</v>
      </c>
      <c r="B197" t="s">
        <v>1927</v>
      </c>
      <c r="C197">
        <v>114.47</v>
      </c>
      <c r="D197">
        <v>160.69</v>
      </c>
      <c r="E197">
        <v>0.86436500000000005</v>
      </c>
      <c r="F197">
        <v>79.680000000000007</v>
      </c>
      <c r="G197">
        <v>0</v>
      </c>
      <c r="H197">
        <v>27.25</v>
      </c>
    </row>
    <row r="198" spans="1:8">
      <c r="A198" s="1">
        <v>25</v>
      </c>
      <c r="B198" t="s">
        <v>1928</v>
      </c>
      <c r="C198">
        <v>115.45</v>
      </c>
      <c r="D198">
        <v>157.22</v>
      </c>
      <c r="E198">
        <v>0.76552299999999995</v>
      </c>
      <c r="F198">
        <v>0.81</v>
      </c>
      <c r="G198">
        <v>28</v>
      </c>
      <c r="H198">
        <v>31.33</v>
      </c>
    </row>
    <row r="199" spans="1:8">
      <c r="A199" s="1">
        <v>26</v>
      </c>
      <c r="B199" t="s">
        <v>1929</v>
      </c>
      <c r="C199">
        <v>124.98</v>
      </c>
      <c r="D199">
        <v>160.47999999999999</v>
      </c>
      <c r="E199">
        <v>0.73301899999999998</v>
      </c>
      <c r="F199">
        <v>42.74</v>
      </c>
      <c r="G199">
        <v>24</v>
      </c>
      <c r="H199">
        <v>31.53</v>
      </c>
    </row>
    <row r="200" spans="1:8">
      <c r="A200" s="1">
        <v>27</v>
      </c>
      <c r="B200" t="s">
        <v>1930</v>
      </c>
      <c r="C200">
        <v>110.13</v>
      </c>
      <c r="D200">
        <v>157.47999999999999</v>
      </c>
      <c r="E200">
        <v>0.69764199999999998</v>
      </c>
      <c r="F200">
        <v>2.38</v>
      </c>
      <c r="G200">
        <v>4</v>
      </c>
      <c r="H200">
        <v>28.99</v>
      </c>
    </row>
    <row r="201" spans="1:8">
      <c r="A201" s="1">
        <v>28</v>
      </c>
      <c r="B201" t="s">
        <v>1931</v>
      </c>
      <c r="C201">
        <v>135.84</v>
      </c>
      <c r="D201">
        <v>160.16</v>
      </c>
      <c r="E201">
        <v>0.72301499999999996</v>
      </c>
      <c r="F201">
        <v>5.57</v>
      </c>
      <c r="G201">
        <v>4</v>
      </c>
      <c r="H201">
        <v>38.25</v>
      </c>
    </row>
    <row r="202" spans="1:8">
      <c r="A202" s="1">
        <v>29</v>
      </c>
      <c r="B202" t="s">
        <v>1932</v>
      </c>
      <c r="C202">
        <v>108.85</v>
      </c>
      <c r="D202">
        <v>159.41</v>
      </c>
      <c r="E202">
        <v>0.74693299999999996</v>
      </c>
      <c r="F202">
        <v>15.86</v>
      </c>
      <c r="G202">
        <v>32</v>
      </c>
      <c r="H202">
        <v>32.29</v>
      </c>
    </row>
    <row r="203" spans="1:8">
      <c r="A203" s="1">
        <v>30</v>
      </c>
      <c r="B203" t="s">
        <v>1933</v>
      </c>
      <c r="C203">
        <v>104.47</v>
      </c>
      <c r="D203">
        <v>156.69999999999999</v>
      </c>
      <c r="E203">
        <v>0.65649599999999997</v>
      </c>
      <c r="F203">
        <v>1.65</v>
      </c>
      <c r="G203">
        <v>16</v>
      </c>
      <c r="H203">
        <v>30.99</v>
      </c>
    </row>
    <row r="204" spans="1:8">
      <c r="A204" s="1">
        <v>31</v>
      </c>
      <c r="B204" t="s">
        <v>1934</v>
      </c>
      <c r="C204">
        <v>95.42</v>
      </c>
      <c r="D204">
        <v>158.66999999999999</v>
      </c>
      <c r="E204">
        <v>0.82554300000000003</v>
      </c>
      <c r="F204">
        <v>35.9</v>
      </c>
      <c r="G204">
        <v>18</v>
      </c>
      <c r="H204">
        <v>25.23</v>
      </c>
    </row>
    <row r="205" spans="1:8">
      <c r="A205" s="1">
        <v>32</v>
      </c>
      <c r="B205" t="s">
        <v>1935</v>
      </c>
      <c r="C205">
        <v>101.83</v>
      </c>
      <c r="D205">
        <v>158.91999999999999</v>
      </c>
      <c r="E205">
        <v>0.76739100000000005</v>
      </c>
      <c r="F205">
        <v>32.14</v>
      </c>
      <c r="G205">
        <v>32</v>
      </c>
      <c r="H205">
        <v>25.12</v>
      </c>
    </row>
    <row r="206" spans="1:8">
      <c r="A206" s="1">
        <v>33</v>
      </c>
      <c r="B206" t="s">
        <v>1936</v>
      </c>
      <c r="C206">
        <v>125.48</v>
      </c>
      <c r="D206">
        <v>159.91999999999999</v>
      </c>
      <c r="E206">
        <v>0.77110900000000004</v>
      </c>
      <c r="F206">
        <v>11.75</v>
      </c>
      <c r="G206">
        <v>24</v>
      </c>
      <c r="H206">
        <v>34.81</v>
      </c>
    </row>
    <row r="207" spans="1:8">
      <c r="A207" s="1">
        <v>34</v>
      </c>
      <c r="B207" t="s">
        <v>1937</v>
      </c>
      <c r="C207">
        <v>123.28</v>
      </c>
      <c r="D207">
        <v>159.4</v>
      </c>
      <c r="E207">
        <v>0.83431500000000003</v>
      </c>
      <c r="F207">
        <v>0.77</v>
      </c>
      <c r="G207">
        <v>26</v>
      </c>
      <c r="H207">
        <v>32.090000000000003</v>
      </c>
    </row>
    <row r="208" spans="1:8">
      <c r="A208" s="1">
        <v>35</v>
      </c>
      <c r="B208" t="s">
        <v>1938</v>
      </c>
      <c r="C208">
        <v>104.76</v>
      </c>
      <c r="D208">
        <v>158.19999999999999</v>
      </c>
      <c r="E208">
        <v>0.65241899999999997</v>
      </c>
      <c r="F208">
        <v>16.59</v>
      </c>
      <c r="G208">
        <v>10</v>
      </c>
      <c r="H208">
        <v>29.8</v>
      </c>
    </row>
    <row r="209" spans="1:8">
      <c r="A209" s="1">
        <v>36</v>
      </c>
      <c r="B209" t="s">
        <v>1939</v>
      </c>
      <c r="C209">
        <v>127.88</v>
      </c>
      <c r="D209">
        <v>159.63</v>
      </c>
      <c r="E209">
        <v>0.80407899999999999</v>
      </c>
      <c r="F209">
        <v>3.61</v>
      </c>
      <c r="G209">
        <v>2</v>
      </c>
      <c r="H209">
        <v>34.78</v>
      </c>
    </row>
    <row r="210" spans="1:8">
      <c r="A210" s="1">
        <v>37</v>
      </c>
      <c r="B210" t="s">
        <v>1940</v>
      </c>
      <c r="C210">
        <v>107.8</v>
      </c>
      <c r="D210">
        <v>159.87</v>
      </c>
      <c r="E210">
        <v>0.85176600000000002</v>
      </c>
      <c r="F210">
        <v>45.93</v>
      </c>
      <c r="G210">
        <v>12</v>
      </c>
      <c r="H210">
        <v>27.1</v>
      </c>
    </row>
    <row r="211" spans="1:8">
      <c r="A211" s="1">
        <v>38</v>
      </c>
      <c r="B211" t="s">
        <v>1941</v>
      </c>
      <c r="C211">
        <v>90.56</v>
      </c>
      <c r="D211">
        <v>157.62</v>
      </c>
      <c r="E211">
        <v>0.70806999999999998</v>
      </c>
      <c r="F211">
        <v>20.43</v>
      </c>
      <c r="G211">
        <v>6</v>
      </c>
      <c r="H211">
        <v>22.84</v>
      </c>
    </row>
    <row r="212" spans="1:8">
      <c r="A212" s="1">
        <v>39</v>
      </c>
      <c r="B212" t="s">
        <v>1942</v>
      </c>
      <c r="C212">
        <v>102.42</v>
      </c>
      <c r="D212">
        <v>159.04</v>
      </c>
      <c r="E212">
        <v>0.86749799999999999</v>
      </c>
      <c r="F212">
        <v>7.14</v>
      </c>
      <c r="G212">
        <v>12</v>
      </c>
      <c r="H212">
        <v>26.54</v>
      </c>
    </row>
    <row r="213" spans="1:8">
      <c r="A213" s="1">
        <v>40</v>
      </c>
      <c r="B213" t="s">
        <v>1943</v>
      </c>
      <c r="C213">
        <v>110.54</v>
      </c>
      <c r="D213">
        <v>159.04</v>
      </c>
      <c r="E213">
        <v>0.74780000000000002</v>
      </c>
      <c r="F213">
        <v>8.26</v>
      </c>
      <c r="G213">
        <v>8</v>
      </c>
      <c r="H213">
        <v>27.14</v>
      </c>
    </row>
    <row r="214" spans="1:8">
      <c r="A214" s="1">
        <v>41</v>
      </c>
      <c r="B214" t="s">
        <v>1944</v>
      </c>
      <c r="C214">
        <v>101.86</v>
      </c>
      <c r="D214">
        <v>157.68</v>
      </c>
      <c r="E214">
        <v>0.79682500000000001</v>
      </c>
      <c r="F214">
        <v>2</v>
      </c>
      <c r="G214">
        <v>4</v>
      </c>
      <c r="H214">
        <v>25.57</v>
      </c>
    </row>
    <row r="215" spans="1:8">
      <c r="A215" s="1">
        <v>42</v>
      </c>
      <c r="B215" t="s">
        <v>1945</v>
      </c>
      <c r="C215">
        <v>115.62</v>
      </c>
      <c r="D215">
        <v>160.21</v>
      </c>
      <c r="E215">
        <v>0.74891600000000003</v>
      </c>
      <c r="F215">
        <v>39.24</v>
      </c>
      <c r="G215">
        <v>6</v>
      </c>
      <c r="H215">
        <v>31.51</v>
      </c>
    </row>
    <row r="216" spans="1:8">
      <c r="A216" s="1">
        <v>43</v>
      </c>
      <c r="B216" t="s">
        <v>1946</v>
      </c>
      <c r="C216">
        <v>87.76</v>
      </c>
      <c r="D216">
        <v>156.43</v>
      </c>
      <c r="E216">
        <v>0.64232199999999995</v>
      </c>
      <c r="F216">
        <v>4.07</v>
      </c>
      <c r="G216">
        <v>22</v>
      </c>
      <c r="H216">
        <v>23.65</v>
      </c>
    </row>
    <row r="217" spans="1:8">
      <c r="A217" s="1">
        <v>44</v>
      </c>
      <c r="B217" t="s">
        <v>1947</v>
      </c>
      <c r="C217">
        <v>132.26</v>
      </c>
      <c r="D217">
        <v>160.26</v>
      </c>
      <c r="E217">
        <v>0.77070799999999995</v>
      </c>
      <c r="F217">
        <v>2.5</v>
      </c>
      <c r="G217">
        <v>34</v>
      </c>
      <c r="H217">
        <v>34.880000000000003</v>
      </c>
    </row>
    <row r="218" spans="1:8">
      <c r="A218" s="1">
        <v>45</v>
      </c>
      <c r="B218" t="s">
        <v>1948</v>
      </c>
      <c r="C218">
        <v>138.56</v>
      </c>
      <c r="D218">
        <v>160.54</v>
      </c>
      <c r="E218">
        <v>0.73673900000000003</v>
      </c>
      <c r="F218">
        <v>10.64</v>
      </c>
      <c r="G218">
        <v>24</v>
      </c>
      <c r="H218">
        <v>33.380000000000003</v>
      </c>
    </row>
    <row r="219" spans="1:8">
      <c r="A219" s="1">
        <v>46</v>
      </c>
      <c r="B219" t="s">
        <v>1949</v>
      </c>
      <c r="C219">
        <v>102.96</v>
      </c>
      <c r="D219">
        <v>155.88</v>
      </c>
      <c r="E219">
        <v>0.69333299999999998</v>
      </c>
      <c r="F219">
        <v>1.54</v>
      </c>
      <c r="G219">
        <v>32</v>
      </c>
      <c r="H219">
        <v>27.22</v>
      </c>
    </row>
    <row r="220" spans="1:8">
      <c r="A220" s="1">
        <v>47</v>
      </c>
      <c r="B220" t="s">
        <v>1950</v>
      </c>
      <c r="C220">
        <v>118.71</v>
      </c>
      <c r="D220">
        <v>159.93</v>
      </c>
      <c r="E220">
        <v>0.76169900000000001</v>
      </c>
      <c r="F220">
        <v>29.76</v>
      </c>
      <c r="G220">
        <v>18</v>
      </c>
      <c r="H220">
        <v>33.159999999999997</v>
      </c>
    </row>
    <row r="221" spans="1:8">
      <c r="A221" s="1">
        <v>48</v>
      </c>
      <c r="B221" t="s">
        <v>1951</v>
      </c>
      <c r="C221">
        <v>93.11</v>
      </c>
      <c r="D221">
        <v>157.53</v>
      </c>
      <c r="E221">
        <v>0.76363800000000004</v>
      </c>
      <c r="F221">
        <v>5.95</v>
      </c>
      <c r="G221">
        <v>34</v>
      </c>
      <c r="H221">
        <v>26.43</v>
      </c>
    </row>
    <row r="222" spans="1:8">
      <c r="A222" s="1">
        <v>49</v>
      </c>
      <c r="B222" t="s">
        <v>1952</v>
      </c>
      <c r="C222">
        <v>97.17</v>
      </c>
      <c r="D222">
        <v>157.31</v>
      </c>
      <c r="E222">
        <v>0.766208</v>
      </c>
      <c r="F222">
        <v>3.46</v>
      </c>
      <c r="G222">
        <v>0</v>
      </c>
      <c r="H222">
        <v>25.63</v>
      </c>
    </row>
    <row r="223" spans="1:8">
      <c r="A223" s="1">
        <v>50</v>
      </c>
      <c r="B223" t="s">
        <v>1953</v>
      </c>
      <c r="C223">
        <v>91.28</v>
      </c>
      <c r="D223">
        <v>157.9</v>
      </c>
      <c r="E223">
        <v>0.83599100000000004</v>
      </c>
      <c r="F223">
        <v>14.21</v>
      </c>
      <c r="G223">
        <v>2</v>
      </c>
      <c r="H223">
        <v>24.62</v>
      </c>
    </row>
    <row r="224" spans="1:8">
      <c r="B224" s="1" t="s">
        <v>19</v>
      </c>
      <c r="C224" s="1">
        <f>AVERAGE(C174:C223)</f>
        <v>109.4196</v>
      </c>
      <c r="D224" s="1">
        <f t="shared" ref="D224:H224" si="8">AVERAGE(D174:D223)</f>
        <v>158.87699999999998</v>
      </c>
      <c r="E224" s="1">
        <f t="shared" si="8"/>
        <v>0.76848375999999985</v>
      </c>
      <c r="F224" s="1">
        <f t="shared" si="8"/>
        <v>19.196999999999999</v>
      </c>
      <c r="G224" s="1">
        <f t="shared" si="8"/>
        <v>17.12</v>
      </c>
      <c r="H224" s="1">
        <f t="shared" si="8"/>
        <v>28.763200000000005</v>
      </c>
    </row>
    <row r="225" spans="1:8">
      <c r="B225" s="1" t="s">
        <v>20</v>
      </c>
      <c r="C225" s="1">
        <f>MIN(C173:C223)</f>
        <v>85.71</v>
      </c>
      <c r="D225" s="1">
        <f>MIN(D173:D223)</f>
        <v>155.88</v>
      </c>
      <c r="E225" s="1">
        <f>MIN(E173:E223)</f>
        <v>0.64232199999999995</v>
      </c>
      <c r="F225" s="1">
        <f>MIN(F173:F223)</f>
        <v>0.77</v>
      </c>
      <c r="H225" s="1">
        <f>MIN(H173:H223)</f>
        <v>21.68</v>
      </c>
    </row>
    <row r="226" spans="1:8">
      <c r="B226" s="1" t="s">
        <v>3</v>
      </c>
      <c r="C226" s="1">
        <f>STDEV(C174:C223)</f>
        <v>13.114782430680235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3" t="s">
        <v>1435</v>
      </c>
    </row>
    <row r="229" spans="1:8" ht="18">
      <c r="A229" s="23" t="s">
        <v>7</v>
      </c>
      <c r="B229" s="3" t="s">
        <v>2</v>
      </c>
      <c r="C229" s="23" t="s">
        <v>4</v>
      </c>
      <c r="D229" s="23" t="s">
        <v>322</v>
      </c>
      <c r="E229" s="23" t="s">
        <v>321</v>
      </c>
      <c r="F229" s="23" t="s">
        <v>324</v>
      </c>
      <c r="G229" s="23" t="s">
        <v>323</v>
      </c>
      <c r="H229" s="23" t="s">
        <v>1436</v>
      </c>
    </row>
    <row r="230" spans="1:8">
      <c r="A230" s="1">
        <v>1</v>
      </c>
      <c r="B230" t="s">
        <v>1954</v>
      </c>
      <c r="C230">
        <v>93.07</v>
      </c>
      <c r="D230">
        <v>234.8</v>
      </c>
      <c r="E230">
        <v>0.81461099999999997</v>
      </c>
      <c r="F230">
        <v>0.96</v>
      </c>
      <c r="G230">
        <v>50</v>
      </c>
      <c r="H230">
        <v>23.02</v>
      </c>
    </row>
    <row r="231" spans="1:8">
      <c r="A231" s="1">
        <v>2</v>
      </c>
      <c r="B231" t="s">
        <v>1955</v>
      </c>
      <c r="C231">
        <v>93.37</v>
      </c>
      <c r="D231">
        <v>235.12</v>
      </c>
      <c r="E231">
        <v>0.80662199999999995</v>
      </c>
      <c r="F231">
        <v>1.8</v>
      </c>
      <c r="G231">
        <v>32</v>
      </c>
      <c r="H231">
        <v>22.43</v>
      </c>
    </row>
    <row r="232" spans="1:8">
      <c r="A232" s="1">
        <v>3</v>
      </c>
      <c r="B232" t="s">
        <v>1956</v>
      </c>
      <c r="C232">
        <v>96.61</v>
      </c>
      <c r="D232">
        <v>237.51</v>
      </c>
      <c r="E232">
        <v>0.74398500000000001</v>
      </c>
      <c r="F232">
        <v>31.72</v>
      </c>
      <c r="G232">
        <v>20</v>
      </c>
      <c r="H232">
        <v>24.33</v>
      </c>
    </row>
    <row r="233" spans="1:8">
      <c r="A233" s="1">
        <v>4</v>
      </c>
      <c r="B233" t="s">
        <v>1957</v>
      </c>
      <c r="C233">
        <v>90.56</v>
      </c>
      <c r="D233">
        <v>235.84</v>
      </c>
      <c r="E233">
        <v>0.80818299999999998</v>
      </c>
      <c r="F233">
        <v>3.23</v>
      </c>
      <c r="G233">
        <v>54</v>
      </c>
      <c r="H233">
        <v>22.06</v>
      </c>
    </row>
    <row r="234" spans="1:8">
      <c r="A234" s="1">
        <v>5</v>
      </c>
      <c r="B234" t="s">
        <v>1958</v>
      </c>
      <c r="C234">
        <v>90.63</v>
      </c>
      <c r="D234">
        <v>235.08</v>
      </c>
      <c r="E234">
        <v>0.81650299999999998</v>
      </c>
      <c r="F234">
        <v>1.54</v>
      </c>
      <c r="G234">
        <v>0</v>
      </c>
      <c r="H234">
        <v>21.8</v>
      </c>
    </row>
    <row r="235" spans="1:8">
      <c r="A235" s="1">
        <v>6</v>
      </c>
      <c r="B235" t="s">
        <v>1959</v>
      </c>
      <c r="C235">
        <v>77.83</v>
      </c>
      <c r="D235">
        <v>233.47</v>
      </c>
      <c r="E235">
        <v>0.77698400000000001</v>
      </c>
      <c r="F235">
        <v>2.27</v>
      </c>
      <c r="G235">
        <v>46</v>
      </c>
      <c r="H235">
        <v>18.940000000000001</v>
      </c>
    </row>
    <row r="236" spans="1:8">
      <c r="A236" s="1">
        <v>7</v>
      </c>
      <c r="B236" t="s">
        <v>1960</v>
      </c>
      <c r="C236">
        <v>94.58</v>
      </c>
      <c r="D236">
        <v>235.75</v>
      </c>
      <c r="E236">
        <v>0.72652399999999995</v>
      </c>
      <c r="F236">
        <v>4.84</v>
      </c>
      <c r="G236">
        <v>8</v>
      </c>
      <c r="H236">
        <v>24.7</v>
      </c>
    </row>
    <row r="237" spans="1:8">
      <c r="A237" s="1">
        <v>8</v>
      </c>
      <c r="B237" t="s">
        <v>1961</v>
      </c>
      <c r="C237">
        <v>92.71</v>
      </c>
      <c r="D237">
        <v>236.26</v>
      </c>
      <c r="E237">
        <v>0.76981900000000003</v>
      </c>
      <c r="F237">
        <v>10.33</v>
      </c>
      <c r="G237">
        <v>12</v>
      </c>
      <c r="H237">
        <v>22.89</v>
      </c>
    </row>
    <row r="238" spans="1:8">
      <c r="A238" s="1">
        <v>9</v>
      </c>
      <c r="B238" t="s">
        <v>1962</v>
      </c>
      <c r="C238">
        <v>94.15</v>
      </c>
      <c r="D238">
        <v>233.5</v>
      </c>
      <c r="E238">
        <v>0.75697099999999995</v>
      </c>
      <c r="F238">
        <v>1.23</v>
      </c>
      <c r="G238">
        <v>4</v>
      </c>
      <c r="H238">
        <v>22.71</v>
      </c>
    </row>
    <row r="239" spans="1:8">
      <c r="A239" s="1">
        <v>10</v>
      </c>
      <c r="B239" t="s">
        <v>1963</v>
      </c>
      <c r="C239">
        <v>85.32</v>
      </c>
      <c r="D239">
        <v>235.62</v>
      </c>
      <c r="E239">
        <v>0.74997400000000003</v>
      </c>
      <c r="F239">
        <v>7.3</v>
      </c>
      <c r="G239">
        <v>4</v>
      </c>
      <c r="H239">
        <v>20.5</v>
      </c>
    </row>
    <row r="240" spans="1:8">
      <c r="A240" s="1">
        <v>11</v>
      </c>
      <c r="B240" t="s">
        <v>1964</v>
      </c>
      <c r="C240">
        <v>94.28</v>
      </c>
      <c r="D240">
        <v>236.48</v>
      </c>
      <c r="E240">
        <v>0.67907200000000001</v>
      </c>
      <c r="F240">
        <v>7.83</v>
      </c>
      <c r="G240">
        <v>36</v>
      </c>
      <c r="H240">
        <v>23.96</v>
      </c>
    </row>
    <row r="241" spans="1:8">
      <c r="A241" s="1">
        <v>12</v>
      </c>
      <c r="B241" t="s">
        <v>1965</v>
      </c>
      <c r="C241">
        <v>101.86</v>
      </c>
      <c r="D241">
        <v>235.94</v>
      </c>
      <c r="E241">
        <v>0.671315</v>
      </c>
      <c r="F241">
        <v>4.22</v>
      </c>
      <c r="G241">
        <v>58</v>
      </c>
      <c r="H241">
        <v>25.98</v>
      </c>
    </row>
    <row r="242" spans="1:8">
      <c r="A242" s="1">
        <v>13</v>
      </c>
      <c r="B242" t="s">
        <v>1966</v>
      </c>
      <c r="C242">
        <v>83.92</v>
      </c>
      <c r="D242">
        <v>235.83</v>
      </c>
      <c r="E242">
        <v>0.83617399999999997</v>
      </c>
      <c r="F242">
        <v>4.84</v>
      </c>
      <c r="G242">
        <v>4</v>
      </c>
      <c r="H242">
        <v>21.48</v>
      </c>
    </row>
    <row r="243" spans="1:8">
      <c r="A243" s="1">
        <v>14</v>
      </c>
      <c r="B243" t="s">
        <v>1967</v>
      </c>
      <c r="C243">
        <v>99.98</v>
      </c>
      <c r="D243">
        <v>237.18</v>
      </c>
      <c r="E243">
        <v>0.76042600000000005</v>
      </c>
      <c r="F243">
        <v>1.92</v>
      </c>
      <c r="G243">
        <v>6</v>
      </c>
      <c r="H243">
        <v>22.71</v>
      </c>
    </row>
    <row r="244" spans="1:8">
      <c r="A244" s="1">
        <v>15</v>
      </c>
      <c r="B244" t="s">
        <v>1968</v>
      </c>
      <c r="C244">
        <v>86.17</v>
      </c>
      <c r="D244">
        <v>234.69</v>
      </c>
      <c r="E244">
        <v>0.81509900000000002</v>
      </c>
      <c r="F244">
        <v>0.84</v>
      </c>
      <c r="G244">
        <v>34</v>
      </c>
      <c r="H244">
        <v>20.43</v>
      </c>
    </row>
    <row r="245" spans="1:8">
      <c r="A245" s="1">
        <v>16</v>
      </c>
      <c r="B245" t="s">
        <v>1969</v>
      </c>
      <c r="C245">
        <v>91.28</v>
      </c>
      <c r="D245">
        <v>235.72</v>
      </c>
      <c r="E245">
        <v>0.75280899999999995</v>
      </c>
      <c r="F245">
        <v>4.53</v>
      </c>
      <c r="G245">
        <v>0</v>
      </c>
      <c r="H245">
        <v>22.36</v>
      </c>
    </row>
    <row r="246" spans="1:8">
      <c r="A246" s="1">
        <v>17</v>
      </c>
      <c r="B246" t="s">
        <v>1970</v>
      </c>
      <c r="C246">
        <v>89.93</v>
      </c>
      <c r="D246">
        <v>235.79</v>
      </c>
      <c r="E246">
        <v>0.76623699999999995</v>
      </c>
      <c r="F246">
        <v>6.11</v>
      </c>
      <c r="G246">
        <v>44</v>
      </c>
      <c r="H246">
        <v>23.08</v>
      </c>
    </row>
    <row r="247" spans="1:8">
      <c r="A247" s="1">
        <v>18</v>
      </c>
      <c r="B247" t="s">
        <v>1971</v>
      </c>
      <c r="C247">
        <v>96.47</v>
      </c>
      <c r="D247">
        <v>235.46</v>
      </c>
      <c r="E247">
        <v>0.79004099999999999</v>
      </c>
      <c r="F247">
        <v>1.38</v>
      </c>
      <c r="G247">
        <v>36</v>
      </c>
      <c r="H247">
        <v>23.43</v>
      </c>
    </row>
    <row r="248" spans="1:8">
      <c r="A248" s="1">
        <v>19</v>
      </c>
      <c r="B248" t="s">
        <v>1972</v>
      </c>
      <c r="C248">
        <v>106.78</v>
      </c>
      <c r="D248">
        <v>238.2</v>
      </c>
      <c r="E248">
        <v>0.72728300000000001</v>
      </c>
      <c r="F248">
        <v>13.17</v>
      </c>
      <c r="G248">
        <v>6</v>
      </c>
      <c r="H248">
        <v>27.06</v>
      </c>
    </row>
    <row r="249" spans="1:8">
      <c r="A249" s="1">
        <v>20</v>
      </c>
      <c r="B249" t="s">
        <v>1973</v>
      </c>
      <c r="C249">
        <v>92.23</v>
      </c>
      <c r="D249">
        <v>235.24</v>
      </c>
      <c r="E249">
        <v>0.74404599999999999</v>
      </c>
      <c r="F249">
        <v>2.23</v>
      </c>
      <c r="G249">
        <v>28</v>
      </c>
      <c r="H249">
        <v>22.67</v>
      </c>
    </row>
    <row r="250" spans="1:8">
      <c r="A250" s="1">
        <v>21</v>
      </c>
      <c r="B250" t="s">
        <v>1974</v>
      </c>
      <c r="C250">
        <v>87.85</v>
      </c>
      <c r="D250">
        <v>233.4</v>
      </c>
      <c r="E250">
        <v>0.63576500000000002</v>
      </c>
      <c r="F250">
        <v>1.08</v>
      </c>
      <c r="G250">
        <v>40</v>
      </c>
      <c r="H250">
        <v>22.13</v>
      </c>
    </row>
    <row r="251" spans="1:8">
      <c r="A251" s="1">
        <v>22</v>
      </c>
      <c r="B251" t="s">
        <v>1975</v>
      </c>
      <c r="C251">
        <v>100.19</v>
      </c>
      <c r="D251">
        <v>237.06</v>
      </c>
      <c r="E251">
        <v>0.60804000000000002</v>
      </c>
      <c r="F251">
        <v>14.98</v>
      </c>
      <c r="G251">
        <v>0</v>
      </c>
      <c r="H251">
        <v>24.35</v>
      </c>
    </row>
    <row r="252" spans="1:8">
      <c r="A252" s="1">
        <v>23</v>
      </c>
      <c r="B252" t="s">
        <v>1976</v>
      </c>
      <c r="C252">
        <v>95.74</v>
      </c>
      <c r="D252">
        <v>235.01</v>
      </c>
      <c r="E252">
        <v>0.70252099999999995</v>
      </c>
      <c r="F252">
        <v>3.15</v>
      </c>
      <c r="G252">
        <v>40</v>
      </c>
      <c r="H252">
        <v>24.6</v>
      </c>
    </row>
    <row r="253" spans="1:8">
      <c r="A253" s="1">
        <v>24</v>
      </c>
      <c r="B253" t="s">
        <v>1977</v>
      </c>
      <c r="C253">
        <v>76.849999999999994</v>
      </c>
      <c r="D253">
        <v>234.93</v>
      </c>
      <c r="E253">
        <v>0.80996500000000005</v>
      </c>
      <c r="F253">
        <v>21.24</v>
      </c>
      <c r="G253">
        <v>54</v>
      </c>
      <c r="H253">
        <v>20.29</v>
      </c>
    </row>
    <row r="254" spans="1:8">
      <c r="A254" s="1">
        <v>25</v>
      </c>
      <c r="B254" t="s">
        <v>1978</v>
      </c>
      <c r="C254">
        <v>94.72</v>
      </c>
      <c r="D254">
        <v>234.76</v>
      </c>
      <c r="E254">
        <v>0.66396999999999995</v>
      </c>
      <c r="F254">
        <v>3.65</v>
      </c>
      <c r="G254">
        <v>8</v>
      </c>
      <c r="H254">
        <v>26.17</v>
      </c>
    </row>
    <row r="255" spans="1:8">
      <c r="A255" s="1">
        <v>26</v>
      </c>
      <c r="B255" t="s">
        <v>1979</v>
      </c>
      <c r="C255">
        <v>97.03</v>
      </c>
      <c r="D255">
        <v>237.68</v>
      </c>
      <c r="E255">
        <v>0.82555100000000003</v>
      </c>
      <c r="F255">
        <v>9.02</v>
      </c>
      <c r="G255">
        <v>42</v>
      </c>
      <c r="H255">
        <v>23.28</v>
      </c>
    </row>
    <row r="256" spans="1:8">
      <c r="A256" s="1">
        <v>27</v>
      </c>
      <c r="B256" t="s">
        <v>1980</v>
      </c>
      <c r="C256">
        <v>82.51</v>
      </c>
      <c r="D256">
        <v>235.27</v>
      </c>
      <c r="E256">
        <v>0.88742699999999997</v>
      </c>
      <c r="F256">
        <v>0.65</v>
      </c>
      <c r="G256">
        <v>58</v>
      </c>
      <c r="H256">
        <v>19.55</v>
      </c>
    </row>
    <row r="257" spans="1:8">
      <c r="A257" s="1">
        <v>28</v>
      </c>
      <c r="B257" t="s">
        <v>1981</v>
      </c>
      <c r="C257">
        <v>85.61</v>
      </c>
      <c r="D257">
        <v>232.84</v>
      </c>
      <c r="E257">
        <v>0.68328699999999998</v>
      </c>
      <c r="F257">
        <v>1.31</v>
      </c>
      <c r="G257">
        <v>32</v>
      </c>
      <c r="H257">
        <v>23.06</v>
      </c>
    </row>
    <row r="258" spans="1:8">
      <c r="A258" s="1">
        <v>29</v>
      </c>
      <c r="B258" t="s">
        <v>1982</v>
      </c>
      <c r="C258">
        <v>100.13</v>
      </c>
      <c r="D258">
        <v>236.67</v>
      </c>
      <c r="E258">
        <v>0.72435000000000005</v>
      </c>
      <c r="F258">
        <v>3.46</v>
      </c>
      <c r="G258">
        <v>30</v>
      </c>
      <c r="H258">
        <v>24.07</v>
      </c>
    </row>
    <row r="259" spans="1:8">
      <c r="A259" s="1">
        <v>30</v>
      </c>
      <c r="B259" t="s">
        <v>1983</v>
      </c>
      <c r="C259">
        <v>110.52</v>
      </c>
      <c r="D259">
        <v>237.9</v>
      </c>
      <c r="E259">
        <v>0.70100600000000002</v>
      </c>
      <c r="F259">
        <v>4.57</v>
      </c>
      <c r="G259">
        <v>42</v>
      </c>
      <c r="H259">
        <v>27.65</v>
      </c>
    </row>
    <row r="260" spans="1:8">
      <c r="A260" s="1">
        <v>31</v>
      </c>
      <c r="B260" t="s">
        <v>1984</v>
      </c>
      <c r="C260">
        <v>94.18</v>
      </c>
      <c r="D260">
        <v>235.04</v>
      </c>
      <c r="E260">
        <v>0.77595099999999995</v>
      </c>
      <c r="F260">
        <v>2.23</v>
      </c>
      <c r="G260">
        <v>46</v>
      </c>
      <c r="H260">
        <v>24.46</v>
      </c>
    </row>
    <row r="261" spans="1:8">
      <c r="A261" s="1">
        <v>32</v>
      </c>
      <c r="B261" t="s">
        <v>1985</v>
      </c>
      <c r="C261">
        <v>92.04</v>
      </c>
      <c r="D261">
        <v>236.04</v>
      </c>
      <c r="E261">
        <v>0.78423500000000002</v>
      </c>
      <c r="F261">
        <v>5.41</v>
      </c>
      <c r="G261">
        <v>26</v>
      </c>
      <c r="H261">
        <v>23.59</v>
      </c>
    </row>
    <row r="262" spans="1:8">
      <c r="A262" s="1">
        <v>33</v>
      </c>
      <c r="B262" t="s">
        <v>1986</v>
      </c>
      <c r="C262">
        <v>95.7</v>
      </c>
      <c r="D262">
        <v>234.57</v>
      </c>
      <c r="E262">
        <v>0.68997200000000003</v>
      </c>
      <c r="F262">
        <v>2.11</v>
      </c>
      <c r="G262">
        <v>10</v>
      </c>
      <c r="H262">
        <v>24.28</v>
      </c>
    </row>
    <row r="263" spans="1:8">
      <c r="A263" s="1">
        <v>34</v>
      </c>
      <c r="B263" t="s">
        <v>1987</v>
      </c>
      <c r="C263">
        <v>89.74</v>
      </c>
      <c r="D263">
        <v>236.13</v>
      </c>
      <c r="E263">
        <v>0.73805500000000002</v>
      </c>
      <c r="F263">
        <v>15.97</v>
      </c>
      <c r="G263">
        <v>56</v>
      </c>
      <c r="H263">
        <v>22.3</v>
      </c>
    </row>
    <row r="264" spans="1:8">
      <c r="A264" s="1">
        <v>35</v>
      </c>
      <c r="B264" t="s">
        <v>1988</v>
      </c>
      <c r="C264">
        <v>97.94</v>
      </c>
      <c r="D264">
        <v>236.34</v>
      </c>
      <c r="E264">
        <v>0.80899200000000004</v>
      </c>
      <c r="F264">
        <v>1.04</v>
      </c>
      <c r="G264">
        <v>0</v>
      </c>
      <c r="H264">
        <v>24.42</v>
      </c>
    </row>
    <row r="265" spans="1:8">
      <c r="A265" s="1">
        <v>36</v>
      </c>
      <c r="B265" t="s">
        <v>1989</v>
      </c>
      <c r="C265">
        <v>81.91</v>
      </c>
      <c r="D265">
        <v>234.91</v>
      </c>
      <c r="E265">
        <v>0.83897600000000006</v>
      </c>
      <c r="F265">
        <v>3.76</v>
      </c>
      <c r="G265">
        <v>46</v>
      </c>
      <c r="H265">
        <v>20.350000000000001</v>
      </c>
    </row>
    <row r="266" spans="1:8">
      <c r="A266" s="1">
        <v>37</v>
      </c>
      <c r="B266" t="s">
        <v>1990</v>
      </c>
      <c r="C266">
        <v>93.06</v>
      </c>
      <c r="D266">
        <v>237.25</v>
      </c>
      <c r="E266">
        <v>0.83219900000000002</v>
      </c>
      <c r="F266">
        <v>12.98</v>
      </c>
      <c r="G266">
        <v>4</v>
      </c>
      <c r="H266">
        <v>22.47</v>
      </c>
    </row>
    <row r="267" spans="1:8">
      <c r="A267" s="1">
        <v>38</v>
      </c>
      <c r="B267" t="s">
        <v>1991</v>
      </c>
      <c r="C267">
        <v>102.63</v>
      </c>
      <c r="D267">
        <v>237.58</v>
      </c>
      <c r="E267">
        <v>0.81264899999999995</v>
      </c>
      <c r="F267">
        <v>1.46</v>
      </c>
      <c r="G267">
        <v>16</v>
      </c>
      <c r="H267">
        <v>23.96</v>
      </c>
    </row>
    <row r="268" spans="1:8">
      <c r="A268" s="1">
        <v>39</v>
      </c>
      <c r="B268" t="s">
        <v>1992</v>
      </c>
      <c r="C268">
        <v>86.36</v>
      </c>
      <c r="D268">
        <v>234.68</v>
      </c>
      <c r="E268">
        <v>0.76758300000000002</v>
      </c>
      <c r="F268">
        <v>4.1500000000000004</v>
      </c>
      <c r="G268">
        <v>38</v>
      </c>
      <c r="H268">
        <v>23.76</v>
      </c>
    </row>
    <row r="269" spans="1:8">
      <c r="A269" s="1">
        <v>40</v>
      </c>
      <c r="B269" t="s">
        <v>1993</v>
      </c>
      <c r="C269">
        <v>89.59</v>
      </c>
      <c r="D269">
        <v>235.56</v>
      </c>
      <c r="E269">
        <v>0.74146299999999998</v>
      </c>
      <c r="F269">
        <v>2.65</v>
      </c>
      <c r="G269">
        <v>34</v>
      </c>
      <c r="H269">
        <v>22.38</v>
      </c>
    </row>
    <row r="270" spans="1:8">
      <c r="A270" s="1">
        <v>41</v>
      </c>
      <c r="B270" t="s">
        <v>1994</v>
      </c>
      <c r="C270">
        <v>102.21</v>
      </c>
      <c r="D270">
        <v>236.6</v>
      </c>
      <c r="E270">
        <v>0.64890000000000003</v>
      </c>
      <c r="F270">
        <v>10.1</v>
      </c>
      <c r="G270">
        <v>40</v>
      </c>
      <c r="H270">
        <v>23.66</v>
      </c>
    </row>
    <row r="271" spans="1:8">
      <c r="A271" s="1">
        <v>42</v>
      </c>
      <c r="B271" t="s">
        <v>1995</v>
      </c>
      <c r="C271">
        <v>96.67</v>
      </c>
      <c r="D271">
        <v>235.44</v>
      </c>
      <c r="E271">
        <v>0.69286800000000004</v>
      </c>
      <c r="F271">
        <v>7.14</v>
      </c>
      <c r="G271">
        <v>48</v>
      </c>
      <c r="H271">
        <v>24.53</v>
      </c>
    </row>
    <row r="272" spans="1:8">
      <c r="A272" s="1">
        <v>43</v>
      </c>
      <c r="B272" t="s">
        <v>1996</v>
      </c>
      <c r="C272">
        <v>93.85</v>
      </c>
      <c r="D272">
        <v>236.72</v>
      </c>
      <c r="E272">
        <v>0.83432700000000004</v>
      </c>
      <c r="F272">
        <v>2.38</v>
      </c>
      <c r="G272">
        <v>34</v>
      </c>
      <c r="H272">
        <v>22.65</v>
      </c>
    </row>
    <row r="273" spans="1:8">
      <c r="A273" s="1">
        <v>44</v>
      </c>
      <c r="B273" t="s">
        <v>1997</v>
      </c>
      <c r="C273">
        <v>84.22</v>
      </c>
      <c r="D273">
        <v>232.09</v>
      </c>
      <c r="E273">
        <v>0.74049699999999996</v>
      </c>
      <c r="F273">
        <v>0.04</v>
      </c>
      <c r="G273">
        <v>28</v>
      </c>
      <c r="H273">
        <v>21.56</v>
      </c>
    </row>
    <row r="274" spans="1:8">
      <c r="A274" s="1">
        <v>45</v>
      </c>
      <c r="B274" t="s">
        <v>1998</v>
      </c>
      <c r="C274">
        <v>95.64</v>
      </c>
      <c r="D274">
        <v>236.19</v>
      </c>
      <c r="E274">
        <v>0.68757999999999997</v>
      </c>
      <c r="F274">
        <v>4.95</v>
      </c>
      <c r="G274">
        <v>58</v>
      </c>
      <c r="H274">
        <v>23.41</v>
      </c>
    </row>
    <row r="275" spans="1:8">
      <c r="A275" s="1">
        <v>46</v>
      </c>
      <c r="B275" t="s">
        <v>1999</v>
      </c>
      <c r="C275">
        <v>102.05</v>
      </c>
      <c r="D275">
        <v>238.23</v>
      </c>
      <c r="E275">
        <v>0.82899199999999995</v>
      </c>
      <c r="F275">
        <v>14.78</v>
      </c>
      <c r="G275">
        <v>2</v>
      </c>
      <c r="H275">
        <v>24.34</v>
      </c>
    </row>
    <row r="276" spans="1:8">
      <c r="A276" s="1">
        <v>47</v>
      </c>
      <c r="B276" t="s">
        <v>2000</v>
      </c>
      <c r="C276">
        <v>103.78</v>
      </c>
      <c r="D276">
        <v>238.61</v>
      </c>
      <c r="E276">
        <v>0.82734200000000002</v>
      </c>
      <c r="F276">
        <v>4.22</v>
      </c>
      <c r="G276">
        <v>32</v>
      </c>
      <c r="H276">
        <v>25.08</v>
      </c>
    </row>
    <row r="277" spans="1:8">
      <c r="A277" s="1">
        <v>48</v>
      </c>
      <c r="B277" t="s">
        <v>2001</v>
      </c>
      <c r="C277">
        <v>86.24</v>
      </c>
      <c r="D277">
        <v>235.62</v>
      </c>
      <c r="E277">
        <v>0.77506799999999998</v>
      </c>
      <c r="F277">
        <v>8.14</v>
      </c>
      <c r="G277">
        <v>54</v>
      </c>
      <c r="H277">
        <v>20.84</v>
      </c>
    </row>
    <row r="278" spans="1:8">
      <c r="A278" s="1">
        <v>49</v>
      </c>
      <c r="B278" t="s">
        <v>2002</v>
      </c>
      <c r="C278">
        <v>76.55</v>
      </c>
      <c r="D278">
        <v>235.62</v>
      </c>
      <c r="E278">
        <v>0.87079200000000001</v>
      </c>
      <c r="F278">
        <v>35.369999999999997</v>
      </c>
      <c r="G278">
        <v>40</v>
      </c>
      <c r="H278">
        <v>18.27</v>
      </c>
    </row>
    <row r="279" spans="1:8">
      <c r="A279" s="1">
        <v>50</v>
      </c>
      <c r="B279" t="s">
        <v>2003</v>
      </c>
      <c r="C279">
        <v>94.28</v>
      </c>
      <c r="D279">
        <v>237.28</v>
      </c>
      <c r="E279">
        <v>0.81556899999999999</v>
      </c>
      <c r="F279">
        <v>11.75</v>
      </c>
      <c r="G279">
        <v>14</v>
      </c>
      <c r="H279">
        <v>24.76</v>
      </c>
    </row>
    <row r="280" spans="1:8">
      <c r="B280" s="1" t="s">
        <v>19</v>
      </c>
      <c r="C280" s="1">
        <f>AVERAGE(C230:C279)</f>
        <v>92.830399999999997</v>
      </c>
      <c r="D280" s="1">
        <f t="shared" ref="D280:H280" si="9">AVERAGE(D230:D279)</f>
        <v>235.79000000000005</v>
      </c>
      <c r="E280" s="1">
        <f t="shared" si="9"/>
        <v>0.76133139999999966</v>
      </c>
      <c r="F280" s="1">
        <f t="shared" si="9"/>
        <v>6.5205999999999991</v>
      </c>
      <c r="G280" s="1">
        <f t="shared" si="9"/>
        <v>29.08</v>
      </c>
      <c r="H280" s="1">
        <f t="shared" si="9"/>
        <v>23.055199999999992</v>
      </c>
    </row>
    <row r="281" spans="1:8">
      <c r="B281" s="1" t="s">
        <v>20</v>
      </c>
      <c r="C281" s="1">
        <f>MIN(C229:C279)</f>
        <v>76.55</v>
      </c>
      <c r="D281" s="1">
        <f>MIN(D229:D279)</f>
        <v>232.09</v>
      </c>
      <c r="E281" s="1">
        <f>MIN(E229:E279)</f>
        <v>0.60804000000000002</v>
      </c>
      <c r="F281" s="1">
        <f>MIN(F229:F279)</f>
        <v>0.04</v>
      </c>
      <c r="H281" s="1">
        <f>MIN(H229:H279)</f>
        <v>18.27</v>
      </c>
    </row>
    <row r="282" spans="1:8">
      <c r="B282" s="1" t="s">
        <v>3</v>
      </c>
      <c r="C282" s="1">
        <f>STDEV(C230:C279)</f>
        <v>7.412856443575853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3" t="s">
        <v>1435</v>
      </c>
    </row>
    <row r="285" spans="1:8" ht="18">
      <c r="A285" s="23" t="s">
        <v>7</v>
      </c>
      <c r="B285" s="3" t="s">
        <v>10</v>
      </c>
      <c r="C285" s="23" t="s">
        <v>4</v>
      </c>
      <c r="D285" s="23" t="s">
        <v>322</v>
      </c>
      <c r="E285" s="23" t="s">
        <v>321</v>
      </c>
      <c r="F285" s="23" t="s">
        <v>324</v>
      </c>
      <c r="G285" s="23" t="s">
        <v>323</v>
      </c>
      <c r="H285" s="23" t="s">
        <v>1436</v>
      </c>
    </row>
    <row r="286" spans="1:8">
      <c r="A286" s="1">
        <v>1</v>
      </c>
      <c r="B286" t="s">
        <v>2004</v>
      </c>
      <c r="C286">
        <v>77.3</v>
      </c>
      <c r="D286">
        <v>311.16000000000003</v>
      </c>
      <c r="E286">
        <v>0.73489499999999996</v>
      </c>
      <c r="F286">
        <v>2.8</v>
      </c>
      <c r="G286">
        <v>46</v>
      </c>
      <c r="H286">
        <v>17.93</v>
      </c>
    </row>
    <row r="287" spans="1:8">
      <c r="A287" s="1">
        <v>2</v>
      </c>
      <c r="B287" t="s">
        <v>2005</v>
      </c>
      <c r="C287">
        <v>84.02</v>
      </c>
      <c r="D287">
        <v>310.06</v>
      </c>
      <c r="E287">
        <v>0.68538600000000005</v>
      </c>
      <c r="F287">
        <v>2.04</v>
      </c>
      <c r="G287">
        <v>20</v>
      </c>
      <c r="H287">
        <v>19.43</v>
      </c>
    </row>
    <row r="288" spans="1:8">
      <c r="A288" s="1">
        <v>3</v>
      </c>
      <c r="B288" t="s">
        <v>2006</v>
      </c>
      <c r="C288">
        <v>90.98</v>
      </c>
      <c r="D288">
        <v>313.2</v>
      </c>
      <c r="E288">
        <v>0.67647199999999996</v>
      </c>
      <c r="F288">
        <v>4.45</v>
      </c>
      <c r="G288">
        <v>14</v>
      </c>
      <c r="H288">
        <v>21.03</v>
      </c>
    </row>
    <row r="289" spans="1:8">
      <c r="A289" s="1">
        <v>4</v>
      </c>
      <c r="B289" t="s">
        <v>2007</v>
      </c>
      <c r="C289">
        <v>76.23</v>
      </c>
      <c r="D289">
        <v>309.63</v>
      </c>
      <c r="E289">
        <v>0.75385400000000002</v>
      </c>
      <c r="F289">
        <v>0.19</v>
      </c>
      <c r="G289">
        <v>40</v>
      </c>
      <c r="H289">
        <v>18.5</v>
      </c>
    </row>
    <row r="290" spans="1:8">
      <c r="A290" s="1">
        <v>5</v>
      </c>
      <c r="B290" t="s">
        <v>2008</v>
      </c>
      <c r="C290">
        <v>76.14</v>
      </c>
      <c r="D290">
        <v>310.77999999999997</v>
      </c>
      <c r="E290">
        <v>0.74379700000000004</v>
      </c>
      <c r="F290">
        <v>3.26</v>
      </c>
      <c r="G290">
        <v>36</v>
      </c>
      <c r="H290">
        <v>17.71</v>
      </c>
    </row>
    <row r="291" spans="1:8">
      <c r="A291" s="1">
        <v>6</v>
      </c>
      <c r="B291" t="s">
        <v>2009</v>
      </c>
      <c r="C291">
        <v>80.319999999999993</v>
      </c>
      <c r="D291">
        <v>309.83</v>
      </c>
      <c r="E291">
        <v>0.73114299999999999</v>
      </c>
      <c r="F291">
        <v>1.23</v>
      </c>
      <c r="G291">
        <v>26</v>
      </c>
      <c r="H291">
        <v>19.29</v>
      </c>
    </row>
    <row r="292" spans="1:8">
      <c r="A292" s="1">
        <v>7</v>
      </c>
      <c r="B292" t="s">
        <v>2010</v>
      </c>
      <c r="C292">
        <v>77.39</v>
      </c>
      <c r="D292">
        <v>312.95</v>
      </c>
      <c r="E292">
        <v>0.80226200000000003</v>
      </c>
      <c r="F292">
        <v>10.94</v>
      </c>
      <c r="G292">
        <v>58</v>
      </c>
      <c r="H292">
        <v>17.87</v>
      </c>
    </row>
    <row r="293" spans="1:8">
      <c r="A293" s="1">
        <v>8</v>
      </c>
      <c r="B293" t="s">
        <v>2011</v>
      </c>
      <c r="C293">
        <v>79.459999999999994</v>
      </c>
      <c r="D293">
        <v>308.87</v>
      </c>
      <c r="E293">
        <v>0.64866500000000005</v>
      </c>
      <c r="F293">
        <v>3.03</v>
      </c>
      <c r="G293">
        <v>0</v>
      </c>
      <c r="H293">
        <v>19.52</v>
      </c>
    </row>
    <row r="294" spans="1:8">
      <c r="A294" s="1">
        <v>9</v>
      </c>
      <c r="B294" t="s">
        <v>2012</v>
      </c>
      <c r="C294">
        <v>77.92</v>
      </c>
      <c r="D294">
        <v>312.83999999999997</v>
      </c>
      <c r="E294">
        <v>0.83106000000000002</v>
      </c>
      <c r="F294">
        <v>2.04</v>
      </c>
      <c r="G294">
        <v>74</v>
      </c>
      <c r="H294">
        <v>18.72</v>
      </c>
    </row>
    <row r="295" spans="1:8">
      <c r="A295" s="1">
        <v>10</v>
      </c>
      <c r="B295" t="s">
        <v>2013</v>
      </c>
      <c r="C295">
        <v>74.650000000000006</v>
      </c>
      <c r="D295">
        <v>308.22000000000003</v>
      </c>
      <c r="E295">
        <v>0.64143899999999998</v>
      </c>
      <c r="F295">
        <v>0.77</v>
      </c>
      <c r="G295">
        <v>52</v>
      </c>
      <c r="H295">
        <v>17.53</v>
      </c>
    </row>
    <row r="296" spans="1:8">
      <c r="A296" s="1">
        <v>11</v>
      </c>
      <c r="B296" t="s">
        <v>2014</v>
      </c>
      <c r="C296">
        <v>78.13</v>
      </c>
      <c r="D296">
        <v>311.57</v>
      </c>
      <c r="E296">
        <v>0.77166900000000005</v>
      </c>
      <c r="F296">
        <v>7.07</v>
      </c>
      <c r="G296">
        <v>76</v>
      </c>
      <c r="H296">
        <v>18.34</v>
      </c>
    </row>
    <row r="297" spans="1:8">
      <c r="A297" s="1">
        <v>12</v>
      </c>
      <c r="B297" t="s">
        <v>2015</v>
      </c>
      <c r="C297">
        <v>76.61</v>
      </c>
      <c r="D297">
        <v>313</v>
      </c>
      <c r="E297">
        <v>0.83840499999999996</v>
      </c>
      <c r="F297">
        <v>10.37</v>
      </c>
      <c r="G297">
        <v>8</v>
      </c>
      <c r="H297">
        <v>18.55</v>
      </c>
    </row>
    <row r="298" spans="1:8">
      <c r="A298" s="1">
        <v>13</v>
      </c>
      <c r="B298" t="s">
        <v>2016</v>
      </c>
      <c r="C298">
        <v>80.19</v>
      </c>
      <c r="D298">
        <v>311.39</v>
      </c>
      <c r="E298">
        <v>0.70542400000000005</v>
      </c>
      <c r="F298">
        <v>1.23</v>
      </c>
      <c r="G298">
        <v>74</v>
      </c>
      <c r="H298">
        <v>18.86</v>
      </c>
    </row>
    <row r="299" spans="1:8">
      <c r="A299" s="1">
        <v>14</v>
      </c>
      <c r="B299" t="s">
        <v>2017</v>
      </c>
      <c r="C299">
        <v>84</v>
      </c>
      <c r="D299">
        <v>312.29000000000002</v>
      </c>
      <c r="E299">
        <v>0.68854199999999999</v>
      </c>
      <c r="F299">
        <v>8.49</v>
      </c>
      <c r="G299">
        <v>26</v>
      </c>
      <c r="H299">
        <v>20.63</v>
      </c>
    </row>
    <row r="300" spans="1:8">
      <c r="A300" s="1">
        <v>15</v>
      </c>
      <c r="B300" t="s">
        <v>2018</v>
      </c>
      <c r="C300">
        <v>82.87</v>
      </c>
      <c r="D300">
        <v>310.5</v>
      </c>
      <c r="E300">
        <v>0.75070300000000001</v>
      </c>
      <c r="F300">
        <v>1.5</v>
      </c>
      <c r="G300">
        <v>36</v>
      </c>
      <c r="H300">
        <v>21.08</v>
      </c>
    </row>
    <row r="301" spans="1:8">
      <c r="A301" s="1">
        <v>16</v>
      </c>
      <c r="B301" t="s">
        <v>2019</v>
      </c>
      <c r="C301">
        <v>77.87</v>
      </c>
      <c r="D301">
        <v>312.33999999999997</v>
      </c>
      <c r="E301">
        <v>0.79332499999999995</v>
      </c>
      <c r="F301">
        <v>8.7200000000000006</v>
      </c>
      <c r="G301">
        <v>78</v>
      </c>
      <c r="H301">
        <v>19.75</v>
      </c>
    </row>
    <row r="302" spans="1:8">
      <c r="A302" s="1">
        <v>17</v>
      </c>
      <c r="B302" t="s">
        <v>2020</v>
      </c>
      <c r="C302">
        <v>79.19</v>
      </c>
      <c r="D302">
        <v>309.97000000000003</v>
      </c>
      <c r="E302">
        <v>0.77119199999999999</v>
      </c>
      <c r="F302">
        <v>1.46</v>
      </c>
      <c r="G302">
        <v>40</v>
      </c>
      <c r="H302">
        <v>19.29</v>
      </c>
    </row>
    <row r="303" spans="1:8">
      <c r="A303" s="1">
        <v>18</v>
      </c>
      <c r="B303" t="s">
        <v>2021</v>
      </c>
      <c r="C303">
        <v>74.77</v>
      </c>
      <c r="D303">
        <v>307.94</v>
      </c>
      <c r="E303">
        <v>0.70962400000000003</v>
      </c>
      <c r="F303">
        <v>0.35</v>
      </c>
      <c r="G303">
        <v>4</v>
      </c>
      <c r="H303">
        <v>18.22</v>
      </c>
    </row>
    <row r="304" spans="1:8">
      <c r="A304" s="1">
        <v>19</v>
      </c>
      <c r="B304" t="s">
        <v>2022</v>
      </c>
      <c r="C304">
        <v>77.34</v>
      </c>
      <c r="D304">
        <v>312.36</v>
      </c>
      <c r="E304">
        <v>0.75187099999999996</v>
      </c>
      <c r="F304">
        <v>12.4</v>
      </c>
      <c r="G304">
        <v>16</v>
      </c>
      <c r="H304">
        <v>19</v>
      </c>
    </row>
    <row r="305" spans="1:8">
      <c r="A305" s="1">
        <v>20</v>
      </c>
      <c r="B305" t="s">
        <v>2023</v>
      </c>
      <c r="C305">
        <v>79.05</v>
      </c>
      <c r="D305">
        <v>310.45999999999998</v>
      </c>
      <c r="E305">
        <v>0.65026899999999999</v>
      </c>
      <c r="F305">
        <v>4.34</v>
      </c>
      <c r="G305">
        <v>46</v>
      </c>
      <c r="H305">
        <v>19.14</v>
      </c>
    </row>
    <row r="306" spans="1:8">
      <c r="A306" s="1">
        <v>21</v>
      </c>
      <c r="B306" t="s">
        <v>2024</v>
      </c>
      <c r="C306">
        <v>67.67</v>
      </c>
      <c r="D306">
        <v>307.86</v>
      </c>
      <c r="E306">
        <v>0.81085499999999999</v>
      </c>
      <c r="F306">
        <v>0.08</v>
      </c>
      <c r="G306">
        <v>38</v>
      </c>
      <c r="H306">
        <v>15.28</v>
      </c>
    </row>
    <row r="307" spans="1:8">
      <c r="A307" s="1">
        <v>22</v>
      </c>
      <c r="B307" t="s">
        <v>2025</v>
      </c>
      <c r="C307">
        <v>87.99</v>
      </c>
      <c r="D307">
        <v>311.45</v>
      </c>
      <c r="E307">
        <v>0.63927500000000004</v>
      </c>
      <c r="F307">
        <v>2.23</v>
      </c>
      <c r="G307">
        <v>22</v>
      </c>
      <c r="H307">
        <v>21.21</v>
      </c>
    </row>
    <row r="308" spans="1:8">
      <c r="A308" s="1">
        <v>23</v>
      </c>
      <c r="B308" t="s">
        <v>2026</v>
      </c>
      <c r="C308">
        <v>80.73</v>
      </c>
      <c r="D308">
        <v>311.33999999999997</v>
      </c>
      <c r="E308">
        <v>0.72042399999999995</v>
      </c>
      <c r="F308">
        <v>4.1900000000000004</v>
      </c>
      <c r="G308">
        <v>52</v>
      </c>
      <c r="H308">
        <v>19.77</v>
      </c>
    </row>
    <row r="309" spans="1:8">
      <c r="A309" s="1">
        <v>24</v>
      </c>
      <c r="B309" t="s">
        <v>2027</v>
      </c>
      <c r="C309">
        <v>80.56</v>
      </c>
      <c r="D309">
        <v>311.72000000000003</v>
      </c>
      <c r="E309">
        <v>0.75558499999999995</v>
      </c>
      <c r="F309">
        <v>1.84</v>
      </c>
      <c r="G309">
        <v>66</v>
      </c>
      <c r="H309">
        <v>18.850000000000001</v>
      </c>
    </row>
    <row r="310" spans="1:8">
      <c r="A310" s="1">
        <v>25</v>
      </c>
      <c r="B310" t="s">
        <v>2028</v>
      </c>
      <c r="C310">
        <v>89.27</v>
      </c>
      <c r="D310">
        <v>312.58</v>
      </c>
      <c r="E310">
        <v>0.71213599999999999</v>
      </c>
      <c r="F310">
        <v>1.57</v>
      </c>
      <c r="G310">
        <v>56</v>
      </c>
      <c r="H310">
        <v>23</v>
      </c>
    </row>
    <row r="311" spans="1:8">
      <c r="A311" s="1">
        <v>26</v>
      </c>
      <c r="B311" t="s">
        <v>2029</v>
      </c>
      <c r="C311">
        <v>84.6</v>
      </c>
      <c r="D311">
        <v>313.89</v>
      </c>
      <c r="E311">
        <v>0.77013100000000001</v>
      </c>
      <c r="F311">
        <v>6.37</v>
      </c>
      <c r="G311">
        <v>2</v>
      </c>
      <c r="H311">
        <v>20.12</v>
      </c>
    </row>
    <row r="312" spans="1:8">
      <c r="A312" s="1">
        <v>27</v>
      </c>
      <c r="B312" t="s">
        <v>2030</v>
      </c>
      <c r="C312">
        <v>79.930000000000007</v>
      </c>
      <c r="D312">
        <v>309.02</v>
      </c>
      <c r="E312">
        <v>0.69473300000000004</v>
      </c>
      <c r="F312">
        <v>1.08</v>
      </c>
      <c r="G312">
        <v>40</v>
      </c>
      <c r="H312">
        <v>19.41</v>
      </c>
    </row>
    <row r="313" spans="1:8">
      <c r="A313" s="1">
        <v>28</v>
      </c>
      <c r="B313" t="s">
        <v>2031</v>
      </c>
      <c r="C313">
        <v>82.37</v>
      </c>
      <c r="D313">
        <v>310.98</v>
      </c>
      <c r="E313">
        <v>0.707484</v>
      </c>
      <c r="F313">
        <v>1.65</v>
      </c>
      <c r="G313">
        <v>40</v>
      </c>
      <c r="H313">
        <v>20.34</v>
      </c>
    </row>
    <row r="314" spans="1:8">
      <c r="A314" s="1">
        <v>29</v>
      </c>
      <c r="B314" t="s">
        <v>2032</v>
      </c>
      <c r="C314">
        <v>81.8</v>
      </c>
      <c r="D314">
        <v>311.23</v>
      </c>
      <c r="E314">
        <v>0.72351399999999999</v>
      </c>
      <c r="F314">
        <v>1.96</v>
      </c>
      <c r="G314">
        <v>40</v>
      </c>
      <c r="H314">
        <v>18.91</v>
      </c>
    </row>
    <row r="315" spans="1:8">
      <c r="A315" s="1">
        <v>30</v>
      </c>
      <c r="B315" t="s">
        <v>2033</v>
      </c>
      <c r="C315">
        <v>75.53</v>
      </c>
      <c r="D315">
        <v>310.04000000000002</v>
      </c>
      <c r="E315">
        <v>0.67084299999999997</v>
      </c>
      <c r="F315">
        <v>3.11</v>
      </c>
      <c r="G315">
        <v>56</v>
      </c>
      <c r="H315">
        <v>18.32</v>
      </c>
    </row>
    <row r="316" spans="1:8">
      <c r="A316" s="1">
        <v>31</v>
      </c>
      <c r="B316" t="s">
        <v>2034</v>
      </c>
      <c r="C316">
        <v>78.489999999999995</v>
      </c>
      <c r="D316">
        <v>312.01</v>
      </c>
      <c r="E316">
        <v>0.787358</v>
      </c>
      <c r="F316">
        <v>1.92</v>
      </c>
      <c r="G316">
        <v>32</v>
      </c>
      <c r="H316">
        <v>19.38</v>
      </c>
    </row>
    <row r="317" spans="1:8">
      <c r="A317" s="1">
        <v>32</v>
      </c>
      <c r="B317" t="s">
        <v>2035</v>
      </c>
      <c r="C317">
        <v>92.44</v>
      </c>
      <c r="D317">
        <v>311.97000000000003</v>
      </c>
      <c r="E317">
        <v>0.64955499999999999</v>
      </c>
      <c r="F317">
        <v>0.61</v>
      </c>
      <c r="G317">
        <v>58</v>
      </c>
      <c r="H317">
        <v>21.98</v>
      </c>
    </row>
    <row r="318" spans="1:8">
      <c r="A318" s="1">
        <v>33</v>
      </c>
      <c r="B318" t="s">
        <v>2036</v>
      </c>
      <c r="C318">
        <v>81.77</v>
      </c>
      <c r="D318">
        <v>308.3</v>
      </c>
      <c r="E318">
        <v>0.71477900000000005</v>
      </c>
      <c r="F318">
        <v>0.54</v>
      </c>
      <c r="G318">
        <v>10</v>
      </c>
      <c r="H318">
        <v>18.739999999999998</v>
      </c>
    </row>
    <row r="319" spans="1:8">
      <c r="A319" s="1">
        <v>34</v>
      </c>
      <c r="B319" t="s">
        <v>2037</v>
      </c>
      <c r="C319">
        <v>78.239999999999995</v>
      </c>
      <c r="D319">
        <v>312.17</v>
      </c>
      <c r="E319">
        <v>0.75194399999999995</v>
      </c>
      <c r="F319">
        <v>5.38</v>
      </c>
      <c r="G319">
        <v>14</v>
      </c>
      <c r="H319">
        <v>18.489999999999998</v>
      </c>
    </row>
    <row r="320" spans="1:8">
      <c r="A320" s="1">
        <v>35</v>
      </c>
      <c r="B320" t="s">
        <v>2038</v>
      </c>
      <c r="C320">
        <v>79.33</v>
      </c>
      <c r="D320">
        <v>309.73</v>
      </c>
      <c r="E320">
        <v>0.698461</v>
      </c>
      <c r="F320">
        <v>0.54</v>
      </c>
      <c r="G320">
        <v>34</v>
      </c>
      <c r="H320">
        <v>19.02</v>
      </c>
    </row>
    <row r="321" spans="1:8">
      <c r="A321" s="1">
        <v>36</v>
      </c>
      <c r="B321" t="s">
        <v>2039</v>
      </c>
      <c r="C321">
        <v>84.06</v>
      </c>
      <c r="D321">
        <v>306.75</v>
      </c>
      <c r="E321">
        <v>0.59830300000000003</v>
      </c>
      <c r="F321">
        <v>0.08</v>
      </c>
      <c r="G321">
        <v>34</v>
      </c>
      <c r="H321">
        <v>21.08</v>
      </c>
    </row>
    <row r="322" spans="1:8">
      <c r="A322" s="1">
        <v>37</v>
      </c>
      <c r="B322" t="s">
        <v>2040</v>
      </c>
      <c r="C322">
        <v>82.25</v>
      </c>
      <c r="D322">
        <v>312.11</v>
      </c>
      <c r="E322">
        <v>0.72374899999999998</v>
      </c>
      <c r="F322">
        <v>4.6500000000000004</v>
      </c>
      <c r="G322">
        <v>44</v>
      </c>
      <c r="H322">
        <v>19.899999999999999</v>
      </c>
    </row>
    <row r="323" spans="1:8">
      <c r="A323" s="1">
        <v>38</v>
      </c>
      <c r="B323" t="s">
        <v>2041</v>
      </c>
      <c r="C323">
        <v>77.290000000000006</v>
      </c>
      <c r="D323">
        <v>311.83</v>
      </c>
      <c r="E323">
        <v>0.80451700000000004</v>
      </c>
      <c r="F323">
        <v>1.65</v>
      </c>
      <c r="G323">
        <v>6</v>
      </c>
      <c r="H323">
        <v>18.82</v>
      </c>
    </row>
    <row r="324" spans="1:8">
      <c r="A324" s="1">
        <v>39</v>
      </c>
      <c r="B324" t="s">
        <v>2042</v>
      </c>
      <c r="C324">
        <v>82.02</v>
      </c>
      <c r="D324">
        <v>313.36</v>
      </c>
      <c r="E324">
        <v>0.73449399999999998</v>
      </c>
      <c r="F324">
        <v>3.3</v>
      </c>
      <c r="G324">
        <v>4</v>
      </c>
      <c r="H324">
        <v>19.79</v>
      </c>
    </row>
    <row r="325" spans="1:8">
      <c r="A325" s="1">
        <v>40</v>
      </c>
      <c r="B325" t="s">
        <v>2043</v>
      </c>
      <c r="C325">
        <v>75.44</v>
      </c>
      <c r="D325">
        <v>311.64</v>
      </c>
      <c r="E325">
        <v>0.78150500000000001</v>
      </c>
      <c r="F325">
        <v>4.38</v>
      </c>
      <c r="G325">
        <v>48</v>
      </c>
      <c r="H325">
        <v>18.73</v>
      </c>
    </row>
    <row r="326" spans="1:8">
      <c r="A326" s="1">
        <v>41</v>
      </c>
      <c r="B326" t="s">
        <v>2044</v>
      </c>
      <c r="C326">
        <v>77.86</v>
      </c>
      <c r="D326">
        <v>310.11</v>
      </c>
      <c r="E326">
        <v>0.62664500000000001</v>
      </c>
      <c r="F326">
        <v>1.88</v>
      </c>
      <c r="G326">
        <v>0</v>
      </c>
      <c r="H326">
        <v>18.25</v>
      </c>
    </row>
    <row r="327" spans="1:8">
      <c r="A327" s="1">
        <v>42</v>
      </c>
      <c r="B327" t="s">
        <v>2045</v>
      </c>
      <c r="C327">
        <v>73.540000000000006</v>
      </c>
      <c r="D327">
        <v>309.61</v>
      </c>
      <c r="E327">
        <v>0.72257700000000002</v>
      </c>
      <c r="F327">
        <v>1.19</v>
      </c>
      <c r="G327">
        <v>64</v>
      </c>
      <c r="H327">
        <v>17.72</v>
      </c>
    </row>
    <row r="328" spans="1:8">
      <c r="A328" s="1">
        <v>43</v>
      </c>
      <c r="B328" t="s">
        <v>2046</v>
      </c>
      <c r="C328">
        <v>73.94</v>
      </c>
      <c r="D328">
        <v>311.54000000000002</v>
      </c>
      <c r="E328">
        <v>0.78583999999999998</v>
      </c>
      <c r="F328">
        <v>11.33</v>
      </c>
      <c r="G328">
        <v>44</v>
      </c>
      <c r="H328">
        <v>17.07</v>
      </c>
    </row>
    <row r="329" spans="1:8">
      <c r="A329" s="1">
        <v>44</v>
      </c>
      <c r="B329" t="s">
        <v>2047</v>
      </c>
      <c r="C329">
        <v>73.290000000000006</v>
      </c>
      <c r="D329">
        <v>310.83</v>
      </c>
      <c r="E329">
        <v>0.78011399999999997</v>
      </c>
      <c r="F329">
        <v>3.65</v>
      </c>
      <c r="G329">
        <v>76</v>
      </c>
      <c r="H329">
        <v>17.04</v>
      </c>
    </row>
    <row r="330" spans="1:8">
      <c r="A330" s="1">
        <v>45</v>
      </c>
      <c r="B330" t="s">
        <v>2048</v>
      </c>
      <c r="C330">
        <v>82.51</v>
      </c>
      <c r="D330">
        <v>311.12</v>
      </c>
      <c r="E330">
        <v>0.71396400000000004</v>
      </c>
      <c r="F330">
        <v>2.96</v>
      </c>
      <c r="G330">
        <v>32</v>
      </c>
      <c r="H330">
        <v>19.75</v>
      </c>
    </row>
    <row r="331" spans="1:8">
      <c r="A331" s="1">
        <v>46</v>
      </c>
      <c r="B331" t="s">
        <v>2049</v>
      </c>
      <c r="C331">
        <v>77.64</v>
      </c>
      <c r="D331">
        <v>312.87</v>
      </c>
      <c r="E331">
        <v>0.77666599999999997</v>
      </c>
      <c r="F331">
        <v>14.28</v>
      </c>
      <c r="G331">
        <v>60</v>
      </c>
      <c r="H331">
        <v>18.55</v>
      </c>
    </row>
    <row r="332" spans="1:8">
      <c r="A332" s="1">
        <v>47</v>
      </c>
      <c r="B332" t="s">
        <v>2050</v>
      </c>
      <c r="C332">
        <v>76.069999999999993</v>
      </c>
      <c r="D332">
        <v>310.07</v>
      </c>
      <c r="E332">
        <v>0.77838600000000002</v>
      </c>
      <c r="F332">
        <v>0.15</v>
      </c>
      <c r="G332">
        <v>22</v>
      </c>
      <c r="H332">
        <v>19.87</v>
      </c>
    </row>
    <row r="333" spans="1:8">
      <c r="A333" s="1">
        <v>48</v>
      </c>
      <c r="B333" t="s">
        <v>2051</v>
      </c>
      <c r="C333">
        <v>80.44</v>
      </c>
      <c r="D333">
        <v>312.49</v>
      </c>
      <c r="E333">
        <v>0.72497999999999996</v>
      </c>
      <c r="F333">
        <v>8.14</v>
      </c>
      <c r="G333">
        <v>32</v>
      </c>
      <c r="H333">
        <v>19.75</v>
      </c>
    </row>
    <row r="334" spans="1:8">
      <c r="A334" s="1">
        <v>49</v>
      </c>
      <c r="B334" t="s">
        <v>2052</v>
      </c>
      <c r="C334">
        <v>84.69</v>
      </c>
      <c r="D334">
        <v>309.62</v>
      </c>
      <c r="E334">
        <v>0.65459599999999996</v>
      </c>
      <c r="F334">
        <v>2.0699999999999998</v>
      </c>
      <c r="G334">
        <v>28</v>
      </c>
      <c r="H334">
        <v>22.94</v>
      </c>
    </row>
    <row r="335" spans="1:8">
      <c r="A335" s="1">
        <v>50</v>
      </c>
      <c r="B335" t="s">
        <v>2053</v>
      </c>
      <c r="C335">
        <v>76.489999999999995</v>
      </c>
      <c r="D335">
        <v>312.06</v>
      </c>
      <c r="E335">
        <v>0.803651</v>
      </c>
      <c r="F335">
        <v>6.3</v>
      </c>
      <c r="G335">
        <v>66</v>
      </c>
      <c r="H335">
        <v>17.850000000000001</v>
      </c>
    </row>
    <row r="336" spans="1:8">
      <c r="B336" s="1" t="s">
        <v>19</v>
      </c>
      <c r="C336" s="1">
        <f>AVERAGE(C286:C335)</f>
        <v>79.653599999999997</v>
      </c>
      <c r="D336" s="1">
        <f t="shared" ref="D336:H336" si="10">AVERAGE(D286:D335)</f>
        <v>310.99320000000006</v>
      </c>
      <c r="E336" s="1">
        <f t="shared" si="10"/>
        <v>0.72994122000000017</v>
      </c>
      <c r="F336" s="1">
        <f t="shared" si="10"/>
        <v>3.7152000000000012</v>
      </c>
      <c r="G336" s="1">
        <f t="shared" si="10"/>
        <v>37.799999999999997</v>
      </c>
      <c r="H336" s="1">
        <f t="shared" si="10"/>
        <v>19.206400000000002</v>
      </c>
    </row>
    <row r="337" spans="1:8">
      <c r="B337" s="1" t="s">
        <v>20</v>
      </c>
      <c r="C337" s="1">
        <f>MIN(C285:C335)</f>
        <v>67.67</v>
      </c>
      <c r="D337" s="1">
        <f t="shared" ref="D337:F337" si="11">MIN(D285:D335)</f>
        <v>306.75</v>
      </c>
      <c r="E337" s="1">
        <f t="shared" si="11"/>
        <v>0.59830300000000003</v>
      </c>
      <c r="F337" s="1">
        <f t="shared" si="11"/>
        <v>0.08</v>
      </c>
      <c r="H337" s="1">
        <f t="shared" ref="H337" si="12">MIN(H285:H335)</f>
        <v>15.28</v>
      </c>
    </row>
    <row r="338" spans="1:8">
      <c r="B338" s="1" t="s">
        <v>3</v>
      </c>
      <c r="C338" s="1">
        <f>STDEV(C286:C335)</f>
        <v>4.6226513109750762</v>
      </c>
      <c r="D338" s="1">
        <f t="shared" ref="D338:E338" si="13">STDEV(D286:D335)</f>
        <v>1.6070716682606456</v>
      </c>
      <c r="E338" s="1">
        <f t="shared" si="13"/>
        <v>5.6572792151055921E-2</v>
      </c>
      <c r="F338" s="1">
        <f>STDEV(F286:F335)</f>
        <v>3.5446805445999368</v>
      </c>
      <c r="H338" s="1">
        <f>STDEV(H286:H335)</f>
        <v>1.4354417083111364</v>
      </c>
    </row>
    <row r="340" spans="1:8">
      <c r="H340" s="23" t="s">
        <v>1435</v>
      </c>
    </row>
    <row r="341" spans="1:8" ht="18">
      <c r="A341" s="23" t="s">
        <v>7</v>
      </c>
      <c r="B341" s="3" t="s">
        <v>6</v>
      </c>
      <c r="C341" s="23" t="s">
        <v>4</v>
      </c>
      <c r="D341" s="23" t="s">
        <v>322</v>
      </c>
      <c r="E341" s="23" t="s">
        <v>321</v>
      </c>
      <c r="F341" s="23" t="s">
        <v>324</v>
      </c>
      <c r="G341" s="23" t="s">
        <v>323</v>
      </c>
      <c r="H341" s="23" t="s">
        <v>1436</v>
      </c>
    </row>
    <row r="342" spans="1:8">
      <c r="A342" s="1">
        <v>1</v>
      </c>
      <c r="B342" t="s">
        <v>3722</v>
      </c>
      <c r="C342">
        <v>70.930000000000007</v>
      </c>
      <c r="D342">
        <v>388.76</v>
      </c>
      <c r="E342">
        <v>0.75802999999999998</v>
      </c>
      <c r="F342">
        <v>6.22</v>
      </c>
      <c r="G342">
        <v>36</v>
      </c>
      <c r="H342">
        <v>17.11</v>
      </c>
    </row>
    <row r="343" spans="1:8">
      <c r="A343" s="1">
        <v>2</v>
      </c>
      <c r="B343" t="s">
        <v>3723</v>
      </c>
      <c r="C343">
        <v>62.78</v>
      </c>
      <c r="D343">
        <v>383.63</v>
      </c>
      <c r="E343">
        <v>0.75756500000000004</v>
      </c>
      <c r="F343">
        <v>2.2999999999999998</v>
      </c>
      <c r="G343">
        <v>84</v>
      </c>
      <c r="H343">
        <v>15.76</v>
      </c>
    </row>
    <row r="344" spans="1:8">
      <c r="A344" s="1">
        <v>3</v>
      </c>
      <c r="B344" t="s">
        <v>3724</v>
      </c>
      <c r="C344">
        <v>70.209999999999994</v>
      </c>
      <c r="D344">
        <v>385.92</v>
      </c>
      <c r="E344">
        <v>0.78369599999999995</v>
      </c>
      <c r="F344">
        <v>0.61</v>
      </c>
      <c r="G344">
        <v>32</v>
      </c>
      <c r="H344">
        <v>16.420000000000002</v>
      </c>
    </row>
    <row r="345" spans="1:8">
      <c r="A345" s="1">
        <v>4</v>
      </c>
      <c r="B345" t="s">
        <v>3725</v>
      </c>
      <c r="C345">
        <v>66.58</v>
      </c>
      <c r="D345">
        <v>385.98</v>
      </c>
      <c r="E345">
        <v>0.79841499999999999</v>
      </c>
      <c r="F345">
        <v>0.88</v>
      </c>
      <c r="G345">
        <v>44</v>
      </c>
      <c r="H345">
        <v>15.21</v>
      </c>
    </row>
    <row r="346" spans="1:8">
      <c r="A346" s="1">
        <v>5</v>
      </c>
      <c r="B346" t="s">
        <v>3726</v>
      </c>
      <c r="C346">
        <v>71.290000000000006</v>
      </c>
      <c r="D346">
        <v>387.79</v>
      </c>
      <c r="E346">
        <v>0.76034199999999996</v>
      </c>
      <c r="F346">
        <v>2.65</v>
      </c>
      <c r="G346">
        <v>22</v>
      </c>
      <c r="H346">
        <v>17.440000000000001</v>
      </c>
    </row>
    <row r="347" spans="1:8">
      <c r="A347" s="1">
        <v>6</v>
      </c>
      <c r="B347" t="s">
        <v>3727</v>
      </c>
      <c r="C347">
        <v>72.88</v>
      </c>
      <c r="D347">
        <v>383.29</v>
      </c>
      <c r="E347">
        <v>0.634297</v>
      </c>
      <c r="F347">
        <v>1.96</v>
      </c>
      <c r="G347">
        <v>68</v>
      </c>
      <c r="H347">
        <v>17.79</v>
      </c>
    </row>
    <row r="348" spans="1:8">
      <c r="A348" s="1">
        <v>7</v>
      </c>
      <c r="B348" t="s">
        <v>3728</v>
      </c>
      <c r="C348">
        <v>68.430000000000007</v>
      </c>
      <c r="D348">
        <v>385.77</v>
      </c>
      <c r="E348">
        <v>0.74996300000000005</v>
      </c>
      <c r="F348">
        <v>1.61</v>
      </c>
      <c r="G348">
        <v>2</v>
      </c>
      <c r="H348">
        <v>16.03</v>
      </c>
    </row>
    <row r="349" spans="1:8">
      <c r="A349" s="1">
        <v>8</v>
      </c>
      <c r="B349" t="s">
        <v>3729</v>
      </c>
      <c r="C349">
        <v>69.849999999999994</v>
      </c>
      <c r="D349">
        <v>385.48</v>
      </c>
      <c r="E349">
        <v>0.71391099999999996</v>
      </c>
      <c r="F349">
        <v>1.23</v>
      </c>
      <c r="G349">
        <v>74</v>
      </c>
      <c r="H349">
        <v>16.05</v>
      </c>
    </row>
    <row r="350" spans="1:8">
      <c r="A350" s="1">
        <v>9</v>
      </c>
      <c r="B350" t="s">
        <v>3730</v>
      </c>
      <c r="C350">
        <v>67.91</v>
      </c>
      <c r="D350">
        <v>382.46</v>
      </c>
      <c r="E350">
        <v>0.65896100000000002</v>
      </c>
      <c r="F350">
        <v>1.73</v>
      </c>
      <c r="G350">
        <v>50</v>
      </c>
      <c r="H350">
        <v>16.25</v>
      </c>
    </row>
    <row r="351" spans="1:8">
      <c r="A351" s="1">
        <v>10</v>
      </c>
      <c r="B351" t="s">
        <v>3731</v>
      </c>
      <c r="C351">
        <v>77.510000000000005</v>
      </c>
      <c r="D351">
        <v>381.19</v>
      </c>
      <c r="E351">
        <v>0.64364399999999999</v>
      </c>
      <c r="F351">
        <v>0.12</v>
      </c>
      <c r="G351">
        <v>86</v>
      </c>
      <c r="H351">
        <v>19.8</v>
      </c>
    </row>
    <row r="352" spans="1:8">
      <c r="A352" s="1">
        <v>11</v>
      </c>
      <c r="B352" t="s">
        <v>3732</v>
      </c>
      <c r="C352">
        <v>65.3</v>
      </c>
      <c r="D352">
        <v>385.93</v>
      </c>
      <c r="E352">
        <v>0.762378</v>
      </c>
      <c r="F352">
        <v>5.72</v>
      </c>
      <c r="G352">
        <v>36</v>
      </c>
      <c r="H352">
        <v>15.47</v>
      </c>
    </row>
    <row r="353" spans="1:8">
      <c r="A353" s="1">
        <v>12</v>
      </c>
      <c r="B353" t="s">
        <v>3733</v>
      </c>
      <c r="C353">
        <v>72.41</v>
      </c>
      <c r="D353">
        <v>384.77</v>
      </c>
      <c r="E353">
        <v>0.698631</v>
      </c>
      <c r="F353">
        <v>2.73</v>
      </c>
      <c r="G353">
        <v>12</v>
      </c>
      <c r="H353">
        <v>17.2</v>
      </c>
    </row>
    <row r="354" spans="1:8">
      <c r="A354" s="1">
        <v>13</v>
      </c>
      <c r="B354" t="s">
        <v>3734</v>
      </c>
      <c r="C354">
        <v>79.040000000000006</v>
      </c>
      <c r="D354">
        <v>387.94</v>
      </c>
      <c r="E354">
        <v>0.70721599999999996</v>
      </c>
      <c r="F354">
        <v>1.73</v>
      </c>
      <c r="G354">
        <v>12</v>
      </c>
      <c r="H354">
        <v>18.34</v>
      </c>
    </row>
    <row r="355" spans="1:8">
      <c r="A355" s="1">
        <v>14</v>
      </c>
      <c r="B355" t="s">
        <v>3735</v>
      </c>
      <c r="C355">
        <v>76.290000000000006</v>
      </c>
      <c r="D355">
        <v>382.3</v>
      </c>
      <c r="E355">
        <v>0.63839299999999999</v>
      </c>
      <c r="F355">
        <v>0.23</v>
      </c>
      <c r="G355">
        <v>56</v>
      </c>
      <c r="H355">
        <v>18.399999999999999</v>
      </c>
    </row>
    <row r="356" spans="1:8">
      <c r="A356" s="1">
        <v>15</v>
      </c>
      <c r="B356" t="s">
        <v>3736</v>
      </c>
      <c r="C356">
        <v>74.2</v>
      </c>
      <c r="D356">
        <v>387.14</v>
      </c>
      <c r="E356">
        <v>0.68964599999999998</v>
      </c>
      <c r="F356">
        <v>1.92</v>
      </c>
      <c r="G356">
        <v>62</v>
      </c>
      <c r="H356">
        <v>16.899999999999999</v>
      </c>
    </row>
    <row r="357" spans="1:8">
      <c r="A357" s="1">
        <v>16</v>
      </c>
      <c r="B357" t="s">
        <v>3737</v>
      </c>
      <c r="C357">
        <v>63.94</v>
      </c>
      <c r="D357">
        <v>383.23</v>
      </c>
      <c r="E357">
        <v>0.78661300000000001</v>
      </c>
      <c r="F357">
        <v>0.15</v>
      </c>
      <c r="G357">
        <v>28</v>
      </c>
      <c r="H357">
        <v>15.05</v>
      </c>
    </row>
    <row r="358" spans="1:8">
      <c r="A358" s="1">
        <v>17</v>
      </c>
      <c r="B358" t="s">
        <v>3738</v>
      </c>
      <c r="C358">
        <v>69.599999999999994</v>
      </c>
      <c r="D358">
        <v>384.38</v>
      </c>
      <c r="E358">
        <v>0.73792500000000005</v>
      </c>
      <c r="F358">
        <v>1.23</v>
      </c>
      <c r="G358">
        <v>94</v>
      </c>
      <c r="H358">
        <v>16.170000000000002</v>
      </c>
    </row>
    <row r="359" spans="1:8">
      <c r="A359" s="1">
        <v>18</v>
      </c>
      <c r="B359" t="s">
        <v>3739</v>
      </c>
      <c r="C359">
        <v>66.53</v>
      </c>
      <c r="D359">
        <v>382.28</v>
      </c>
      <c r="E359">
        <v>0.69551700000000005</v>
      </c>
      <c r="F359">
        <v>1.46</v>
      </c>
      <c r="G359">
        <v>6</v>
      </c>
      <c r="H359">
        <v>15.65</v>
      </c>
    </row>
    <row r="360" spans="1:8">
      <c r="A360" s="1">
        <v>19</v>
      </c>
      <c r="B360" t="s">
        <v>3740</v>
      </c>
      <c r="C360">
        <v>62.31</v>
      </c>
      <c r="D360">
        <v>385.07</v>
      </c>
      <c r="E360">
        <v>0.74222999999999995</v>
      </c>
      <c r="F360">
        <v>4.42</v>
      </c>
      <c r="G360">
        <v>40</v>
      </c>
      <c r="H360">
        <v>14.55</v>
      </c>
    </row>
    <row r="361" spans="1:8">
      <c r="A361" s="1">
        <v>20</v>
      </c>
      <c r="B361" t="s">
        <v>3741</v>
      </c>
      <c r="C361">
        <v>73.22</v>
      </c>
      <c r="D361">
        <v>388.64</v>
      </c>
      <c r="E361">
        <v>0.75136700000000001</v>
      </c>
      <c r="F361">
        <v>2.8</v>
      </c>
      <c r="G361">
        <v>70</v>
      </c>
      <c r="H361">
        <v>18.399999999999999</v>
      </c>
    </row>
    <row r="362" spans="1:8">
      <c r="A362" s="1">
        <v>21</v>
      </c>
      <c r="B362" t="s">
        <v>3742</v>
      </c>
      <c r="C362">
        <v>79.209999999999994</v>
      </c>
      <c r="D362">
        <v>386.92</v>
      </c>
      <c r="E362">
        <v>0.62695299999999998</v>
      </c>
      <c r="F362">
        <v>3</v>
      </c>
      <c r="G362">
        <v>14</v>
      </c>
      <c r="H362">
        <v>18.89</v>
      </c>
    </row>
    <row r="363" spans="1:8">
      <c r="A363" s="1">
        <v>22</v>
      </c>
      <c r="B363" t="s">
        <v>3743</v>
      </c>
      <c r="C363">
        <v>62.62</v>
      </c>
      <c r="D363">
        <v>386.23</v>
      </c>
      <c r="E363">
        <v>0.78365300000000004</v>
      </c>
      <c r="F363">
        <v>14.28</v>
      </c>
      <c r="G363">
        <v>28</v>
      </c>
      <c r="H363">
        <v>15.2</v>
      </c>
    </row>
    <row r="364" spans="1:8">
      <c r="A364" s="1">
        <v>23</v>
      </c>
      <c r="B364" t="s">
        <v>3744</v>
      </c>
      <c r="C364">
        <v>64.569999999999993</v>
      </c>
      <c r="D364">
        <v>383.79</v>
      </c>
      <c r="E364">
        <v>0.668767</v>
      </c>
      <c r="F364">
        <v>2.2999999999999998</v>
      </c>
      <c r="G364">
        <v>38</v>
      </c>
      <c r="H364">
        <v>15.23</v>
      </c>
    </row>
    <row r="365" spans="1:8">
      <c r="A365" s="1">
        <v>24</v>
      </c>
      <c r="B365" t="s">
        <v>3745</v>
      </c>
      <c r="C365">
        <v>73.64</v>
      </c>
      <c r="D365">
        <v>385.44</v>
      </c>
      <c r="E365">
        <v>0.67456199999999999</v>
      </c>
      <c r="F365">
        <v>3</v>
      </c>
      <c r="G365">
        <v>36</v>
      </c>
      <c r="H365">
        <v>17.670000000000002</v>
      </c>
    </row>
    <row r="366" spans="1:8">
      <c r="A366" s="1">
        <v>25</v>
      </c>
      <c r="B366" t="s">
        <v>3746</v>
      </c>
      <c r="C366">
        <v>75.260000000000005</v>
      </c>
      <c r="D366">
        <v>387.97</v>
      </c>
      <c r="E366">
        <v>0.75475800000000004</v>
      </c>
      <c r="F366">
        <v>1.8</v>
      </c>
      <c r="G366">
        <v>84</v>
      </c>
      <c r="H366">
        <v>17.39</v>
      </c>
    </row>
    <row r="367" spans="1:8">
      <c r="A367" s="1">
        <v>26</v>
      </c>
      <c r="B367" t="s">
        <v>3747</v>
      </c>
      <c r="C367">
        <v>71.31</v>
      </c>
      <c r="D367">
        <v>389.24</v>
      </c>
      <c r="E367">
        <v>0.75799099999999997</v>
      </c>
      <c r="F367">
        <v>11.44</v>
      </c>
      <c r="G367">
        <v>12</v>
      </c>
      <c r="H367">
        <v>16.45</v>
      </c>
    </row>
    <row r="368" spans="1:8">
      <c r="A368" s="1">
        <v>27</v>
      </c>
      <c r="B368" t="s">
        <v>3748</v>
      </c>
      <c r="C368">
        <v>67.400000000000006</v>
      </c>
      <c r="D368">
        <v>383.86</v>
      </c>
      <c r="E368">
        <v>0.65384600000000004</v>
      </c>
      <c r="F368">
        <v>3.92</v>
      </c>
      <c r="G368">
        <v>6</v>
      </c>
      <c r="H368">
        <v>16.03</v>
      </c>
    </row>
    <row r="369" spans="1:8">
      <c r="A369" s="1">
        <v>28</v>
      </c>
      <c r="B369" t="s">
        <v>3749</v>
      </c>
      <c r="C369">
        <v>67.12</v>
      </c>
      <c r="D369">
        <v>387.01</v>
      </c>
      <c r="E369">
        <v>0.71444600000000003</v>
      </c>
      <c r="F369">
        <v>4.57</v>
      </c>
      <c r="G369">
        <v>98</v>
      </c>
      <c r="H369">
        <v>16.12</v>
      </c>
    </row>
    <row r="370" spans="1:8">
      <c r="A370" s="1">
        <v>29</v>
      </c>
      <c r="B370" t="s">
        <v>3750</v>
      </c>
      <c r="C370">
        <v>67.12</v>
      </c>
      <c r="D370">
        <v>386.72</v>
      </c>
      <c r="E370">
        <v>0.79344300000000001</v>
      </c>
      <c r="F370">
        <v>1.31</v>
      </c>
      <c r="G370">
        <v>90</v>
      </c>
      <c r="H370">
        <v>15.66</v>
      </c>
    </row>
    <row r="371" spans="1:8">
      <c r="A371" s="1">
        <v>30</v>
      </c>
      <c r="B371" t="s">
        <v>3751</v>
      </c>
      <c r="C371">
        <v>71.23</v>
      </c>
      <c r="D371">
        <v>384.74</v>
      </c>
      <c r="E371">
        <v>0.65257699999999996</v>
      </c>
      <c r="F371">
        <v>1.96</v>
      </c>
      <c r="G371">
        <v>44</v>
      </c>
      <c r="H371">
        <v>17.309999999999999</v>
      </c>
    </row>
    <row r="372" spans="1:8">
      <c r="A372" s="1">
        <v>31</v>
      </c>
      <c r="B372" t="s">
        <v>3752</v>
      </c>
      <c r="C372">
        <v>62.92</v>
      </c>
      <c r="D372">
        <v>384.58</v>
      </c>
      <c r="E372">
        <v>0.77875300000000003</v>
      </c>
      <c r="F372">
        <v>0.88</v>
      </c>
      <c r="G372">
        <v>12</v>
      </c>
      <c r="H372">
        <v>15.01</v>
      </c>
    </row>
    <row r="373" spans="1:8">
      <c r="A373" s="1">
        <v>32</v>
      </c>
      <c r="B373" t="s">
        <v>3753</v>
      </c>
      <c r="C373">
        <v>75.44</v>
      </c>
      <c r="D373">
        <v>387</v>
      </c>
      <c r="E373">
        <v>0.74195100000000003</v>
      </c>
      <c r="F373">
        <v>1.27</v>
      </c>
      <c r="G373">
        <v>78</v>
      </c>
      <c r="H373">
        <v>17.75</v>
      </c>
    </row>
    <row r="374" spans="1:8">
      <c r="A374" s="1">
        <v>33</v>
      </c>
      <c r="B374" t="s">
        <v>3754</v>
      </c>
      <c r="C374">
        <v>73.19</v>
      </c>
      <c r="D374">
        <v>388.07</v>
      </c>
      <c r="E374">
        <v>0.76541400000000004</v>
      </c>
      <c r="F374">
        <v>1.61</v>
      </c>
      <c r="G374">
        <v>70</v>
      </c>
      <c r="H374">
        <v>17.059999999999999</v>
      </c>
    </row>
    <row r="375" spans="1:8">
      <c r="A375" s="1">
        <v>34</v>
      </c>
      <c r="B375" t="s">
        <v>3755</v>
      </c>
      <c r="C375">
        <v>68</v>
      </c>
      <c r="D375">
        <v>386.31</v>
      </c>
      <c r="E375">
        <v>0.70898399999999995</v>
      </c>
      <c r="F375">
        <v>5.38</v>
      </c>
      <c r="G375">
        <v>30</v>
      </c>
      <c r="H375">
        <v>16.46</v>
      </c>
    </row>
    <row r="376" spans="1:8">
      <c r="A376" s="1">
        <v>35</v>
      </c>
      <c r="B376" t="s">
        <v>3756</v>
      </c>
      <c r="C376">
        <v>73.86</v>
      </c>
      <c r="D376">
        <v>385.45</v>
      </c>
      <c r="E376">
        <v>0.66357100000000002</v>
      </c>
      <c r="F376">
        <v>2.15</v>
      </c>
      <c r="G376">
        <v>72</v>
      </c>
      <c r="H376">
        <v>17.489999999999998</v>
      </c>
    </row>
    <row r="377" spans="1:8">
      <c r="A377" s="1">
        <v>36</v>
      </c>
      <c r="B377" t="s">
        <v>3757</v>
      </c>
      <c r="C377">
        <v>66.209999999999994</v>
      </c>
      <c r="D377">
        <v>382.36</v>
      </c>
      <c r="E377">
        <v>0.70114500000000002</v>
      </c>
      <c r="F377">
        <v>1.1499999999999999</v>
      </c>
      <c r="G377">
        <v>0</v>
      </c>
      <c r="H377">
        <v>15.39</v>
      </c>
    </row>
    <row r="378" spans="1:8">
      <c r="A378" s="1">
        <v>37</v>
      </c>
      <c r="B378" t="s">
        <v>3758</v>
      </c>
      <c r="C378">
        <v>69.02</v>
      </c>
      <c r="D378">
        <v>384.8</v>
      </c>
      <c r="E378">
        <v>0.755992</v>
      </c>
      <c r="F378">
        <v>0.54</v>
      </c>
      <c r="G378">
        <v>56</v>
      </c>
      <c r="H378">
        <v>16.32</v>
      </c>
    </row>
    <row r="379" spans="1:8">
      <c r="A379" s="1">
        <v>38</v>
      </c>
      <c r="B379" t="s">
        <v>3759</v>
      </c>
      <c r="C379">
        <v>69.790000000000006</v>
      </c>
      <c r="D379">
        <v>384.19</v>
      </c>
      <c r="E379">
        <v>0.72740099999999996</v>
      </c>
      <c r="F379">
        <v>0.81</v>
      </c>
      <c r="G379">
        <v>72</v>
      </c>
      <c r="H379">
        <v>16.600000000000001</v>
      </c>
    </row>
    <row r="380" spans="1:8">
      <c r="A380" s="1">
        <v>39</v>
      </c>
      <c r="B380" t="s">
        <v>3760</v>
      </c>
      <c r="C380">
        <v>67.95</v>
      </c>
      <c r="D380">
        <v>386.12</v>
      </c>
      <c r="E380">
        <v>0.66910700000000001</v>
      </c>
      <c r="F380">
        <v>9.48</v>
      </c>
      <c r="G380">
        <v>10</v>
      </c>
      <c r="H380">
        <v>17.3</v>
      </c>
    </row>
    <row r="381" spans="1:8">
      <c r="A381" s="1">
        <v>40</v>
      </c>
      <c r="B381" t="s">
        <v>3761</v>
      </c>
      <c r="C381">
        <v>64.75</v>
      </c>
      <c r="D381">
        <v>386.7</v>
      </c>
      <c r="E381">
        <v>0.68925800000000004</v>
      </c>
      <c r="F381">
        <v>8.41</v>
      </c>
      <c r="G381">
        <v>28</v>
      </c>
      <c r="H381">
        <v>15.06</v>
      </c>
    </row>
    <row r="382" spans="1:8">
      <c r="A382" s="1">
        <v>41</v>
      </c>
      <c r="B382" t="s">
        <v>3762</v>
      </c>
      <c r="C382">
        <v>60.39</v>
      </c>
      <c r="D382">
        <v>384.16</v>
      </c>
      <c r="E382">
        <v>0.73834900000000003</v>
      </c>
      <c r="F382">
        <v>2.27</v>
      </c>
      <c r="G382">
        <v>64</v>
      </c>
      <c r="H382">
        <v>14.51</v>
      </c>
    </row>
    <row r="383" spans="1:8">
      <c r="A383" s="1">
        <v>42</v>
      </c>
      <c r="B383" t="s">
        <v>3763</v>
      </c>
      <c r="C383">
        <v>69.05</v>
      </c>
      <c r="D383">
        <v>386.2</v>
      </c>
      <c r="E383">
        <v>0.70586800000000005</v>
      </c>
      <c r="F383">
        <v>2.38</v>
      </c>
      <c r="G383">
        <v>96</v>
      </c>
      <c r="H383">
        <v>16.37</v>
      </c>
    </row>
    <row r="384" spans="1:8">
      <c r="A384" s="1">
        <v>43</v>
      </c>
      <c r="B384" t="s">
        <v>3764</v>
      </c>
      <c r="C384">
        <v>73.900000000000006</v>
      </c>
      <c r="D384">
        <v>387.62</v>
      </c>
      <c r="E384">
        <v>0.73102599999999995</v>
      </c>
      <c r="F384">
        <v>3.11</v>
      </c>
      <c r="G384">
        <v>18</v>
      </c>
      <c r="H384">
        <v>17.48</v>
      </c>
    </row>
    <row r="385" spans="1:8">
      <c r="A385" s="1">
        <v>44</v>
      </c>
      <c r="B385" t="s">
        <v>3765</v>
      </c>
      <c r="C385">
        <v>70.790000000000006</v>
      </c>
      <c r="D385">
        <v>386.07</v>
      </c>
      <c r="E385">
        <v>0.69028599999999996</v>
      </c>
      <c r="F385">
        <v>3.23</v>
      </c>
      <c r="G385">
        <v>76</v>
      </c>
      <c r="H385">
        <v>17.59</v>
      </c>
    </row>
    <row r="386" spans="1:8">
      <c r="A386" s="1">
        <v>45</v>
      </c>
      <c r="B386" t="s">
        <v>3766</v>
      </c>
      <c r="C386">
        <v>66.14</v>
      </c>
      <c r="D386">
        <v>385.01</v>
      </c>
      <c r="E386">
        <v>0.782829</v>
      </c>
      <c r="F386">
        <v>2.8</v>
      </c>
      <c r="G386">
        <v>2</v>
      </c>
      <c r="H386">
        <v>15.61</v>
      </c>
    </row>
    <row r="387" spans="1:8">
      <c r="A387" s="1">
        <v>46</v>
      </c>
      <c r="B387" t="s">
        <v>3767</v>
      </c>
      <c r="C387">
        <v>71.39</v>
      </c>
      <c r="D387" t="e">
        <f>-inf</f>
        <v>#NAME?</v>
      </c>
      <c r="E387">
        <v>0.68942899999999996</v>
      </c>
      <c r="F387">
        <v>0</v>
      </c>
      <c r="G387">
        <v>28</v>
      </c>
      <c r="H387">
        <v>17.98</v>
      </c>
    </row>
    <row r="388" spans="1:8">
      <c r="A388" s="1">
        <v>47</v>
      </c>
      <c r="B388" t="s">
        <v>3768</v>
      </c>
      <c r="C388">
        <v>67.94</v>
      </c>
      <c r="D388">
        <v>385.51</v>
      </c>
      <c r="E388">
        <v>0.71224200000000004</v>
      </c>
      <c r="F388">
        <v>4.1500000000000004</v>
      </c>
      <c r="G388">
        <v>24</v>
      </c>
      <c r="H388">
        <v>15.65</v>
      </c>
    </row>
    <row r="389" spans="1:8">
      <c r="A389" s="1">
        <v>48</v>
      </c>
      <c r="B389" t="s">
        <v>3769</v>
      </c>
      <c r="C389">
        <v>71.510000000000005</v>
      </c>
      <c r="D389">
        <v>386.25</v>
      </c>
      <c r="E389">
        <v>0.67493700000000001</v>
      </c>
      <c r="F389">
        <v>2.57</v>
      </c>
      <c r="G389">
        <v>32</v>
      </c>
      <c r="H389">
        <v>16.54</v>
      </c>
    </row>
    <row r="390" spans="1:8">
      <c r="A390" s="1">
        <v>49</v>
      </c>
      <c r="B390" t="s">
        <v>3770</v>
      </c>
      <c r="C390">
        <v>67.67</v>
      </c>
      <c r="D390">
        <v>386.25</v>
      </c>
      <c r="E390">
        <v>0.73583900000000002</v>
      </c>
      <c r="F390">
        <v>5.84</v>
      </c>
      <c r="G390">
        <v>2</v>
      </c>
      <c r="H390">
        <v>16.559999999999999</v>
      </c>
    </row>
    <row r="391" spans="1:8">
      <c r="A391" s="1">
        <v>50</v>
      </c>
      <c r="B391" t="s">
        <v>3771</v>
      </c>
      <c r="C391">
        <v>64.069999999999993</v>
      </c>
      <c r="D391">
        <v>383.95</v>
      </c>
      <c r="E391">
        <v>0.71352800000000005</v>
      </c>
      <c r="F391">
        <v>2.57</v>
      </c>
      <c r="G391">
        <v>48</v>
      </c>
      <c r="H391">
        <v>15.88</v>
      </c>
    </row>
    <row r="392" spans="1:8">
      <c r="B392" s="1" t="s">
        <v>19</v>
      </c>
      <c r="C392" s="1">
        <f>AVERAGE(C342:C391)</f>
        <v>69.493400000000008</v>
      </c>
      <c r="D392" s="1" t="e">
        <f t="shared" ref="D392:F392" si="14">AVERAGE(D342:D391)</f>
        <v>#NAME?</v>
      </c>
      <c r="E392" s="1">
        <f t="shared" si="14"/>
        <v>0.71851290000000001</v>
      </c>
      <c r="F392" s="1">
        <f t="shared" si="14"/>
        <v>2.9975999999999998</v>
      </c>
      <c r="H392" s="1">
        <f t="shared" ref="H392" si="15">AVERAGE(H342:H391)</f>
        <v>16.570999999999998</v>
      </c>
    </row>
    <row r="393" spans="1:8">
      <c r="B393" s="1" t="s">
        <v>20</v>
      </c>
      <c r="C393" s="1">
        <f>MIN(C341:C391)</f>
        <v>60.39</v>
      </c>
      <c r="D393" s="1" t="e">
        <f t="shared" ref="D393:F393" si="16">MIN(D341:D391)</f>
        <v>#NAME?</v>
      </c>
      <c r="E393" s="1">
        <f t="shared" si="16"/>
        <v>0.62695299999999998</v>
      </c>
      <c r="F393" s="1">
        <f t="shared" si="16"/>
        <v>0</v>
      </c>
      <c r="H393" s="1">
        <f t="shared" ref="H393" si="17">MIN(H341:H391)</f>
        <v>14.51</v>
      </c>
    </row>
    <row r="394" spans="1:8">
      <c r="B394" s="1" t="s">
        <v>3</v>
      </c>
      <c r="C394" s="1">
        <f>STDEV(C342:C391)</f>
        <v>4.4620945982891067</v>
      </c>
      <c r="D394" s="1" t="e">
        <f t="shared" ref="D394:E394" si="18">STDEV(D342:D391)</f>
        <v>#NAME?</v>
      </c>
      <c r="E394" s="1">
        <f t="shared" si="18"/>
        <v>4.6728887698739022E-2</v>
      </c>
      <c r="F394" s="1">
        <f>STDEV(F342:F391)</f>
        <v>2.8557643531664736</v>
      </c>
      <c r="H394" s="1">
        <f>STDEV(H342:H391)</f>
        <v>1.1737455309514988</v>
      </c>
    </row>
    <row r="397" spans="1:8" ht="18">
      <c r="A397" s="23"/>
      <c r="B397" s="3"/>
      <c r="C397" s="23"/>
      <c r="D397" s="23"/>
      <c r="E397" s="23"/>
      <c r="F397" s="23"/>
      <c r="G397" s="23"/>
    </row>
    <row r="421" spans="2:4" ht="18">
      <c r="B421" s="3"/>
      <c r="C421" s="23"/>
      <c r="D421" s="23"/>
    </row>
    <row r="445" spans="2:4" ht="18">
      <c r="B445" s="3"/>
      <c r="C445" s="23"/>
      <c r="D445" s="23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45"/>
  <sheetViews>
    <sheetView topLeftCell="A346" zoomScale="50" zoomScaleNormal="50" workbookViewId="0">
      <selection activeCell="G410" sqref="G410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3925</v>
      </c>
      <c r="C1" s="25"/>
      <c r="D1" s="25"/>
    </row>
    <row r="2" spans="1:8">
      <c r="B2" s="25"/>
      <c r="C2" s="25"/>
      <c r="D2" s="25"/>
    </row>
    <row r="4" spans="1:8">
      <c r="H4" s="23" t="s">
        <v>1435</v>
      </c>
    </row>
    <row r="5" spans="1:8" ht="18">
      <c r="A5" s="23" t="s">
        <v>7</v>
      </c>
      <c r="B5" s="3" t="s">
        <v>0</v>
      </c>
      <c r="C5" s="23" t="s">
        <v>4</v>
      </c>
      <c r="D5" s="23" t="s">
        <v>322</v>
      </c>
      <c r="E5" s="23" t="s">
        <v>321</v>
      </c>
      <c r="F5" s="23" t="s">
        <v>324</v>
      </c>
      <c r="G5" s="23" t="s">
        <v>323</v>
      </c>
      <c r="H5" s="23" t="s">
        <v>1436</v>
      </c>
    </row>
    <row r="6" spans="1:8">
      <c r="A6" s="1">
        <v>1</v>
      </c>
      <c r="B6" t="s">
        <v>1455</v>
      </c>
      <c r="C6">
        <v>89.8</v>
      </c>
      <c r="D6">
        <v>15.9</v>
      </c>
      <c r="E6">
        <v>0.99004400000000004</v>
      </c>
      <c r="F6">
        <v>80.790000000000006</v>
      </c>
      <c r="G6">
        <v>0</v>
      </c>
      <c r="H6">
        <v>19.22</v>
      </c>
    </row>
    <row r="7" spans="1:8">
      <c r="A7" s="1">
        <v>2</v>
      </c>
      <c r="B7" t="s">
        <v>1458</v>
      </c>
      <c r="C7">
        <v>105.56</v>
      </c>
      <c r="D7">
        <v>16.02</v>
      </c>
      <c r="E7">
        <v>0.945967</v>
      </c>
      <c r="F7">
        <v>80.33</v>
      </c>
      <c r="G7">
        <v>0</v>
      </c>
      <c r="H7">
        <v>27.74</v>
      </c>
    </row>
    <row r="8" spans="1:8">
      <c r="A8" s="1">
        <v>3</v>
      </c>
      <c r="B8" t="s">
        <v>1461</v>
      </c>
      <c r="C8">
        <v>129.47999999999999</v>
      </c>
      <c r="D8">
        <v>16.2</v>
      </c>
      <c r="E8">
        <v>0.94994999999999996</v>
      </c>
      <c r="F8">
        <v>99.76</v>
      </c>
      <c r="G8">
        <v>0</v>
      </c>
      <c r="H8">
        <v>28.82</v>
      </c>
    </row>
    <row r="9" spans="1:8">
      <c r="A9" s="1">
        <v>4</v>
      </c>
      <c r="B9" t="s">
        <v>1464</v>
      </c>
      <c r="C9">
        <v>148.4</v>
      </c>
      <c r="D9">
        <v>16.34</v>
      </c>
      <c r="E9">
        <v>0.99312599999999995</v>
      </c>
      <c r="F9">
        <v>136.05000000000001</v>
      </c>
      <c r="G9">
        <v>0</v>
      </c>
      <c r="H9">
        <v>33.5</v>
      </c>
    </row>
    <row r="10" spans="1:8" s="19" customFormat="1">
      <c r="A10" s="19">
        <v>5</v>
      </c>
      <c r="B10" t="s">
        <v>1467</v>
      </c>
      <c r="C10">
        <v>104.37</v>
      </c>
      <c r="D10">
        <v>16.04</v>
      </c>
      <c r="E10">
        <v>0.99610299999999996</v>
      </c>
      <c r="F10">
        <v>97.84</v>
      </c>
      <c r="G10">
        <v>2</v>
      </c>
      <c r="H10">
        <v>22.57</v>
      </c>
    </row>
    <row r="11" spans="1:8">
      <c r="A11" s="1">
        <v>6</v>
      </c>
      <c r="B11" t="s">
        <v>1470</v>
      </c>
      <c r="C11">
        <v>134.27000000000001</v>
      </c>
      <c r="D11">
        <v>16.239999999999998</v>
      </c>
      <c r="E11">
        <v>0.973445</v>
      </c>
      <c r="F11">
        <v>112.09</v>
      </c>
      <c r="G11">
        <v>2</v>
      </c>
      <c r="H11">
        <v>36.549999999999997</v>
      </c>
    </row>
    <row r="12" spans="1:8">
      <c r="A12" s="1">
        <v>7</v>
      </c>
      <c r="B12" t="s">
        <v>1473</v>
      </c>
      <c r="C12">
        <v>118.27</v>
      </c>
      <c r="D12">
        <v>16.100000000000001</v>
      </c>
      <c r="E12">
        <v>0.90976599999999996</v>
      </c>
      <c r="F12">
        <v>81.02</v>
      </c>
      <c r="G12">
        <v>0</v>
      </c>
      <c r="H12">
        <v>26.45</v>
      </c>
    </row>
    <row r="13" spans="1:8">
      <c r="A13" s="1">
        <v>8</v>
      </c>
      <c r="B13" t="s">
        <v>1476</v>
      </c>
      <c r="C13">
        <v>119.79</v>
      </c>
      <c r="D13">
        <v>16.16</v>
      </c>
      <c r="E13">
        <v>0.99996099999999999</v>
      </c>
      <c r="F13">
        <v>119.04</v>
      </c>
      <c r="G13">
        <v>2</v>
      </c>
      <c r="H13">
        <v>30.62</v>
      </c>
    </row>
    <row r="14" spans="1:8">
      <c r="A14" s="1">
        <v>9</v>
      </c>
      <c r="B14" t="s">
        <v>1479</v>
      </c>
      <c r="C14">
        <v>100.17</v>
      </c>
      <c r="D14">
        <v>16</v>
      </c>
      <c r="E14">
        <v>0.99969600000000003</v>
      </c>
      <c r="F14">
        <v>98.42</v>
      </c>
      <c r="G14">
        <v>0</v>
      </c>
      <c r="H14">
        <v>22.6</v>
      </c>
    </row>
    <row r="15" spans="1:8">
      <c r="A15" s="1">
        <v>10</v>
      </c>
      <c r="B15" t="s">
        <v>1482</v>
      </c>
      <c r="C15">
        <v>93.75</v>
      </c>
      <c r="D15">
        <v>15.94</v>
      </c>
      <c r="E15">
        <v>0.99843999999999999</v>
      </c>
      <c r="F15">
        <v>90.05</v>
      </c>
      <c r="G15">
        <v>2</v>
      </c>
      <c r="H15">
        <v>19.28</v>
      </c>
    </row>
    <row r="16" spans="1:8">
      <c r="A16" s="1">
        <v>11</v>
      </c>
      <c r="B16" t="s">
        <v>1485</v>
      </c>
      <c r="C16">
        <v>101.3</v>
      </c>
      <c r="D16">
        <v>16.010000000000002</v>
      </c>
      <c r="E16">
        <v>0.98781399999999997</v>
      </c>
      <c r="F16">
        <v>90.05</v>
      </c>
      <c r="G16">
        <v>0</v>
      </c>
      <c r="H16">
        <v>22.69</v>
      </c>
    </row>
    <row r="17" spans="1:8">
      <c r="A17" s="1">
        <v>12</v>
      </c>
      <c r="B17" t="s">
        <v>1488</v>
      </c>
      <c r="C17">
        <v>104.56</v>
      </c>
      <c r="D17">
        <v>16.02</v>
      </c>
      <c r="E17">
        <v>0.94980200000000004</v>
      </c>
      <c r="F17">
        <v>80.52</v>
      </c>
      <c r="G17">
        <v>0</v>
      </c>
      <c r="H17">
        <v>22.35</v>
      </c>
    </row>
    <row r="18" spans="1:8">
      <c r="A18" s="1">
        <v>13</v>
      </c>
      <c r="B18" t="s">
        <v>1491</v>
      </c>
      <c r="C18">
        <v>142.04</v>
      </c>
      <c r="D18">
        <v>16.260000000000002</v>
      </c>
      <c r="E18">
        <v>0.91172299999999995</v>
      </c>
      <c r="F18">
        <v>97.84</v>
      </c>
      <c r="G18">
        <v>2</v>
      </c>
      <c r="H18">
        <v>31.83</v>
      </c>
    </row>
    <row r="19" spans="1:8">
      <c r="A19" s="1">
        <v>14</v>
      </c>
      <c r="B19" t="s">
        <v>1494</v>
      </c>
      <c r="C19">
        <v>144.86000000000001</v>
      </c>
      <c r="D19">
        <v>16.32</v>
      </c>
      <c r="E19">
        <v>0.99059900000000001</v>
      </c>
      <c r="F19">
        <v>130.75</v>
      </c>
      <c r="G19">
        <v>2</v>
      </c>
      <c r="H19">
        <v>40.86</v>
      </c>
    </row>
    <row r="20" spans="1:8">
      <c r="A20" s="1">
        <v>15</v>
      </c>
      <c r="B20" t="s">
        <v>1497</v>
      </c>
      <c r="C20">
        <v>111.82</v>
      </c>
      <c r="D20">
        <v>16.059999999999999</v>
      </c>
      <c r="E20">
        <v>0.92216600000000004</v>
      </c>
      <c r="F20">
        <v>79.33</v>
      </c>
      <c r="G20">
        <v>2</v>
      </c>
      <c r="H20">
        <v>32.99</v>
      </c>
    </row>
    <row r="21" spans="1:8">
      <c r="A21" s="1">
        <v>16</v>
      </c>
      <c r="B21" t="s">
        <v>1500</v>
      </c>
      <c r="C21">
        <v>111.11</v>
      </c>
      <c r="D21">
        <v>16.09</v>
      </c>
      <c r="E21">
        <v>0.99195999999999995</v>
      </c>
      <c r="F21">
        <v>101.11</v>
      </c>
      <c r="G21">
        <v>2</v>
      </c>
      <c r="H21">
        <v>30.68</v>
      </c>
    </row>
    <row r="22" spans="1:8">
      <c r="A22" s="1">
        <v>17</v>
      </c>
      <c r="B22" t="s">
        <v>1503</v>
      </c>
      <c r="C22">
        <v>90.99</v>
      </c>
      <c r="D22">
        <v>15.91</v>
      </c>
      <c r="E22">
        <v>0.98203300000000004</v>
      </c>
      <c r="F22">
        <v>78.680000000000007</v>
      </c>
      <c r="G22">
        <v>2</v>
      </c>
      <c r="H22">
        <v>22.83</v>
      </c>
    </row>
    <row r="23" spans="1:8">
      <c r="A23" s="1">
        <v>18</v>
      </c>
      <c r="B23" t="s">
        <v>1506</v>
      </c>
      <c r="C23">
        <v>99.9</v>
      </c>
      <c r="D23">
        <v>16</v>
      </c>
      <c r="E23">
        <v>0.99974600000000002</v>
      </c>
      <c r="F23">
        <v>98.3</v>
      </c>
      <c r="G23">
        <v>2</v>
      </c>
      <c r="H23">
        <v>22.62</v>
      </c>
    </row>
    <row r="24" spans="1:8">
      <c r="A24" s="1">
        <v>19</v>
      </c>
      <c r="B24" t="s">
        <v>1509</v>
      </c>
      <c r="C24">
        <v>113.91</v>
      </c>
      <c r="D24">
        <v>16.100000000000001</v>
      </c>
      <c r="E24">
        <v>0.98021100000000005</v>
      </c>
      <c r="F24">
        <v>97.73</v>
      </c>
      <c r="G24">
        <v>0</v>
      </c>
      <c r="H24">
        <v>33.93</v>
      </c>
    </row>
    <row r="25" spans="1:8">
      <c r="A25" s="1">
        <v>20</v>
      </c>
      <c r="B25" t="s">
        <v>1512</v>
      </c>
      <c r="C25">
        <v>117.66</v>
      </c>
      <c r="D25">
        <v>16.13</v>
      </c>
      <c r="E25">
        <v>0.97304199999999996</v>
      </c>
      <c r="F25">
        <v>98.07</v>
      </c>
      <c r="G25">
        <v>0</v>
      </c>
      <c r="H25">
        <v>26.42</v>
      </c>
    </row>
    <row r="26" spans="1:8">
      <c r="A26" s="1">
        <v>21</v>
      </c>
      <c r="B26" t="s">
        <v>1515</v>
      </c>
      <c r="C26">
        <v>149.18</v>
      </c>
      <c r="D26">
        <v>16.350000000000001</v>
      </c>
      <c r="E26">
        <v>0.99845099999999998</v>
      </c>
      <c r="F26">
        <v>143.31</v>
      </c>
      <c r="G26">
        <v>0</v>
      </c>
      <c r="H26">
        <v>46.6</v>
      </c>
    </row>
    <row r="27" spans="1:8">
      <c r="A27" s="1">
        <v>22</v>
      </c>
      <c r="B27" t="s">
        <v>1518</v>
      </c>
      <c r="C27">
        <v>93.7</v>
      </c>
      <c r="D27">
        <v>15.94</v>
      </c>
      <c r="E27">
        <v>0.998081</v>
      </c>
      <c r="F27">
        <v>89.59</v>
      </c>
      <c r="G27">
        <v>0</v>
      </c>
      <c r="H27">
        <v>19.170000000000002</v>
      </c>
    </row>
    <row r="28" spans="1:8">
      <c r="A28" s="1">
        <v>23</v>
      </c>
      <c r="B28" t="s">
        <v>1521</v>
      </c>
      <c r="C28">
        <v>130.5</v>
      </c>
      <c r="D28">
        <v>16.23</v>
      </c>
      <c r="E28">
        <v>0.99224199999999996</v>
      </c>
      <c r="F28">
        <v>118.96</v>
      </c>
      <c r="G28">
        <v>0</v>
      </c>
      <c r="H28">
        <v>36.14</v>
      </c>
    </row>
    <row r="29" spans="1:8">
      <c r="A29" s="1">
        <v>24</v>
      </c>
      <c r="B29" t="s">
        <v>1524</v>
      </c>
      <c r="C29">
        <v>118.87</v>
      </c>
      <c r="D29">
        <v>16.100000000000001</v>
      </c>
      <c r="E29">
        <v>0.90283599999999997</v>
      </c>
      <c r="F29">
        <v>79.87</v>
      </c>
      <c r="G29">
        <v>0</v>
      </c>
      <c r="H29">
        <v>25.93</v>
      </c>
    </row>
    <row r="30" spans="1:8">
      <c r="A30" s="1">
        <v>25</v>
      </c>
      <c r="B30" t="s">
        <v>1527</v>
      </c>
      <c r="C30">
        <v>128.69999999999999</v>
      </c>
      <c r="D30">
        <v>16.2</v>
      </c>
      <c r="E30">
        <v>0.95664300000000002</v>
      </c>
      <c r="F30">
        <v>101.3</v>
      </c>
      <c r="G30">
        <v>0</v>
      </c>
      <c r="H30">
        <v>29.96</v>
      </c>
    </row>
    <row r="31" spans="1:8">
      <c r="A31" s="1">
        <v>26</v>
      </c>
      <c r="B31" t="s">
        <v>1530</v>
      </c>
      <c r="C31">
        <v>129.5</v>
      </c>
      <c r="D31">
        <v>16.22</v>
      </c>
      <c r="E31">
        <v>0.99980999999999998</v>
      </c>
      <c r="F31">
        <v>127.72</v>
      </c>
      <c r="G31">
        <v>2</v>
      </c>
      <c r="H31">
        <v>37.159999999999997</v>
      </c>
    </row>
    <row r="32" spans="1:8">
      <c r="A32" s="1">
        <v>27</v>
      </c>
      <c r="B32" t="s">
        <v>1533</v>
      </c>
      <c r="C32">
        <v>121.59</v>
      </c>
      <c r="D32">
        <v>16.170000000000002</v>
      </c>
      <c r="E32">
        <v>0.99089700000000003</v>
      </c>
      <c r="F32">
        <v>109.94</v>
      </c>
      <c r="G32">
        <v>2</v>
      </c>
      <c r="H32">
        <v>36.17</v>
      </c>
    </row>
    <row r="33" spans="1:8">
      <c r="A33" s="1">
        <v>28</v>
      </c>
      <c r="B33" t="s">
        <v>1536</v>
      </c>
      <c r="C33">
        <v>124.93</v>
      </c>
      <c r="D33">
        <v>16.16</v>
      </c>
      <c r="E33">
        <v>0.92363600000000001</v>
      </c>
      <c r="F33">
        <v>89.01</v>
      </c>
      <c r="G33">
        <v>0</v>
      </c>
      <c r="H33">
        <v>32.119999999999997</v>
      </c>
    </row>
    <row r="34" spans="1:8">
      <c r="A34" s="1">
        <v>29</v>
      </c>
      <c r="B34" t="s">
        <v>1539</v>
      </c>
      <c r="C34">
        <v>121.65</v>
      </c>
      <c r="D34">
        <v>16.16</v>
      </c>
      <c r="E34">
        <v>0.97135800000000005</v>
      </c>
      <c r="F34">
        <v>100.76</v>
      </c>
      <c r="G34">
        <v>0</v>
      </c>
      <c r="H34">
        <v>36.020000000000003</v>
      </c>
    </row>
    <row r="35" spans="1:8">
      <c r="A35" s="1">
        <v>30</v>
      </c>
      <c r="B35" t="s">
        <v>1542</v>
      </c>
      <c r="C35">
        <v>143.16999999999999</v>
      </c>
      <c r="D35">
        <v>16.260000000000002</v>
      </c>
      <c r="E35">
        <v>0.90705800000000003</v>
      </c>
      <c r="F35">
        <v>97.34</v>
      </c>
      <c r="G35">
        <v>2</v>
      </c>
      <c r="H35">
        <v>30.73</v>
      </c>
    </row>
    <row r="36" spans="1:8">
      <c r="A36" s="1">
        <v>31</v>
      </c>
      <c r="B36" t="s">
        <v>1545</v>
      </c>
      <c r="C36">
        <v>133.94</v>
      </c>
      <c r="D36">
        <v>16.239999999999998</v>
      </c>
      <c r="E36">
        <v>0.97041699999999997</v>
      </c>
      <c r="F36">
        <v>110.55</v>
      </c>
      <c r="G36">
        <v>0</v>
      </c>
      <c r="H36">
        <v>34.880000000000003</v>
      </c>
    </row>
    <row r="37" spans="1:8">
      <c r="A37" s="1">
        <v>32</v>
      </c>
      <c r="B37" t="s">
        <v>1548</v>
      </c>
      <c r="C37">
        <v>111.38</v>
      </c>
      <c r="D37">
        <v>16.09</v>
      </c>
      <c r="E37">
        <v>0.98640600000000001</v>
      </c>
      <c r="F37">
        <v>98.3</v>
      </c>
      <c r="G37">
        <v>2</v>
      </c>
      <c r="H37">
        <v>22.49</v>
      </c>
    </row>
    <row r="38" spans="1:8">
      <c r="A38" s="1">
        <v>33</v>
      </c>
      <c r="B38" t="s">
        <v>1551</v>
      </c>
      <c r="C38">
        <v>158.82</v>
      </c>
      <c r="D38">
        <v>16.399999999999999</v>
      </c>
      <c r="E38">
        <v>0.99948400000000004</v>
      </c>
      <c r="F38">
        <v>155.21</v>
      </c>
      <c r="G38">
        <v>0</v>
      </c>
      <c r="H38">
        <v>39.75</v>
      </c>
    </row>
    <row r="39" spans="1:8">
      <c r="A39" s="1">
        <v>34</v>
      </c>
      <c r="B39" t="s">
        <v>1554</v>
      </c>
      <c r="C39">
        <v>89.8</v>
      </c>
      <c r="D39">
        <v>15.9</v>
      </c>
      <c r="E39">
        <v>0.99004400000000004</v>
      </c>
      <c r="F39">
        <v>80.790000000000006</v>
      </c>
      <c r="G39">
        <v>0</v>
      </c>
      <c r="H39">
        <v>19.22</v>
      </c>
    </row>
    <row r="40" spans="1:8">
      <c r="A40" s="1">
        <v>35</v>
      </c>
      <c r="B40" t="s">
        <v>1557</v>
      </c>
      <c r="C40">
        <v>129.47999999999999</v>
      </c>
      <c r="D40">
        <v>16.2</v>
      </c>
      <c r="E40">
        <v>0.94994999999999996</v>
      </c>
      <c r="F40">
        <v>99.76</v>
      </c>
      <c r="G40">
        <v>0</v>
      </c>
      <c r="H40">
        <v>28.82</v>
      </c>
    </row>
    <row r="41" spans="1:8">
      <c r="A41" s="1">
        <v>36</v>
      </c>
      <c r="B41" t="s">
        <v>1560</v>
      </c>
      <c r="C41">
        <v>142.77000000000001</v>
      </c>
      <c r="D41">
        <v>16.309999999999999</v>
      </c>
      <c r="E41">
        <v>0.99990599999999996</v>
      </c>
      <c r="F41">
        <v>141.38999999999999</v>
      </c>
      <c r="G41">
        <v>2</v>
      </c>
      <c r="H41">
        <v>46.62</v>
      </c>
    </row>
    <row r="42" spans="1:8">
      <c r="A42" s="1">
        <v>37</v>
      </c>
      <c r="B42" t="s">
        <v>1563</v>
      </c>
      <c r="C42">
        <v>130.94</v>
      </c>
      <c r="D42">
        <v>16.21</v>
      </c>
      <c r="E42">
        <v>0.948326</v>
      </c>
      <c r="F42">
        <v>100.38</v>
      </c>
      <c r="G42">
        <v>0</v>
      </c>
      <c r="H42">
        <v>29.17</v>
      </c>
    </row>
    <row r="43" spans="1:8">
      <c r="A43" s="1">
        <v>38</v>
      </c>
      <c r="B43" t="s">
        <v>1566</v>
      </c>
      <c r="C43">
        <v>110.4</v>
      </c>
      <c r="D43">
        <v>16.079999999999998</v>
      </c>
      <c r="E43">
        <v>0.99073699999999998</v>
      </c>
      <c r="F43">
        <v>99.72</v>
      </c>
      <c r="G43">
        <v>0</v>
      </c>
      <c r="H43">
        <v>30.7</v>
      </c>
    </row>
    <row r="44" spans="1:8">
      <c r="A44" s="1">
        <v>39</v>
      </c>
      <c r="B44" t="s">
        <v>1569</v>
      </c>
      <c r="C44">
        <v>152.68</v>
      </c>
      <c r="D44">
        <v>16.37</v>
      </c>
      <c r="E44">
        <v>0.99868999999999997</v>
      </c>
      <c r="F44">
        <v>147.15</v>
      </c>
      <c r="G44">
        <v>2</v>
      </c>
      <c r="H44">
        <v>39.65</v>
      </c>
    </row>
    <row r="45" spans="1:8">
      <c r="A45" s="1">
        <v>40</v>
      </c>
      <c r="B45" t="s">
        <v>1572</v>
      </c>
      <c r="C45">
        <v>152.54</v>
      </c>
      <c r="D45">
        <v>16.350000000000001</v>
      </c>
      <c r="E45">
        <v>0.958893</v>
      </c>
      <c r="F45">
        <v>120.96</v>
      </c>
      <c r="G45">
        <v>0</v>
      </c>
      <c r="H45">
        <v>39.29</v>
      </c>
    </row>
    <row r="46" spans="1:8">
      <c r="A46" s="1">
        <v>41</v>
      </c>
      <c r="B46" t="s">
        <v>1575</v>
      </c>
      <c r="C46">
        <v>117.29</v>
      </c>
      <c r="D46">
        <v>16.09</v>
      </c>
      <c r="E46">
        <v>0.91001600000000005</v>
      </c>
      <c r="F46">
        <v>80.41</v>
      </c>
      <c r="G46">
        <v>0</v>
      </c>
      <c r="H46">
        <v>32.76</v>
      </c>
    </row>
    <row r="47" spans="1:8">
      <c r="A47" s="1">
        <v>42</v>
      </c>
      <c r="B47" t="s">
        <v>1578</v>
      </c>
      <c r="C47">
        <v>99.96</v>
      </c>
      <c r="D47">
        <v>15.98</v>
      </c>
      <c r="E47">
        <v>0.96119699999999997</v>
      </c>
      <c r="F47">
        <v>79.87</v>
      </c>
      <c r="G47">
        <v>0</v>
      </c>
      <c r="H47">
        <v>27.46</v>
      </c>
    </row>
    <row r="48" spans="1:8">
      <c r="A48" s="1">
        <v>43</v>
      </c>
      <c r="B48" t="s">
        <v>1581</v>
      </c>
      <c r="C48">
        <v>116.37</v>
      </c>
      <c r="D48">
        <v>16.09</v>
      </c>
      <c r="E48">
        <v>0.91282799999999997</v>
      </c>
      <c r="F48">
        <v>80.41</v>
      </c>
      <c r="G48">
        <v>2</v>
      </c>
      <c r="H48">
        <v>26.55</v>
      </c>
    </row>
    <row r="49" spans="1:10">
      <c r="A49" s="1">
        <v>44</v>
      </c>
      <c r="B49" t="s">
        <v>1584</v>
      </c>
      <c r="C49">
        <v>122.25</v>
      </c>
      <c r="D49">
        <v>16.12</v>
      </c>
      <c r="E49">
        <v>0.89670300000000003</v>
      </c>
      <c r="F49">
        <v>80.760000000000005</v>
      </c>
      <c r="G49">
        <v>0</v>
      </c>
      <c r="H49">
        <v>32.53</v>
      </c>
    </row>
    <row r="50" spans="1:10">
      <c r="A50" s="1">
        <v>45</v>
      </c>
      <c r="B50" t="s">
        <v>1587</v>
      </c>
      <c r="C50">
        <v>152.03</v>
      </c>
      <c r="D50">
        <v>16.36</v>
      </c>
      <c r="E50">
        <v>0.99824500000000005</v>
      </c>
      <c r="F50">
        <v>145.65</v>
      </c>
      <c r="G50">
        <v>0</v>
      </c>
      <c r="H50">
        <v>39.31</v>
      </c>
    </row>
    <row r="51" spans="1:10">
      <c r="A51" s="1">
        <v>46</v>
      </c>
      <c r="B51" t="s">
        <v>1590</v>
      </c>
      <c r="C51">
        <v>150.88999999999999</v>
      </c>
      <c r="D51">
        <v>16.329999999999998</v>
      </c>
      <c r="E51">
        <v>0.93866099999999997</v>
      </c>
      <c r="F51">
        <v>112.32</v>
      </c>
      <c r="G51">
        <v>0</v>
      </c>
      <c r="H51">
        <v>39.5</v>
      </c>
      <c r="J51" s="1">
        <v>0</v>
      </c>
    </row>
    <row r="52" spans="1:10">
      <c r="A52" s="1">
        <v>47</v>
      </c>
      <c r="B52" t="s">
        <v>1593</v>
      </c>
      <c r="C52">
        <v>99.96</v>
      </c>
      <c r="D52">
        <v>15.98</v>
      </c>
      <c r="E52">
        <v>0.96119699999999997</v>
      </c>
      <c r="F52">
        <v>79.87</v>
      </c>
      <c r="G52">
        <v>0</v>
      </c>
      <c r="H52">
        <v>27.46</v>
      </c>
    </row>
    <row r="53" spans="1:10">
      <c r="A53" s="1">
        <v>48</v>
      </c>
      <c r="B53" t="s">
        <v>1596</v>
      </c>
      <c r="C53">
        <v>118.39</v>
      </c>
      <c r="D53">
        <v>16.149999999999999</v>
      </c>
      <c r="E53">
        <v>0.999973</v>
      </c>
      <c r="F53">
        <v>117.77</v>
      </c>
      <c r="G53">
        <v>2</v>
      </c>
      <c r="H53">
        <v>26.27</v>
      </c>
    </row>
    <row r="54" spans="1:10">
      <c r="A54" s="1">
        <v>49</v>
      </c>
      <c r="B54" t="s">
        <v>1599</v>
      </c>
      <c r="C54">
        <v>165.48</v>
      </c>
      <c r="D54">
        <v>16.440000000000001</v>
      </c>
      <c r="E54">
        <v>0.99989300000000003</v>
      </c>
      <c r="F54">
        <v>163.78</v>
      </c>
      <c r="G54">
        <v>0</v>
      </c>
      <c r="H54">
        <v>46.02</v>
      </c>
    </row>
    <row r="55" spans="1:10">
      <c r="A55" s="1">
        <v>50</v>
      </c>
      <c r="B55" t="s">
        <v>1602</v>
      </c>
      <c r="C55">
        <v>146.75</v>
      </c>
      <c r="D55">
        <v>16.329999999999998</v>
      </c>
      <c r="E55">
        <v>0.99653000000000003</v>
      </c>
      <c r="F55">
        <v>138.09</v>
      </c>
      <c r="G55">
        <v>2</v>
      </c>
      <c r="H55">
        <v>33.92</v>
      </c>
    </row>
    <row r="56" spans="1:10">
      <c r="B56" s="1" t="s">
        <v>19</v>
      </c>
      <c r="C56" s="1">
        <f>AVERAGE(C6:C55)</f>
        <v>122.91839999999998</v>
      </c>
      <c r="D56" s="1">
        <f t="shared" ref="D56:H56" si="0">AVERAGE(D6:D55)</f>
        <v>16.153000000000009</v>
      </c>
      <c r="E56" s="1">
        <f t="shared" si="0"/>
        <v>0.9690940400000001</v>
      </c>
      <c r="F56" s="1">
        <f t="shared" si="0"/>
        <v>104.77420000000001</v>
      </c>
      <c r="H56" s="1">
        <f t="shared" si="0"/>
        <v>30.938399999999998</v>
      </c>
    </row>
    <row r="57" spans="1:10">
      <c r="B57" s="1" t="s">
        <v>20</v>
      </c>
      <c r="C57" s="1">
        <f>MIN(C5:C55)</f>
        <v>89.8</v>
      </c>
      <c r="D57" s="1">
        <f t="shared" ref="D57:H57" si="1">MIN(D5:D55)</f>
        <v>15.9</v>
      </c>
      <c r="E57" s="1">
        <f t="shared" si="1"/>
        <v>0.89670300000000003</v>
      </c>
      <c r="F57" s="1">
        <f t="shared" si="1"/>
        <v>78.680000000000007</v>
      </c>
      <c r="H57" s="1">
        <f t="shared" si="1"/>
        <v>19.170000000000002</v>
      </c>
    </row>
    <row r="58" spans="1:10">
      <c r="B58" s="1" t="s">
        <v>3</v>
      </c>
      <c r="C58" s="1">
        <f>STDEV(C6:C55)</f>
        <v>20.136043463584013</v>
      </c>
      <c r="D58" s="1">
        <f t="shared" ref="D58:E58" si="2">STDEV(D6:D55)</f>
        <v>0.14377207017715737</v>
      </c>
      <c r="E58" s="1">
        <f t="shared" si="2"/>
        <v>3.2831559316321465E-2</v>
      </c>
      <c r="F58" s="1">
        <f>STDEV(F6:F55)</f>
        <v>22.984581263915807</v>
      </c>
      <c r="H58" s="1">
        <f>STDEV(H6:H55)</f>
        <v>7.2528396578196483</v>
      </c>
    </row>
    <row r="60" spans="1:10">
      <c r="H60" s="23" t="s">
        <v>1435</v>
      </c>
    </row>
    <row r="61" spans="1:10" ht="18">
      <c r="A61" s="23" t="s">
        <v>7</v>
      </c>
      <c r="B61" s="3" t="s">
        <v>8</v>
      </c>
      <c r="C61" s="23" t="s">
        <v>4</v>
      </c>
      <c r="D61" s="23" t="s">
        <v>322</v>
      </c>
      <c r="E61" s="23" t="s">
        <v>321</v>
      </c>
      <c r="F61" s="23" t="s">
        <v>324</v>
      </c>
      <c r="G61" s="23" t="s">
        <v>323</v>
      </c>
      <c r="H61" s="23" t="s">
        <v>1436</v>
      </c>
    </row>
    <row r="62" spans="1:10">
      <c r="A62" s="1">
        <v>1</v>
      </c>
      <c r="B62" t="s">
        <v>3872</v>
      </c>
      <c r="C62">
        <v>117.1</v>
      </c>
      <c r="D62">
        <v>40.299999999999997</v>
      </c>
      <c r="E62">
        <v>0.96406199999999997</v>
      </c>
      <c r="F62">
        <v>89.4</v>
      </c>
      <c r="G62">
        <v>0</v>
      </c>
      <c r="H62">
        <v>28.6</v>
      </c>
    </row>
    <row r="63" spans="1:10">
      <c r="A63" s="1">
        <v>2</v>
      </c>
      <c r="B63" t="s">
        <v>3873</v>
      </c>
      <c r="C63">
        <v>108.64</v>
      </c>
      <c r="D63">
        <v>40.130000000000003</v>
      </c>
      <c r="E63">
        <v>0.94956099999999999</v>
      </c>
      <c r="F63">
        <v>80.290000000000006</v>
      </c>
      <c r="G63">
        <v>2</v>
      </c>
      <c r="H63">
        <v>23.36</v>
      </c>
    </row>
    <row r="64" spans="1:10">
      <c r="A64" s="1">
        <v>3</v>
      </c>
      <c r="B64" t="s">
        <v>3874</v>
      </c>
      <c r="C64">
        <v>154.66999999999999</v>
      </c>
      <c r="D64">
        <v>40.92</v>
      </c>
      <c r="E64">
        <v>0.97204000000000002</v>
      </c>
      <c r="F64">
        <v>120.77</v>
      </c>
      <c r="G64">
        <v>2</v>
      </c>
      <c r="H64">
        <v>40.590000000000003</v>
      </c>
    </row>
    <row r="65" spans="1:8">
      <c r="A65" s="1">
        <v>4</v>
      </c>
      <c r="B65" t="s">
        <v>3875</v>
      </c>
      <c r="C65">
        <v>121.42</v>
      </c>
      <c r="D65">
        <v>40.409999999999997</v>
      </c>
      <c r="E65">
        <v>0.99072499999999997</v>
      </c>
      <c r="F65">
        <v>99.23</v>
      </c>
      <c r="G65">
        <v>8</v>
      </c>
      <c r="H65">
        <v>26.57</v>
      </c>
    </row>
    <row r="66" spans="1:8">
      <c r="A66" s="1">
        <v>5</v>
      </c>
      <c r="B66" t="s">
        <v>3876</v>
      </c>
      <c r="C66">
        <v>105.21</v>
      </c>
      <c r="D66">
        <v>40.08</v>
      </c>
      <c r="E66">
        <v>0.97469899999999998</v>
      </c>
      <c r="F66">
        <v>88.93</v>
      </c>
      <c r="G66">
        <v>2</v>
      </c>
      <c r="H66">
        <v>24.87</v>
      </c>
    </row>
    <row r="67" spans="1:8">
      <c r="A67" s="1">
        <v>6</v>
      </c>
      <c r="B67" t="s">
        <v>3877</v>
      </c>
      <c r="C67">
        <v>127.6</v>
      </c>
      <c r="D67">
        <v>40.44</v>
      </c>
      <c r="E67">
        <v>0.92607099999999998</v>
      </c>
      <c r="F67">
        <v>79.599999999999994</v>
      </c>
      <c r="G67">
        <v>8</v>
      </c>
      <c r="H67">
        <v>31.89</v>
      </c>
    </row>
    <row r="68" spans="1:8">
      <c r="A68" s="1">
        <v>7</v>
      </c>
      <c r="B68" t="s">
        <v>3878</v>
      </c>
      <c r="C68">
        <v>102.84</v>
      </c>
      <c r="D68">
        <v>40</v>
      </c>
      <c r="E68">
        <v>0.93449199999999999</v>
      </c>
      <c r="F68">
        <v>81.72</v>
      </c>
      <c r="G68">
        <v>2</v>
      </c>
      <c r="H68">
        <v>22.18</v>
      </c>
    </row>
    <row r="69" spans="1:8">
      <c r="A69" s="1">
        <v>8</v>
      </c>
      <c r="B69" t="s">
        <v>3879</v>
      </c>
      <c r="C69">
        <v>132.44</v>
      </c>
      <c r="D69">
        <v>40.520000000000003</v>
      </c>
      <c r="E69">
        <v>0.92883099999999996</v>
      </c>
      <c r="F69">
        <v>79.83</v>
      </c>
      <c r="G69">
        <v>8</v>
      </c>
      <c r="H69">
        <v>31.32</v>
      </c>
    </row>
    <row r="70" spans="1:8">
      <c r="A70" s="1">
        <v>9</v>
      </c>
      <c r="B70" t="s">
        <v>3880</v>
      </c>
      <c r="C70">
        <v>106.49</v>
      </c>
      <c r="D70">
        <v>40.049999999999997</v>
      </c>
      <c r="E70">
        <v>0.91965399999999997</v>
      </c>
      <c r="F70">
        <v>79.260000000000005</v>
      </c>
      <c r="G70">
        <v>2</v>
      </c>
      <c r="H70">
        <v>23.33</v>
      </c>
    </row>
    <row r="71" spans="1:8">
      <c r="A71" s="1">
        <v>10</v>
      </c>
      <c r="B71" t="s">
        <v>3881</v>
      </c>
      <c r="C71">
        <v>113.43</v>
      </c>
      <c r="D71">
        <v>40.21</v>
      </c>
      <c r="E71">
        <v>0.94314600000000004</v>
      </c>
      <c r="F71">
        <v>89.2</v>
      </c>
      <c r="G71">
        <v>4</v>
      </c>
      <c r="H71">
        <v>23.01</v>
      </c>
    </row>
    <row r="72" spans="1:8">
      <c r="A72" s="1">
        <v>11</v>
      </c>
      <c r="B72" t="s">
        <v>3882</v>
      </c>
      <c r="C72">
        <v>114.36</v>
      </c>
      <c r="D72">
        <v>40.25</v>
      </c>
      <c r="E72">
        <v>0.95889800000000003</v>
      </c>
      <c r="F72">
        <v>88.7</v>
      </c>
      <c r="G72">
        <v>6</v>
      </c>
      <c r="H72">
        <v>26.31</v>
      </c>
    </row>
    <row r="73" spans="1:8">
      <c r="A73" s="1">
        <v>12</v>
      </c>
      <c r="B73" t="s">
        <v>3883</v>
      </c>
      <c r="C73">
        <v>122.01</v>
      </c>
      <c r="D73">
        <v>40.369999999999997</v>
      </c>
      <c r="E73">
        <v>0.94665699999999997</v>
      </c>
      <c r="F73">
        <v>88.63</v>
      </c>
      <c r="G73">
        <v>4</v>
      </c>
      <c r="H73">
        <v>28.78</v>
      </c>
    </row>
    <row r="74" spans="1:8">
      <c r="A74" s="1">
        <v>13</v>
      </c>
      <c r="B74" t="s">
        <v>3884</v>
      </c>
      <c r="C74">
        <v>115.23</v>
      </c>
      <c r="D74">
        <v>40.26</v>
      </c>
      <c r="E74">
        <v>0.95639399999999997</v>
      </c>
      <c r="F74">
        <v>79.760000000000005</v>
      </c>
      <c r="G74">
        <v>4</v>
      </c>
      <c r="H74">
        <v>28.18</v>
      </c>
    </row>
    <row r="75" spans="1:8">
      <c r="A75" s="1">
        <v>14</v>
      </c>
      <c r="B75" t="s">
        <v>3885</v>
      </c>
      <c r="C75">
        <v>111.15</v>
      </c>
      <c r="D75">
        <v>40.200000000000003</v>
      </c>
      <c r="E75">
        <v>0.97498200000000002</v>
      </c>
      <c r="F75">
        <v>89.36</v>
      </c>
      <c r="G75">
        <v>8</v>
      </c>
      <c r="H75">
        <v>27.39</v>
      </c>
    </row>
    <row r="76" spans="1:8">
      <c r="A76" s="1">
        <v>15</v>
      </c>
      <c r="B76" t="s">
        <v>3886</v>
      </c>
      <c r="C76">
        <v>94</v>
      </c>
      <c r="D76">
        <v>39.86</v>
      </c>
      <c r="E76">
        <v>0.99586600000000003</v>
      </c>
      <c r="F76">
        <v>87.94</v>
      </c>
      <c r="G76">
        <v>2</v>
      </c>
      <c r="H76">
        <v>20.63</v>
      </c>
    </row>
    <row r="77" spans="1:8">
      <c r="A77" s="1">
        <v>16</v>
      </c>
      <c r="B77" t="s">
        <v>3887</v>
      </c>
      <c r="C77">
        <v>116.58</v>
      </c>
      <c r="D77">
        <v>40.03</v>
      </c>
      <c r="E77">
        <v>0.81305400000000005</v>
      </c>
      <c r="F77">
        <v>51.38</v>
      </c>
      <c r="G77">
        <v>2</v>
      </c>
      <c r="H77">
        <v>24.72</v>
      </c>
    </row>
    <row r="78" spans="1:8">
      <c r="A78" s="1">
        <v>17</v>
      </c>
      <c r="B78" t="s">
        <v>3888</v>
      </c>
      <c r="C78">
        <v>121.62</v>
      </c>
      <c r="D78">
        <v>40.33</v>
      </c>
      <c r="E78">
        <v>0.91537800000000002</v>
      </c>
      <c r="F78">
        <v>79.95</v>
      </c>
      <c r="G78">
        <v>2</v>
      </c>
      <c r="H78">
        <v>29.56</v>
      </c>
    </row>
    <row r="79" spans="1:8">
      <c r="A79" s="1">
        <v>18</v>
      </c>
      <c r="B79" t="s">
        <v>3889</v>
      </c>
      <c r="C79">
        <v>102.07</v>
      </c>
      <c r="D79">
        <v>39.97</v>
      </c>
      <c r="E79">
        <v>0.91953099999999999</v>
      </c>
      <c r="F79">
        <v>80.41</v>
      </c>
      <c r="G79">
        <v>4</v>
      </c>
      <c r="H79">
        <v>24.51</v>
      </c>
    </row>
    <row r="80" spans="1:8">
      <c r="A80" s="1">
        <v>19</v>
      </c>
      <c r="B80" t="s">
        <v>3890</v>
      </c>
      <c r="C80">
        <v>138.94</v>
      </c>
      <c r="D80">
        <v>40.700000000000003</v>
      </c>
      <c r="E80">
        <v>0.99122200000000005</v>
      </c>
      <c r="F80">
        <v>119.39</v>
      </c>
      <c r="G80">
        <v>0</v>
      </c>
      <c r="H80">
        <v>32.74</v>
      </c>
    </row>
    <row r="81" spans="1:8">
      <c r="A81" s="1">
        <v>20</v>
      </c>
      <c r="B81" t="s">
        <v>3891</v>
      </c>
      <c r="C81">
        <v>135.25</v>
      </c>
      <c r="D81">
        <v>40.65</v>
      </c>
      <c r="E81">
        <v>0.99169499999999999</v>
      </c>
      <c r="F81">
        <v>119.69</v>
      </c>
      <c r="G81">
        <v>4</v>
      </c>
      <c r="H81">
        <v>37.07</v>
      </c>
    </row>
    <row r="82" spans="1:8">
      <c r="A82" s="1">
        <v>21</v>
      </c>
      <c r="B82" t="s">
        <v>3892</v>
      </c>
      <c r="C82">
        <v>141.97</v>
      </c>
      <c r="D82">
        <v>40.72</v>
      </c>
      <c r="E82">
        <v>0.971086</v>
      </c>
      <c r="F82">
        <v>97.38</v>
      </c>
      <c r="G82">
        <v>0</v>
      </c>
      <c r="H82">
        <v>33.64</v>
      </c>
    </row>
    <row r="83" spans="1:8">
      <c r="A83" s="1">
        <v>22</v>
      </c>
      <c r="B83" t="s">
        <v>3893</v>
      </c>
      <c r="C83">
        <v>141.97999999999999</v>
      </c>
      <c r="D83">
        <v>40.71</v>
      </c>
      <c r="E83">
        <v>0.95079100000000005</v>
      </c>
      <c r="F83">
        <v>101.57</v>
      </c>
      <c r="G83">
        <v>6</v>
      </c>
      <c r="H83">
        <v>37.21</v>
      </c>
    </row>
    <row r="84" spans="1:8">
      <c r="A84" s="1">
        <v>23</v>
      </c>
      <c r="B84" t="s">
        <v>3894</v>
      </c>
      <c r="C84">
        <v>119.34</v>
      </c>
      <c r="D84">
        <v>40.31</v>
      </c>
      <c r="E84">
        <v>0.940855</v>
      </c>
      <c r="F84">
        <v>80.180000000000007</v>
      </c>
      <c r="G84">
        <v>0</v>
      </c>
      <c r="H84">
        <v>28.76</v>
      </c>
    </row>
    <row r="85" spans="1:8">
      <c r="A85" s="1">
        <v>24</v>
      </c>
      <c r="B85" t="s">
        <v>3895</v>
      </c>
      <c r="C85">
        <v>111.97</v>
      </c>
      <c r="D85">
        <v>40.22</v>
      </c>
      <c r="E85">
        <v>0.97682599999999997</v>
      </c>
      <c r="F85">
        <v>98.73</v>
      </c>
      <c r="G85">
        <v>6</v>
      </c>
      <c r="H85">
        <v>26.46</v>
      </c>
    </row>
    <row r="86" spans="1:8">
      <c r="A86" s="1">
        <v>25</v>
      </c>
      <c r="B86" t="s">
        <v>3896</v>
      </c>
      <c r="C86">
        <v>104.51</v>
      </c>
      <c r="D86">
        <v>40.06</v>
      </c>
      <c r="E86">
        <v>0.97094599999999998</v>
      </c>
      <c r="F86">
        <v>79.91</v>
      </c>
      <c r="G86">
        <v>6</v>
      </c>
      <c r="H86">
        <v>24.89</v>
      </c>
    </row>
    <row r="87" spans="1:8">
      <c r="A87" s="1">
        <v>26</v>
      </c>
      <c r="B87" t="s">
        <v>3897</v>
      </c>
      <c r="C87">
        <v>92.33</v>
      </c>
      <c r="D87">
        <v>39.770000000000003</v>
      </c>
      <c r="E87">
        <v>0.95233299999999999</v>
      </c>
      <c r="F87">
        <v>73.73</v>
      </c>
      <c r="G87">
        <v>0</v>
      </c>
      <c r="H87">
        <v>24.68</v>
      </c>
    </row>
    <row r="88" spans="1:8">
      <c r="A88" s="1">
        <v>27</v>
      </c>
      <c r="B88" t="s">
        <v>3898</v>
      </c>
      <c r="C88">
        <v>87.6</v>
      </c>
      <c r="D88">
        <v>38.64</v>
      </c>
      <c r="E88">
        <v>0.75867499999999999</v>
      </c>
      <c r="F88">
        <v>3.57</v>
      </c>
      <c r="G88">
        <v>8</v>
      </c>
      <c r="H88">
        <v>23.74</v>
      </c>
    </row>
    <row r="89" spans="1:8">
      <c r="A89" s="1">
        <v>28</v>
      </c>
      <c r="B89" t="s">
        <v>3899</v>
      </c>
      <c r="C89">
        <v>129.78</v>
      </c>
      <c r="D89">
        <v>40.43</v>
      </c>
      <c r="E89">
        <v>0.89352100000000001</v>
      </c>
      <c r="F89">
        <v>78.91</v>
      </c>
      <c r="G89">
        <v>2</v>
      </c>
      <c r="H89">
        <v>29.37</v>
      </c>
    </row>
    <row r="90" spans="1:8">
      <c r="A90" s="1">
        <v>29</v>
      </c>
      <c r="B90" t="s">
        <v>3900</v>
      </c>
      <c r="C90">
        <v>102.57</v>
      </c>
      <c r="D90">
        <v>39.840000000000003</v>
      </c>
      <c r="E90">
        <v>0.83769099999999996</v>
      </c>
      <c r="F90">
        <v>54.8</v>
      </c>
      <c r="G90">
        <v>0</v>
      </c>
      <c r="H90">
        <v>24.8</v>
      </c>
    </row>
    <row r="91" spans="1:8">
      <c r="A91" s="1">
        <v>30</v>
      </c>
      <c r="B91" t="s">
        <v>3901</v>
      </c>
      <c r="C91">
        <v>116.04</v>
      </c>
      <c r="D91">
        <v>40.29</v>
      </c>
      <c r="E91">
        <v>0.97419100000000003</v>
      </c>
      <c r="F91">
        <v>89.89</v>
      </c>
      <c r="G91">
        <v>2</v>
      </c>
      <c r="H91">
        <v>28.81</v>
      </c>
    </row>
    <row r="92" spans="1:8">
      <c r="A92" s="1">
        <v>31</v>
      </c>
      <c r="B92" t="s">
        <v>3902</v>
      </c>
      <c r="C92">
        <v>125.54</v>
      </c>
      <c r="D92">
        <v>40.450000000000003</v>
      </c>
      <c r="E92">
        <v>0.96529100000000001</v>
      </c>
      <c r="F92">
        <v>89.2</v>
      </c>
      <c r="G92">
        <v>4</v>
      </c>
      <c r="H92">
        <v>32.590000000000003</v>
      </c>
    </row>
    <row r="93" spans="1:8">
      <c r="A93" s="1">
        <v>32</v>
      </c>
      <c r="B93" t="s">
        <v>3903</v>
      </c>
      <c r="C93">
        <v>96.13</v>
      </c>
      <c r="D93">
        <v>39.82</v>
      </c>
      <c r="E93">
        <v>0.92516100000000001</v>
      </c>
      <c r="F93">
        <v>65.63</v>
      </c>
      <c r="G93">
        <v>2</v>
      </c>
      <c r="H93">
        <v>23.99</v>
      </c>
    </row>
    <row r="94" spans="1:8">
      <c r="A94" s="1">
        <v>33</v>
      </c>
      <c r="B94" t="s">
        <v>3904</v>
      </c>
      <c r="C94">
        <v>97.47</v>
      </c>
      <c r="D94">
        <v>39.909999999999997</v>
      </c>
      <c r="E94">
        <v>0.96660900000000005</v>
      </c>
      <c r="F94">
        <v>79.489999999999995</v>
      </c>
      <c r="G94">
        <v>6</v>
      </c>
      <c r="H94">
        <v>23.64</v>
      </c>
    </row>
    <row r="95" spans="1:8">
      <c r="A95" s="1">
        <v>34</v>
      </c>
      <c r="B95" t="s">
        <v>3905</v>
      </c>
      <c r="C95">
        <v>103.95</v>
      </c>
      <c r="D95">
        <v>40.049999999999997</v>
      </c>
      <c r="E95">
        <v>0.97050800000000004</v>
      </c>
      <c r="F95">
        <v>80.45</v>
      </c>
      <c r="G95">
        <v>4</v>
      </c>
      <c r="H95">
        <v>23.53</v>
      </c>
    </row>
    <row r="96" spans="1:8">
      <c r="A96" s="1">
        <v>35</v>
      </c>
      <c r="B96" t="s">
        <v>3906</v>
      </c>
      <c r="C96">
        <v>99.65</v>
      </c>
      <c r="D96">
        <v>39.97</v>
      </c>
      <c r="E96">
        <v>0.98319699999999999</v>
      </c>
      <c r="F96">
        <v>80.760000000000005</v>
      </c>
      <c r="G96">
        <v>8</v>
      </c>
      <c r="H96">
        <v>25.4</v>
      </c>
    </row>
    <row r="97" spans="1:8">
      <c r="A97" s="1">
        <v>36</v>
      </c>
      <c r="B97" t="s">
        <v>3907</v>
      </c>
      <c r="C97">
        <v>126.81</v>
      </c>
      <c r="D97">
        <v>40.5</v>
      </c>
      <c r="E97">
        <v>0.98282800000000003</v>
      </c>
      <c r="F97">
        <v>100.53</v>
      </c>
      <c r="G97">
        <v>4</v>
      </c>
      <c r="H97">
        <v>34.25</v>
      </c>
    </row>
    <row r="98" spans="1:8">
      <c r="A98" s="1">
        <v>37</v>
      </c>
      <c r="B98" t="s">
        <v>3908</v>
      </c>
      <c r="C98">
        <v>103.53</v>
      </c>
      <c r="D98">
        <v>40.04</v>
      </c>
      <c r="E98">
        <v>0.96808300000000003</v>
      </c>
      <c r="F98">
        <v>79.72</v>
      </c>
      <c r="G98">
        <v>6</v>
      </c>
      <c r="H98">
        <v>24.94</v>
      </c>
    </row>
    <row r="99" spans="1:8">
      <c r="A99" s="1">
        <v>38</v>
      </c>
      <c r="B99" t="s">
        <v>3909</v>
      </c>
      <c r="C99">
        <v>95.94</v>
      </c>
      <c r="D99">
        <v>39.89</v>
      </c>
      <c r="E99">
        <v>0.98607999999999996</v>
      </c>
      <c r="F99">
        <v>80.14</v>
      </c>
      <c r="G99">
        <v>4</v>
      </c>
      <c r="H99">
        <v>20.6</v>
      </c>
    </row>
    <row r="100" spans="1:8">
      <c r="A100" s="1">
        <v>39</v>
      </c>
      <c r="B100" t="s">
        <v>3910</v>
      </c>
      <c r="C100">
        <v>127.11</v>
      </c>
      <c r="D100">
        <v>40.49</v>
      </c>
      <c r="E100">
        <v>0.97427299999999994</v>
      </c>
      <c r="F100">
        <v>100.07</v>
      </c>
      <c r="G100">
        <v>0</v>
      </c>
      <c r="H100">
        <v>30.4</v>
      </c>
    </row>
    <row r="101" spans="1:8">
      <c r="A101" s="1">
        <v>40</v>
      </c>
      <c r="B101" t="s">
        <v>3911</v>
      </c>
      <c r="C101">
        <v>99.49</v>
      </c>
      <c r="D101">
        <v>39.96</v>
      </c>
      <c r="E101">
        <v>0.97956200000000004</v>
      </c>
      <c r="F101">
        <v>74.8</v>
      </c>
      <c r="G101">
        <v>4</v>
      </c>
      <c r="H101">
        <v>25.03</v>
      </c>
    </row>
    <row r="102" spans="1:8">
      <c r="A102" s="1">
        <v>41</v>
      </c>
      <c r="B102" t="s">
        <v>3912</v>
      </c>
      <c r="C102">
        <v>119.59</v>
      </c>
      <c r="D102">
        <v>40.380000000000003</v>
      </c>
      <c r="E102">
        <v>0.98961200000000005</v>
      </c>
      <c r="F102">
        <v>98.65</v>
      </c>
      <c r="G102">
        <v>2</v>
      </c>
      <c r="H102">
        <v>26.31</v>
      </c>
    </row>
    <row r="103" spans="1:8">
      <c r="A103" s="1">
        <v>42</v>
      </c>
      <c r="B103" t="s">
        <v>3913</v>
      </c>
      <c r="C103">
        <v>105.38</v>
      </c>
      <c r="D103">
        <v>40.049999999999997</v>
      </c>
      <c r="E103">
        <v>0.94718000000000002</v>
      </c>
      <c r="F103">
        <v>79.56</v>
      </c>
      <c r="G103">
        <v>4</v>
      </c>
      <c r="H103">
        <v>27.45</v>
      </c>
    </row>
    <row r="104" spans="1:8">
      <c r="A104" s="1">
        <v>43</v>
      </c>
      <c r="B104" t="s">
        <v>3914</v>
      </c>
      <c r="C104">
        <v>128.63999999999999</v>
      </c>
      <c r="D104">
        <v>40.520000000000003</v>
      </c>
      <c r="E104">
        <v>0.97927500000000001</v>
      </c>
      <c r="F104">
        <v>100.68</v>
      </c>
      <c r="G104">
        <v>2</v>
      </c>
      <c r="H104">
        <v>29.01</v>
      </c>
    </row>
    <row r="105" spans="1:8">
      <c r="A105" s="1">
        <v>44</v>
      </c>
      <c r="B105" t="s">
        <v>3915</v>
      </c>
      <c r="C105">
        <v>109.64</v>
      </c>
      <c r="D105">
        <v>40.18</v>
      </c>
      <c r="E105">
        <v>0.97776399999999997</v>
      </c>
      <c r="F105">
        <v>95.19</v>
      </c>
      <c r="G105">
        <v>6</v>
      </c>
      <c r="H105">
        <v>26.19</v>
      </c>
    </row>
    <row r="106" spans="1:8">
      <c r="A106" s="1">
        <v>45</v>
      </c>
      <c r="B106" t="s">
        <v>3916</v>
      </c>
      <c r="C106">
        <v>112.62</v>
      </c>
      <c r="D106">
        <v>40.25</v>
      </c>
      <c r="E106">
        <v>0.991676</v>
      </c>
      <c r="F106">
        <v>98.69</v>
      </c>
      <c r="G106">
        <v>8</v>
      </c>
      <c r="H106">
        <v>26.49</v>
      </c>
    </row>
    <row r="107" spans="1:8">
      <c r="A107" s="1">
        <v>46</v>
      </c>
      <c r="B107" t="s">
        <v>3917</v>
      </c>
      <c r="C107">
        <v>109.97</v>
      </c>
      <c r="D107">
        <v>39.85</v>
      </c>
      <c r="E107">
        <v>0.80440100000000003</v>
      </c>
      <c r="F107">
        <v>29.72</v>
      </c>
      <c r="G107">
        <v>0</v>
      </c>
      <c r="H107">
        <v>22.16</v>
      </c>
    </row>
    <row r="108" spans="1:8">
      <c r="A108" s="1">
        <v>47</v>
      </c>
      <c r="B108" t="s">
        <v>3918</v>
      </c>
      <c r="C108">
        <v>115.91</v>
      </c>
      <c r="D108">
        <v>40.200000000000003</v>
      </c>
      <c r="E108">
        <v>0.88503799999999999</v>
      </c>
      <c r="F108">
        <v>80.099999999999994</v>
      </c>
      <c r="G108">
        <v>6</v>
      </c>
      <c r="H108">
        <v>25.21</v>
      </c>
    </row>
    <row r="109" spans="1:8">
      <c r="A109" s="1">
        <v>48</v>
      </c>
      <c r="B109" t="s">
        <v>3919</v>
      </c>
      <c r="C109">
        <v>122.45</v>
      </c>
      <c r="D109">
        <v>40.409999999999997</v>
      </c>
      <c r="E109">
        <v>0.97539399999999998</v>
      </c>
      <c r="F109">
        <v>101.41</v>
      </c>
      <c r="G109">
        <v>0</v>
      </c>
      <c r="H109">
        <v>30.97</v>
      </c>
    </row>
    <row r="110" spans="1:8">
      <c r="A110" s="1">
        <v>49</v>
      </c>
      <c r="B110" t="s">
        <v>3920</v>
      </c>
      <c r="C110">
        <v>97.77</v>
      </c>
      <c r="D110">
        <v>39.729999999999997</v>
      </c>
      <c r="E110">
        <v>0.82871300000000003</v>
      </c>
      <c r="F110">
        <v>53.15</v>
      </c>
      <c r="G110">
        <v>8</v>
      </c>
      <c r="H110">
        <v>26.5</v>
      </c>
    </row>
    <row r="111" spans="1:8">
      <c r="A111" s="1">
        <v>50</v>
      </c>
      <c r="B111" t="s">
        <v>3921</v>
      </c>
      <c r="C111">
        <v>134.09</v>
      </c>
      <c r="D111">
        <v>40.6</v>
      </c>
      <c r="E111">
        <v>0.96883200000000003</v>
      </c>
      <c r="F111">
        <v>96</v>
      </c>
      <c r="G111">
        <v>0</v>
      </c>
      <c r="H111">
        <v>40.5</v>
      </c>
    </row>
    <row r="112" spans="1:8">
      <c r="B112" s="1" t="s">
        <v>19</v>
      </c>
      <c r="C112" s="1">
        <f>AVERAGE(C62:C111)</f>
        <v>114.81640000000002</v>
      </c>
      <c r="D112" s="1">
        <f t="shared" ref="D112:F112" si="3">AVERAGE(D62:D111)</f>
        <v>40.198400000000007</v>
      </c>
      <c r="E112" s="1">
        <f t="shared" si="3"/>
        <v>0.94486700000000001</v>
      </c>
      <c r="F112" s="1">
        <f t="shared" si="3"/>
        <v>83.921000000000006</v>
      </c>
      <c r="H112" s="1">
        <f t="shared" ref="H112" si="4">AVERAGE(H62:H111)</f>
        <v>27.662599999999998</v>
      </c>
    </row>
    <row r="113" spans="1:8">
      <c r="B113" s="1" t="s">
        <v>20</v>
      </c>
      <c r="C113" s="1">
        <f>MIN(C61:C111)</f>
        <v>87.6</v>
      </c>
      <c r="D113" s="1">
        <f t="shared" ref="D113:F113" si="5">MIN(D61:D111)</f>
        <v>38.64</v>
      </c>
      <c r="E113" s="1">
        <f t="shared" si="5"/>
        <v>0.75867499999999999</v>
      </c>
      <c r="F113" s="1">
        <f t="shared" si="5"/>
        <v>3.57</v>
      </c>
      <c r="H113" s="1">
        <f t="shared" ref="H113" si="6">MIN(H61:H111)</f>
        <v>20.6</v>
      </c>
    </row>
    <row r="114" spans="1:8">
      <c r="B114" s="1" t="s">
        <v>3</v>
      </c>
      <c r="C114" s="1">
        <f>STDEV(C62:C111)</f>
        <v>14.711180082799832</v>
      </c>
      <c r="D114" s="1">
        <f t="shared" ref="D114:E114" si="7">STDEV(D62:D111)</f>
        <v>0.35900292762088615</v>
      </c>
      <c r="E114" s="1">
        <f t="shared" si="7"/>
        <v>5.3187782931640608E-2</v>
      </c>
      <c r="F114" s="1">
        <f>STDEV(F62:F111)</f>
        <v>20.184167289825837</v>
      </c>
      <c r="H114" s="1">
        <f>STDEV(H62:H111)</f>
        <v>4.678180271543785</v>
      </c>
    </row>
    <row r="116" spans="1:8">
      <c r="H116" s="23" t="s">
        <v>1435</v>
      </c>
    </row>
    <row r="117" spans="1:8" ht="18">
      <c r="A117" s="23" t="s">
        <v>7</v>
      </c>
      <c r="B117" s="3" t="s">
        <v>1</v>
      </c>
      <c r="C117" s="23" t="s">
        <v>4</v>
      </c>
      <c r="D117" s="23" t="s">
        <v>322</v>
      </c>
      <c r="E117" s="23" t="s">
        <v>321</v>
      </c>
      <c r="F117" s="23" t="s">
        <v>324</v>
      </c>
      <c r="G117" s="23" t="s">
        <v>323</v>
      </c>
      <c r="H117" s="23" t="s">
        <v>1436</v>
      </c>
    </row>
    <row r="118" spans="1:8">
      <c r="A118" s="1">
        <v>1</v>
      </c>
      <c r="B118" t="s">
        <v>2106</v>
      </c>
      <c r="C118">
        <v>111.21</v>
      </c>
      <c r="D118">
        <v>80.040000000000006</v>
      </c>
      <c r="E118">
        <v>0.87052200000000002</v>
      </c>
      <c r="F118">
        <v>40.78</v>
      </c>
      <c r="G118">
        <v>6</v>
      </c>
      <c r="H118">
        <v>26.2</v>
      </c>
    </row>
    <row r="119" spans="1:8">
      <c r="A119" s="1">
        <v>2</v>
      </c>
      <c r="B119" t="s">
        <v>2107</v>
      </c>
      <c r="C119">
        <v>104.55</v>
      </c>
      <c r="D119">
        <v>80.12</v>
      </c>
      <c r="E119">
        <v>0.96624600000000005</v>
      </c>
      <c r="F119">
        <v>78.760000000000005</v>
      </c>
      <c r="G119">
        <v>0</v>
      </c>
      <c r="H119">
        <v>25</v>
      </c>
    </row>
    <row r="120" spans="1:8">
      <c r="A120" s="1">
        <v>3</v>
      </c>
      <c r="B120" t="s">
        <v>2108</v>
      </c>
      <c r="C120">
        <v>114.16</v>
      </c>
      <c r="D120">
        <v>80.52</v>
      </c>
      <c r="E120">
        <v>0.973607</v>
      </c>
      <c r="F120">
        <v>88.78</v>
      </c>
      <c r="G120">
        <v>0</v>
      </c>
      <c r="H120">
        <v>26.69</v>
      </c>
    </row>
    <row r="121" spans="1:8">
      <c r="A121" s="1">
        <v>4</v>
      </c>
      <c r="B121" t="s">
        <v>2109</v>
      </c>
      <c r="C121">
        <v>88.73</v>
      </c>
      <c r="D121">
        <v>79.260000000000005</v>
      </c>
      <c r="E121">
        <v>0.90494300000000005</v>
      </c>
      <c r="F121">
        <v>42.39</v>
      </c>
      <c r="G121">
        <v>12</v>
      </c>
      <c r="H121">
        <v>22.35</v>
      </c>
    </row>
    <row r="122" spans="1:8">
      <c r="A122" s="1">
        <v>5</v>
      </c>
      <c r="B122" t="s">
        <v>2110</v>
      </c>
      <c r="C122">
        <v>110.3</v>
      </c>
      <c r="D122">
        <v>80.34</v>
      </c>
      <c r="E122">
        <v>0.96194100000000005</v>
      </c>
      <c r="F122">
        <v>80.489999999999995</v>
      </c>
      <c r="G122">
        <v>14</v>
      </c>
      <c r="H122">
        <v>27.76</v>
      </c>
    </row>
    <row r="123" spans="1:8">
      <c r="A123" s="1">
        <v>6</v>
      </c>
      <c r="B123" t="s">
        <v>2111</v>
      </c>
      <c r="C123">
        <v>115.83</v>
      </c>
      <c r="D123">
        <v>80.430000000000007</v>
      </c>
      <c r="E123">
        <v>0.90732199999999996</v>
      </c>
      <c r="F123">
        <v>79.56</v>
      </c>
      <c r="G123">
        <v>8</v>
      </c>
      <c r="H123">
        <v>26.97</v>
      </c>
    </row>
    <row r="124" spans="1:8">
      <c r="A124" s="1">
        <v>7</v>
      </c>
      <c r="B124" t="s">
        <v>2112</v>
      </c>
      <c r="C124">
        <v>100.4</v>
      </c>
      <c r="D124">
        <v>79.75</v>
      </c>
      <c r="E124">
        <v>0.89023799999999997</v>
      </c>
      <c r="F124">
        <v>53.91</v>
      </c>
      <c r="G124">
        <v>16</v>
      </c>
      <c r="H124">
        <v>26.22</v>
      </c>
    </row>
    <row r="125" spans="1:8">
      <c r="A125" s="1">
        <v>8</v>
      </c>
      <c r="B125" t="s">
        <v>2113</v>
      </c>
      <c r="C125">
        <v>96.44</v>
      </c>
      <c r="D125">
        <v>79.760000000000005</v>
      </c>
      <c r="E125">
        <v>0.96344799999999997</v>
      </c>
      <c r="F125">
        <v>69.849999999999994</v>
      </c>
      <c r="G125">
        <v>6</v>
      </c>
      <c r="H125">
        <v>24.29</v>
      </c>
    </row>
    <row r="126" spans="1:8">
      <c r="A126" s="1">
        <v>9</v>
      </c>
      <c r="B126" t="s">
        <v>2114</v>
      </c>
      <c r="C126">
        <v>106.65</v>
      </c>
      <c r="D126">
        <v>80.14</v>
      </c>
      <c r="E126">
        <v>0.94974800000000004</v>
      </c>
      <c r="F126">
        <v>60.25</v>
      </c>
      <c r="G126">
        <v>2</v>
      </c>
      <c r="H126">
        <v>25.26</v>
      </c>
    </row>
    <row r="127" spans="1:8">
      <c r="A127" s="1">
        <v>10</v>
      </c>
      <c r="B127" t="s">
        <v>2115</v>
      </c>
      <c r="C127">
        <v>102.83</v>
      </c>
      <c r="D127">
        <v>80</v>
      </c>
      <c r="E127">
        <v>0.94446399999999997</v>
      </c>
      <c r="F127">
        <v>65.239999999999995</v>
      </c>
      <c r="G127">
        <v>12</v>
      </c>
      <c r="H127">
        <v>22.43</v>
      </c>
    </row>
    <row r="128" spans="1:8">
      <c r="A128" s="1">
        <v>11</v>
      </c>
      <c r="B128" t="s">
        <v>2116</v>
      </c>
      <c r="C128">
        <v>111.04</v>
      </c>
      <c r="D128">
        <v>80.34</v>
      </c>
      <c r="E128">
        <v>0.94510000000000005</v>
      </c>
      <c r="F128">
        <v>79.91</v>
      </c>
      <c r="G128">
        <v>6</v>
      </c>
      <c r="H128">
        <v>28.11</v>
      </c>
    </row>
    <row r="129" spans="1:8">
      <c r="A129" s="1">
        <v>12</v>
      </c>
      <c r="B129" t="s">
        <v>2117</v>
      </c>
      <c r="C129">
        <v>116.66</v>
      </c>
      <c r="D129">
        <v>80.58</v>
      </c>
      <c r="E129">
        <v>0.96109299999999998</v>
      </c>
      <c r="F129">
        <v>88.05</v>
      </c>
      <c r="G129">
        <v>4</v>
      </c>
      <c r="H129">
        <v>26.66</v>
      </c>
    </row>
    <row r="130" spans="1:8">
      <c r="A130" s="1">
        <v>13</v>
      </c>
      <c r="B130" t="s">
        <v>2118</v>
      </c>
      <c r="C130">
        <v>94.13</v>
      </c>
      <c r="D130">
        <v>79.47</v>
      </c>
      <c r="E130">
        <v>0.899011</v>
      </c>
      <c r="F130">
        <v>46.5</v>
      </c>
      <c r="G130">
        <v>0</v>
      </c>
      <c r="H130">
        <v>21.64</v>
      </c>
    </row>
    <row r="131" spans="1:8">
      <c r="A131" s="1">
        <v>14</v>
      </c>
      <c r="B131" t="s">
        <v>2119</v>
      </c>
      <c r="C131">
        <v>107.93</v>
      </c>
      <c r="D131">
        <v>80.260000000000005</v>
      </c>
      <c r="E131">
        <v>0.96696400000000005</v>
      </c>
      <c r="F131">
        <v>80.37</v>
      </c>
      <c r="G131">
        <v>2</v>
      </c>
      <c r="H131">
        <v>25.38</v>
      </c>
    </row>
    <row r="132" spans="1:8">
      <c r="A132" s="1">
        <v>15</v>
      </c>
      <c r="B132" t="s">
        <v>2120</v>
      </c>
      <c r="C132">
        <v>102.79</v>
      </c>
      <c r="D132">
        <v>80.040000000000006</v>
      </c>
      <c r="E132">
        <v>0.96148699999999998</v>
      </c>
      <c r="F132">
        <v>79.95</v>
      </c>
      <c r="G132">
        <v>18</v>
      </c>
      <c r="H132">
        <v>24.47</v>
      </c>
    </row>
    <row r="133" spans="1:8">
      <c r="A133" s="1">
        <v>16</v>
      </c>
      <c r="B133" t="s">
        <v>2121</v>
      </c>
      <c r="C133">
        <v>87.29</v>
      </c>
      <c r="D133">
        <v>79.040000000000006</v>
      </c>
      <c r="E133">
        <v>0.86121300000000001</v>
      </c>
      <c r="F133">
        <v>42.93</v>
      </c>
      <c r="G133">
        <v>8</v>
      </c>
      <c r="H133">
        <v>22.12</v>
      </c>
    </row>
    <row r="134" spans="1:8">
      <c r="A134" s="1">
        <v>17</v>
      </c>
      <c r="B134" t="s">
        <v>2122</v>
      </c>
      <c r="C134">
        <v>91.72</v>
      </c>
      <c r="D134">
        <v>79.349999999999994</v>
      </c>
      <c r="E134">
        <v>0.90002700000000002</v>
      </c>
      <c r="F134">
        <v>51.76</v>
      </c>
      <c r="G134">
        <v>14</v>
      </c>
      <c r="H134">
        <v>20.43</v>
      </c>
    </row>
    <row r="135" spans="1:8">
      <c r="A135" s="1">
        <v>18</v>
      </c>
      <c r="B135" t="s">
        <v>2123</v>
      </c>
      <c r="C135">
        <v>117.95</v>
      </c>
      <c r="D135">
        <v>80.67</v>
      </c>
      <c r="E135">
        <v>0.97873500000000002</v>
      </c>
      <c r="F135">
        <v>89.32</v>
      </c>
      <c r="G135">
        <v>4</v>
      </c>
      <c r="H135">
        <v>27.96</v>
      </c>
    </row>
    <row r="136" spans="1:8">
      <c r="A136" s="1">
        <v>19</v>
      </c>
      <c r="B136" t="s">
        <v>2124</v>
      </c>
      <c r="C136">
        <v>111.19</v>
      </c>
      <c r="D136">
        <v>80.239999999999995</v>
      </c>
      <c r="E136">
        <v>0.90128799999999998</v>
      </c>
      <c r="F136">
        <v>71.69</v>
      </c>
      <c r="G136">
        <v>8</v>
      </c>
      <c r="H136">
        <v>26.82</v>
      </c>
    </row>
    <row r="137" spans="1:8">
      <c r="A137" s="1">
        <v>20</v>
      </c>
      <c r="B137" t="s">
        <v>2125</v>
      </c>
      <c r="C137">
        <v>104.95</v>
      </c>
      <c r="D137">
        <v>80.099999999999994</v>
      </c>
      <c r="E137">
        <v>0.94796100000000005</v>
      </c>
      <c r="F137">
        <v>80.03</v>
      </c>
      <c r="G137">
        <v>0</v>
      </c>
      <c r="H137">
        <v>24.36</v>
      </c>
    </row>
    <row r="138" spans="1:8">
      <c r="A138" s="1">
        <v>21</v>
      </c>
      <c r="B138" t="s">
        <v>2126</v>
      </c>
      <c r="C138">
        <v>90.8</v>
      </c>
      <c r="D138">
        <v>79.319999999999993</v>
      </c>
      <c r="E138">
        <v>0.90167600000000003</v>
      </c>
      <c r="F138">
        <v>44.39</v>
      </c>
      <c r="G138">
        <v>18</v>
      </c>
      <c r="H138">
        <v>20.260000000000002</v>
      </c>
    </row>
    <row r="139" spans="1:8">
      <c r="A139" s="1">
        <v>22</v>
      </c>
      <c r="B139" t="s">
        <v>2127</v>
      </c>
      <c r="C139">
        <v>111.26</v>
      </c>
      <c r="D139">
        <v>80.22</v>
      </c>
      <c r="E139">
        <v>0.89949800000000002</v>
      </c>
      <c r="F139">
        <v>62.78</v>
      </c>
      <c r="G139">
        <v>2</v>
      </c>
      <c r="H139">
        <v>25.49</v>
      </c>
    </row>
    <row r="140" spans="1:8">
      <c r="A140" s="1">
        <v>23</v>
      </c>
      <c r="B140" t="s">
        <v>2128</v>
      </c>
      <c r="C140">
        <v>95.04</v>
      </c>
      <c r="D140">
        <v>79.010000000000005</v>
      </c>
      <c r="E140">
        <v>0.78269699999999998</v>
      </c>
      <c r="F140">
        <v>24.61</v>
      </c>
      <c r="G140">
        <v>0</v>
      </c>
      <c r="H140">
        <v>22.72</v>
      </c>
    </row>
    <row r="141" spans="1:8">
      <c r="A141" s="1">
        <v>24</v>
      </c>
      <c r="B141" t="s">
        <v>2129</v>
      </c>
      <c r="C141">
        <v>105.3</v>
      </c>
      <c r="D141">
        <v>80.16</v>
      </c>
      <c r="E141">
        <v>0.97249799999999997</v>
      </c>
      <c r="F141">
        <v>79.56</v>
      </c>
      <c r="G141">
        <v>2</v>
      </c>
      <c r="H141">
        <v>24.55</v>
      </c>
    </row>
    <row r="142" spans="1:8">
      <c r="A142" s="1">
        <v>25</v>
      </c>
      <c r="B142" t="s">
        <v>2130</v>
      </c>
      <c r="C142">
        <v>104.41</v>
      </c>
      <c r="D142">
        <v>80.099999999999994</v>
      </c>
      <c r="E142">
        <v>0.96284400000000003</v>
      </c>
      <c r="F142">
        <v>78.91</v>
      </c>
      <c r="G142">
        <v>18</v>
      </c>
      <c r="H142">
        <v>24.16</v>
      </c>
    </row>
    <row r="143" spans="1:8">
      <c r="A143" s="1">
        <v>26</v>
      </c>
      <c r="B143" t="s">
        <v>2131</v>
      </c>
      <c r="C143">
        <v>102.12</v>
      </c>
      <c r="D143">
        <v>80.03</v>
      </c>
      <c r="E143">
        <v>0.97266900000000001</v>
      </c>
      <c r="F143">
        <v>79.760000000000005</v>
      </c>
      <c r="G143">
        <v>16</v>
      </c>
      <c r="H143">
        <v>24.25</v>
      </c>
    </row>
    <row r="144" spans="1:8">
      <c r="A144" s="1">
        <v>27</v>
      </c>
      <c r="B144" t="s">
        <v>2132</v>
      </c>
      <c r="C144">
        <v>94.68</v>
      </c>
      <c r="D144">
        <v>79.650000000000006</v>
      </c>
      <c r="E144">
        <v>0.95409900000000003</v>
      </c>
      <c r="F144">
        <v>61.75</v>
      </c>
      <c r="G144">
        <v>10</v>
      </c>
      <c r="H144">
        <v>22.33</v>
      </c>
    </row>
    <row r="145" spans="1:8">
      <c r="A145" s="1">
        <v>28</v>
      </c>
      <c r="B145" t="s">
        <v>2133</v>
      </c>
      <c r="C145">
        <v>93.89</v>
      </c>
      <c r="D145">
        <v>79.569999999999993</v>
      </c>
      <c r="E145">
        <v>0.942133</v>
      </c>
      <c r="F145">
        <v>54.57</v>
      </c>
      <c r="G145">
        <v>4</v>
      </c>
      <c r="H145">
        <v>21.25</v>
      </c>
    </row>
    <row r="146" spans="1:8">
      <c r="A146" s="1">
        <v>29</v>
      </c>
      <c r="B146" t="s">
        <v>2134</v>
      </c>
      <c r="C146">
        <v>116.36</v>
      </c>
      <c r="D146">
        <v>80.5</v>
      </c>
      <c r="E146">
        <v>0.94453200000000004</v>
      </c>
      <c r="F146">
        <v>59.56</v>
      </c>
      <c r="G146">
        <v>4</v>
      </c>
      <c r="H146">
        <v>27.77</v>
      </c>
    </row>
    <row r="147" spans="1:8">
      <c r="A147" s="1">
        <v>30</v>
      </c>
      <c r="B147" t="s">
        <v>2135</v>
      </c>
      <c r="C147">
        <v>101.5</v>
      </c>
      <c r="D147">
        <v>79.959999999999994</v>
      </c>
      <c r="E147">
        <v>0.94845699999999999</v>
      </c>
      <c r="F147">
        <v>77.8</v>
      </c>
      <c r="G147">
        <v>4</v>
      </c>
      <c r="H147">
        <v>23.4</v>
      </c>
    </row>
    <row r="148" spans="1:8">
      <c r="A148" s="1">
        <v>31</v>
      </c>
      <c r="B148" t="s">
        <v>2136</v>
      </c>
      <c r="C148">
        <v>108.94</v>
      </c>
      <c r="D148">
        <v>80.3</v>
      </c>
      <c r="E148">
        <v>0.96923000000000004</v>
      </c>
      <c r="F148">
        <v>80.14</v>
      </c>
      <c r="G148">
        <v>2</v>
      </c>
      <c r="H148">
        <v>25.79</v>
      </c>
    </row>
    <row r="149" spans="1:8">
      <c r="A149" s="1">
        <v>32</v>
      </c>
      <c r="B149" t="s">
        <v>2137</v>
      </c>
      <c r="C149">
        <v>120.51</v>
      </c>
      <c r="D149">
        <v>80.650000000000006</v>
      </c>
      <c r="E149">
        <v>0.92687900000000001</v>
      </c>
      <c r="F149">
        <v>80.03</v>
      </c>
      <c r="G149">
        <v>18</v>
      </c>
      <c r="H149">
        <v>27.44</v>
      </c>
    </row>
    <row r="150" spans="1:8">
      <c r="A150" s="1">
        <v>33</v>
      </c>
      <c r="B150" t="s">
        <v>2138</v>
      </c>
      <c r="C150">
        <v>103.32</v>
      </c>
      <c r="D150">
        <v>79.91</v>
      </c>
      <c r="E150">
        <v>0.92330000000000001</v>
      </c>
      <c r="F150">
        <v>46.5</v>
      </c>
      <c r="G150">
        <v>8</v>
      </c>
      <c r="H150">
        <v>25.98</v>
      </c>
    </row>
    <row r="151" spans="1:8">
      <c r="A151" s="1">
        <v>34</v>
      </c>
      <c r="B151" t="s">
        <v>2139</v>
      </c>
      <c r="C151">
        <v>105.09</v>
      </c>
      <c r="D151">
        <v>78.56</v>
      </c>
      <c r="E151">
        <v>0.83737899999999998</v>
      </c>
      <c r="F151">
        <v>1.38</v>
      </c>
      <c r="G151">
        <v>16</v>
      </c>
      <c r="H151">
        <v>23.51</v>
      </c>
    </row>
    <row r="152" spans="1:8">
      <c r="A152" s="1">
        <v>35</v>
      </c>
      <c r="B152" t="s">
        <v>2140</v>
      </c>
      <c r="C152">
        <v>120.51</v>
      </c>
      <c r="D152">
        <v>80.69</v>
      </c>
      <c r="E152">
        <v>0.94341600000000003</v>
      </c>
      <c r="F152">
        <v>77.3</v>
      </c>
      <c r="G152">
        <v>4</v>
      </c>
      <c r="H152">
        <v>29.65</v>
      </c>
    </row>
    <row r="153" spans="1:8">
      <c r="A153" s="1">
        <v>36</v>
      </c>
      <c r="B153" t="s">
        <v>2141</v>
      </c>
      <c r="C153">
        <v>91.22</v>
      </c>
      <c r="D153">
        <v>79.400000000000006</v>
      </c>
      <c r="E153">
        <v>0.910972</v>
      </c>
      <c r="F153">
        <v>54.45</v>
      </c>
      <c r="G153">
        <v>6</v>
      </c>
      <c r="H153">
        <v>22.06</v>
      </c>
    </row>
    <row r="154" spans="1:8">
      <c r="A154" s="1">
        <v>37</v>
      </c>
      <c r="B154" t="s">
        <v>2142</v>
      </c>
      <c r="C154">
        <v>87.92</v>
      </c>
      <c r="D154">
        <v>79.17</v>
      </c>
      <c r="E154">
        <v>0.88910800000000001</v>
      </c>
      <c r="F154">
        <v>49.42</v>
      </c>
      <c r="G154">
        <v>16</v>
      </c>
      <c r="H154">
        <v>21.48</v>
      </c>
    </row>
    <row r="155" spans="1:8">
      <c r="A155" s="1">
        <v>38</v>
      </c>
      <c r="B155" t="s">
        <v>2143</v>
      </c>
      <c r="C155">
        <v>108.18</v>
      </c>
      <c r="D155">
        <v>80.209999999999994</v>
      </c>
      <c r="E155">
        <v>0.94537099999999996</v>
      </c>
      <c r="F155">
        <v>79.41</v>
      </c>
      <c r="G155">
        <v>14</v>
      </c>
      <c r="H155">
        <v>26.04</v>
      </c>
    </row>
    <row r="156" spans="1:8">
      <c r="A156" s="1">
        <v>39</v>
      </c>
      <c r="B156" t="s">
        <v>2144</v>
      </c>
      <c r="C156">
        <v>104.61</v>
      </c>
      <c r="D156">
        <v>80.14</v>
      </c>
      <c r="E156">
        <v>0.97511899999999996</v>
      </c>
      <c r="F156">
        <v>80.260000000000005</v>
      </c>
      <c r="G156">
        <v>2</v>
      </c>
      <c r="H156">
        <v>26.3</v>
      </c>
    </row>
    <row r="157" spans="1:8">
      <c r="A157" s="1">
        <v>40</v>
      </c>
      <c r="B157" t="s">
        <v>2145</v>
      </c>
      <c r="C157">
        <v>99.72</v>
      </c>
      <c r="D157">
        <v>79.94</v>
      </c>
      <c r="E157">
        <v>0.97809100000000004</v>
      </c>
      <c r="F157">
        <v>79.72</v>
      </c>
      <c r="G157">
        <v>4</v>
      </c>
      <c r="H157">
        <v>23.59</v>
      </c>
    </row>
    <row r="158" spans="1:8">
      <c r="A158" s="1">
        <v>41</v>
      </c>
      <c r="B158" t="s">
        <v>2146</v>
      </c>
      <c r="C158">
        <v>94.97</v>
      </c>
      <c r="D158">
        <v>79.67</v>
      </c>
      <c r="E158">
        <v>0.95266700000000004</v>
      </c>
      <c r="F158">
        <v>57.83</v>
      </c>
      <c r="G158">
        <v>4</v>
      </c>
      <c r="H158">
        <v>23.15</v>
      </c>
    </row>
    <row r="159" spans="1:8">
      <c r="A159" s="1">
        <v>42</v>
      </c>
      <c r="B159" t="s">
        <v>2147</v>
      </c>
      <c r="C159">
        <v>108.36</v>
      </c>
      <c r="D159">
        <v>80.069999999999993</v>
      </c>
      <c r="E159">
        <v>0.88703399999999999</v>
      </c>
      <c r="F159">
        <v>60.02</v>
      </c>
      <c r="G159">
        <v>2</v>
      </c>
      <c r="H159">
        <v>28.01</v>
      </c>
    </row>
    <row r="160" spans="1:8">
      <c r="A160" s="1">
        <v>43</v>
      </c>
      <c r="B160" t="s">
        <v>2148</v>
      </c>
      <c r="C160">
        <v>102.84</v>
      </c>
      <c r="D160">
        <v>79.819999999999993</v>
      </c>
      <c r="E160">
        <v>0.88616300000000003</v>
      </c>
      <c r="F160">
        <v>51.72</v>
      </c>
      <c r="G160">
        <v>0</v>
      </c>
      <c r="H160">
        <v>23.84</v>
      </c>
    </row>
    <row r="161" spans="1:8">
      <c r="A161" s="1">
        <v>44</v>
      </c>
      <c r="B161" t="s">
        <v>2149</v>
      </c>
      <c r="C161">
        <v>99.18</v>
      </c>
      <c r="D161">
        <v>79.81</v>
      </c>
      <c r="E161">
        <v>0.92439000000000004</v>
      </c>
      <c r="F161">
        <v>71.08</v>
      </c>
      <c r="G161">
        <v>8</v>
      </c>
      <c r="H161">
        <v>24.57</v>
      </c>
    </row>
    <row r="162" spans="1:8">
      <c r="A162" s="1">
        <v>45</v>
      </c>
      <c r="B162" t="s">
        <v>2150</v>
      </c>
      <c r="C162">
        <v>110.62</v>
      </c>
      <c r="D162">
        <v>80.25</v>
      </c>
      <c r="E162">
        <v>0.92298899999999995</v>
      </c>
      <c r="F162">
        <v>57.98</v>
      </c>
      <c r="G162">
        <v>2</v>
      </c>
      <c r="H162">
        <v>25.68</v>
      </c>
    </row>
    <row r="163" spans="1:8">
      <c r="A163" s="1">
        <v>46</v>
      </c>
      <c r="B163" t="s">
        <v>2151</v>
      </c>
      <c r="C163">
        <v>106.96</v>
      </c>
      <c r="D163">
        <v>80.19</v>
      </c>
      <c r="E163">
        <v>0.95977800000000002</v>
      </c>
      <c r="F163">
        <v>71.39</v>
      </c>
      <c r="G163">
        <v>12</v>
      </c>
      <c r="H163">
        <v>25.45</v>
      </c>
    </row>
    <row r="164" spans="1:8">
      <c r="A164" s="1">
        <v>47</v>
      </c>
      <c r="B164" t="s">
        <v>2152</v>
      </c>
      <c r="C164">
        <v>109.75</v>
      </c>
      <c r="D164">
        <v>80.33</v>
      </c>
      <c r="E164">
        <v>0.96251799999999998</v>
      </c>
      <c r="F164">
        <v>80.64</v>
      </c>
      <c r="G164">
        <v>4</v>
      </c>
      <c r="H164">
        <v>25.77</v>
      </c>
    </row>
    <row r="165" spans="1:8">
      <c r="A165" s="1">
        <v>48</v>
      </c>
      <c r="B165" t="s">
        <v>2153</v>
      </c>
      <c r="C165">
        <v>107.88</v>
      </c>
      <c r="D165">
        <v>80.150000000000006</v>
      </c>
      <c r="E165">
        <v>0.93171000000000004</v>
      </c>
      <c r="F165">
        <v>59.67</v>
      </c>
      <c r="G165">
        <v>14</v>
      </c>
      <c r="H165">
        <v>26.28</v>
      </c>
    </row>
    <row r="166" spans="1:8">
      <c r="A166" s="1">
        <v>49</v>
      </c>
      <c r="B166" t="s">
        <v>2154</v>
      </c>
      <c r="C166">
        <v>88.77</v>
      </c>
      <c r="D166">
        <v>78.239999999999995</v>
      </c>
      <c r="E166">
        <v>0.877776</v>
      </c>
      <c r="F166">
        <v>2.2999999999999998</v>
      </c>
      <c r="G166">
        <v>16</v>
      </c>
      <c r="H166">
        <v>22.21</v>
      </c>
    </row>
    <row r="167" spans="1:8">
      <c r="A167" s="1">
        <v>50</v>
      </c>
      <c r="B167" t="s">
        <v>2155</v>
      </c>
      <c r="C167">
        <v>113.06</v>
      </c>
      <c r="D167">
        <v>80.45</v>
      </c>
      <c r="E167">
        <v>0.960893</v>
      </c>
      <c r="F167">
        <v>79.180000000000007</v>
      </c>
      <c r="G167">
        <v>0</v>
      </c>
      <c r="H167">
        <v>25.89</v>
      </c>
    </row>
    <row r="168" spans="1:8">
      <c r="B168" s="1" t="s">
        <v>19</v>
      </c>
      <c r="C168" s="1">
        <f>AVERAGE(C118:C167)</f>
        <v>104.09040000000005</v>
      </c>
      <c r="D168" s="1">
        <f t="shared" ref="D168:F168" si="8">AVERAGE(D118:D167)</f>
        <v>79.938400000000016</v>
      </c>
      <c r="E168" s="1">
        <f t="shared" si="8"/>
        <v>0.93002488000000016</v>
      </c>
      <c r="F168" s="1">
        <f t="shared" si="8"/>
        <v>64.292599999999993</v>
      </c>
      <c r="H168" s="1">
        <f t="shared" ref="H168" si="9">AVERAGE(H118:H167)</f>
        <v>24.799800000000001</v>
      </c>
    </row>
    <row r="169" spans="1:8">
      <c r="B169" s="1" t="s">
        <v>20</v>
      </c>
      <c r="C169" s="1">
        <f>MIN(C117:C167)</f>
        <v>87.29</v>
      </c>
      <c r="D169" s="1">
        <f>MIN(D117:D167)</f>
        <v>78.239999999999995</v>
      </c>
      <c r="E169" s="1">
        <f>MIN(E117:E167)</f>
        <v>0.78269699999999998</v>
      </c>
      <c r="F169" s="1">
        <f>MIN(F117:F167)</f>
        <v>1.38</v>
      </c>
      <c r="H169" s="1">
        <f>MIN(H117:H167)</f>
        <v>20.260000000000002</v>
      </c>
    </row>
    <row r="170" spans="1:8">
      <c r="B170" s="1" t="s">
        <v>3</v>
      </c>
      <c r="C170" s="1">
        <f>STDEV(C118:C167)</f>
        <v>8.8958403395589496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23" t="s">
        <v>1435</v>
      </c>
    </row>
    <row r="173" spans="1:8" ht="18">
      <c r="A173" s="23" t="s">
        <v>7</v>
      </c>
      <c r="B173" s="3" t="s">
        <v>9</v>
      </c>
      <c r="C173" s="23" t="s">
        <v>4</v>
      </c>
      <c r="D173" s="23" t="s">
        <v>322</v>
      </c>
      <c r="E173" s="23" t="s">
        <v>321</v>
      </c>
      <c r="F173" s="23" t="s">
        <v>324</v>
      </c>
      <c r="G173" s="23" t="s">
        <v>323</v>
      </c>
      <c r="H173" s="23" t="s">
        <v>1436</v>
      </c>
    </row>
    <row r="174" spans="1:8">
      <c r="A174" s="1">
        <v>1</v>
      </c>
      <c r="B174" t="s">
        <v>2156</v>
      </c>
      <c r="C174">
        <v>91.17</v>
      </c>
      <c r="D174">
        <v>158.82</v>
      </c>
      <c r="E174">
        <v>0.91712899999999997</v>
      </c>
      <c r="F174">
        <v>47.88</v>
      </c>
      <c r="G174">
        <v>6</v>
      </c>
      <c r="H174">
        <v>20.53</v>
      </c>
    </row>
    <row r="175" spans="1:8">
      <c r="A175" s="1">
        <v>2</v>
      </c>
      <c r="B175" t="s">
        <v>2157</v>
      </c>
      <c r="C175">
        <v>80.3</v>
      </c>
      <c r="D175">
        <v>157.22999999999999</v>
      </c>
      <c r="E175">
        <v>0.87100500000000003</v>
      </c>
      <c r="F175">
        <v>24.23</v>
      </c>
      <c r="G175">
        <v>28</v>
      </c>
      <c r="H175">
        <v>18.690000000000001</v>
      </c>
    </row>
    <row r="176" spans="1:8">
      <c r="A176" s="1">
        <v>3</v>
      </c>
      <c r="B176" t="s">
        <v>2158</v>
      </c>
      <c r="C176">
        <v>88.83</v>
      </c>
      <c r="D176">
        <v>158.33000000000001</v>
      </c>
      <c r="E176">
        <v>0.88156900000000005</v>
      </c>
      <c r="F176">
        <v>42.39</v>
      </c>
      <c r="G176">
        <v>20</v>
      </c>
      <c r="H176">
        <v>21.45</v>
      </c>
    </row>
    <row r="177" spans="1:8">
      <c r="A177" s="1">
        <v>4</v>
      </c>
      <c r="B177" t="s">
        <v>2159</v>
      </c>
      <c r="C177">
        <v>81.73</v>
      </c>
      <c r="D177">
        <v>157.78</v>
      </c>
      <c r="E177">
        <v>0.91161099999999995</v>
      </c>
      <c r="F177">
        <v>39.71</v>
      </c>
      <c r="G177">
        <v>10</v>
      </c>
      <c r="H177">
        <v>19.02</v>
      </c>
    </row>
    <row r="178" spans="1:8">
      <c r="A178" s="1">
        <v>5</v>
      </c>
      <c r="B178" t="s">
        <v>2160</v>
      </c>
      <c r="C178">
        <v>80.81</v>
      </c>
      <c r="D178">
        <v>157.13</v>
      </c>
      <c r="E178">
        <v>0.82532499999999998</v>
      </c>
      <c r="F178">
        <v>24.77</v>
      </c>
      <c r="G178">
        <v>22</v>
      </c>
      <c r="H178">
        <v>18.420000000000002</v>
      </c>
    </row>
    <row r="179" spans="1:8">
      <c r="A179" s="1">
        <v>6</v>
      </c>
      <c r="B179" t="s">
        <v>2161</v>
      </c>
      <c r="C179">
        <v>97.12</v>
      </c>
      <c r="D179">
        <v>159.25</v>
      </c>
      <c r="E179">
        <v>0.91381299999999999</v>
      </c>
      <c r="F179">
        <v>39.74</v>
      </c>
      <c r="G179">
        <v>8</v>
      </c>
      <c r="H179">
        <v>22.37</v>
      </c>
    </row>
    <row r="180" spans="1:8">
      <c r="A180" s="1">
        <v>7</v>
      </c>
      <c r="B180" t="s">
        <v>2162</v>
      </c>
      <c r="C180">
        <v>90.43</v>
      </c>
      <c r="D180">
        <v>158.71</v>
      </c>
      <c r="E180">
        <v>0.91691199999999995</v>
      </c>
      <c r="F180">
        <v>44.08</v>
      </c>
      <c r="G180">
        <v>26</v>
      </c>
      <c r="H180">
        <v>20.36</v>
      </c>
    </row>
    <row r="181" spans="1:8">
      <c r="A181" s="1">
        <v>8</v>
      </c>
      <c r="B181" t="s">
        <v>2163</v>
      </c>
      <c r="C181">
        <v>77.180000000000007</v>
      </c>
      <c r="D181">
        <v>157.22</v>
      </c>
      <c r="E181">
        <v>0.90107800000000005</v>
      </c>
      <c r="F181">
        <v>37.520000000000003</v>
      </c>
      <c r="G181">
        <v>6</v>
      </c>
      <c r="H181">
        <v>17.41</v>
      </c>
    </row>
    <row r="182" spans="1:8">
      <c r="A182" s="1">
        <v>9</v>
      </c>
      <c r="B182" t="s">
        <v>2164</v>
      </c>
      <c r="C182">
        <v>81.11</v>
      </c>
      <c r="D182">
        <v>157.47</v>
      </c>
      <c r="E182">
        <v>0.89366199999999996</v>
      </c>
      <c r="F182">
        <v>16.82</v>
      </c>
      <c r="G182">
        <v>36</v>
      </c>
      <c r="H182">
        <v>18.89</v>
      </c>
    </row>
    <row r="183" spans="1:8">
      <c r="A183" s="1">
        <v>10</v>
      </c>
      <c r="B183" t="s">
        <v>2165</v>
      </c>
      <c r="C183">
        <v>94.98</v>
      </c>
      <c r="D183">
        <v>159.22999999999999</v>
      </c>
      <c r="E183">
        <v>0.93908199999999997</v>
      </c>
      <c r="F183">
        <v>44.43</v>
      </c>
      <c r="G183">
        <v>30</v>
      </c>
      <c r="H183">
        <v>21.81</v>
      </c>
    </row>
    <row r="184" spans="1:8">
      <c r="A184" s="1">
        <v>11</v>
      </c>
      <c r="B184" t="s">
        <v>2166</v>
      </c>
      <c r="C184">
        <v>90.71</v>
      </c>
      <c r="D184">
        <v>157.1</v>
      </c>
      <c r="E184">
        <v>0.85326100000000005</v>
      </c>
      <c r="F184">
        <v>1.34</v>
      </c>
      <c r="G184">
        <v>18</v>
      </c>
      <c r="H184">
        <v>20.34</v>
      </c>
    </row>
    <row r="185" spans="1:8">
      <c r="A185" s="1">
        <v>12</v>
      </c>
      <c r="B185" t="s">
        <v>2167</v>
      </c>
      <c r="C185">
        <v>83.54</v>
      </c>
      <c r="D185">
        <v>157.88999999999999</v>
      </c>
      <c r="E185">
        <v>0.901424</v>
      </c>
      <c r="F185">
        <v>37.020000000000003</v>
      </c>
      <c r="G185">
        <v>8</v>
      </c>
      <c r="H185">
        <v>20.29</v>
      </c>
    </row>
    <row r="186" spans="1:8">
      <c r="A186" s="1">
        <v>13</v>
      </c>
      <c r="B186" t="s">
        <v>2168</v>
      </c>
      <c r="C186">
        <v>91.37</v>
      </c>
      <c r="D186">
        <v>158.33000000000001</v>
      </c>
      <c r="E186">
        <v>0.90229999999999999</v>
      </c>
      <c r="F186">
        <v>9.68</v>
      </c>
      <c r="G186">
        <v>4</v>
      </c>
      <c r="H186">
        <v>21.16</v>
      </c>
    </row>
    <row r="187" spans="1:8">
      <c r="A187" s="1">
        <v>14</v>
      </c>
      <c r="B187" t="s">
        <v>2169</v>
      </c>
      <c r="C187">
        <v>76.819999999999993</v>
      </c>
      <c r="D187">
        <v>156.91999999999999</v>
      </c>
      <c r="E187">
        <v>0.85656100000000002</v>
      </c>
      <c r="F187">
        <v>33.520000000000003</v>
      </c>
      <c r="G187">
        <v>32</v>
      </c>
      <c r="H187">
        <v>18.079999999999998</v>
      </c>
    </row>
    <row r="188" spans="1:8">
      <c r="A188" s="1">
        <v>15</v>
      </c>
      <c r="B188" t="s">
        <v>2170</v>
      </c>
      <c r="C188">
        <v>87.93</v>
      </c>
      <c r="D188">
        <v>157.31</v>
      </c>
      <c r="E188">
        <v>0.884571</v>
      </c>
      <c r="F188">
        <v>1.88</v>
      </c>
      <c r="G188">
        <v>34</v>
      </c>
      <c r="H188">
        <v>20.37</v>
      </c>
    </row>
    <row r="189" spans="1:8">
      <c r="A189" s="1">
        <v>16</v>
      </c>
      <c r="B189" t="s">
        <v>2171</v>
      </c>
      <c r="C189">
        <v>91.12</v>
      </c>
      <c r="D189">
        <v>158.38</v>
      </c>
      <c r="E189">
        <v>0.93126799999999998</v>
      </c>
      <c r="F189">
        <v>7.33</v>
      </c>
      <c r="G189">
        <v>18</v>
      </c>
      <c r="H189">
        <v>21.04</v>
      </c>
    </row>
    <row r="190" spans="1:8">
      <c r="A190" s="1">
        <v>17</v>
      </c>
      <c r="B190" t="s">
        <v>2172</v>
      </c>
      <c r="C190">
        <v>84.69</v>
      </c>
      <c r="D190">
        <v>158.03</v>
      </c>
      <c r="E190">
        <v>0.89485499999999996</v>
      </c>
      <c r="F190">
        <v>41.28</v>
      </c>
      <c r="G190">
        <v>30</v>
      </c>
      <c r="H190">
        <v>19.72</v>
      </c>
    </row>
    <row r="191" spans="1:8">
      <c r="A191" s="1">
        <v>18</v>
      </c>
      <c r="B191" t="s">
        <v>2173</v>
      </c>
      <c r="C191">
        <v>81.290000000000006</v>
      </c>
      <c r="D191">
        <v>157.81</v>
      </c>
      <c r="E191">
        <v>0.92380099999999998</v>
      </c>
      <c r="F191">
        <v>44.66</v>
      </c>
      <c r="G191">
        <v>10</v>
      </c>
      <c r="H191">
        <v>19.190000000000001</v>
      </c>
    </row>
    <row r="192" spans="1:8">
      <c r="A192" s="1">
        <v>19</v>
      </c>
      <c r="B192" t="s">
        <v>2174</v>
      </c>
      <c r="C192">
        <v>80.86</v>
      </c>
      <c r="D192">
        <v>156.37</v>
      </c>
      <c r="E192">
        <v>0.87604599999999999</v>
      </c>
      <c r="F192">
        <v>1.84</v>
      </c>
      <c r="G192">
        <v>20</v>
      </c>
      <c r="H192">
        <v>18.329999999999998</v>
      </c>
    </row>
    <row r="193" spans="1:8">
      <c r="A193" s="1">
        <v>20</v>
      </c>
      <c r="B193" t="s">
        <v>2175</v>
      </c>
      <c r="C193">
        <v>97.36</v>
      </c>
      <c r="D193">
        <v>159.1</v>
      </c>
      <c r="E193">
        <v>0.88938799999999996</v>
      </c>
      <c r="F193">
        <v>32.14</v>
      </c>
      <c r="G193">
        <v>24</v>
      </c>
      <c r="H193">
        <v>22.18</v>
      </c>
    </row>
    <row r="194" spans="1:8">
      <c r="A194" s="1">
        <v>21</v>
      </c>
      <c r="B194" t="s">
        <v>2176</v>
      </c>
      <c r="C194">
        <v>93.13</v>
      </c>
      <c r="D194">
        <v>159.16999999999999</v>
      </c>
      <c r="E194">
        <v>0.95884800000000003</v>
      </c>
      <c r="F194">
        <v>55.26</v>
      </c>
      <c r="G194">
        <v>6</v>
      </c>
      <c r="H194">
        <v>22.37</v>
      </c>
    </row>
    <row r="195" spans="1:8">
      <c r="A195" s="1">
        <v>22</v>
      </c>
      <c r="B195" t="s">
        <v>2177</v>
      </c>
      <c r="C195">
        <v>89.48</v>
      </c>
      <c r="D195">
        <v>158.65</v>
      </c>
      <c r="E195">
        <v>0.93203899999999995</v>
      </c>
      <c r="F195">
        <v>43.2</v>
      </c>
      <c r="G195">
        <v>10</v>
      </c>
      <c r="H195">
        <v>21.19</v>
      </c>
    </row>
    <row r="196" spans="1:8">
      <c r="A196" s="1">
        <v>23</v>
      </c>
      <c r="B196" t="s">
        <v>2178</v>
      </c>
      <c r="C196">
        <v>85.35</v>
      </c>
      <c r="D196">
        <v>158.06</v>
      </c>
      <c r="E196">
        <v>0.89311200000000002</v>
      </c>
      <c r="F196">
        <v>46.16</v>
      </c>
      <c r="G196">
        <v>14</v>
      </c>
      <c r="H196">
        <v>19.809999999999999</v>
      </c>
    </row>
    <row r="197" spans="1:8">
      <c r="A197" s="1">
        <v>24</v>
      </c>
      <c r="B197" t="s">
        <v>2179</v>
      </c>
      <c r="C197">
        <v>91.51</v>
      </c>
      <c r="D197">
        <v>159.01</v>
      </c>
      <c r="E197">
        <v>0.94944600000000001</v>
      </c>
      <c r="F197">
        <v>61.82</v>
      </c>
      <c r="G197">
        <v>34</v>
      </c>
      <c r="H197">
        <v>20.65</v>
      </c>
    </row>
    <row r="198" spans="1:8">
      <c r="A198" s="1">
        <v>25</v>
      </c>
      <c r="B198" t="s">
        <v>2180</v>
      </c>
      <c r="C198">
        <v>88.72</v>
      </c>
      <c r="D198">
        <v>156.47999999999999</v>
      </c>
      <c r="E198">
        <v>0.86307199999999995</v>
      </c>
      <c r="F198">
        <v>0.5</v>
      </c>
      <c r="G198">
        <v>28</v>
      </c>
      <c r="H198">
        <v>20.56</v>
      </c>
    </row>
    <row r="199" spans="1:8">
      <c r="A199" s="1">
        <v>26</v>
      </c>
      <c r="B199" t="s">
        <v>2181</v>
      </c>
      <c r="C199">
        <v>94.04</v>
      </c>
      <c r="D199">
        <v>158.88</v>
      </c>
      <c r="E199">
        <v>0.88978599999999997</v>
      </c>
      <c r="F199">
        <v>44.51</v>
      </c>
      <c r="G199">
        <v>24</v>
      </c>
      <c r="H199">
        <v>21.59</v>
      </c>
    </row>
    <row r="200" spans="1:8">
      <c r="A200" s="1">
        <v>27</v>
      </c>
      <c r="B200" t="s">
        <v>2182</v>
      </c>
      <c r="C200">
        <v>86.5</v>
      </c>
      <c r="D200">
        <v>156.46</v>
      </c>
      <c r="E200">
        <v>0.83999699999999999</v>
      </c>
      <c r="F200">
        <v>1.8</v>
      </c>
      <c r="G200">
        <v>4</v>
      </c>
      <c r="H200">
        <v>19.91</v>
      </c>
    </row>
    <row r="201" spans="1:8">
      <c r="A201" s="1">
        <v>28</v>
      </c>
      <c r="B201" t="s">
        <v>2183</v>
      </c>
      <c r="C201">
        <v>93.15</v>
      </c>
      <c r="D201">
        <v>158.84</v>
      </c>
      <c r="E201">
        <v>0.90427800000000003</v>
      </c>
      <c r="F201">
        <v>41.09</v>
      </c>
      <c r="G201">
        <v>18</v>
      </c>
      <c r="H201">
        <v>22.45</v>
      </c>
    </row>
    <row r="202" spans="1:8">
      <c r="A202" s="1">
        <v>29</v>
      </c>
      <c r="B202" t="s">
        <v>2184</v>
      </c>
      <c r="C202">
        <v>86.47</v>
      </c>
      <c r="D202">
        <v>158.16999999999999</v>
      </c>
      <c r="E202">
        <v>0.90472600000000003</v>
      </c>
      <c r="F202">
        <v>23.42</v>
      </c>
      <c r="G202">
        <v>24</v>
      </c>
      <c r="H202">
        <v>21.14</v>
      </c>
    </row>
    <row r="203" spans="1:8">
      <c r="A203" s="1">
        <v>30</v>
      </c>
      <c r="B203" t="s">
        <v>2185</v>
      </c>
      <c r="C203">
        <v>78.67</v>
      </c>
      <c r="D203">
        <v>155.74</v>
      </c>
      <c r="E203">
        <v>0.82335700000000001</v>
      </c>
      <c r="F203">
        <v>4.26</v>
      </c>
      <c r="G203">
        <v>16</v>
      </c>
      <c r="H203">
        <v>19.98</v>
      </c>
    </row>
    <row r="204" spans="1:8">
      <c r="A204" s="1">
        <v>31</v>
      </c>
      <c r="B204" t="s">
        <v>2186</v>
      </c>
      <c r="C204">
        <v>81.97</v>
      </c>
      <c r="D204">
        <v>157.57</v>
      </c>
      <c r="E204">
        <v>0.88032100000000002</v>
      </c>
      <c r="F204">
        <v>30.91</v>
      </c>
      <c r="G204">
        <v>18</v>
      </c>
      <c r="H204">
        <v>19.440000000000001</v>
      </c>
    </row>
    <row r="205" spans="1:8">
      <c r="A205" s="1">
        <v>32</v>
      </c>
      <c r="B205" t="s">
        <v>2187</v>
      </c>
      <c r="C205">
        <v>79.41</v>
      </c>
      <c r="D205">
        <v>157.18</v>
      </c>
      <c r="E205">
        <v>0.85845199999999999</v>
      </c>
      <c r="F205">
        <v>28.42</v>
      </c>
      <c r="G205">
        <v>26</v>
      </c>
      <c r="H205">
        <v>18.46</v>
      </c>
    </row>
    <row r="206" spans="1:8">
      <c r="A206" s="1">
        <v>33</v>
      </c>
      <c r="B206" t="s">
        <v>2188</v>
      </c>
      <c r="C206">
        <v>94.26</v>
      </c>
      <c r="D206">
        <v>158.69</v>
      </c>
      <c r="E206">
        <v>0.88107899999999995</v>
      </c>
      <c r="F206">
        <v>19.809999999999999</v>
      </c>
      <c r="G206">
        <v>34</v>
      </c>
      <c r="H206">
        <v>21.99</v>
      </c>
    </row>
    <row r="207" spans="1:8">
      <c r="A207" s="1">
        <v>34</v>
      </c>
      <c r="B207" t="s">
        <v>2189</v>
      </c>
      <c r="C207">
        <v>90.93</v>
      </c>
      <c r="D207">
        <v>158.44999999999999</v>
      </c>
      <c r="E207">
        <v>0.89356100000000005</v>
      </c>
      <c r="F207">
        <v>19.28</v>
      </c>
      <c r="G207">
        <v>26</v>
      </c>
      <c r="H207">
        <v>21.08</v>
      </c>
    </row>
    <row r="208" spans="1:8">
      <c r="A208" s="1">
        <v>35</v>
      </c>
      <c r="B208" t="s">
        <v>2190</v>
      </c>
      <c r="C208">
        <v>78.09</v>
      </c>
      <c r="D208">
        <v>156.46</v>
      </c>
      <c r="E208">
        <v>0.79008199999999995</v>
      </c>
      <c r="F208">
        <v>15.51</v>
      </c>
      <c r="G208">
        <v>10</v>
      </c>
      <c r="H208">
        <v>19.11</v>
      </c>
    </row>
    <row r="209" spans="1:8">
      <c r="A209" s="1">
        <v>36</v>
      </c>
      <c r="B209" t="s">
        <v>2191</v>
      </c>
      <c r="C209">
        <v>96.75</v>
      </c>
      <c r="D209">
        <v>159.09</v>
      </c>
      <c r="E209">
        <v>0.91003500000000004</v>
      </c>
      <c r="F209">
        <v>25.15</v>
      </c>
      <c r="G209">
        <v>2</v>
      </c>
      <c r="H209">
        <v>22.36</v>
      </c>
    </row>
    <row r="210" spans="1:8">
      <c r="A210" s="1">
        <v>37</v>
      </c>
      <c r="B210" t="s">
        <v>2192</v>
      </c>
      <c r="C210">
        <v>88.67</v>
      </c>
      <c r="D210">
        <v>158.35</v>
      </c>
      <c r="E210">
        <v>0.90535600000000005</v>
      </c>
      <c r="F210">
        <v>31.83</v>
      </c>
      <c r="G210">
        <v>24</v>
      </c>
      <c r="H210">
        <v>20.29</v>
      </c>
    </row>
    <row r="211" spans="1:8">
      <c r="A211" s="1">
        <v>38</v>
      </c>
      <c r="B211" t="s">
        <v>2193</v>
      </c>
      <c r="C211">
        <v>75.39</v>
      </c>
      <c r="D211">
        <v>155.72</v>
      </c>
      <c r="E211">
        <v>0.83319399999999999</v>
      </c>
      <c r="F211">
        <v>1.8</v>
      </c>
      <c r="G211">
        <v>6</v>
      </c>
      <c r="H211">
        <v>17.21</v>
      </c>
    </row>
    <row r="212" spans="1:8">
      <c r="A212" s="1">
        <v>39</v>
      </c>
      <c r="B212" t="s">
        <v>2194</v>
      </c>
      <c r="C212">
        <v>86.18</v>
      </c>
      <c r="D212">
        <v>158.29</v>
      </c>
      <c r="E212">
        <v>0.92634000000000005</v>
      </c>
      <c r="F212">
        <v>43.58</v>
      </c>
      <c r="G212">
        <v>12</v>
      </c>
      <c r="H212">
        <v>19.73</v>
      </c>
    </row>
    <row r="213" spans="1:8">
      <c r="A213" s="1">
        <v>40</v>
      </c>
      <c r="B213" t="s">
        <v>2195</v>
      </c>
      <c r="C213">
        <v>87.74</v>
      </c>
      <c r="D213">
        <v>157.83000000000001</v>
      </c>
      <c r="E213">
        <v>0.87442799999999998</v>
      </c>
      <c r="F213">
        <v>9.8699999999999992</v>
      </c>
      <c r="G213">
        <v>4</v>
      </c>
      <c r="H213">
        <v>19.87</v>
      </c>
    </row>
    <row r="214" spans="1:8">
      <c r="A214" s="1">
        <v>41</v>
      </c>
      <c r="B214" t="s">
        <v>2196</v>
      </c>
      <c r="C214">
        <v>84.18</v>
      </c>
      <c r="D214">
        <v>158.03</v>
      </c>
      <c r="E214">
        <v>0.92012899999999997</v>
      </c>
      <c r="F214">
        <v>33.68</v>
      </c>
      <c r="G214">
        <v>4</v>
      </c>
      <c r="H214">
        <v>18.78</v>
      </c>
    </row>
    <row r="215" spans="1:8">
      <c r="A215" s="1">
        <v>42</v>
      </c>
      <c r="B215" t="s">
        <v>2197</v>
      </c>
      <c r="C215">
        <v>92.98</v>
      </c>
      <c r="D215">
        <v>159</v>
      </c>
      <c r="E215">
        <v>0.92685300000000004</v>
      </c>
      <c r="F215">
        <v>47</v>
      </c>
      <c r="G215">
        <v>16</v>
      </c>
      <c r="H215">
        <v>21.17</v>
      </c>
    </row>
    <row r="216" spans="1:8">
      <c r="A216" s="1">
        <v>43</v>
      </c>
      <c r="B216" t="s">
        <v>2198</v>
      </c>
      <c r="C216">
        <v>73.14</v>
      </c>
      <c r="D216">
        <v>156.58000000000001</v>
      </c>
      <c r="E216">
        <v>0.87764699999999995</v>
      </c>
      <c r="F216">
        <v>30.41</v>
      </c>
      <c r="G216">
        <v>2</v>
      </c>
      <c r="H216">
        <v>16.86</v>
      </c>
    </row>
    <row r="217" spans="1:8">
      <c r="A217" s="1">
        <v>44</v>
      </c>
      <c r="B217" t="s">
        <v>2199</v>
      </c>
      <c r="C217">
        <v>100.48</v>
      </c>
      <c r="D217">
        <v>157.94999999999999</v>
      </c>
      <c r="E217">
        <v>0.88514300000000001</v>
      </c>
      <c r="F217">
        <v>0.65</v>
      </c>
      <c r="G217">
        <v>34</v>
      </c>
      <c r="H217">
        <v>23.39</v>
      </c>
    </row>
    <row r="218" spans="1:8">
      <c r="A218" s="1">
        <v>45</v>
      </c>
      <c r="B218" t="s">
        <v>2200</v>
      </c>
      <c r="C218">
        <v>94.16</v>
      </c>
      <c r="D218">
        <v>158.46</v>
      </c>
      <c r="E218">
        <v>0.85854699999999995</v>
      </c>
      <c r="F218">
        <v>23.62</v>
      </c>
      <c r="G218">
        <v>4</v>
      </c>
      <c r="H218">
        <v>21.02</v>
      </c>
    </row>
    <row r="219" spans="1:8">
      <c r="A219" s="1">
        <v>46</v>
      </c>
      <c r="B219" t="s">
        <v>2201</v>
      </c>
      <c r="C219">
        <v>83.05</v>
      </c>
      <c r="D219">
        <v>155.41</v>
      </c>
      <c r="E219">
        <v>0.82257800000000003</v>
      </c>
      <c r="F219">
        <v>1.46</v>
      </c>
      <c r="G219">
        <v>32</v>
      </c>
      <c r="H219">
        <v>19.38</v>
      </c>
    </row>
    <row r="220" spans="1:8">
      <c r="A220" s="1">
        <v>47</v>
      </c>
      <c r="B220" t="s">
        <v>2202</v>
      </c>
      <c r="C220">
        <v>87.47</v>
      </c>
      <c r="D220">
        <v>157.99</v>
      </c>
      <c r="E220">
        <v>0.85889400000000005</v>
      </c>
      <c r="F220">
        <v>31.18</v>
      </c>
      <c r="G220">
        <v>20</v>
      </c>
      <c r="H220">
        <v>21.19</v>
      </c>
    </row>
    <row r="221" spans="1:8">
      <c r="A221" s="1">
        <v>48</v>
      </c>
      <c r="B221" t="s">
        <v>2203</v>
      </c>
      <c r="C221">
        <v>73.53</v>
      </c>
      <c r="D221">
        <v>156.52000000000001</v>
      </c>
      <c r="E221">
        <v>0.87777499999999997</v>
      </c>
      <c r="F221">
        <v>21.16</v>
      </c>
      <c r="G221">
        <v>32</v>
      </c>
      <c r="H221">
        <v>16.64</v>
      </c>
    </row>
    <row r="222" spans="1:8">
      <c r="A222" s="1">
        <v>49</v>
      </c>
      <c r="B222" t="s">
        <v>2204</v>
      </c>
      <c r="C222">
        <v>83.59</v>
      </c>
      <c r="D222">
        <v>157.71</v>
      </c>
      <c r="E222">
        <v>0.88782499999999998</v>
      </c>
      <c r="F222">
        <v>25.88</v>
      </c>
      <c r="G222">
        <v>0</v>
      </c>
      <c r="H222">
        <v>19.39</v>
      </c>
    </row>
    <row r="223" spans="1:8">
      <c r="A223" s="1">
        <v>50</v>
      </c>
      <c r="B223" t="s">
        <v>2205</v>
      </c>
      <c r="C223">
        <v>74.62</v>
      </c>
      <c r="D223">
        <v>156.12</v>
      </c>
      <c r="E223">
        <v>0.86439500000000002</v>
      </c>
      <c r="F223">
        <v>4.07</v>
      </c>
      <c r="G223">
        <v>2</v>
      </c>
      <c r="H223">
        <v>18</v>
      </c>
    </row>
    <row r="224" spans="1:8">
      <c r="B224" s="1" t="s">
        <v>19</v>
      </c>
      <c r="C224" s="1">
        <f>AVERAGE(C174:C223)</f>
        <v>86.459199999999981</v>
      </c>
      <c r="D224" s="1">
        <f t="shared" ref="D224:H224" si="10">AVERAGE(D174:D223)</f>
        <v>157.78539999999998</v>
      </c>
      <c r="E224" s="1">
        <f t="shared" si="10"/>
        <v>0.88751912000000022</v>
      </c>
      <c r="F224" s="1">
        <f t="shared" si="10"/>
        <v>26.790999999999993</v>
      </c>
      <c r="G224" s="1">
        <f t="shared" si="10"/>
        <v>17.52</v>
      </c>
      <c r="H224" s="1">
        <f t="shared" si="10"/>
        <v>20.093200000000003</v>
      </c>
    </row>
    <row r="225" spans="1:8">
      <c r="B225" s="1" t="s">
        <v>20</v>
      </c>
      <c r="C225" s="1">
        <f>MIN(C173:C223)</f>
        <v>73.14</v>
      </c>
      <c r="D225" s="1">
        <f>MIN(D173:D223)</f>
        <v>155.41</v>
      </c>
      <c r="E225" s="1">
        <f>MIN(E173:E223)</f>
        <v>0.79008199999999995</v>
      </c>
      <c r="F225" s="1">
        <f>MIN(F173:F223)</f>
        <v>0.5</v>
      </c>
      <c r="H225" s="1">
        <f>MIN(H173:H223)</f>
        <v>16.64</v>
      </c>
    </row>
    <row r="226" spans="1:8">
      <c r="B226" s="1" t="s">
        <v>3</v>
      </c>
      <c r="C226" s="1">
        <f>STDEV(C174:C223)</f>
        <v>6.8477047666669542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23" t="s">
        <v>1435</v>
      </c>
    </row>
    <row r="229" spans="1:8" ht="18">
      <c r="A229" s="23" t="s">
        <v>7</v>
      </c>
      <c r="B229" s="3" t="s">
        <v>2</v>
      </c>
      <c r="C229" s="23" t="s">
        <v>4</v>
      </c>
      <c r="D229" s="23" t="s">
        <v>322</v>
      </c>
      <c r="E229" s="23" t="s">
        <v>321</v>
      </c>
      <c r="F229" s="23" t="s">
        <v>324</v>
      </c>
      <c r="G229" s="23" t="s">
        <v>323</v>
      </c>
      <c r="H229" s="23" t="s">
        <v>1436</v>
      </c>
    </row>
    <row r="230" spans="1:8">
      <c r="A230" s="1">
        <v>1</v>
      </c>
      <c r="B230" t="s">
        <v>2206</v>
      </c>
      <c r="C230">
        <v>79.17</v>
      </c>
      <c r="D230">
        <v>235.39</v>
      </c>
      <c r="E230">
        <v>0.890011</v>
      </c>
      <c r="F230">
        <v>3.96</v>
      </c>
      <c r="G230">
        <v>50</v>
      </c>
      <c r="H230">
        <v>18.13</v>
      </c>
    </row>
    <row r="231" spans="1:8">
      <c r="A231" s="1">
        <v>2</v>
      </c>
      <c r="B231" t="s">
        <v>2207</v>
      </c>
      <c r="C231">
        <v>79.48</v>
      </c>
      <c r="D231">
        <v>235.42</v>
      </c>
      <c r="E231">
        <v>0.89148899999999998</v>
      </c>
      <c r="F231">
        <v>3.23</v>
      </c>
      <c r="G231">
        <v>38</v>
      </c>
      <c r="H231">
        <v>18.13</v>
      </c>
    </row>
    <row r="232" spans="1:8">
      <c r="A232" s="1">
        <v>3</v>
      </c>
      <c r="B232" t="s">
        <v>2208</v>
      </c>
      <c r="C232">
        <v>78.98</v>
      </c>
      <c r="D232">
        <v>235.86</v>
      </c>
      <c r="E232">
        <v>0.86597000000000002</v>
      </c>
      <c r="F232">
        <v>32.869999999999997</v>
      </c>
      <c r="G232">
        <v>30</v>
      </c>
      <c r="H232">
        <v>18.13</v>
      </c>
    </row>
    <row r="233" spans="1:8">
      <c r="A233" s="1">
        <v>4</v>
      </c>
      <c r="B233" t="s">
        <v>2209</v>
      </c>
      <c r="C233">
        <v>76.67</v>
      </c>
      <c r="D233">
        <v>234.66</v>
      </c>
      <c r="E233">
        <v>0.89172600000000002</v>
      </c>
      <c r="F233">
        <v>1.5</v>
      </c>
      <c r="G233">
        <v>20</v>
      </c>
      <c r="H233">
        <v>17.329999999999998</v>
      </c>
    </row>
    <row r="234" spans="1:8">
      <c r="A234" s="1">
        <v>5</v>
      </c>
      <c r="B234" t="s">
        <v>2210</v>
      </c>
      <c r="C234">
        <v>80.239999999999995</v>
      </c>
      <c r="D234">
        <v>235.34</v>
      </c>
      <c r="E234">
        <v>0.89375599999999999</v>
      </c>
      <c r="F234">
        <v>2.57</v>
      </c>
      <c r="G234">
        <v>58</v>
      </c>
      <c r="H234">
        <v>18.239999999999998</v>
      </c>
    </row>
    <row r="235" spans="1:8">
      <c r="A235" s="1">
        <v>6</v>
      </c>
      <c r="B235" t="s">
        <v>2211</v>
      </c>
      <c r="C235">
        <v>72.08</v>
      </c>
      <c r="D235">
        <v>232.65</v>
      </c>
      <c r="E235">
        <v>0.85236900000000004</v>
      </c>
      <c r="F235">
        <v>1.73</v>
      </c>
      <c r="G235">
        <v>8</v>
      </c>
      <c r="H235">
        <v>16.23</v>
      </c>
    </row>
    <row r="236" spans="1:8">
      <c r="A236" s="1">
        <v>7</v>
      </c>
      <c r="B236" t="s">
        <v>2212</v>
      </c>
      <c r="C236">
        <v>77.98</v>
      </c>
      <c r="D236">
        <v>235.71</v>
      </c>
      <c r="E236">
        <v>0.889378</v>
      </c>
      <c r="F236">
        <v>27.49</v>
      </c>
      <c r="G236">
        <v>16</v>
      </c>
      <c r="H236">
        <v>17.98</v>
      </c>
    </row>
    <row r="237" spans="1:8">
      <c r="A237" s="1">
        <v>8</v>
      </c>
      <c r="B237" t="s">
        <v>2213</v>
      </c>
      <c r="C237">
        <v>73.73</v>
      </c>
      <c r="D237">
        <v>231.64</v>
      </c>
      <c r="E237">
        <v>0.791018</v>
      </c>
      <c r="F237">
        <v>2.23</v>
      </c>
      <c r="G237">
        <v>54</v>
      </c>
      <c r="H237">
        <v>16.78</v>
      </c>
    </row>
    <row r="238" spans="1:8">
      <c r="A238" s="1">
        <v>9</v>
      </c>
      <c r="B238" t="s">
        <v>2214</v>
      </c>
      <c r="C238">
        <v>78.739999999999995</v>
      </c>
      <c r="D238">
        <v>231.78</v>
      </c>
      <c r="E238">
        <v>0.82309900000000003</v>
      </c>
      <c r="F238">
        <v>0.42</v>
      </c>
      <c r="G238">
        <v>30</v>
      </c>
      <c r="H238">
        <v>17.739999999999998</v>
      </c>
    </row>
    <row r="239" spans="1:8">
      <c r="A239" s="1">
        <v>10</v>
      </c>
      <c r="B239" t="s">
        <v>2215</v>
      </c>
      <c r="C239">
        <v>73.27</v>
      </c>
      <c r="D239">
        <v>233.46</v>
      </c>
      <c r="E239">
        <v>0.82362599999999997</v>
      </c>
      <c r="F239">
        <v>3.38</v>
      </c>
      <c r="G239">
        <v>28</v>
      </c>
      <c r="H239">
        <v>16.57</v>
      </c>
    </row>
    <row r="240" spans="1:8">
      <c r="A240" s="1">
        <v>11</v>
      </c>
      <c r="B240" t="s">
        <v>2216</v>
      </c>
      <c r="C240">
        <v>79.56</v>
      </c>
      <c r="D240">
        <v>235.78</v>
      </c>
      <c r="E240">
        <v>0.84257700000000002</v>
      </c>
      <c r="F240">
        <v>29.68</v>
      </c>
      <c r="G240">
        <v>44</v>
      </c>
      <c r="H240">
        <v>18.03</v>
      </c>
    </row>
    <row r="241" spans="1:8">
      <c r="A241" s="1">
        <v>12</v>
      </c>
      <c r="B241" t="s">
        <v>2217</v>
      </c>
      <c r="C241">
        <v>81.31</v>
      </c>
      <c r="D241">
        <v>235.45</v>
      </c>
      <c r="E241">
        <v>0.84957700000000003</v>
      </c>
      <c r="F241">
        <v>5.03</v>
      </c>
      <c r="G241">
        <v>58</v>
      </c>
      <c r="H241">
        <v>18.809999999999999</v>
      </c>
    </row>
    <row r="242" spans="1:8">
      <c r="A242" s="1">
        <v>13</v>
      </c>
      <c r="B242" t="s">
        <v>2218</v>
      </c>
      <c r="C242">
        <v>68.510000000000005</v>
      </c>
      <c r="D242">
        <v>232.51</v>
      </c>
      <c r="E242">
        <v>0.84721800000000003</v>
      </c>
      <c r="F242">
        <v>1.1100000000000001</v>
      </c>
      <c r="G242">
        <v>4</v>
      </c>
      <c r="H242">
        <v>15.91</v>
      </c>
    </row>
    <row r="243" spans="1:8">
      <c r="A243" s="1">
        <v>14</v>
      </c>
      <c r="B243" t="s">
        <v>2219</v>
      </c>
      <c r="C243">
        <v>85.65</v>
      </c>
      <c r="D243">
        <v>235.86</v>
      </c>
      <c r="E243">
        <v>0.878027</v>
      </c>
      <c r="F243">
        <v>1.38</v>
      </c>
      <c r="G243">
        <v>6</v>
      </c>
      <c r="H243">
        <v>18.690000000000001</v>
      </c>
    </row>
    <row r="244" spans="1:8">
      <c r="A244" s="1">
        <v>15</v>
      </c>
      <c r="B244" t="s">
        <v>2220</v>
      </c>
      <c r="C244">
        <v>76.97</v>
      </c>
      <c r="D244">
        <v>233.34</v>
      </c>
      <c r="E244">
        <v>0.86795</v>
      </c>
      <c r="F244">
        <v>0.73</v>
      </c>
      <c r="G244">
        <v>34</v>
      </c>
      <c r="H244">
        <v>17.36</v>
      </c>
    </row>
    <row r="245" spans="1:8">
      <c r="A245" s="1">
        <v>16</v>
      </c>
      <c r="B245" t="s">
        <v>2221</v>
      </c>
      <c r="C245">
        <v>79.959999999999994</v>
      </c>
      <c r="D245">
        <v>235.6</v>
      </c>
      <c r="E245">
        <v>0.89325399999999999</v>
      </c>
      <c r="F245">
        <v>5.91</v>
      </c>
      <c r="G245">
        <v>2</v>
      </c>
      <c r="H245">
        <v>18.13</v>
      </c>
    </row>
    <row r="246" spans="1:8">
      <c r="A246" s="1">
        <v>17</v>
      </c>
      <c r="B246" t="s">
        <v>2222</v>
      </c>
      <c r="C246">
        <v>76.59</v>
      </c>
      <c r="D246">
        <v>234.91</v>
      </c>
      <c r="E246">
        <v>0.85212900000000003</v>
      </c>
      <c r="F246">
        <v>18.36</v>
      </c>
      <c r="G246">
        <v>32</v>
      </c>
      <c r="H246">
        <v>17.600000000000001</v>
      </c>
    </row>
    <row r="247" spans="1:8">
      <c r="A247" s="1">
        <v>18</v>
      </c>
      <c r="B247" t="s">
        <v>2223</v>
      </c>
      <c r="C247">
        <v>82.55</v>
      </c>
      <c r="D247">
        <v>235.09</v>
      </c>
      <c r="E247">
        <v>0.86024299999999998</v>
      </c>
      <c r="F247">
        <v>1.31</v>
      </c>
      <c r="G247">
        <v>36</v>
      </c>
      <c r="H247">
        <v>18.32</v>
      </c>
    </row>
    <row r="248" spans="1:8">
      <c r="A248" s="1">
        <v>19</v>
      </c>
      <c r="B248" t="s">
        <v>2224</v>
      </c>
      <c r="C248">
        <v>86.74</v>
      </c>
      <c r="D248">
        <v>235.57</v>
      </c>
      <c r="E248">
        <v>0.86995800000000001</v>
      </c>
      <c r="F248">
        <v>2.5</v>
      </c>
      <c r="G248">
        <v>18</v>
      </c>
      <c r="H248">
        <v>19.989999999999998</v>
      </c>
    </row>
    <row r="249" spans="1:8">
      <c r="A249" s="1">
        <v>20</v>
      </c>
      <c r="B249" t="s">
        <v>2225</v>
      </c>
      <c r="C249">
        <v>78.3</v>
      </c>
      <c r="D249">
        <v>234.56</v>
      </c>
      <c r="E249">
        <v>0.87387099999999995</v>
      </c>
      <c r="F249">
        <v>1</v>
      </c>
      <c r="G249">
        <v>28</v>
      </c>
      <c r="H249">
        <v>17.690000000000001</v>
      </c>
    </row>
    <row r="250" spans="1:8">
      <c r="A250" s="1">
        <v>21</v>
      </c>
      <c r="B250" t="s">
        <v>2226</v>
      </c>
      <c r="C250">
        <v>72</v>
      </c>
      <c r="D250">
        <v>231.63</v>
      </c>
      <c r="E250">
        <v>0.77742999999999995</v>
      </c>
      <c r="F250">
        <v>1.27</v>
      </c>
      <c r="G250">
        <v>40</v>
      </c>
      <c r="H250">
        <v>16.350000000000001</v>
      </c>
    </row>
    <row r="251" spans="1:8">
      <c r="A251" s="1">
        <v>22</v>
      </c>
      <c r="B251" t="s">
        <v>2227</v>
      </c>
      <c r="C251">
        <v>80.790000000000006</v>
      </c>
      <c r="D251">
        <v>234.98</v>
      </c>
      <c r="E251">
        <v>0.82670900000000003</v>
      </c>
      <c r="F251">
        <v>2.34</v>
      </c>
      <c r="G251">
        <v>0</v>
      </c>
      <c r="H251">
        <v>18.25</v>
      </c>
    </row>
    <row r="252" spans="1:8">
      <c r="A252" s="1">
        <v>23</v>
      </c>
      <c r="B252" t="s">
        <v>2228</v>
      </c>
      <c r="C252">
        <v>82.5</v>
      </c>
      <c r="D252">
        <v>233.91</v>
      </c>
      <c r="E252">
        <v>0.85478900000000002</v>
      </c>
      <c r="F252">
        <v>1.65</v>
      </c>
      <c r="G252">
        <v>40</v>
      </c>
      <c r="H252">
        <v>19.239999999999998</v>
      </c>
    </row>
    <row r="253" spans="1:8">
      <c r="A253" s="1">
        <v>24</v>
      </c>
      <c r="B253" t="s">
        <v>2229</v>
      </c>
      <c r="C253">
        <v>69.260000000000005</v>
      </c>
      <c r="D253">
        <v>233.84</v>
      </c>
      <c r="E253">
        <v>0.86252700000000004</v>
      </c>
      <c r="F253">
        <v>20.239999999999998</v>
      </c>
      <c r="G253">
        <v>58</v>
      </c>
      <c r="H253">
        <v>16.350000000000001</v>
      </c>
    </row>
    <row r="254" spans="1:8">
      <c r="A254" s="1">
        <v>25</v>
      </c>
      <c r="B254" t="s">
        <v>2230</v>
      </c>
      <c r="C254">
        <v>74.989999999999995</v>
      </c>
      <c r="D254">
        <v>234.03</v>
      </c>
      <c r="E254">
        <v>0.83895799999999998</v>
      </c>
      <c r="F254">
        <v>2.23</v>
      </c>
      <c r="G254">
        <v>58</v>
      </c>
      <c r="H254">
        <v>17.899999999999999</v>
      </c>
    </row>
    <row r="255" spans="1:8">
      <c r="A255" s="1">
        <v>26</v>
      </c>
      <c r="B255" t="s">
        <v>2231</v>
      </c>
      <c r="C255">
        <v>82.31</v>
      </c>
      <c r="D255">
        <v>236.71</v>
      </c>
      <c r="E255">
        <v>0.91544499999999995</v>
      </c>
      <c r="F255">
        <v>30.37</v>
      </c>
      <c r="G255">
        <v>58</v>
      </c>
      <c r="H255">
        <v>18.68</v>
      </c>
    </row>
    <row r="256" spans="1:8">
      <c r="A256" s="1">
        <v>27</v>
      </c>
      <c r="B256" t="s">
        <v>2232</v>
      </c>
      <c r="C256">
        <v>76.739999999999995</v>
      </c>
      <c r="D256">
        <v>234.25</v>
      </c>
      <c r="E256">
        <v>0.89730299999999996</v>
      </c>
      <c r="F256">
        <v>0.5</v>
      </c>
      <c r="G256">
        <v>58</v>
      </c>
      <c r="H256">
        <v>17.190000000000001</v>
      </c>
    </row>
    <row r="257" spans="1:8">
      <c r="A257" s="1">
        <v>28</v>
      </c>
      <c r="B257" t="s">
        <v>2233</v>
      </c>
      <c r="C257">
        <v>72.13</v>
      </c>
      <c r="D257">
        <v>231.35</v>
      </c>
      <c r="E257">
        <v>0.78581000000000001</v>
      </c>
      <c r="F257">
        <v>1.1499999999999999</v>
      </c>
      <c r="G257">
        <v>32</v>
      </c>
      <c r="H257">
        <v>16.86</v>
      </c>
    </row>
    <row r="258" spans="1:8">
      <c r="A258" s="1">
        <v>29</v>
      </c>
      <c r="B258" t="s">
        <v>2234</v>
      </c>
      <c r="C258">
        <v>83.25</v>
      </c>
      <c r="D258">
        <v>235.35</v>
      </c>
      <c r="E258">
        <v>0.85279400000000005</v>
      </c>
      <c r="F258">
        <v>2.27</v>
      </c>
      <c r="G258">
        <v>16</v>
      </c>
      <c r="H258">
        <v>18.48</v>
      </c>
    </row>
    <row r="259" spans="1:8">
      <c r="A259" s="1">
        <v>30</v>
      </c>
      <c r="B259" t="s">
        <v>2235</v>
      </c>
      <c r="C259">
        <v>86.85</v>
      </c>
      <c r="D259">
        <v>237.13</v>
      </c>
      <c r="E259">
        <v>0.88363800000000003</v>
      </c>
      <c r="F259">
        <v>30.64</v>
      </c>
      <c r="G259">
        <v>42</v>
      </c>
      <c r="H259">
        <v>19.89</v>
      </c>
    </row>
    <row r="260" spans="1:8">
      <c r="A260" s="1">
        <v>31</v>
      </c>
      <c r="B260" t="s">
        <v>2236</v>
      </c>
      <c r="C260">
        <v>79.400000000000006</v>
      </c>
      <c r="D260">
        <v>235.8</v>
      </c>
      <c r="E260">
        <v>0.89227199999999995</v>
      </c>
      <c r="F260">
        <v>16.670000000000002</v>
      </c>
      <c r="G260">
        <v>8</v>
      </c>
      <c r="H260">
        <v>18.43</v>
      </c>
    </row>
    <row r="261" spans="1:8">
      <c r="A261" s="1">
        <v>32</v>
      </c>
      <c r="B261" t="s">
        <v>2237</v>
      </c>
      <c r="C261">
        <v>76.44</v>
      </c>
      <c r="D261">
        <v>234.41</v>
      </c>
      <c r="E261">
        <v>0.85136999999999996</v>
      </c>
      <c r="F261">
        <v>3.23</v>
      </c>
      <c r="G261">
        <v>48</v>
      </c>
      <c r="H261">
        <v>17.46</v>
      </c>
    </row>
    <row r="262" spans="1:8">
      <c r="A262" s="1">
        <v>33</v>
      </c>
      <c r="B262" t="s">
        <v>2238</v>
      </c>
      <c r="C262">
        <v>79.59</v>
      </c>
      <c r="D262">
        <v>233.92</v>
      </c>
      <c r="E262">
        <v>0.83290200000000003</v>
      </c>
      <c r="F262">
        <v>1.84</v>
      </c>
      <c r="G262">
        <v>10</v>
      </c>
      <c r="H262">
        <v>18.37</v>
      </c>
    </row>
    <row r="263" spans="1:8">
      <c r="A263" s="1">
        <v>34</v>
      </c>
      <c r="B263" t="s">
        <v>2239</v>
      </c>
      <c r="C263">
        <v>78.95</v>
      </c>
      <c r="D263">
        <v>235.4</v>
      </c>
      <c r="E263">
        <v>0.85447099999999998</v>
      </c>
      <c r="F263">
        <v>15.09</v>
      </c>
      <c r="G263">
        <v>56</v>
      </c>
      <c r="H263">
        <v>18.079999999999998</v>
      </c>
    </row>
    <row r="264" spans="1:8">
      <c r="A264" s="1">
        <v>35</v>
      </c>
      <c r="B264" t="s">
        <v>2240</v>
      </c>
      <c r="C264">
        <v>86.57</v>
      </c>
      <c r="D264">
        <v>236.02</v>
      </c>
      <c r="E264">
        <v>0.901424</v>
      </c>
      <c r="F264">
        <v>0.96</v>
      </c>
      <c r="G264">
        <v>0</v>
      </c>
      <c r="H264">
        <v>19.309999999999999</v>
      </c>
    </row>
    <row r="265" spans="1:8">
      <c r="A265" s="1">
        <v>36</v>
      </c>
      <c r="B265" t="s">
        <v>2241</v>
      </c>
      <c r="C265">
        <v>75.510000000000005</v>
      </c>
      <c r="D265">
        <v>234.18</v>
      </c>
      <c r="E265">
        <v>0.88430600000000004</v>
      </c>
      <c r="F265">
        <v>1.69</v>
      </c>
      <c r="G265">
        <v>46</v>
      </c>
      <c r="H265">
        <v>17.309999999999999</v>
      </c>
    </row>
    <row r="266" spans="1:8">
      <c r="A266" s="1">
        <v>37</v>
      </c>
      <c r="B266" t="s">
        <v>2242</v>
      </c>
      <c r="C266">
        <v>79.05</v>
      </c>
      <c r="D266">
        <v>235.24</v>
      </c>
      <c r="E266">
        <v>0.87672799999999995</v>
      </c>
      <c r="F266">
        <v>4.3</v>
      </c>
      <c r="G266">
        <v>8</v>
      </c>
      <c r="H266">
        <v>17.52</v>
      </c>
    </row>
    <row r="267" spans="1:8">
      <c r="A267" s="1">
        <v>38</v>
      </c>
      <c r="B267" t="s">
        <v>2243</v>
      </c>
      <c r="C267">
        <v>84.8</v>
      </c>
      <c r="D267">
        <v>235.6</v>
      </c>
      <c r="E267">
        <v>0.86632799999999999</v>
      </c>
      <c r="F267">
        <v>1.88</v>
      </c>
      <c r="G267">
        <v>16</v>
      </c>
      <c r="H267">
        <v>18.899999999999999</v>
      </c>
    </row>
    <row r="268" spans="1:8">
      <c r="A268" s="1">
        <v>39</v>
      </c>
      <c r="B268" t="s">
        <v>2244</v>
      </c>
      <c r="C268">
        <v>70.2</v>
      </c>
      <c r="D268">
        <v>234.28</v>
      </c>
      <c r="E268">
        <v>0.86412999999999995</v>
      </c>
      <c r="F268">
        <v>26.57</v>
      </c>
      <c r="G268">
        <v>48</v>
      </c>
      <c r="H268">
        <v>17.22</v>
      </c>
    </row>
    <row r="269" spans="1:8">
      <c r="A269" s="1">
        <v>40</v>
      </c>
      <c r="B269" t="s">
        <v>2245</v>
      </c>
      <c r="C269">
        <v>77.290000000000006</v>
      </c>
      <c r="D269">
        <v>234.48</v>
      </c>
      <c r="E269">
        <v>0.86536500000000005</v>
      </c>
      <c r="F269">
        <v>1.8</v>
      </c>
      <c r="G269">
        <v>34</v>
      </c>
      <c r="H269">
        <v>17.82</v>
      </c>
    </row>
    <row r="270" spans="1:8">
      <c r="A270" s="1">
        <v>41</v>
      </c>
      <c r="B270" t="s">
        <v>2246</v>
      </c>
      <c r="C270">
        <v>83.45</v>
      </c>
      <c r="D270">
        <v>234.88</v>
      </c>
      <c r="E270">
        <v>0.81664999999999999</v>
      </c>
      <c r="F270">
        <v>3.42</v>
      </c>
      <c r="G270">
        <v>18</v>
      </c>
      <c r="H270">
        <v>18.010000000000002</v>
      </c>
    </row>
    <row r="271" spans="1:8">
      <c r="A271" s="1">
        <v>42</v>
      </c>
      <c r="B271" t="s">
        <v>2247</v>
      </c>
      <c r="C271">
        <v>77.150000000000006</v>
      </c>
      <c r="D271">
        <v>234.04</v>
      </c>
      <c r="E271">
        <v>0.80718599999999996</v>
      </c>
      <c r="F271">
        <v>8.7200000000000006</v>
      </c>
      <c r="G271">
        <v>48</v>
      </c>
      <c r="H271">
        <v>17.489999999999998</v>
      </c>
    </row>
    <row r="272" spans="1:8">
      <c r="A272" s="1">
        <v>43</v>
      </c>
      <c r="B272" t="s">
        <v>2248</v>
      </c>
      <c r="C272">
        <v>79.040000000000006</v>
      </c>
      <c r="D272">
        <v>234.55</v>
      </c>
      <c r="E272">
        <v>0.87989799999999996</v>
      </c>
      <c r="F272">
        <v>1.19</v>
      </c>
      <c r="G272">
        <v>34</v>
      </c>
      <c r="H272">
        <v>17.62</v>
      </c>
    </row>
    <row r="273" spans="1:8">
      <c r="A273" s="1">
        <v>44</v>
      </c>
      <c r="B273" t="s">
        <v>2249</v>
      </c>
      <c r="C273">
        <v>73.53</v>
      </c>
      <c r="D273">
        <v>233.59</v>
      </c>
      <c r="E273">
        <v>0.84275800000000001</v>
      </c>
      <c r="F273">
        <v>2.46</v>
      </c>
      <c r="G273">
        <v>6</v>
      </c>
      <c r="H273">
        <v>17.309999999999999</v>
      </c>
    </row>
    <row r="274" spans="1:8">
      <c r="A274" s="1">
        <v>45</v>
      </c>
      <c r="B274" t="s">
        <v>2250</v>
      </c>
      <c r="C274">
        <v>74.790000000000006</v>
      </c>
      <c r="D274">
        <v>235.24</v>
      </c>
      <c r="E274">
        <v>0.86834</v>
      </c>
      <c r="F274">
        <v>33.950000000000003</v>
      </c>
      <c r="G274">
        <v>0</v>
      </c>
      <c r="H274">
        <v>16.559999999999999</v>
      </c>
    </row>
    <row r="275" spans="1:8">
      <c r="A275" s="1">
        <v>46</v>
      </c>
      <c r="B275" t="s">
        <v>2251</v>
      </c>
      <c r="C275">
        <v>87.4</v>
      </c>
      <c r="D275">
        <v>237.42</v>
      </c>
      <c r="E275">
        <v>0.91891100000000003</v>
      </c>
      <c r="F275">
        <v>21.08</v>
      </c>
      <c r="G275">
        <v>10</v>
      </c>
      <c r="H275">
        <v>19.5</v>
      </c>
    </row>
    <row r="276" spans="1:8">
      <c r="A276" s="1">
        <v>47</v>
      </c>
      <c r="B276" t="s">
        <v>2252</v>
      </c>
      <c r="C276">
        <v>86.7</v>
      </c>
      <c r="D276">
        <v>237.45</v>
      </c>
      <c r="E276">
        <v>0.91214499999999998</v>
      </c>
      <c r="F276">
        <v>38.979999999999997</v>
      </c>
      <c r="G276">
        <v>32</v>
      </c>
      <c r="H276">
        <v>19.260000000000002</v>
      </c>
    </row>
    <row r="277" spans="1:8">
      <c r="A277" s="1">
        <v>48</v>
      </c>
      <c r="B277" t="s">
        <v>2253</v>
      </c>
      <c r="C277">
        <v>76.84</v>
      </c>
      <c r="D277">
        <v>234.88</v>
      </c>
      <c r="E277">
        <v>0.85146500000000003</v>
      </c>
      <c r="F277">
        <v>5.41</v>
      </c>
      <c r="G277">
        <v>48</v>
      </c>
      <c r="H277">
        <v>17.48</v>
      </c>
    </row>
    <row r="278" spans="1:8">
      <c r="A278" s="1">
        <v>49</v>
      </c>
      <c r="B278" t="s">
        <v>2254</v>
      </c>
      <c r="C278">
        <v>71.28</v>
      </c>
      <c r="D278">
        <v>234.95</v>
      </c>
      <c r="E278">
        <v>0.90965799999999997</v>
      </c>
      <c r="F278">
        <v>44.51</v>
      </c>
      <c r="G278">
        <v>40</v>
      </c>
      <c r="H278">
        <v>15.95</v>
      </c>
    </row>
    <row r="279" spans="1:8">
      <c r="A279" s="1">
        <v>50</v>
      </c>
      <c r="B279" t="s">
        <v>2255</v>
      </c>
      <c r="C279">
        <v>77.459999999999994</v>
      </c>
      <c r="D279">
        <v>234.96</v>
      </c>
      <c r="E279">
        <v>0.87218200000000001</v>
      </c>
      <c r="F279">
        <v>4.26</v>
      </c>
      <c r="G279">
        <v>14</v>
      </c>
      <c r="H279">
        <v>18.18</v>
      </c>
    </row>
    <row r="280" spans="1:8">
      <c r="B280" s="1" t="s">
        <v>19</v>
      </c>
      <c r="C280" s="1">
        <f>AVERAGE(C230:C279)</f>
        <v>78.45480000000002</v>
      </c>
      <c r="D280" s="1">
        <f t="shared" ref="D280:H280" si="11">AVERAGE(D230:D279)</f>
        <v>234.70100000000002</v>
      </c>
      <c r="E280" s="1">
        <f t="shared" si="11"/>
        <v>0.8622227600000002</v>
      </c>
      <c r="F280" s="1">
        <f t="shared" si="11"/>
        <v>9.5411999999999999</v>
      </c>
      <c r="G280" s="1">
        <f t="shared" si="11"/>
        <v>30.4</v>
      </c>
      <c r="H280" s="1">
        <f t="shared" si="11"/>
        <v>17.855199999999996</v>
      </c>
    </row>
    <row r="281" spans="1:8">
      <c r="B281" s="1" t="s">
        <v>20</v>
      </c>
      <c r="C281" s="1">
        <f>MIN(C229:C279)</f>
        <v>68.510000000000005</v>
      </c>
      <c r="D281" s="1">
        <f>MIN(D229:D279)</f>
        <v>231.35</v>
      </c>
      <c r="E281" s="1">
        <f>MIN(E229:E279)</f>
        <v>0.77742999999999995</v>
      </c>
      <c r="F281" s="1">
        <f>MIN(F229:F279)</f>
        <v>0.42</v>
      </c>
      <c r="H281" s="1">
        <f>MIN(H229:H279)</f>
        <v>15.91</v>
      </c>
    </row>
    <row r="282" spans="1:8">
      <c r="B282" s="1" t="s">
        <v>3</v>
      </c>
      <c r="C282" s="1">
        <f>STDEV(C230:C279)</f>
        <v>4.7851548670904913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23" t="s">
        <v>1435</v>
      </c>
    </row>
    <row r="285" spans="1:8" ht="18">
      <c r="A285" s="23" t="s">
        <v>7</v>
      </c>
      <c r="B285" s="3" t="s">
        <v>10</v>
      </c>
      <c r="C285" s="23" t="s">
        <v>4</v>
      </c>
      <c r="D285" s="23" t="s">
        <v>322</v>
      </c>
      <c r="E285" s="23" t="s">
        <v>321</v>
      </c>
      <c r="F285" s="23" t="s">
        <v>324</v>
      </c>
      <c r="G285" s="23" t="s">
        <v>323</v>
      </c>
      <c r="H285" s="23" t="s">
        <v>1436</v>
      </c>
    </row>
    <row r="286" spans="1:8">
      <c r="A286" s="1">
        <v>1</v>
      </c>
      <c r="B286" t="s">
        <v>2256</v>
      </c>
      <c r="C286">
        <v>70.209999999999994</v>
      </c>
      <c r="D286">
        <v>311.67</v>
      </c>
      <c r="E286">
        <v>0.83374300000000001</v>
      </c>
      <c r="F286">
        <v>14.05</v>
      </c>
      <c r="G286">
        <v>30</v>
      </c>
      <c r="H286">
        <v>15.33</v>
      </c>
    </row>
    <row r="287" spans="1:8">
      <c r="A287" s="1">
        <v>2</v>
      </c>
      <c r="B287" t="s">
        <v>2257</v>
      </c>
      <c r="C287">
        <v>76.540000000000006</v>
      </c>
      <c r="D287">
        <v>309.86</v>
      </c>
      <c r="E287">
        <v>0.84107100000000001</v>
      </c>
      <c r="F287">
        <v>0.31</v>
      </c>
      <c r="G287">
        <v>50</v>
      </c>
      <c r="H287">
        <v>16.96</v>
      </c>
    </row>
    <row r="288" spans="1:8">
      <c r="A288" s="1">
        <v>3</v>
      </c>
      <c r="B288" t="s">
        <v>2258</v>
      </c>
      <c r="C288">
        <v>73.52</v>
      </c>
      <c r="D288">
        <v>311.83</v>
      </c>
      <c r="E288">
        <v>0.79798400000000003</v>
      </c>
      <c r="F288">
        <v>18.05</v>
      </c>
      <c r="G288">
        <v>68</v>
      </c>
      <c r="H288">
        <v>16.21</v>
      </c>
    </row>
    <row r="289" spans="1:8">
      <c r="A289" s="1">
        <v>4</v>
      </c>
      <c r="B289" t="s">
        <v>2259</v>
      </c>
      <c r="C289">
        <v>70.510000000000005</v>
      </c>
      <c r="D289">
        <v>310.61</v>
      </c>
      <c r="E289">
        <v>0.84861699999999995</v>
      </c>
      <c r="F289">
        <v>0.73</v>
      </c>
      <c r="G289">
        <v>40</v>
      </c>
      <c r="H289">
        <v>15.85</v>
      </c>
    </row>
    <row r="290" spans="1:8">
      <c r="A290" s="1">
        <v>5</v>
      </c>
      <c r="B290" t="s">
        <v>2260</v>
      </c>
      <c r="C290">
        <v>68.66</v>
      </c>
      <c r="D290">
        <v>310.91000000000003</v>
      </c>
      <c r="E290">
        <v>0.83051799999999998</v>
      </c>
      <c r="F290">
        <v>10.64</v>
      </c>
      <c r="G290">
        <v>38</v>
      </c>
      <c r="H290">
        <v>15.1</v>
      </c>
    </row>
    <row r="291" spans="1:8">
      <c r="A291" s="1">
        <v>6</v>
      </c>
      <c r="B291" t="s">
        <v>2261</v>
      </c>
      <c r="C291">
        <v>71.290000000000006</v>
      </c>
      <c r="D291">
        <v>311.17</v>
      </c>
      <c r="E291">
        <v>0.83035000000000003</v>
      </c>
      <c r="F291">
        <v>1.73</v>
      </c>
      <c r="G291">
        <v>26</v>
      </c>
      <c r="H291">
        <v>16.37</v>
      </c>
    </row>
    <row r="292" spans="1:8">
      <c r="A292" s="1">
        <v>7</v>
      </c>
      <c r="B292" t="s">
        <v>2262</v>
      </c>
      <c r="C292">
        <v>68.489999999999995</v>
      </c>
      <c r="D292">
        <v>311.57</v>
      </c>
      <c r="E292">
        <v>0.84077599999999997</v>
      </c>
      <c r="F292">
        <v>21.16</v>
      </c>
      <c r="G292">
        <v>12</v>
      </c>
      <c r="H292">
        <v>15.01</v>
      </c>
    </row>
    <row r="293" spans="1:8">
      <c r="A293" s="1">
        <v>8</v>
      </c>
      <c r="B293" t="s">
        <v>2263</v>
      </c>
      <c r="C293">
        <v>69.790000000000006</v>
      </c>
      <c r="D293">
        <v>310.47000000000003</v>
      </c>
      <c r="E293">
        <v>0.80975900000000001</v>
      </c>
      <c r="F293">
        <v>3.23</v>
      </c>
      <c r="G293">
        <v>0</v>
      </c>
      <c r="H293">
        <v>15.82</v>
      </c>
    </row>
    <row r="294" spans="1:8">
      <c r="A294" s="1">
        <v>9</v>
      </c>
      <c r="B294" t="s">
        <v>2264</v>
      </c>
      <c r="C294">
        <v>70.45</v>
      </c>
      <c r="D294">
        <v>311.77</v>
      </c>
      <c r="E294">
        <v>0.88516499999999998</v>
      </c>
      <c r="F294">
        <v>2.19</v>
      </c>
      <c r="G294">
        <v>74</v>
      </c>
      <c r="H294">
        <v>15.83</v>
      </c>
    </row>
    <row r="295" spans="1:8">
      <c r="A295" s="1">
        <v>10</v>
      </c>
      <c r="B295" t="s">
        <v>2265</v>
      </c>
      <c r="C295">
        <v>61.16</v>
      </c>
      <c r="D295">
        <v>305.47000000000003</v>
      </c>
      <c r="E295">
        <v>0.73853999999999997</v>
      </c>
      <c r="F295">
        <v>0.96</v>
      </c>
      <c r="G295">
        <v>52</v>
      </c>
      <c r="H295">
        <v>13.62</v>
      </c>
    </row>
    <row r="296" spans="1:8">
      <c r="A296" s="1">
        <v>11</v>
      </c>
      <c r="B296" t="s">
        <v>2266</v>
      </c>
      <c r="C296">
        <v>72.66</v>
      </c>
      <c r="D296">
        <v>312.69</v>
      </c>
      <c r="E296">
        <v>0.87185999999999997</v>
      </c>
      <c r="F296">
        <v>18.850000000000001</v>
      </c>
      <c r="G296">
        <v>8</v>
      </c>
      <c r="H296">
        <v>16.100000000000001</v>
      </c>
    </row>
    <row r="297" spans="1:8">
      <c r="A297" s="1">
        <v>12</v>
      </c>
      <c r="B297" t="s">
        <v>2267</v>
      </c>
      <c r="C297">
        <v>72.599999999999994</v>
      </c>
      <c r="D297">
        <v>312.93</v>
      </c>
      <c r="E297">
        <v>0.89319800000000005</v>
      </c>
      <c r="F297">
        <v>14.28</v>
      </c>
      <c r="G297">
        <v>8</v>
      </c>
      <c r="H297">
        <v>16.63</v>
      </c>
    </row>
    <row r="298" spans="1:8">
      <c r="A298" s="1">
        <v>13</v>
      </c>
      <c r="B298" t="s">
        <v>2268</v>
      </c>
      <c r="C298">
        <v>72.88</v>
      </c>
      <c r="D298">
        <v>310.38</v>
      </c>
      <c r="E298">
        <v>0.80631900000000001</v>
      </c>
      <c r="F298">
        <v>1.04</v>
      </c>
      <c r="G298">
        <v>74</v>
      </c>
      <c r="H298">
        <v>15.77</v>
      </c>
    </row>
    <row r="299" spans="1:8">
      <c r="A299" s="1">
        <v>14</v>
      </c>
      <c r="B299" t="s">
        <v>2269</v>
      </c>
      <c r="C299">
        <v>71.14</v>
      </c>
      <c r="D299">
        <v>311.94</v>
      </c>
      <c r="E299">
        <v>0.81630199999999997</v>
      </c>
      <c r="F299">
        <v>19.66</v>
      </c>
      <c r="G299">
        <v>60</v>
      </c>
      <c r="H299">
        <v>15.95</v>
      </c>
    </row>
    <row r="300" spans="1:8">
      <c r="A300" s="1">
        <v>15</v>
      </c>
      <c r="B300" t="s">
        <v>2270</v>
      </c>
      <c r="C300">
        <v>71.44</v>
      </c>
      <c r="D300">
        <v>310.07</v>
      </c>
      <c r="E300">
        <v>0.84862000000000004</v>
      </c>
      <c r="F300">
        <v>0.96</v>
      </c>
      <c r="G300">
        <v>36</v>
      </c>
      <c r="H300">
        <v>16.32</v>
      </c>
    </row>
    <row r="301" spans="1:8">
      <c r="A301" s="1">
        <v>16</v>
      </c>
      <c r="B301" t="s">
        <v>2271</v>
      </c>
      <c r="C301">
        <v>68.819999999999993</v>
      </c>
      <c r="D301">
        <v>310.87</v>
      </c>
      <c r="E301">
        <v>0.84683200000000003</v>
      </c>
      <c r="F301">
        <v>5.8</v>
      </c>
      <c r="G301">
        <v>18</v>
      </c>
      <c r="H301">
        <v>15.88</v>
      </c>
    </row>
    <row r="302" spans="1:8">
      <c r="A302" s="1">
        <v>17</v>
      </c>
      <c r="B302" t="s">
        <v>2272</v>
      </c>
      <c r="C302">
        <v>71.53</v>
      </c>
      <c r="D302">
        <v>308.43</v>
      </c>
      <c r="E302">
        <v>0.82496100000000006</v>
      </c>
      <c r="F302">
        <v>0.96</v>
      </c>
      <c r="G302">
        <v>40</v>
      </c>
      <c r="H302">
        <v>16.3</v>
      </c>
    </row>
    <row r="303" spans="1:8">
      <c r="A303" s="1">
        <v>18</v>
      </c>
      <c r="B303" t="s">
        <v>2273</v>
      </c>
      <c r="C303">
        <v>66.150000000000006</v>
      </c>
      <c r="D303">
        <v>307.16000000000003</v>
      </c>
      <c r="E303">
        <v>0.82725300000000002</v>
      </c>
      <c r="F303">
        <v>0.27</v>
      </c>
      <c r="G303">
        <v>4</v>
      </c>
      <c r="H303">
        <v>15.12</v>
      </c>
    </row>
    <row r="304" spans="1:8">
      <c r="A304" s="1">
        <v>19</v>
      </c>
      <c r="B304" t="s">
        <v>2274</v>
      </c>
      <c r="C304">
        <v>69.92</v>
      </c>
      <c r="D304">
        <v>311.45999999999998</v>
      </c>
      <c r="E304">
        <v>0.83566700000000005</v>
      </c>
      <c r="F304">
        <v>10.71</v>
      </c>
      <c r="G304">
        <v>16</v>
      </c>
      <c r="H304">
        <v>16.13</v>
      </c>
    </row>
    <row r="305" spans="1:8">
      <c r="A305" s="1">
        <v>20</v>
      </c>
      <c r="B305" t="s">
        <v>2275</v>
      </c>
      <c r="C305">
        <v>67.77</v>
      </c>
      <c r="D305">
        <v>310.81</v>
      </c>
      <c r="E305">
        <v>0.83020099999999997</v>
      </c>
      <c r="F305">
        <v>9.14</v>
      </c>
      <c r="G305">
        <v>68</v>
      </c>
      <c r="H305">
        <v>15.26</v>
      </c>
    </row>
    <row r="306" spans="1:8">
      <c r="A306" s="1">
        <v>21</v>
      </c>
      <c r="B306" t="s">
        <v>2276</v>
      </c>
      <c r="C306">
        <v>65.58</v>
      </c>
      <c r="D306" t="e">
        <f>-inf</f>
        <v>#NAME?</v>
      </c>
      <c r="E306">
        <v>0.83503499999999997</v>
      </c>
      <c r="F306">
        <v>0</v>
      </c>
      <c r="G306">
        <v>38</v>
      </c>
      <c r="H306">
        <v>14.34</v>
      </c>
    </row>
    <row r="307" spans="1:8">
      <c r="A307" s="1">
        <v>22</v>
      </c>
      <c r="B307" t="s">
        <v>2277</v>
      </c>
      <c r="C307">
        <v>73.41</v>
      </c>
      <c r="D307">
        <v>308.77</v>
      </c>
      <c r="E307">
        <v>0.79543799999999998</v>
      </c>
      <c r="F307">
        <v>0.31</v>
      </c>
      <c r="G307">
        <v>22</v>
      </c>
      <c r="H307">
        <v>16.170000000000002</v>
      </c>
    </row>
    <row r="308" spans="1:8">
      <c r="A308" s="1">
        <v>23</v>
      </c>
      <c r="B308" t="s">
        <v>2278</v>
      </c>
      <c r="C308">
        <v>70.260000000000005</v>
      </c>
      <c r="D308">
        <v>310.99</v>
      </c>
      <c r="E308">
        <v>0.83820399999999995</v>
      </c>
      <c r="F308">
        <v>1.8</v>
      </c>
      <c r="G308">
        <v>52</v>
      </c>
      <c r="H308">
        <v>15.87</v>
      </c>
    </row>
    <row r="309" spans="1:8">
      <c r="A309" s="1">
        <v>24</v>
      </c>
      <c r="B309" t="s">
        <v>2279</v>
      </c>
      <c r="C309">
        <v>73.38</v>
      </c>
      <c r="D309">
        <v>310.68</v>
      </c>
      <c r="E309">
        <v>0.82026500000000002</v>
      </c>
      <c r="F309">
        <v>1.54</v>
      </c>
      <c r="G309">
        <v>66</v>
      </c>
      <c r="H309">
        <v>16.25</v>
      </c>
    </row>
    <row r="310" spans="1:8">
      <c r="A310" s="1">
        <v>25</v>
      </c>
      <c r="B310" t="s">
        <v>2280</v>
      </c>
      <c r="C310">
        <v>76.319999999999993</v>
      </c>
      <c r="D310">
        <v>313.77999999999997</v>
      </c>
      <c r="E310">
        <v>0.87534599999999996</v>
      </c>
      <c r="F310">
        <v>20.16</v>
      </c>
      <c r="G310">
        <v>4</v>
      </c>
      <c r="H310">
        <v>17.75</v>
      </c>
    </row>
    <row r="311" spans="1:8">
      <c r="A311" s="1">
        <v>26</v>
      </c>
      <c r="B311" t="s">
        <v>2281</v>
      </c>
      <c r="C311">
        <v>76.099999999999994</v>
      </c>
      <c r="D311">
        <v>313.72000000000003</v>
      </c>
      <c r="E311">
        <v>0.89763599999999999</v>
      </c>
      <c r="F311">
        <v>7.76</v>
      </c>
      <c r="G311">
        <v>68</v>
      </c>
      <c r="H311">
        <v>17.13</v>
      </c>
    </row>
    <row r="312" spans="1:8">
      <c r="A312" s="1">
        <v>27</v>
      </c>
      <c r="B312" t="s">
        <v>2282</v>
      </c>
      <c r="C312">
        <v>71.319999999999993</v>
      </c>
      <c r="D312">
        <v>310.38</v>
      </c>
      <c r="E312">
        <v>0.84849600000000003</v>
      </c>
      <c r="F312">
        <v>1.23</v>
      </c>
      <c r="G312">
        <v>40</v>
      </c>
      <c r="H312">
        <v>16.05</v>
      </c>
    </row>
    <row r="313" spans="1:8">
      <c r="A313" s="1">
        <v>28</v>
      </c>
      <c r="B313" t="s">
        <v>2283</v>
      </c>
      <c r="C313">
        <v>67.72</v>
      </c>
      <c r="D313">
        <v>308.77</v>
      </c>
      <c r="E313">
        <v>0.78500700000000001</v>
      </c>
      <c r="F313">
        <v>1.73</v>
      </c>
      <c r="G313">
        <v>54</v>
      </c>
      <c r="H313">
        <v>15.58</v>
      </c>
    </row>
    <row r="314" spans="1:8">
      <c r="A314" s="1">
        <v>29</v>
      </c>
      <c r="B314" t="s">
        <v>2284</v>
      </c>
      <c r="C314">
        <v>68.510000000000005</v>
      </c>
      <c r="D314">
        <v>306.81</v>
      </c>
      <c r="E314">
        <v>0.77555399999999997</v>
      </c>
      <c r="F314">
        <v>1.27</v>
      </c>
      <c r="G314">
        <v>40</v>
      </c>
      <c r="H314">
        <v>14.94</v>
      </c>
    </row>
    <row r="315" spans="1:8">
      <c r="A315" s="1">
        <v>30</v>
      </c>
      <c r="B315" t="s">
        <v>2285</v>
      </c>
      <c r="C315">
        <v>68.08</v>
      </c>
      <c r="D315">
        <v>310.06</v>
      </c>
      <c r="E315">
        <v>0.80662299999999998</v>
      </c>
      <c r="F315">
        <v>2.34</v>
      </c>
      <c r="G315">
        <v>66</v>
      </c>
      <c r="H315">
        <v>15.29</v>
      </c>
    </row>
    <row r="316" spans="1:8">
      <c r="A316" s="1">
        <v>31</v>
      </c>
      <c r="B316" t="s">
        <v>2286</v>
      </c>
      <c r="C316">
        <v>68.19</v>
      </c>
      <c r="D316">
        <v>310.79000000000002</v>
      </c>
      <c r="E316">
        <v>0.84285500000000002</v>
      </c>
      <c r="F316">
        <v>3.07</v>
      </c>
      <c r="G316">
        <v>16</v>
      </c>
      <c r="H316">
        <v>15.4</v>
      </c>
    </row>
    <row r="317" spans="1:8">
      <c r="A317" s="1">
        <v>32</v>
      </c>
      <c r="B317" t="s">
        <v>2287</v>
      </c>
      <c r="C317">
        <v>77.78</v>
      </c>
      <c r="D317">
        <v>310.81</v>
      </c>
      <c r="E317">
        <v>0.84021699999999999</v>
      </c>
      <c r="F317">
        <v>0.38</v>
      </c>
      <c r="G317">
        <v>58</v>
      </c>
      <c r="H317">
        <v>17.260000000000002</v>
      </c>
    </row>
    <row r="318" spans="1:8">
      <c r="A318" s="1">
        <v>33</v>
      </c>
      <c r="B318" t="s">
        <v>2288</v>
      </c>
      <c r="C318">
        <v>70.8</v>
      </c>
      <c r="D318">
        <v>307.83999999999997</v>
      </c>
      <c r="E318">
        <v>0.77461500000000005</v>
      </c>
      <c r="F318">
        <v>0.61</v>
      </c>
      <c r="G318">
        <v>10</v>
      </c>
      <c r="H318">
        <v>15.41</v>
      </c>
    </row>
    <row r="319" spans="1:8">
      <c r="A319" s="1">
        <v>34</v>
      </c>
      <c r="B319" t="s">
        <v>2289</v>
      </c>
      <c r="C319">
        <v>70.95</v>
      </c>
      <c r="D319">
        <v>311.29000000000002</v>
      </c>
      <c r="E319">
        <v>0.83468799999999999</v>
      </c>
      <c r="F319">
        <v>2.19</v>
      </c>
      <c r="G319">
        <v>38</v>
      </c>
      <c r="H319">
        <v>15.63</v>
      </c>
    </row>
    <row r="320" spans="1:8">
      <c r="A320" s="1">
        <v>35</v>
      </c>
      <c r="B320" t="s">
        <v>2290</v>
      </c>
      <c r="C320">
        <v>70.41</v>
      </c>
      <c r="D320">
        <v>309.81</v>
      </c>
      <c r="E320">
        <v>0.80817799999999995</v>
      </c>
      <c r="F320">
        <v>1.19</v>
      </c>
      <c r="G320">
        <v>34</v>
      </c>
      <c r="H320">
        <v>15.65</v>
      </c>
    </row>
    <row r="321" spans="1:8">
      <c r="A321" s="1">
        <v>36</v>
      </c>
      <c r="B321" t="s">
        <v>2291</v>
      </c>
      <c r="C321">
        <v>68.260000000000005</v>
      </c>
      <c r="D321">
        <v>304.64999999999998</v>
      </c>
      <c r="E321">
        <v>0.74077400000000004</v>
      </c>
      <c r="F321">
        <v>0.08</v>
      </c>
      <c r="G321">
        <v>34</v>
      </c>
      <c r="H321">
        <v>15.28</v>
      </c>
    </row>
    <row r="322" spans="1:8">
      <c r="A322" s="1">
        <v>37</v>
      </c>
      <c r="B322" t="s">
        <v>2292</v>
      </c>
      <c r="C322">
        <v>71.37</v>
      </c>
      <c r="D322">
        <v>308.89999999999998</v>
      </c>
      <c r="E322">
        <v>0.82495399999999997</v>
      </c>
      <c r="F322">
        <v>0.65</v>
      </c>
      <c r="G322">
        <v>44</v>
      </c>
      <c r="H322">
        <v>15.79</v>
      </c>
    </row>
    <row r="323" spans="1:8">
      <c r="A323" s="1">
        <v>38</v>
      </c>
      <c r="B323" t="s">
        <v>2293</v>
      </c>
      <c r="C323">
        <v>70.400000000000006</v>
      </c>
      <c r="D323">
        <v>310.88</v>
      </c>
      <c r="E323">
        <v>0.86158299999999999</v>
      </c>
      <c r="F323">
        <v>1.23</v>
      </c>
      <c r="G323">
        <v>6</v>
      </c>
      <c r="H323">
        <v>15.96</v>
      </c>
    </row>
    <row r="324" spans="1:8">
      <c r="A324" s="1">
        <v>39</v>
      </c>
      <c r="B324" t="s">
        <v>2294</v>
      </c>
      <c r="C324">
        <v>71.510000000000005</v>
      </c>
      <c r="D324">
        <v>312.81</v>
      </c>
      <c r="E324">
        <v>0.86778299999999997</v>
      </c>
      <c r="F324">
        <v>30.07</v>
      </c>
      <c r="G324">
        <v>34</v>
      </c>
      <c r="H324">
        <v>15.96</v>
      </c>
    </row>
    <row r="325" spans="1:8">
      <c r="A325" s="1">
        <v>40</v>
      </c>
      <c r="B325" t="s">
        <v>2295</v>
      </c>
      <c r="C325">
        <v>70.709999999999994</v>
      </c>
      <c r="D325">
        <v>311.66000000000003</v>
      </c>
      <c r="E325">
        <v>0.86209400000000003</v>
      </c>
      <c r="F325">
        <v>3.65</v>
      </c>
      <c r="G325">
        <v>48</v>
      </c>
      <c r="H325">
        <v>16.27</v>
      </c>
    </row>
    <row r="326" spans="1:8">
      <c r="A326" s="1">
        <v>41</v>
      </c>
      <c r="B326" t="s">
        <v>2296</v>
      </c>
      <c r="C326">
        <v>67.709999999999994</v>
      </c>
      <c r="D326">
        <v>309.83</v>
      </c>
      <c r="E326">
        <v>0.80927300000000002</v>
      </c>
      <c r="F326">
        <v>1.88</v>
      </c>
      <c r="G326">
        <v>0</v>
      </c>
      <c r="H326">
        <v>14.97</v>
      </c>
    </row>
    <row r="327" spans="1:8">
      <c r="A327" s="1">
        <v>42</v>
      </c>
      <c r="B327" t="s">
        <v>2297</v>
      </c>
      <c r="C327">
        <v>65.13</v>
      </c>
      <c r="D327">
        <v>309.47000000000003</v>
      </c>
      <c r="E327">
        <v>0.80360600000000004</v>
      </c>
      <c r="F327">
        <v>5.53</v>
      </c>
      <c r="G327">
        <v>20</v>
      </c>
      <c r="H327">
        <v>14.73</v>
      </c>
    </row>
    <row r="328" spans="1:8">
      <c r="A328" s="1">
        <v>43</v>
      </c>
      <c r="B328" t="s">
        <v>2298</v>
      </c>
      <c r="C328">
        <v>65.48</v>
      </c>
      <c r="D328">
        <v>310.56</v>
      </c>
      <c r="E328">
        <v>0.84872000000000003</v>
      </c>
      <c r="F328">
        <v>9.02</v>
      </c>
      <c r="G328">
        <v>38</v>
      </c>
      <c r="H328">
        <v>14.3</v>
      </c>
    </row>
    <row r="329" spans="1:8">
      <c r="A329" s="1">
        <v>44</v>
      </c>
      <c r="B329" t="s">
        <v>2299</v>
      </c>
      <c r="C329">
        <v>67.180000000000007</v>
      </c>
      <c r="D329">
        <v>310.13</v>
      </c>
      <c r="E329">
        <v>0.82846900000000001</v>
      </c>
      <c r="F329">
        <v>2.57</v>
      </c>
      <c r="G329">
        <v>2</v>
      </c>
      <c r="H329">
        <v>14.82</v>
      </c>
    </row>
    <row r="330" spans="1:8">
      <c r="A330" s="1">
        <v>45</v>
      </c>
      <c r="B330" t="s">
        <v>2300</v>
      </c>
      <c r="C330">
        <v>73.819999999999993</v>
      </c>
      <c r="D330">
        <v>308.51</v>
      </c>
      <c r="E330">
        <v>0.81669199999999997</v>
      </c>
      <c r="F330">
        <v>1.04</v>
      </c>
      <c r="G330">
        <v>36</v>
      </c>
      <c r="H330">
        <v>16.37</v>
      </c>
    </row>
    <row r="331" spans="1:8">
      <c r="A331" s="1">
        <v>46</v>
      </c>
      <c r="B331" t="s">
        <v>2301</v>
      </c>
      <c r="C331">
        <v>69.430000000000007</v>
      </c>
      <c r="D331">
        <v>311.37</v>
      </c>
      <c r="E331">
        <v>0.84138400000000002</v>
      </c>
      <c r="F331">
        <v>12.4</v>
      </c>
      <c r="G331">
        <v>12</v>
      </c>
      <c r="H331">
        <v>15.64</v>
      </c>
    </row>
    <row r="332" spans="1:8">
      <c r="A332" s="1">
        <v>47</v>
      </c>
      <c r="B332" t="s">
        <v>2302</v>
      </c>
      <c r="C332">
        <v>66.459999999999994</v>
      </c>
      <c r="D332">
        <v>310.08</v>
      </c>
      <c r="E332">
        <v>0.83298300000000003</v>
      </c>
      <c r="F332">
        <v>3</v>
      </c>
      <c r="G332">
        <v>22</v>
      </c>
      <c r="H332">
        <v>15.66</v>
      </c>
    </row>
    <row r="333" spans="1:8">
      <c r="A333" s="1">
        <v>48</v>
      </c>
      <c r="B333" t="s">
        <v>2303</v>
      </c>
      <c r="C333">
        <v>68.569999999999993</v>
      </c>
      <c r="D333">
        <v>312.23</v>
      </c>
      <c r="E333">
        <v>0.87074099999999999</v>
      </c>
      <c r="F333">
        <v>26.34</v>
      </c>
      <c r="G333">
        <v>32</v>
      </c>
      <c r="H333">
        <v>15.14</v>
      </c>
    </row>
    <row r="334" spans="1:8">
      <c r="A334" s="1">
        <v>49</v>
      </c>
      <c r="B334" t="s">
        <v>2304</v>
      </c>
      <c r="C334">
        <v>67.209999999999994</v>
      </c>
      <c r="D334">
        <v>309.98</v>
      </c>
      <c r="E334">
        <v>0.78401100000000001</v>
      </c>
      <c r="F334">
        <v>13.21</v>
      </c>
      <c r="G334">
        <v>42</v>
      </c>
      <c r="H334">
        <v>16.260000000000002</v>
      </c>
    </row>
    <row r="335" spans="1:8">
      <c r="A335" s="1">
        <v>50</v>
      </c>
      <c r="B335" t="s">
        <v>2305</v>
      </c>
      <c r="C335">
        <v>70.25</v>
      </c>
      <c r="D335">
        <v>312.02</v>
      </c>
      <c r="E335">
        <v>0.87191399999999997</v>
      </c>
      <c r="F335">
        <v>7.03</v>
      </c>
      <c r="G335">
        <v>66</v>
      </c>
      <c r="H335">
        <v>15.71</v>
      </c>
    </row>
    <row r="336" spans="1:8">
      <c r="B336" s="1" t="s">
        <v>19</v>
      </c>
      <c r="C336" s="1">
        <f>AVERAGE(C286:C335)</f>
        <v>70.156600000000012</v>
      </c>
      <c r="D336" s="1" t="e">
        <f t="shared" ref="D336:F336" si="12">AVERAGE(D286:D335)</f>
        <v>#NAME?</v>
      </c>
      <c r="E336" s="1">
        <f t="shared" si="12"/>
        <v>0.83001747999999997</v>
      </c>
      <c r="F336" s="1">
        <f t="shared" si="12"/>
        <v>6.3599999999999985</v>
      </c>
      <c r="H336" s="1">
        <f t="shared" ref="H336" si="13">AVERAGE(H286:H335)</f>
        <v>15.742799999999999</v>
      </c>
    </row>
    <row r="337" spans="1:8">
      <c r="B337" s="1" t="s">
        <v>20</v>
      </c>
      <c r="C337" s="1">
        <f>MIN(C285:C335)</f>
        <v>61.16</v>
      </c>
      <c r="D337" s="1" t="e">
        <f t="shared" ref="D337:F337" si="14">MIN(D285:D335)</f>
        <v>#NAME?</v>
      </c>
      <c r="E337" s="1">
        <f t="shared" si="14"/>
        <v>0.73853999999999997</v>
      </c>
      <c r="F337" s="1">
        <f t="shared" si="14"/>
        <v>0</v>
      </c>
      <c r="H337" s="1">
        <f t="shared" ref="H337" si="15">MIN(H285:H335)</f>
        <v>13.62</v>
      </c>
    </row>
    <row r="338" spans="1:8">
      <c r="B338" s="1" t="s">
        <v>3</v>
      </c>
      <c r="C338" s="1">
        <f>STDEV(C286:C335)</f>
        <v>3.1561877094275372</v>
      </c>
      <c r="D338" s="1" t="e">
        <f t="shared" ref="D338:E338" si="16">STDEV(D286:D335)</f>
        <v>#NAME?</v>
      </c>
      <c r="E338" s="1">
        <f t="shared" si="16"/>
        <v>3.4144293399107795E-2</v>
      </c>
      <c r="F338" s="1">
        <f>STDEV(F286:F335)</f>
        <v>7.6735716612811</v>
      </c>
      <c r="H338" s="1">
        <f>STDEV(H286:H335)</f>
        <v>0.75893867892428801</v>
      </c>
    </row>
    <row r="340" spans="1:8">
      <c r="H340" s="23" t="s">
        <v>1435</v>
      </c>
    </row>
    <row r="341" spans="1:8" ht="18">
      <c r="A341" s="23" t="s">
        <v>7</v>
      </c>
      <c r="B341" s="3" t="s">
        <v>6</v>
      </c>
      <c r="C341" s="23" t="s">
        <v>4</v>
      </c>
      <c r="D341" s="23" t="s">
        <v>322</v>
      </c>
      <c r="E341" s="23" t="s">
        <v>321</v>
      </c>
      <c r="F341" s="23" t="s">
        <v>324</v>
      </c>
      <c r="G341" s="23" t="s">
        <v>323</v>
      </c>
      <c r="H341" s="23" t="s">
        <v>1436</v>
      </c>
    </row>
    <row r="342" spans="1:8">
      <c r="A342" s="1">
        <v>1</v>
      </c>
      <c r="B342" t="s">
        <v>3822</v>
      </c>
      <c r="C342">
        <v>63.07</v>
      </c>
      <c r="D342">
        <v>386.26</v>
      </c>
      <c r="E342">
        <v>0.80606299999999997</v>
      </c>
      <c r="F342">
        <v>4.42</v>
      </c>
      <c r="G342">
        <v>8</v>
      </c>
      <c r="H342">
        <v>14.26</v>
      </c>
    </row>
    <row r="343" spans="1:8">
      <c r="A343" s="1">
        <v>2</v>
      </c>
      <c r="B343" t="s">
        <v>3823</v>
      </c>
      <c r="C343">
        <v>58.08</v>
      </c>
      <c r="D343">
        <v>382.96</v>
      </c>
      <c r="E343">
        <v>0.80635000000000001</v>
      </c>
      <c r="F343">
        <v>1.23</v>
      </c>
      <c r="G343">
        <v>84</v>
      </c>
      <c r="H343">
        <v>13.73</v>
      </c>
    </row>
    <row r="344" spans="1:8">
      <c r="A344" s="1">
        <v>3</v>
      </c>
      <c r="B344" t="s">
        <v>3824</v>
      </c>
      <c r="C344">
        <v>63.63</v>
      </c>
      <c r="D344">
        <v>384.82</v>
      </c>
      <c r="E344">
        <v>0.83270999999999995</v>
      </c>
      <c r="F344">
        <v>0.42</v>
      </c>
      <c r="G344">
        <v>32</v>
      </c>
      <c r="H344">
        <v>14.05</v>
      </c>
    </row>
    <row r="345" spans="1:8">
      <c r="A345" s="1">
        <v>4</v>
      </c>
      <c r="B345" t="s">
        <v>3825</v>
      </c>
      <c r="C345">
        <v>62.6</v>
      </c>
      <c r="D345">
        <v>384.63</v>
      </c>
      <c r="E345">
        <v>0.83786099999999997</v>
      </c>
      <c r="F345">
        <v>0.57999999999999996</v>
      </c>
      <c r="G345">
        <v>28</v>
      </c>
      <c r="H345">
        <v>13.85</v>
      </c>
    </row>
    <row r="346" spans="1:8">
      <c r="A346" s="1">
        <v>5</v>
      </c>
      <c r="B346" t="s">
        <v>3826</v>
      </c>
      <c r="C346">
        <v>64.959999999999994</v>
      </c>
      <c r="D346">
        <v>386.73</v>
      </c>
      <c r="E346">
        <v>0.83174300000000001</v>
      </c>
      <c r="F346">
        <v>1.88</v>
      </c>
      <c r="G346">
        <v>22</v>
      </c>
      <c r="H346">
        <v>14.97</v>
      </c>
    </row>
    <row r="347" spans="1:8">
      <c r="A347" s="1">
        <v>6</v>
      </c>
      <c r="B347" t="s">
        <v>3827</v>
      </c>
      <c r="C347">
        <v>62.18</v>
      </c>
      <c r="D347">
        <v>383.28</v>
      </c>
      <c r="E347">
        <v>0.76037399999999999</v>
      </c>
      <c r="F347">
        <v>1.65</v>
      </c>
      <c r="G347">
        <v>52</v>
      </c>
      <c r="H347">
        <v>14.04</v>
      </c>
    </row>
    <row r="348" spans="1:8">
      <c r="A348" s="1">
        <v>7</v>
      </c>
      <c r="B348" t="s">
        <v>3828</v>
      </c>
      <c r="C348">
        <v>63.33</v>
      </c>
      <c r="D348">
        <v>384.75</v>
      </c>
      <c r="E348">
        <v>0.805064</v>
      </c>
      <c r="F348">
        <v>2.27</v>
      </c>
      <c r="G348">
        <v>2</v>
      </c>
      <c r="H348">
        <v>14.05</v>
      </c>
    </row>
    <row r="349" spans="1:8">
      <c r="A349" s="1">
        <v>8</v>
      </c>
      <c r="B349" t="s">
        <v>3829</v>
      </c>
      <c r="C349">
        <v>62.99</v>
      </c>
      <c r="D349">
        <v>384.25</v>
      </c>
      <c r="E349">
        <v>0.77404499999999998</v>
      </c>
      <c r="F349">
        <v>0.92</v>
      </c>
      <c r="G349">
        <v>74</v>
      </c>
      <c r="H349">
        <v>13.84</v>
      </c>
    </row>
    <row r="350" spans="1:8">
      <c r="A350" s="1">
        <v>9</v>
      </c>
      <c r="B350" t="s">
        <v>3830</v>
      </c>
      <c r="C350">
        <v>62.34</v>
      </c>
      <c r="D350">
        <v>382.95</v>
      </c>
      <c r="E350">
        <v>0.75586600000000004</v>
      </c>
      <c r="F350">
        <v>1.77</v>
      </c>
      <c r="G350">
        <v>70</v>
      </c>
      <c r="H350">
        <v>14.01</v>
      </c>
    </row>
    <row r="351" spans="1:8">
      <c r="A351" s="1">
        <v>10</v>
      </c>
      <c r="B351" t="s">
        <v>3831</v>
      </c>
      <c r="C351">
        <v>67.45</v>
      </c>
      <c r="D351">
        <v>383.49</v>
      </c>
      <c r="E351">
        <v>0.77230900000000002</v>
      </c>
      <c r="F351">
        <v>1.23</v>
      </c>
      <c r="G351">
        <v>84</v>
      </c>
      <c r="H351">
        <v>15.67</v>
      </c>
    </row>
    <row r="352" spans="1:8">
      <c r="A352" s="1">
        <v>11</v>
      </c>
      <c r="B352" t="s">
        <v>3832</v>
      </c>
      <c r="C352">
        <v>61.34</v>
      </c>
      <c r="D352">
        <v>384.06</v>
      </c>
      <c r="E352">
        <v>0.79091500000000003</v>
      </c>
      <c r="F352">
        <v>0.84</v>
      </c>
      <c r="G352">
        <v>46</v>
      </c>
      <c r="H352">
        <v>13.46</v>
      </c>
    </row>
    <row r="353" spans="1:8">
      <c r="A353" s="1">
        <v>12</v>
      </c>
      <c r="B353" t="s">
        <v>3833</v>
      </c>
      <c r="C353">
        <v>63.07</v>
      </c>
      <c r="D353">
        <v>386.71</v>
      </c>
      <c r="E353">
        <v>0.82543100000000003</v>
      </c>
      <c r="F353">
        <v>6.37</v>
      </c>
      <c r="G353">
        <v>2</v>
      </c>
      <c r="H353">
        <v>13.98</v>
      </c>
    </row>
    <row r="354" spans="1:8">
      <c r="A354" s="1">
        <v>13</v>
      </c>
      <c r="B354" t="s">
        <v>3834</v>
      </c>
      <c r="C354">
        <v>69.099999999999994</v>
      </c>
      <c r="D354">
        <v>388.24</v>
      </c>
      <c r="E354">
        <v>0.81947099999999995</v>
      </c>
      <c r="F354">
        <v>6.72</v>
      </c>
      <c r="G354">
        <v>38</v>
      </c>
      <c r="H354">
        <v>15.42</v>
      </c>
    </row>
    <row r="355" spans="1:8">
      <c r="A355" s="1">
        <v>14</v>
      </c>
      <c r="B355" t="s">
        <v>3835</v>
      </c>
      <c r="C355">
        <v>67.19</v>
      </c>
      <c r="D355">
        <v>384.26</v>
      </c>
      <c r="E355">
        <v>0.77472399999999997</v>
      </c>
      <c r="F355">
        <v>0.23</v>
      </c>
      <c r="G355">
        <v>86</v>
      </c>
      <c r="H355">
        <v>15.52</v>
      </c>
    </row>
    <row r="356" spans="1:8">
      <c r="A356" s="1">
        <v>15</v>
      </c>
      <c r="B356" t="s">
        <v>3836</v>
      </c>
      <c r="C356">
        <v>65.94</v>
      </c>
      <c r="D356">
        <v>385.52</v>
      </c>
      <c r="E356">
        <v>0.80170300000000005</v>
      </c>
      <c r="F356">
        <v>1.34</v>
      </c>
      <c r="G356">
        <v>62</v>
      </c>
      <c r="H356">
        <v>14.52</v>
      </c>
    </row>
    <row r="357" spans="1:8">
      <c r="A357" s="1">
        <v>16</v>
      </c>
      <c r="B357" t="s">
        <v>3837</v>
      </c>
      <c r="C357">
        <v>60.85</v>
      </c>
      <c r="D357" t="e">
        <f>-inf</f>
        <v>#NAME?</v>
      </c>
      <c r="E357">
        <v>0.80065299999999995</v>
      </c>
      <c r="F357">
        <v>0</v>
      </c>
      <c r="G357">
        <v>28</v>
      </c>
      <c r="H357">
        <v>13.79</v>
      </c>
    </row>
    <row r="358" spans="1:8">
      <c r="A358" s="1">
        <v>17</v>
      </c>
      <c r="B358" t="s">
        <v>3838</v>
      </c>
      <c r="C358">
        <v>63.34</v>
      </c>
      <c r="D358">
        <v>383.4</v>
      </c>
      <c r="E358">
        <v>0.78719300000000003</v>
      </c>
      <c r="F358">
        <v>1.73</v>
      </c>
      <c r="G358">
        <v>94</v>
      </c>
      <c r="H358">
        <v>13.86</v>
      </c>
    </row>
    <row r="359" spans="1:8">
      <c r="A359" s="1">
        <v>18</v>
      </c>
      <c r="B359" t="s">
        <v>3839</v>
      </c>
      <c r="C359">
        <v>60.78</v>
      </c>
      <c r="D359">
        <v>379.93</v>
      </c>
      <c r="E359">
        <v>0.76155600000000001</v>
      </c>
      <c r="F359">
        <v>1.04</v>
      </c>
      <c r="G359">
        <v>6</v>
      </c>
      <c r="H359">
        <v>13.63</v>
      </c>
    </row>
    <row r="360" spans="1:8">
      <c r="A360" s="1">
        <v>19</v>
      </c>
      <c r="B360" t="s">
        <v>3840</v>
      </c>
      <c r="C360">
        <v>56.27</v>
      </c>
      <c r="D360">
        <v>383.67</v>
      </c>
      <c r="E360">
        <v>0.79570300000000005</v>
      </c>
      <c r="F360">
        <v>6.41</v>
      </c>
      <c r="G360">
        <v>24</v>
      </c>
      <c r="H360">
        <v>12.55</v>
      </c>
    </row>
    <row r="361" spans="1:8">
      <c r="A361" s="1">
        <v>20</v>
      </c>
      <c r="B361" t="s">
        <v>3841</v>
      </c>
      <c r="C361">
        <v>64.7</v>
      </c>
      <c r="D361">
        <v>387.4</v>
      </c>
      <c r="E361">
        <v>0.82034799999999997</v>
      </c>
      <c r="F361">
        <v>11.14</v>
      </c>
      <c r="G361">
        <v>38</v>
      </c>
      <c r="H361">
        <v>14.92</v>
      </c>
    </row>
    <row r="362" spans="1:8">
      <c r="A362" s="1">
        <v>21</v>
      </c>
      <c r="B362" t="s">
        <v>3842</v>
      </c>
      <c r="C362">
        <v>67.91</v>
      </c>
      <c r="D362">
        <v>387.51</v>
      </c>
      <c r="E362">
        <v>0.80137700000000001</v>
      </c>
      <c r="F362">
        <v>2.61</v>
      </c>
      <c r="G362">
        <v>58</v>
      </c>
      <c r="H362">
        <v>15.21</v>
      </c>
    </row>
    <row r="363" spans="1:8">
      <c r="A363" s="1">
        <v>22</v>
      </c>
      <c r="B363" t="s">
        <v>3843</v>
      </c>
      <c r="C363">
        <v>56.48</v>
      </c>
      <c r="D363">
        <v>384.53</v>
      </c>
      <c r="E363">
        <v>0.80798800000000004</v>
      </c>
      <c r="F363">
        <v>14.59</v>
      </c>
      <c r="G363">
        <v>28</v>
      </c>
      <c r="H363">
        <v>12.73</v>
      </c>
    </row>
    <row r="364" spans="1:8">
      <c r="A364" s="1">
        <v>23</v>
      </c>
      <c r="B364" t="s">
        <v>3844</v>
      </c>
      <c r="C364">
        <v>59.09</v>
      </c>
      <c r="D364">
        <v>382.48</v>
      </c>
      <c r="E364">
        <v>0.75159299999999996</v>
      </c>
      <c r="F364">
        <v>0.61</v>
      </c>
      <c r="G364">
        <v>38</v>
      </c>
      <c r="H364">
        <v>13.2</v>
      </c>
    </row>
    <row r="365" spans="1:8">
      <c r="A365" s="1">
        <v>24</v>
      </c>
      <c r="B365" t="s">
        <v>3845</v>
      </c>
      <c r="C365">
        <v>67.27</v>
      </c>
      <c r="D365">
        <v>388.88</v>
      </c>
      <c r="E365">
        <v>0.855325</v>
      </c>
      <c r="F365">
        <v>9.64</v>
      </c>
      <c r="G365">
        <v>2</v>
      </c>
      <c r="H365">
        <v>15.05</v>
      </c>
    </row>
    <row r="366" spans="1:8">
      <c r="A366" s="1">
        <v>25</v>
      </c>
      <c r="B366" t="s">
        <v>3846</v>
      </c>
      <c r="C366">
        <v>69.989999999999995</v>
      </c>
      <c r="D366">
        <v>387.72</v>
      </c>
      <c r="E366">
        <v>0.82992999999999995</v>
      </c>
      <c r="F366">
        <v>1.57</v>
      </c>
      <c r="G366">
        <v>30</v>
      </c>
      <c r="H366">
        <v>15.48</v>
      </c>
    </row>
    <row r="367" spans="1:8">
      <c r="A367" s="1">
        <v>26</v>
      </c>
      <c r="B367" t="s">
        <v>3847</v>
      </c>
      <c r="C367">
        <v>64.69</v>
      </c>
      <c r="D367">
        <v>388.94</v>
      </c>
      <c r="E367">
        <v>0.86563999999999997</v>
      </c>
      <c r="F367">
        <v>27.8</v>
      </c>
      <c r="G367">
        <v>12</v>
      </c>
      <c r="H367">
        <v>14.13</v>
      </c>
    </row>
    <row r="368" spans="1:8">
      <c r="A368" s="1">
        <v>27</v>
      </c>
      <c r="B368" t="s">
        <v>3848</v>
      </c>
      <c r="C368">
        <v>60.23</v>
      </c>
      <c r="D368">
        <v>383.93</v>
      </c>
      <c r="E368">
        <v>0.75598699999999996</v>
      </c>
      <c r="F368">
        <v>2.5</v>
      </c>
      <c r="G368">
        <v>6</v>
      </c>
      <c r="H368">
        <v>13.23</v>
      </c>
    </row>
    <row r="369" spans="1:8">
      <c r="A369" s="1">
        <v>28</v>
      </c>
      <c r="B369" t="s">
        <v>3849</v>
      </c>
      <c r="C369">
        <v>61.17</v>
      </c>
      <c r="D369">
        <v>386.89</v>
      </c>
      <c r="E369">
        <v>0.82528199999999996</v>
      </c>
      <c r="F369">
        <v>13.59</v>
      </c>
      <c r="G369">
        <v>22</v>
      </c>
      <c r="H369">
        <v>13.85</v>
      </c>
    </row>
    <row r="370" spans="1:8">
      <c r="A370" s="1">
        <v>29</v>
      </c>
      <c r="B370" t="s">
        <v>3850</v>
      </c>
      <c r="C370">
        <v>64.06</v>
      </c>
      <c r="D370">
        <v>385.15</v>
      </c>
      <c r="E370">
        <v>0.83529100000000001</v>
      </c>
      <c r="F370">
        <v>1.08</v>
      </c>
      <c r="G370">
        <v>18</v>
      </c>
      <c r="H370">
        <v>14.18</v>
      </c>
    </row>
    <row r="371" spans="1:8">
      <c r="A371" s="1">
        <v>30</v>
      </c>
      <c r="B371" t="s">
        <v>3851</v>
      </c>
      <c r="C371">
        <v>61.89</v>
      </c>
      <c r="D371">
        <v>384.37</v>
      </c>
      <c r="E371">
        <v>0.790767</v>
      </c>
      <c r="F371">
        <v>0.42</v>
      </c>
      <c r="G371">
        <v>52</v>
      </c>
      <c r="H371">
        <v>13.96</v>
      </c>
    </row>
    <row r="372" spans="1:8">
      <c r="A372" s="1">
        <v>31</v>
      </c>
      <c r="B372" t="s">
        <v>3852</v>
      </c>
      <c r="C372">
        <v>58.65</v>
      </c>
      <c r="D372">
        <v>382.43</v>
      </c>
      <c r="E372">
        <v>0.793794</v>
      </c>
      <c r="F372">
        <v>0.81</v>
      </c>
      <c r="G372">
        <v>28</v>
      </c>
      <c r="H372">
        <v>13.15</v>
      </c>
    </row>
    <row r="373" spans="1:8">
      <c r="A373" s="1">
        <v>32</v>
      </c>
      <c r="B373" t="s">
        <v>3853</v>
      </c>
      <c r="C373">
        <v>70.7</v>
      </c>
      <c r="D373">
        <v>387.62</v>
      </c>
      <c r="E373">
        <v>0.84411400000000003</v>
      </c>
      <c r="F373">
        <v>0.84</v>
      </c>
      <c r="G373">
        <v>78</v>
      </c>
      <c r="H373">
        <v>15.34</v>
      </c>
    </row>
    <row r="374" spans="1:8">
      <c r="A374" s="1">
        <v>33</v>
      </c>
      <c r="B374" t="s">
        <v>3854</v>
      </c>
      <c r="C374">
        <v>66.260000000000005</v>
      </c>
      <c r="D374">
        <v>387.96</v>
      </c>
      <c r="E374">
        <v>0.85804000000000002</v>
      </c>
      <c r="F374">
        <v>1.61</v>
      </c>
      <c r="G374">
        <v>70</v>
      </c>
      <c r="H374">
        <v>14.73</v>
      </c>
    </row>
    <row r="375" spans="1:8">
      <c r="A375" s="1">
        <v>34</v>
      </c>
      <c r="B375" t="s">
        <v>3855</v>
      </c>
      <c r="C375">
        <v>61.74</v>
      </c>
      <c r="D375">
        <v>384.97</v>
      </c>
      <c r="E375">
        <v>0.80375700000000005</v>
      </c>
      <c r="F375">
        <v>1.65</v>
      </c>
      <c r="G375">
        <v>30</v>
      </c>
      <c r="H375">
        <v>14.05</v>
      </c>
    </row>
    <row r="376" spans="1:8">
      <c r="A376" s="1">
        <v>35</v>
      </c>
      <c r="B376" t="s">
        <v>3856</v>
      </c>
      <c r="C376">
        <v>62.91</v>
      </c>
      <c r="D376">
        <v>385.6</v>
      </c>
      <c r="E376">
        <v>0.79402899999999998</v>
      </c>
      <c r="F376">
        <v>1.69</v>
      </c>
      <c r="G376">
        <v>46</v>
      </c>
      <c r="H376">
        <v>14.19</v>
      </c>
    </row>
    <row r="377" spans="1:8">
      <c r="A377" s="1">
        <v>36</v>
      </c>
      <c r="B377" t="s">
        <v>3857</v>
      </c>
      <c r="C377">
        <v>60.19</v>
      </c>
      <c r="D377">
        <v>380.87</v>
      </c>
      <c r="E377">
        <v>0.74796200000000002</v>
      </c>
      <c r="F377">
        <v>0.92</v>
      </c>
      <c r="G377">
        <v>0</v>
      </c>
      <c r="H377">
        <v>13.16</v>
      </c>
    </row>
    <row r="378" spans="1:8">
      <c r="A378" s="1">
        <v>37</v>
      </c>
      <c r="B378" t="s">
        <v>3858</v>
      </c>
      <c r="C378">
        <v>62.31</v>
      </c>
      <c r="D378">
        <v>385.86</v>
      </c>
      <c r="E378">
        <v>0.82718800000000003</v>
      </c>
      <c r="F378">
        <v>0.84</v>
      </c>
      <c r="G378">
        <v>14</v>
      </c>
      <c r="H378">
        <v>13.83</v>
      </c>
    </row>
    <row r="379" spans="1:8">
      <c r="A379" s="1">
        <v>38</v>
      </c>
      <c r="B379" t="s">
        <v>3859</v>
      </c>
      <c r="C379">
        <v>63.65</v>
      </c>
      <c r="D379">
        <v>382.36</v>
      </c>
      <c r="E379">
        <v>0.77703100000000003</v>
      </c>
      <c r="F379">
        <v>0.35</v>
      </c>
      <c r="G379">
        <v>72</v>
      </c>
      <c r="H379">
        <v>14.4</v>
      </c>
    </row>
    <row r="380" spans="1:8">
      <c r="A380" s="1">
        <v>39</v>
      </c>
      <c r="B380" t="s">
        <v>3860</v>
      </c>
      <c r="C380">
        <v>59.7</v>
      </c>
      <c r="D380">
        <v>383.08</v>
      </c>
      <c r="E380">
        <v>0.76652799999999999</v>
      </c>
      <c r="F380">
        <v>2.84</v>
      </c>
      <c r="G380">
        <v>74</v>
      </c>
      <c r="H380">
        <v>13.57</v>
      </c>
    </row>
    <row r="381" spans="1:8">
      <c r="A381" s="1">
        <v>40</v>
      </c>
      <c r="B381" t="s">
        <v>3861</v>
      </c>
      <c r="C381">
        <v>57.05</v>
      </c>
      <c r="D381">
        <v>384.74</v>
      </c>
      <c r="E381">
        <v>0.82774300000000001</v>
      </c>
      <c r="F381">
        <v>2.19</v>
      </c>
      <c r="G381">
        <v>28</v>
      </c>
      <c r="H381">
        <v>12.67</v>
      </c>
    </row>
    <row r="382" spans="1:8">
      <c r="A382" s="1">
        <v>41</v>
      </c>
      <c r="B382" t="s">
        <v>3862</v>
      </c>
      <c r="C382">
        <v>54.49</v>
      </c>
      <c r="D382">
        <v>382.17</v>
      </c>
      <c r="E382">
        <v>0.80476400000000003</v>
      </c>
      <c r="F382">
        <v>1.46</v>
      </c>
      <c r="G382">
        <v>64</v>
      </c>
      <c r="H382">
        <v>12.25</v>
      </c>
    </row>
    <row r="383" spans="1:8">
      <c r="A383" s="1">
        <v>42</v>
      </c>
      <c r="B383" t="s">
        <v>3863</v>
      </c>
      <c r="C383">
        <v>63.64</v>
      </c>
      <c r="D383">
        <v>384.94</v>
      </c>
      <c r="E383">
        <v>0.78361400000000003</v>
      </c>
      <c r="F383">
        <v>0.96</v>
      </c>
      <c r="G383">
        <v>96</v>
      </c>
      <c r="H383">
        <v>14.31</v>
      </c>
    </row>
    <row r="384" spans="1:8">
      <c r="A384" s="1">
        <v>43</v>
      </c>
      <c r="B384" t="s">
        <v>3864</v>
      </c>
      <c r="C384">
        <v>64.69</v>
      </c>
      <c r="D384">
        <v>385.46</v>
      </c>
      <c r="E384">
        <v>0.79303800000000002</v>
      </c>
      <c r="F384">
        <v>3.8</v>
      </c>
      <c r="G384">
        <v>22</v>
      </c>
      <c r="H384">
        <v>14.54</v>
      </c>
    </row>
    <row r="385" spans="1:8">
      <c r="A385" s="1">
        <v>44</v>
      </c>
      <c r="B385" t="s">
        <v>3865</v>
      </c>
      <c r="C385">
        <v>63.72</v>
      </c>
      <c r="D385">
        <v>386.3</v>
      </c>
      <c r="E385">
        <v>0.82030000000000003</v>
      </c>
      <c r="F385">
        <v>2.11</v>
      </c>
      <c r="G385">
        <v>20</v>
      </c>
      <c r="H385">
        <v>14.58</v>
      </c>
    </row>
    <row r="386" spans="1:8">
      <c r="A386" s="1">
        <v>45</v>
      </c>
      <c r="B386" t="s">
        <v>3866</v>
      </c>
      <c r="C386">
        <v>63.47</v>
      </c>
      <c r="D386">
        <v>383.47</v>
      </c>
      <c r="E386">
        <v>0.81497200000000003</v>
      </c>
      <c r="F386">
        <v>0.19</v>
      </c>
      <c r="G386">
        <v>86</v>
      </c>
      <c r="H386">
        <v>14.36</v>
      </c>
    </row>
    <row r="387" spans="1:8">
      <c r="A387" s="1">
        <v>46</v>
      </c>
      <c r="B387" t="s">
        <v>3867</v>
      </c>
      <c r="C387">
        <v>63.29</v>
      </c>
      <c r="D387">
        <v>379.12</v>
      </c>
      <c r="E387">
        <v>0.77814899999999998</v>
      </c>
      <c r="F387">
        <v>0.08</v>
      </c>
      <c r="G387">
        <v>28</v>
      </c>
      <c r="H387">
        <v>14.56</v>
      </c>
    </row>
    <row r="388" spans="1:8">
      <c r="A388" s="1">
        <v>47</v>
      </c>
      <c r="B388" t="s">
        <v>3868</v>
      </c>
      <c r="C388">
        <v>62.12</v>
      </c>
      <c r="D388">
        <v>383.16</v>
      </c>
      <c r="E388">
        <v>0.77643099999999998</v>
      </c>
      <c r="F388">
        <v>1</v>
      </c>
      <c r="G388">
        <v>30</v>
      </c>
      <c r="H388">
        <v>13.74</v>
      </c>
    </row>
    <row r="389" spans="1:8">
      <c r="A389" s="1">
        <v>48</v>
      </c>
      <c r="B389" t="s">
        <v>3869</v>
      </c>
      <c r="C389">
        <v>64.819999999999993</v>
      </c>
      <c r="D389">
        <v>385.24</v>
      </c>
      <c r="E389">
        <v>0.78253499999999998</v>
      </c>
      <c r="F389">
        <v>1.69</v>
      </c>
      <c r="G389">
        <v>32</v>
      </c>
      <c r="H389">
        <v>14.29</v>
      </c>
    </row>
    <row r="390" spans="1:8">
      <c r="A390" s="1">
        <v>49</v>
      </c>
      <c r="B390" t="s">
        <v>3870</v>
      </c>
      <c r="C390">
        <v>60.31</v>
      </c>
      <c r="D390">
        <v>385.73</v>
      </c>
      <c r="E390">
        <v>0.81563600000000003</v>
      </c>
      <c r="F390">
        <v>6.26</v>
      </c>
      <c r="G390">
        <v>2</v>
      </c>
      <c r="H390">
        <v>13.74</v>
      </c>
    </row>
    <row r="391" spans="1:8">
      <c r="A391" s="1">
        <v>50</v>
      </c>
      <c r="B391" t="s">
        <v>3871</v>
      </c>
      <c r="C391">
        <v>57.88</v>
      </c>
      <c r="D391">
        <v>383.28</v>
      </c>
      <c r="E391">
        <v>0.78403800000000001</v>
      </c>
      <c r="F391">
        <v>3.99</v>
      </c>
      <c r="G391">
        <v>8</v>
      </c>
      <c r="H391">
        <v>13.52</v>
      </c>
    </row>
    <row r="392" spans="1:8">
      <c r="B392" s="1" t="s">
        <v>19</v>
      </c>
      <c r="C392" s="1">
        <f>AVERAGE(C342:C391)</f>
        <v>62.751599999999996</v>
      </c>
      <c r="D392" s="1" t="e">
        <f t="shared" ref="D392:F392" si="17">AVERAGE(D342:D391)</f>
        <v>#NAME?</v>
      </c>
      <c r="E392" s="1">
        <f t="shared" si="17"/>
        <v>0.8014585000000003</v>
      </c>
      <c r="F392" s="1">
        <f t="shared" si="17"/>
        <v>3.2376000000000009</v>
      </c>
      <c r="H392" s="1">
        <f t="shared" ref="H392" si="18">AVERAGE(H342:H391)</f>
        <v>14.082399999999998</v>
      </c>
    </row>
    <row r="393" spans="1:8">
      <c r="B393" s="1" t="s">
        <v>20</v>
      </c>
      <c r="C393" s="1">
        <f>MIN(C341:C391)</f>
        <v>54.49</v>
      </c>
      <c r="D393" s="1" t="e">
        <f t="shared" ref="D393:F393" si="19">MIN(D341:D391)</f>
        <v>#NAME?</v>
      </c>
      <c r="E393" s="1">
        <f t="shared" si="19"/>
        <v>0.74796200000000002</v>
      </c>
      <c r="F393" s="1">
        <f t="shared" si="19"/>
        <v>0</v>
      </c>
      <c r="H393" s="1">
        <f t="shared" ref="H393" si="20">MIN(H341:H391)</f>
        <v>12.25</v>
      </c>
    </row>
    <row r="394" spans="1:8">
      <c r="B394" s="1" t="s">
        <v>3</v>
      </c>
      <c r="C394" s="1">
        <f>STDEV(C342:C391)</f>
        <v>3.4857332317986112</v>
      </c>
      <c r="D394" s="1" t="e">
        <f t="shared" ref="D394:E394" si="21">STDEV(D342:D391)</f>
        <v>#NAME?</v>
      </c>
      <c r="E394" s="1">
        <f t="shared" si="21"/>
        <v>2.8909809379818581E-2</v>
      </c>
      <c r="F394" s="1">
        <f>STDEV(F342:F391)</f>
        <v>4.860295010782445</v>
      </c>
      <c r="H394" s="1">
        <f>STDEV(H342:H391)</f>
        <v>0.78138955243404518</v>
      </c>
    </row>
    <row r="397" spans="1:8" ht="18">
      <c r="A397" s="23"/>
      <c r="B397" s="3"/>
      <c r="C397" s="23"/>
      <c r="D397" s="23"/>
      <c r="E397" s="23"/>
      <c r="F397" s="23"/>
      <c r="G397" s="23"/>
    </row>
    <row r="421" spans="2:4" ht="18">
      <c r="B421" s="3"/>
      <c r="C421" s="23"/>
      <c r="D421" s="23"/>
    </row>
    <row r="445" spans="2:4" ht="18">
      <c r="B445" s="3"/>
      <c r="C445" s="23"/>
      <c r="D445" s="23"/>
    </row>
  </sheetData>
  <mergeCells count="1">
    <mergeCell ref="B1:D2"/>
  </mergeCells>
  <pageMargins left="0.7" right="0.7" top="0.75" bottom="0.75" header="0.3" footer="0.3"/>
  <pageSetup paperSize="32767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36"/>
  <sheetViews>
    <sheetView tabSelected="1" zoomScale="90" zoomScaleNormal="90" workbookViewId="0">
      <selection activeCell="G21" sqref="G21"/>
    </sheetView>
  </sheetViews>
  <sheetFormatPr defaultRowHeight="14.4"/>
  <cols>
    <col min="1" max="1" width="8.88671875" customWidth="1"/>
  </cols>
  <sheetData>
    <row r="1" spans="1:9" ht="15" thickBot="1">
      <c r="A1" s="14"/>
      <c r="B1" s="32" t="s">
        <v>1452</v>
      </c>
      <c r="C1" s="29" t="s">
        <v>14</v>
      </c>
      <c r="D1" s="30"/>
      <c r="E1" s="30"/>
      <c r="F1" s="30"/>
      <c r="G1" s="30"/>
      <c r="H1" s="30"/>
      <c r="I1" s="31"/>
    </row>
    <row r="2" spans="1:9" ht="15" thickBot="1">
      <c r="A2" s="15"/>
      <c r="B2" s="33"/>
      <c r="C2" s="10">
        <v>2</v>
      </c>
      <c r="D2" s="10">
        <v>5</v>
      </c>
      <c r="E2" s="10">
        <v>10</v>
      </c>
      <c r="F2" s="10">
        <v>20</v>
      </c>
      <c r="G2" s="10">
        <v>30</v>
      </c>
      <c r="H2" s="10">
        <v>40</v>
      </c>
      <c r="I2" s="11">
        <v>50</v>
      </c>
    </row>
    <row r="3" spans="1:9">
      <c r="A3" s="27" t="s">
        <v>327</v>
      </c>
      <c r="B3" s="16" t="s">
        <v>16</v>
      </c>
      <c r="C3" s="6">
        <f>OP_PL3_Jul!C56</f>
        <v>88.709199999999996</v>
      </c>
      <c r="D3" s="6">
        <f>OP_PL3_Jul!C112</f>
        <v>87.054599999999994</v>
      </c>
      <c r="E3" s="6">
        <f>OP_PL3_Jul!C168</f>
        <v>83.663199999999975</v>
      </c>
      <c r="F3" s="6">
        <f>OP_PL3_Jul!C224</f>
        <v>74.410399999999981</v>
      </c>
      <c r="G3" s="6">
        <f>OP_PL3_Jul!C280</f>
        <v>70.254400000000004</v>
      </c>
      <c r="H3" s="6">
        <f>OP_PL3_Jul!C336</f>
        <v>64.756399999999999</v>
      </c>
      <c r="I3" s="7">
        <f>OP_PL3_Jul!C392</f>
        <v>58.795600000000007</v>
      </c>
    </row>
    <row r="4" spans="1:9">
      <c r="A4" s="27"/>
      <c r="B4" s="16" t="s">
        <v>17</v>
      </c>
      <c r="C4" s="6">
        <f>SCB_PL3_Jul!C56</f>
        <v>204.02479999999997</v>
      </c>
      <c r="D4" s="6">
        <f>SCB_PL3_Jul!C112</f>
        <v>165.55699999999993</v>
      </c>
      <c r="E4" s="6">
        <f>SCB_PL3_Jul!C168</f>
        <v>126.69339999999998</v>
      </c>
      <c r="F4" s="6">
        <f>SCB_PL3_Jul!C224</f>
        <v>86.262000000000029</v>
      </c>
      <c r="G4" s="6">
        <f>SCB_PL3_Jul!C280</f>
        <v>65.344400000000007</v>
      </c>
      <c r="H4" s="6">
        <f>SCB_PL3_Jul!C336</f>
        <v>54.540800000000019</v>
      </c>
      <c r="I4" s="7">
        <f>SCB_PL3_Jul!C392</f>
        <v>48.113800000000012</v>
      </c>
    </row>
    <row r="5" spans="1:9">
      <c r="A5" s="27"/>
      <c r="B5" s="16" t="s">
        <v>15</v>
      </c>
      <c r="C5" s="6">
        <f>AM_PL3_Jul!C56</f>
        <v>207.94579999999993</v>
      </c>
      <c r="D5" s="6">
        <f>AM_PL3_Jul!C112</f>
        <v>179.27939999999998</v>
      </c>
      <c r="E5" s="6">
        <f>AM_PL3_Jul!C168</f>
        <v>147.49840000000003</v>
      </c>
      <c r="F5" s="6">
        <f>AM_PL3_Jul!C224</f>
        <v>109.4196</v>
      </c>
      <c r="G5" s="6">
        <f>AM_PL3_Jul!C280</f>
        <v>92.830399999999997</v>
      </c>
      <c r="H5" s="6">
        <f>AM_PL3_Jul!C336</f>
        <v>79.653599999999997</v>
      </c>
      <c r="I5" s="7">
        <f>AM_PL3_Jul!C392</f>
        <v>69.493400000000008</v>
      </c>
    </row>
    <row r="6" spans="1:9" ht="15" thickBot="1">
      <c r="A6" s="28"/>
      <c r="B6" s="13" t="s">
        <v>18</v>
      </c>
      <c r="C6" s="8">
        <f>PU_PL3_Jul!C56</f>
        <v>122.91839999999998</v>
      </c>
      <c r="D6" s="8">
        <f>PU_PL3_Jul!C112</f>
        <v>114.81640000000002</v>
      </c>
      <c r="E6" s="8">
        <f>PU_PL3_Jul!C168</f>
        <v>104.09040000000005</v>
      </c>
      <c r="F6" s="8">
        <f>PU_PL3_Jul!C224</f>
        <v>86.459199999999981</v>
      </c>
      <c r="G6" s="8">
        <f>PU_PL3_Jul!C280</f>
        <v>78.45480000000002</v>
      </c>
      <c r="H6" s="8">
        <f>PU_PL3_Jul!C336</f>
        <v>70.156600000000012</v>
      </c>
      <c r="I6" s="9">
        <f>PU_PL3_Jul!C392</f>
        <v>62.751599999999996</v>
      </c>
    </row>
    <row r="7" spans="1:9">
      <c r="A7" s="26" t="s">
        <v>325</v>
      </c>
      <c r="B7" s="17" t="s">
        <v>16</v>
      </c>
      <c r="C7" s="4">
        <f>OP_PL3_Jul!C58</f>
        <v>5.1302245007965928</v>
      </c>
      <c r="D7" s="4">
        <f>OP_PL3_Jul!C114</f>
        <v>6.6576591492008603</v>
      </c>
      <c r="E7" s="4">
        <f>OP_PL3_Jul!C170</f>
        <v>5.7135686835850805</v>
      </c>
      <c r="F7" s="4">
        <f>OP_PL3_Jul!C226</f>
        <v>5.4318576369193101</v>
      </c>
      <c r="G7" s="4">
        <f>OP_PL3_Jul!C282</f>
        <v>4.2142402709411959</v>
      </c>
      <c r="H7" s="4">
        <f>OP_PL3_Jul!C338</f>
        <v>3.4935770569806341</v>
      </c>
      <c r="I7" s="5">
        <f>OP_PL3_Jul!C394</f>
        <v>3.406371676725616</v>
      </c>
    </row>
    <row r="8" spans="1:9">
      <c r="A8" s="27"/>
      <c r="B8" s="16" t="s">
        <v>17</v>
      </c>
      <c r="C8" s="6">
        <f>SCB_PL3_Jul!C58</f>
        <v>79.042312957771571</v>
      </c>
      <c r="D8" s="6">
        <f>SCB_PL3_Jul!C114</f>
        <v>53.320917450425767</v>
      </c>
      <c r="E8" s="6">
        <f>SCB_PL3_Jul!C170</f>
        <v>24.979595723105756</v>
      </c>
      <c r="F8" s="6">
        <f>SCB_PL3_Jul!C226</f>
        <v>13.478546369875874</v>
      </c>
      <c r="G8" s="6">
        <f>SCB_PL3_Jul!C282</f>
        <v>7.5642799568303936</v>
      </c>
      <c r="H8" s="6">
        <f>SCB_PL3_Jul!C338</f>
        <v>6.3102928034523567</v>
      </c>
      <c r="I8" s="7">
        <f>SCB_PL3_Jul!C394</f>
        <v>5.0243983861607981</v>
      </c>
    </row>
    <row r="9" spans="1:9">
      <c r="A9" s="27"/>
      <c r="B9" s="16" t="s">
        <v>15</v>
      </c>
      <c r="C9" s="6">
        <f>AM_PL3_Jul!C58</f>
        <v>76.467989143383861</v>
      </c>
      <c r="D9" s="6">
        <f>AM_PL3_Jul!C114</f>
        <v>46.964065959724998</v>
      </c>
      <c r="E9" s="6">
        <f>AM_PL3_Jul!C170</f>
        <v>22.574057203175361</v>
      </c>
      <c r="F9" s="6">
        <f>AM_PL3_Jul!C226</f>
        <v>13.114782430680235</v>
      </c>
      <c r="G9" s="6">
        <f>AM_PL3_Jul!C282</f>
        <v>7.412856443575853</v>
      </c>
      <c r="H9" s="6">
        <f>AM_PL3_Jul!C338</f>
        <v>4.6226513109750762</v>
      </c>
      <c r="I9" s="7">
        <f>AM_PL3_Jul!C394</f>
        <v>4.4620945982891067</v>
      </c>
    </row>
    <row r="10" spans="1:9" ht="15" thickBot="1">
      <c r="A10" s="28"/>
      <c r="B10" s="13" t="s">
        <v>18</v>
      </c>
      <c r="C10" s="8">
        <f>PU_PL3_Jul!C58</f>
        <v>20.136043463584013</v>
      </c>
      <c r="D10" s="8">
        <f>PU_PL3_Jul!C114</f>
        <v>14.711180082799832</v>
      </c>
      <c r="E10" s="8">
        <f>PU_PL3_Jul!C170</f>
        <v>8.8958403395589496</v>
      </c>
      <c r="F10" s="8">
        <f>PU_PL3_Jul!C226</f>
        <v>6.8477047666669542</v>
      </c>
      <c r="G10" s="8">
        <f>PU_PL3_Jul!C282</f>
        <v>4.7851548670904913</v>
      </c>
      <c r="H10" s="8">
        <f>PU_PL3_Jul!C338</f>
        <v>3.1561877094275372</v>
      </c>
      <c r="I10" s="9">
        <f>PU_PL3_Jul!C394</f>
        <v>3.4857332317986112</v>
      </c>
    </row>
    <row r="11" spans="1:9">
      <c r="A11" s="26" t="s">
        <v>1233</v>
      </c>
      <c r="B11" s="17" t="s">
        <v>16</v>
      </c>
      <c r="C11" s="4">
        <f>OP_PL3_Jul!D56</f>
        <v>15.892399999999995</v>
      </c>
      <c r="D11" s="4" t="e">
        <f>OP_PL3_Jul!D112</f>
        <v>#NAME?</v>
      </c>
      <c r="E11" s="4">
        <f>OP_PL3_Jul!D168</f>
        <v>79.071200000000005</v>
      </c>
      <c r="F11" s="4">
        <f>OP_PL3_Jul!C224</f>
        <v>74.410399999999981</v>
      </c>
      <c r="G11" s="4" t="e">
        <f>OP_PL3_Jul!D280</f>
        <v>#NAME?</v>
      </c>
      <c r="H11" s="4" t="e">
        <f>OP_PL3_Jul!D336</f>
        <v>#NAME?</v>
      </c>
      <c r="I11" s="5" t="e">
        <f>OP_PL3_Jul!D392</f>
        <v>#NAME?</v>
      </c>
    </row>
    <row r="12" spans="1:9">
      <c r="A12" s="27"/>
      <c r="B12" s="16" t="s">
        <v>17</v>
      </c>
      <c r="C12" s="6">
        <f>SCB_PL3_Jul!D56</f>
        <v>16.485000000000003</v>
      </c>
      <c r="D12" s="6" t="e">
        <f>SCB_PL3_Jul!D112</f>
        <v>#NAME?</v>
      </c>
      <c r="E12" s="6" t="e">
        <f>SCB_PL3_Jul!D168</f>
        <v>#NAME?</v>
      </c>
      <c r="F12" s="6">
        <f>SCB_PL3_Jul!C224</f>
        <v>86.262000000000029</v>
      </c>
      <c r="G12" s="6" t="e">
        <f>SCB_PL3_Jul!D280</f>
        <v>#NAME?</v>
      </c>
      <c r="H12" s="6" t="e">
        <f>SCB_PL3_Jul!D336</f>
        <v>#NAME?</v>
      </c>
      <c r="I12" s="7" t="e">
        <f>SCB_PL3_Jul!D392</f>
        <v>#NAME?</v>
      </c>
    </row>
    <row r="13" spans="1:9">
      <c r="A13" s="27"/>
      <c r="B13" s="16" t="s">
        <v>15</v>
      </c>
      <c r="C13" s="6">
        <f>AM_PL3_Jul!D56</f>
        <v>16.509400000000007</v>
      </c>
      <c r="D13" s="6">
        <f>AM_PL3_Jul!D112</f>
        <v>40.930600000000005</v>
      </c>
      <c r="E13" s="6">
        <f>AM_PL3_Jul!D168</f>
        <v>80.949200000000005</v>
      </c>
      <c r="F13" s="6">
        <f>AM_PL3_Jul!C224</f>
        <v>109.4196</v>
      </c>
      <c r="G13" s="6">
        <f>AM_PL3_Jul!D280</f>
        <v>235.79000000000005</v>
      </c>
      <c r="H13" s="6">
        <f>AM_PL3_Jul!D336</f>
        <v>310.99320000000006</v>
      </c>
      <c r="I13" s="7" t="e">
        <f>AM_PL3_Jul!D392</f>
        <v>#NAME?</v>
      </c>
    </row>
    <row r="14" spans="1:9" ht="15" thickBot="1">
      <c r="A14" s="27"/>
      <c r="B14" s="16" t="s">
        <v>18</v>
      </c>
      <c r="C14" s="6">
        <f>PU_PL3_Jul!D56</f>
        <v>16.153000000000009</v>
      </c>
      <c r="D14" s="6">
        <f>PU_PL3_Jul!D112</f>
        <v>40.198400000000007</v>
      </c>
      <c r="E14" s="6">
        <f>PU_PL3_Jul!D168</f>
        <v>79.938400000000016</v>
      </c>
      <c r="F14" s="6">
        <f>PU_PL3_Jul!C224</f>
        <v>86.459199999999981</v>
      </c>
      <c r="G14" s="6">
        <f>PU_PL3_Jul!D280</f>
        <v>234.70100000000002</v>
      </c>
      <c r="H14" s="6" t="e">
        <f>PU_PL3_Jul!D336</f>
        <v>#NAME?</v>
      </c>
      <c r="I14" s="7" t="e">
        <f>PU_PL3_Jul!D392</f>
        <v>#NAME?</v>
      </c>
    </row>
    <row r="15" spans="1:9">
      <c r="A15" s="26" t="s">
        <v>1451</v>
      </c>
      <c r="B15" s="17" t="s">
        <v>16</v>
      </c>
      <c r="C15" s="4">
        <f t="shared" ref="C15:I18" si="0">C11/C$2</f>
        <v>7.9461999999999975</v>
      </c>
      <c r="D15" s="4" t="e">
        <f t="shared" si="0"/>
        <v>#NAME?</v>
      </c>
      <c r="E15" s="4">
        <f t="shared" si="0"/>
        <v>7.9071200000000008</v>
      </c>
      <c r="F15" s="4">
        <f t="shared" si="0"/>
        <v>3.7205199999999992</v>
      </c>
      <c r="G15" s="4" t="e">
        <f t="shared" si="0"/>
        <v>#NAME?</v>
      </c>
      <c r="H15" s="4" t="e">
        <f t="shared" si="0"/>
        <v>#NAME?</v>
      </c>
      <c r="I15" s="5" t="e">
        <f t="shared" si="0"/>
        <v>#NAME?</v>
      </c>
    </row>
    <row r="16" spans="1:9">
      <c r="A16" s="27"/>
      <c r="B16" s="16" t="s">
        <v>17</v>
      </c>
      <c r="C16" s="6">
        <f t="shared" si="0"/>
        <v>8.2425000000000015</v>
      </c>
      <c r="D16" s="6" t="e">
        <f t="shared" si="0"/>
        <v>#NAME?</v>
      </c>
      <c r="E16" s="6" t="e">
        <f t="shared" si="0"/>
        <v>#NAME?</v>
      </c>
      <c r="F16" s="6">
        <f t="shared" si="0"/>
        <v>4.3131000000000013</v>
      </c>
      <c r="G16" s="6" t="e">
        <f t="shared" si="0"/>
        <v>#NAME?</v>
      </c>
      <c r="H16" s="6" t="e">
        <f t="shared" si="0"/>
        <v>#NAME?</v>
      </c>
      <c r="I16" s="7" t="e">
        <f t="shared" si="0"/>
        <v>#NAME?</v>
      </c>
    </row>
    <row r="17" spans="1:9">
      <c r="A17" s="27"/>
      <c r="B17" s="16" t="s">
        <v>15</v>
      </c>
      <c r="C17" s="6">
        <f t="shared" si="0"/>
        <v>8.2547000000000033</v>
      </c>
      <c r="D17" s="6">
        <f t="shared" si="0"/>
        <v>8.1861200000000007</v>
      </c>
      <c r="E17" s="6">
        <f t="shared" si="0"/>
        <v>8.0949200000000001</v>
      </c>
      <c r="F17" s="6">
        <f t="shared" si="0"/>
        <v>5.47098</v>
      </c>
      <c r="G17" s="6">
        <f t="shared" si="0"/>
        <v>7.8596666666666684</v>
      </c>
      <c r="H17" s="6">
        <f t="shared" si="0"/>
        <v>7.7748300000000015</v>
      </c>
      <c r="I17" s="7" t="e">
        <f t="shared" si="0"/>
        <v>#NAME?</v>
      </c>
    </row>
    <row r="18" spans="1:9" ht="15" thickBot="1">
      <c r="A18" s="28"/>
      <c r="B18" s="13" t="s">
        <v>18</v>
      </c>
      <c r="C18" s="8">
        <f t="shared" si="0"/>
        <v>8.0765000000000047</v>
      </c>
      <c r="D18" s="8">
        <f t="shared" si="0"/>
        <v>8.0396800000000006</v>
      </c>
      <c r="E18" s="8">
        <f t="shared" si="0"/>
        <v>7.9938400000000014</v>
      </c>
      <c r="F18" s="8">
        <f t="shared" si="0"/>
        <v>4.3229599999999992</v>
      </c>
      <c r="G18" s="8">
        <f t="shared" si="0"/>
        <v>7.8233666666666677</v>
      </c>
      <c r="H18" s="8" t="e">
        <f t="shared" si="0"/>
        <v>#NAME?</v>
      </c>
      <c r="I18" s="9" t="e">
        <f t="shared" si="0"/>
        <v>#NAME?</v>
      </c>
    </row>
    <row r="19" spans="1:9">
      <c r="A19" s="27" t="s">
        <v>321</v>
      </c>
      <c r="B19" s="16" t="s">
        <v>16</v>
      </c>
      <c r="C19" s="6">
        <f>OP_PL3_Jul!E56</f>
        <v>0.99482478000000019</v>
      </c>
      <c r="D19" s="6">
        <f>OP_PL3_Jul!E112</f>
        <v>0.98039456000000025</v>
      </c>
      <c r="E19" s="6">
        <f>OP_PL3_Jul!E168</f>
        <v>0.96531877999999993</v>
      </c>
      <c r="F19" s="6">
        <f>OP_PL3_Jul!E224</f>
        <v>0.91096137999999982</v>
      </c>
      <c r="G19" s="6">
        <f>OP_PL3_Jul!E280</f>
        <v>0.88130297999999996</v>
      </c>
      <c r="H19" s="6">
        <f>OP_PL3_Jul!E336</f>
        <v>0.84766677999999984</v>
      </c>
      <c r="I19" s="6">
        <f>OP_PL3_Jul!E392</f>
        <v>0.81633951999999976</v>
      </c>
    </row>
    <row r="20" spans="1:9">
      <c r="A20" s="27"/>
      <c r="B20" s="16" t="s">
        <v>17</v>
      </c>
      <c r="C20" s="6">
        <f>SCB_PL3_Jul!E56</f>
        <v>0.89922283999999975</v>
      </c>
      <c r="D20" s="6">
        <f>SCB_PL3_Jul!E112</f>
        <v>0.77466785999999999</v>
      </c>
      <c r="E20" s="6">
        <f>SCB_PL3_Jul!E168</f>
        <v>0.69641953999999995</v>
      </c>
      <c r="F20" s="6">
        <f>SCB_PL3_Jul!E224</f>
        <v>0.55210591999999992</v>
      </c>
      <c r="G20" s="6">
        <f>SCB_PL3_Jul!E280</f>
        <v>0.49522285999999993</v>
      </c>
      <c r="H20" s="6">
        <f>SCB_PL3_Jul!E336</f>
        <v>0.44965875999999999</v>
      </c>
      <c r="I20" s="6">
        <f>SCB_PL3_Jul!E392</f>
        <v>0.41833959999999976</v>
      </c>
    </row>
    <row r="21" spans="1:9">
      <c r="A21" s="27"/>
      <c r="B21" s="16" t="s">
        <v>15</v>
      </c>
      <c r="C21" s="6">
        <f>AM_PL3_Jul!E56</f>
        <v>0.89933021999999985</v>
      </c>
      <c r="D21" s="6">
        <f>AM_PL3_Jul!E112</f>
        <v>0.82728329999999994</v>
      </c>
      <c r="E21" s="6">
        <f>AM_PL3_Jul!E168</f>
        <v>0.7859918199999999</v>
      </c>
      <c r="F21" s="6">
        <f>AM_PL3_Jul!E224</f>
        <v>0.76848375999999985</v>
      </c>
      <c r="G21" s="6">
        <f>AM_PL3_Jul!E280</f>
        <v>0.76133139999999966</v>
      </c>
      <c r="H21" s="6">
        <f>AM_PL3_Jul!E336</f>
        <v>0.72994122000000017</v>
      </c>
      <c r="I21" s="6">
        <f>AM_PL3_Jul!E392</f>
        <v>0.71851290000000001</v>
      </c>
    </row>
    <row r="22" spans="1:9" ht="15" thickBot="1">
      <c r="A22" s="28"/>
      <c r="B22" s="13" t="s">
        <v>18</v>
      </c>
      <c r="C22" s="8">
        <f>PU_PL3_Jul!E56</f>
        <v>0.9690940400000001</v>
      </c>
      <c r="D22" s="8">
        <f>PU_PL3_Jul!E112</f>
        <v>0.94486700000000001</v>
      </c>
      <c r="E22" s="8">
        <f>PU_PL3_Jul!E168</f>
        <v>0.93002488000000016</v>
      </c>
      <c r="F22" s="8">
        <f>PU_PL3_Jul!E224</f>
        <v>0.88751912000000022</v>
      </c>
      <c r="G22" s="8">
        <f>PU_PL3_Jul!E280</f>
        <v>0.8622227600000002</v>
      </c>
      <c r="H22" s="8">
        <f>PU_PL3_Jul!E336</f>
        <v>0.83001747999999997</v>
      </c>
      <c r="I22" s="8">
        <f>PU_PL3_Jul!E392</f>
        <v>0.8014585000000003</v>
      </c>
    </row>
    <row r="23" spans="1:9">
      <c r="A23" s="26" t="s">
        <v>326</v>
      </c>
      <c r="B23" s="17" t="s">
        <v>16</v>
      </c>
      <c r="C23" s="4">
        <f>OP_PL3_Jul!F56</f>
        <v>83.447399999999959</v>
      </c>
      <c r="D23" s="4">
        <f>OP_PL3_Jul!F112</f>
        <v>74.621599999999987</v>
      </c>
      <c r="E23" s="4">
        <f>OP_PL3_Jul!F168</f>
        <v>58.221799999999988</v>
      </c>
      <c r="F23" s="4">
        <f>OP_PL3_Jul!F224</f>
        <v>23.952600000000004</v>
      </c>
      <c r="G23" s="4">
        <f>OP_PL3_Jul!F280</f>
        <v>7.7851999999999988</v>
      </c>
      <c r="H23" s="4">
        <f>OP_PL3_Jul!F336</f>
        <v>5.7740000000000018</v>
      </c>
      <c r="I23" s="5">
        <f>OP_PL3_Jul!F392</f>
        <v>2.5206000000000004</v>
      </c>
    </row>
    <row r="24" spans="1:9">
      <c r="A24" s="27"/>
      <c r="B24" s="16" t="s">
        <v>17</v>
      </c>
      <c r="C24" s="6">
        <f>SCB_PL3_Jul!F56</f>
        <v>145.83680000000001</v>
      </c>
      <c r="D24" s="6">
        <f>SCB_PL3_Jul!F112</f>
        <v>72.605200000000011</v>
      </c>
      <c r="E24" s="6">
        <f>SCB_PL3_Jul!F168</f>
        <v>14.531200000000002</v>
      </c>
      <c r="F24" s="6">
        <f>SCB_PL3_Jul!F224</f>
        <v>0.11560000000000001</v>
      </c>
      <c r="G24" s="6">
        <f>SCB_PL3_Jul!F280</f>
        <v>1.6000000000000001E-3</v>
      </c>
      <c r="H24" s="6">
        <f>SCB_PL3_Jul!F336</f>
        <v>0</v>
      </c>
      <c r="I24" s="7">
        <f>SCB_PL3_Jul!F392</f>
        <v>0</v>
      </c>
    </row>
    <row r="25" spans="1:9">
      <c r="A25" s="27"/>
      <c r="B25" s="16" t="s">
        <v>15</v>
      </c>
      <c r="C25" s="6">
        <f>AM_PL3_Jul!F56</f>
        <v>148.77600000000001</v>
      </c>
      <c r="D25" s="6">
        <f>AM_PL3_Jul!F112</f>
        <v>93.567199999999971</v>
      </c>
      <c r="E25" s="6">
        <f>AM_PL3_Jul!F168</f>
        <v>59.527999999999999</v>
      </c>
      <c r="F25" s="6">
        <f>AM_PL3_Jul!F224</f>
        <v>19.196999999999999</v>
      </c>
      <c r="G25" s="6">
        <f>AM_PL3_Jul!F280</f>
        <v>6.5205999999999991</v>
      </c>
      <c r="H25" s="6">
        <f>AM_PL3_Jul!F336</f>
        <v>3.7152000000000012</v>
      </c>
      <c r="I25" s="7">
        <f>AM_PL3_Jul!F392</f>
        <v>2.9975999999999998</v>
      </c>
    </row>
    <row r="26" spans="1:9" ht="15" thickBot="1">
      <c r="A26" s="28"/>
      <c r="B26" s="13" t="s">
        <v>18</v>
      </c>
      <c r="C26" s="8">
        <f>PU_PL3_Jul!F56</f>
        <v>104.77420000000001</v>
      </c>
      <c r="D26" s="8">
        <f>PU_PL3_Jul!F112</f>
        <v>83.921000000000006</v>
      </c>
      <c r="E26" s="8">
        <f>PU_PL3_Jul!F168</f>
        <v>64.292599999999993</v>
      </c>
      <c r="F26" s="8">
        <f>PU_PL3_Jul!F224</f>
        <v>26.790999999999993</v>
      </c>
      <c r="G26" s="8">
        <f>PU_PL3_Jul!F280</f>
        <v>9.5411999999999999</v>
      </c>
      <c r="H26" s="8">
        <f>PU_PL3_Jul!F336</f>
        <v>6.3599999999999985</v>
      </c>
      <c r="I26" s="9">
        <f>PU_PL3_Jul!F392</f>
        <v>3.2376000000000009</v>
      </c>
    </row>
    <row r="27" spans="1:9">
      <c r="A27" s="26" t="s">
        <v>1436</v>
      </c>
      <c r="B27" s="17" t="s">
        <v>16</v>
      </c>
      <c r="C27" s="6">
        <f>OP_PL3_Jul!H56</f>
        <v>19.2178</v>
      </c>
      <c r="D27" s="6">
        <f>OP_PL3_Jul!H112</f>
        <v>18.680800000000001</v>
      </c>
      <c r="E27" s="6">
        <f>OP_PL3_Jul!H176</f>
        <v>16.22</v>
      </c>
      <c r="F27" s="6">
        <f>OP_PL3_Jul!H224</f>
        <v>16.084800000000001</v>
      </c>
      <c r="G27" s="6">
        <f>OP_PL3_Jul!H280</f>
        <v>15.228199999999999</v>
      </c>
      <c r="H27" s="6">
        <f>OP_PL3_Jul!H336</f>
        <v>13.997400000000001</v>
      </c>
      <c r="I27" s="6">
        <f>OP_PL3_Jul!H392</f>
        <v>12.776000000000003</v>
      </c>
    </row>
    <row r="28" spans="1:9">
      <c r="A28" s="27"/>
      <c r="B28" s="16" t="s">
        <v>17</v>
      </c>
      <c r="C28" s="6">
        <f>SCB_PL3_Jul!H56</f>
        <v>63.076199999999993</v>
      </c>
      <c r="D28" s="6">
        <f>SCB_PL3_Jul!H112</f>
        <v>48.249800000000008</v>
      </c>
      <c r="E28" s="6">
        <f>SCB_PL3_Jul!H176</f>
        <v>27.92</v>
      </c>
      <c r="F28" s="6">
        <f>SCB_PL3_Jul!H224</f>
        <v>24.910599999999995</v>
      </c>
      <c r="G28" s="6">
        <f>SCB_PL3_Jul!H280</f>
        <v>17.8276</v>
      </c>
      <c r="H28" s="6">
        <f>SCB_PL3_Jul!H336</f>
        <v>14.342400000000003</v>
      </c>
      <c r="I28" s="6">
        <f>SCB_PL3_Jul!H392</f>
        <v>12.375</v>
      </c>
    </row>
    <row r="29" spans="1:9">
      <c r="A29" s="27"/>
      <c r="B29" s="16" t="s">
        <v>15</v>
      </c>
      <c r="C29" s="6">
        <f>AM_PL3_Jul!H56</f>
        <v>64.034599999999998</v>
      </c>
      <c r="D29" s="6">
        <f>AM_PL3_Jul!H112</f>
        <v>51.081200000000017</v>
      </c>
      <c r="E29" s="6">
        <f>AM_PL3_Jul!H176</f>
        <v>35.1</v>
      </c>
      <c r="F29" s="6">
        <f>AM_PL3_Jul!H224</f>
        <v>28.763200000000005</v>
      </c>
      <c r="G29" s="6">
        <f>AM_PL3_Jul!H280</f>
        <v>23.055199999999992</v>
      </c>
      <c r="H29" s="6">
        <f>AM_PL3_Jul!H336</f>
        <v>19.206400000000002</v>
      </c>
      <c r="I29" s="6">
        <f>AM_PL3_Jul!H392</f>
        <v>16.570999999999998</v>
      </c>
    </row>
    <row r="30" spans="1:9" ht="15" thickBot="1">
      <c r="A30" s="28"/>
      <c r="B30" s="13" t="s">
        <v>18</v>
      </c>
      <c r="C30" s="8">
        <f>PU_PL3_Jul!H56</f>
        <v>30.938399999999998</v>
      </c>
      <c r="D30" s="8">
        <f>PU_PL3_Jul!H112</f>
        <v>27.662599999999998</v>
      </c>
      <c r="E30" s="8">
        <f>PU_PL3_Jul!H176</f>
        <v>21.45</v>
      </c>
      <c r="F30" s="8">
        <f>PU_PL3_Jul!H224</f>
        <v>20.093200000000003</v>
      </c>
      <c r="G30" s="8">
        <f>PU_PL3_Jul!H280</f>
        <v>17.855199999999996</v>
      </c>
      <c r="H30" s="8">
        <f>PU_PL3_Jul!H336</f>
        <v>15.742799999999999</v>
      </c>
      <c r="I30" s="8">
        <f>PU_PL3_Jul!H392</f>
        <v>14.082399999999998</v>
      </c>
    </row>
    <row r="36" spans="13:13">
      <c r="M36" s="23"/>
    </row>
  </sheetData>
  <mergeCells count="9">
    <mergeCell ref="A19:A22"/>
    <mergeCell ref="A23:A26"/>
    <mergeCell ref="A27:A30"/>
    <mergeCell ref="B1:B2"/>
    <mergeCell ref="C1:I1"/>
    <mergeCell ref="A3:A6"/>
    <mergeCell ref="A7:A10"/>
    <mergeCell ref="A11:A14"/>
    <mergeCell ref="A15:A18"/>
  </mergeCells>
  <pageMargins left="0.7" right="0.7" top="0.75" bottom="0.75" header="0.3" footer="0.3"/>
  <pageSetup paperSize="32767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B1:H350"/>
  <sheetViews>
    <sheetView topLeftCell="A319" zoomScale="80" zoomScaleNormal="80" workbookViewId="0">
      <selection activeCell="B301" sqref="B301:H350"/>
    </sheetView>
  </sheetViews>
  <sheetFormatPr defaultRowHeight="14.4"/>
  <cols>
    <col min="2" max="2" width="80" bestFit="1" customWidth="1"/>
  </cols>
  <sheetData>
    <row r="1" spans="2:8">
      <c r="B1" t="s">
        <v>2106</v>
      </c>
      <c r="C1">
        <v>111.21</v>
      </c>
      <c r="D1">
        <v>80.040000000000006</v>
      </c>
      <c r="E1">
        <v>0.87052200000000002</v>
      </c>
      <c r="F1">
        <v>40.78</v>
      </c>
      <c r="G1">
        <v>6</v>
      </c>
      <c r="H1">
        <v>26.2</v>
      </c>
    </row>
    <row r="2" spans="2:8">
      <c r="B2" t="s">
        <v>2107</v>
      </c>
      <c r="C2">
        <v>104.55</v>
      </c>
      <c r="D2">
        <v>80.12</v>
      </c>
      <c r="E2">
        <v>0.96624600000000005</v>
      </c>
      <c r="F2">
        <v>78.760000000000005</v>
      </c>
      <c r="G2">
        <v>0</v>
      </c>
      <c r="H2">
        <v>25</v>
      </c>
    </row>
    <row r="3" spans="2:8">
      <c r="B3" t="s">
        <v>2108</v>
      </c>
      <c r="C3">
        <v>114.16</v>
      </c>
      <c r="D3">
        <v>80.52</v>
      </c>
      <c r="E3">
        <v>0.973607</v>
      </c>
      <c r="F3">
        <v>88.78</v>
      </c>
      <c r="G3">
        <v>0</v>
      </c>
      <c r="H3">
        <v>26.69</v>
      </c>
    </row>
    <row r="4" spans="2:8">
      <c r="B4" t="s">
        <v>2109</v>
      </c>
      <c r="C4">
        <v>88.73</v>
      </c>
      <c r="D4">
        <v>79.260000000000005</v>
      </c>
      <c r="E4">
        <v>0.90494300000000005</v>
      </c>
      <c r="F4">
        <v>42.39</v>
      </c>
      <c r="G4">
        <v>12</v>
      </c>
      <c r="H4">
        <v>22.35</v>
      </c>
    </row>
    <row r="5" spans="2:8">
      <c r="B5" t="s">
        <v>2110</v>
      </c>
      <c r="C5">
        <v>110.3</v>
      </c>
      <c r="D5">
        <v>80.34</v>
      </c>
      <c r="E5">
        <v>0.96194100000000005</v>
      </c>
      <c r="F5">
        <v>80.489999999999995</v>
      </c>
      <c r="G5">
        <v>14</v>
      </c>
      <c r="H5">
        <v>27.76</v>
      </c>
    </row>
    <row r="6" spans="2:8">
      <c r="B6" t="s">
        <v>2111</v>
      </c>
      <c r="C6">
        <v>115.83</v>
      </c>
      <c r="D6">
        <v>80.430000000000007</v>
      </c>
      <c r="E6">
        <v>0.90732199999999996</v>
      </c>
      <c r="F6">
        <v>79.56</v>
      </c>
      <c r="G6">
        <v>8</v>
      </c>
      <c r="H6">
        <v>26.97</v>
      </c>
    </row>
    <row r="7" spans="2:8">
      <c r="B7" t="s">
        <v>2112</v>
      </c>
      <c r="C7">
        <v>100.4</v>
      </c>
      <c r="D7">
        <v>79.75</v>
      </c>
      <c r="E7">
        <v>0.89023799999999997</v>
      </c>
      <c r="F7">
        <v>53.91</v>
      </c>
      <c r="G7">
        <v>16</v>
      </c>
      <c r="H7">
        <v>26.22</v>
      </c>
    </row>
    <row r="8" spans="2:8">
      <c r="B8" t="s">
        <v>2113</v>
      </c>
      <c r="C8">
        <v>96.44</v>
      </c>
      <c r="D8">
        <v>79.760000000000005</v>
      </c>
      <c r="E8">
        <v>0.96344799999999997</v>
      </c>
      <c r="F8">
        <v>69.849999999999994</v>
      </c>
      <c r="G8">
        <v>6</v>
      </c>
      <c r="H8">
        <v>24.29</v>
      </c>
    </row>
    <row r="9" spans="2:8">
      <c r="B9" t="s">
        <v>2114</v>
      </c>
      <c r="C9">
        <v>106.65</v>
      </c>
      <c r="D9">
        <v>80.14</v>
      </c>
      <c r="E9">
        <v>0.94974800000000004</v>
      </c>
      <c r="F9">
        <v>60.25</v>
      </c>
      <c r="G9">
        <v>2</v>
      </c>
      <c r="H9">
        <v>25.26</v>
      </c>
    </row>
    <row r="10" spans="2:8">
      <c r="B10" t="s">
        <v>2115</v>
      </c>
      <c r="C10">
        <v>102.83</v>
      </c>
      <c r="D10">
        <v>80</v>
      </c>
      <c r="E10">
        <v>0.94446399999999997</v>
      </c>
      <c r="F10">
        <v>65.239999999999995</v>
      </c>
      <c r="G10">
        <v>12</v>
      </c>
      <c r="H10">
        <v>22.43</v>
      </c>
    </row>
    <row r="11" spans="2:8">
      <c r="B11" t="s">
        <v>2116</v>
      </c>
      <c r="C11">
        <v>111.04</v>
      </c>
      <c r="D11">
        <v>80.34</v>
      </c>
      <c r="E11">
        <v>0.94510000000000005</v>
      </c>
      <c r="F11">
        <v>79.91</v>
      </c>
      <c r="G11">
        <v>6</v>
      </c>
      <c r="H11">
        <v>28.11</v>
      </c>
    </row>
    <row r="12" spans="2:8">
      <c r="B12" t="s">
        <v>2117</v>
      </c>
      <c r="C12">
        <v>116.66</v>
      </c>
      <c r="D12">
        <v>80.58</v>
      </c>
      <c r="E12">
        <v>0.96109299999999998</v>
      </c>
      <c r="F12">
        <v>88.05</v>
      </c>
      <c r="G12">
        <v>4</v>
      </c>
      <c r="H12">
        <v>26.66</v>
      </c>
    </row>
    <row r="13" spans="2:8">
      <c r="B13" t="s">
        <v>2118</v>
      </c>
      <c r="C13">
        <v>94.13</v>
      </c>
      <c r="D13">
        <v>79.47</v>
      </c>
      <c r="E13">
        <v>0.899011</v>
      </c>
      <c r="F13">
        <v>46.5</v>
      </c>
      <c r="G13">
        <v>0</v>
      </c>
      <c r="H13">
        <v>21.64</v>
      </c>
    </row>
    <row r="14" spans="2:8">
      <c r="B14" t="s">
        <v>2119</v>
      </c>
      <c r="C14">
        <v>107.93</v>
      </c>
      <c r="D14">
        <v>80.260000000000005</v>
      </c>
      <c r="E14">
        <v>0.96696400000000005</v>
      </c>
      <c r="F14">
        <v>80.37</v>
      </c>
      <c r="G14">
        <v>2</v>
      </c>
      <c r="H14">
        <v>25.38</v>
      </c>
    </row>
    <row r="15" spans="2:8">
      <c r="B15" t="s">
        <v>2120</v>
      </c>
      <c r="C15">
        <v>102.79</v>
      </c>
      <c r="D15">
        <v>80.040000000000006</v>
      </c>
      <c r="E15">
        <v>0.96148699999999998</v>
      </c>
      <c r="F15">
        <v>79.95</v>
      </c>
      <c r="G15">
        <v>18</v>
      </c>
      <c r="H15">
        <v>24.47</v>
      </c>
    </row>
    <row r="16" spans="2:8">
      <c r="B16" t="s">
        <v>2121</v>
      </c>
      <c r="C16">
        <v>87.29</v>
      </c>
      <c r="D16">
        <v>79.040000000000006</v>
      </c>
      <c r="E16">
        <v>0.86121300000000001</v>
      </c>
      <c r="F16">
        <v>42.93</v>
      </c>
      <c r="G16">
        <v>8</v>
      </c>
      <c r="H16">
        <v>22.12</v>
      </c>
    </row>
    <row r="17" spans="2:8">
      <c r="B17" t="s">
        <v>2122</v>
      </c>
      <c r="C17">
        <v>91.72</v>
      </c>
      <c r="D17">
        <v>79.349999999999994</v>
      </c>
      <c r="E17">
        <v>0.90002700000000002</v>
      </c>
      <c r="F17">
        <v>51.76</v>
      </c>
      <c r="G17">
        <v>14</v>
      </c>
      <c r="H17">
        <v>20.43</v>
      </c>
    </row>
    <row r="18" spans="2:8">
      <c r="B18" t="s">
        <v>2123</v>
      </c>
      <c r="C18">
        <v>117.95</v>
      </c>
      <c r="D18">
        <v>80.67</v>
      </c>
      <c r="E18">
        <v>0.97873500000000002</v>
      </c>
      <c r="F18">
        <v>89.32</v>
      </c>
      <c r="G18">
        <v>4</v>
      </c>
      <c r="H18">
        <v>27.96</v>
      </c>
    </row>
    <row r="19" spans="2:8">
      <c r="B19" t="s">
        <v>2124</v>
      </c>
      <c r="C19">
        <v>111.19</v>
      </c>
      <c r="D19">
        <v>80.239999999999995</v>
      </c>
      <c r="E19">
        <v>0.90128799999999998</v>
      </c>
      <c r="F19">
        <v>71.69</v>
      </c>
      <c r="G19">
        <v>8</v>
      </c>
      <c r="H19">
        <v>26.82</v>
      </c>
    </row>
    <row r="20" spans="2:8">
      <c r="B20" t="s">
        <v>2125</v>
      </c>
      <c r="C20">
        <v>104.95</v>
      </c>
      <c r="D20">
        <v>80.099999999999994</v>
      </c>
      <c r="E20">
        <v>0.94796100000000005</v>
      </c>
      <c r="F20">
        <v>80.03</v>
      </c>
      <c r="G20">
        <v>0</v>
      </c>
      <c r="H20">
        <v>24.36</v>
      </c>
    </row>
    <row r="21" spans="2:8">
      <c r="B21" t="s">
        <v>2126</v>
      </c>
      <c r="C21">
        <v>90.8</v>
      </c>
      <c r="D21">
        <v>79.319999999999993</v>
      </c>
      <c r="E21">
        <v>0.90167600000000003</v>
      </c>
      <c r="F21">
        <v>44.39</v>
      </c>
      <c r="G21">
        <v>18</v>
      </c>
      <c r="H21">
        <v>20.260000000000002</v>
      </c>
    </row>
    <row r="22" spans="2:8">
      <c r="B22" t="s">
        <v>2127</v>
      </c>
      <c r="C22">
        <v>111.26</v>
      </c>
      <c r="D22">
        <v>80.22</v>
      </c>
      <c r="E22">
        <v>0.89949800000000002</v>
      </c>
      <c r="F22">
        <v>62.78</v>
      </c>
      <c r="G22">
        <v>2</v>
      </c>
      <c r="H22">
        <v>25.49</v>
      </c>
    </row>
    <row r="23" spans="2:8">
      <c r="B23" t="s">
        <v>2128</v>
      </c>
      <c r="C23">
        <v>95.04</v>
      </c>
      <c r="D23">
        <v>79.010000000000005</v>
      </c>
      <c r="E23">
        <v>0.78269699999999998</v>
      </c>
      <c r="F23">
        <v>24.61</v>
      </c>
      <c r="G23">
        <v>0</v>
      </c>
      <c r="H23">
        <v>22.72</v>
      </c>
    </row>
    <row r="24" spans="2:8">
      <c r="B24" t="s">
        <v>2129</v>
      </c>
      <c r="C24">
        <v>105.3</v>
      </c>
      <c r="D24">
        <v>80.16</v>
      </c>
      <c r="E24">
        <v>0.97249799999999997</v>
      </c>
      <c r="F24">
        <v>79.56</v>
      </c>
      <c r="G24">
        <v>2</v>
      </c>
      <c r="H24">
        <v>24.55</v>
      </c>
    </row>
    <row r="25" spans="2:8">
      <c r="B25" t="s">
        <v>2130</v>
      </c>
      <c r="C25">
        <v>104.41</v>
      </c>
      <c r="D25">
        <v>80.099999999999994</v>
      </c>
      <c r="E25">
        <v>0.96284400000000003</v>
      </c>
      <c r="F25">
        <v>78.91</v>
      </c>
      <c r="G25">
        <v>18</v>
      </c>
      <c r="H25">
        <v>24.16</v>
      </c>
    </row>
    <row r="26" spans="2:8">
      <c r="B26" t="s">
        <v>2131</v>
      </c>
      <c r="C26">
        <v>102.12</v>
      </c>
      <c r="D26">
        <v>80.03</v>
      </c>
      <c r="E26">
        <v>0.97266900000000001</v>
      </c>
      <c r="F26">
        <v>79.760000000000005</v>
      </c>
      <c r="G26">
        <v>16</v>
      </c>
      <c r="H26">
        <v>24.25</v>
      </c>
    </row>
    <row r="27" spans="2:8">
      <c r="B27" t="s">
        <v>2132</v>
      </c>
      <c r="C27">
        <v>94.68</v>
      </c>
      <c r="D27">
        <v>79.650000000000006</v>
      </c>
      <c r="E27">
        <v>0.95409900000000003</v>
      </c>
      <c r="F27">
        <v>61.75</v>
      </c>
      <c r="G27">
        <v>10</v>
      </c>
      <c r="H27">
        <v>22.33</v>
      </c>
    </row>
    <row r="28" spans="2:8">
      <c r="B28" t="s">
        <v>2133</v>
      </c>
      <c r="C28">
        <v>93.89</v>
      </c>
      <c r="D28">
        <v>79.569999999999993</v>
      </c>
      <c r="E28">
        <v>0.942133</v>
      </c>
      <c r="F28">
        <v>54.57</v>
      </c>
      <c r="G28">
        <v>4</v>
      </c>
      <c r="H28">
        <v>21.25</v>
      </c>
    </row>
    <row r="29" spans="2:8">
      <c r="B29" t="s">
        <v>2134</v>
      </c>
      <c r="C29">
        <v>116.36</v>
      </c>
      <c r="D29">
        <v>80.5</v>
      </c>
      <c r="E29">
        <v>0.94453200000000004</v>
      </c>
      <c r="F29">
        <v>59.56</v>
      </c>
      <c r="G29">
        <v>4</v>
      </c>
      <c r="H29">
        <v>27.77</v>
      </c>
    </row>
    <row r="30" spans="2:8">
      <c r="B30" t="s">
        <v>2135</v>
      </c>
      <c r="C30">
        <v>101.5</v>
      </c>
      <c r="D30">
        <v>79.959999999999994</v>
      </c>
      <c r="E30">
        <v>0.94845699999999999</v>
      </c>
      <c r="F30">
        <v>77.8</v>
      </c>
      <c r="G30">
        <v>4</v>
      </c>
      <c r="H30">
        <v>23.4</v>
      </c>
    </row>
    <row r="31" spans="2:8">
      <c r="B31" t="s">
        <v>2136</v>
      </c>
      <c r="C31">
        <v>108.94</v>
      </c>
      <c r="D31">
        <v>80.3</v>
      </c>
      <c r="E31">
        <v>0.96923000000000004</v>
      </c>
      <c r="F31">
        <v>80.14</v>
      </c>
      <c r="G31">
        <v>2</v>
      </c>
      <c r="H31">
        <v>25.79</v>
      </c>
    </row>
    <row r="32" spans="2:8">
      <c r="B32" t="s">
        <v>2137</v>
      </c>
      <c r="C32">
        <v>120.51</v>
      </c>
      <c r="D32">
        <v>80.650000000000006</v>
      </c>
      <c r="E32">
        <v>0.92687900000000001</v>
      </c>
      <c r="F32">
        <v>80.03</v>
      </c>
      <c r="G32">
        <v>18</v>
      </c>
      <c r="H32">
        <v>27.44</v>
      </c>
    </row>
    <row r="33" spans="2:8">
      <c r="B33" t="s">
        <v>2138</v>
      </c>
      <c r="C33">
        <v>103.32</v>
      </c>
      <c r="D33">
        <v>79.91</v>
      </c>
      <c r="E33">
        <v>0.92330000000000001</v>
      </c>
      <c r="F33">
        <v>46.5</v>
      </c>
      <c r="G33">
        <v>8</v>
      </c>
      <c r="H33">
        <v>25.98</v>
      </c>
    </row>
    <row r="34" spans="2:8">
      <c r="B34" t="s">
        <v>2139</v>
      </c>
      <c r="C34">
        <v>105.09</v>
      </c>
      <c r="D34">
        <v>78.56</v>
      </c>
      <c r="E34">
        <v>0.83737899999999998</v>
      </c>
      <c r="F34">
        <v>1.38</v>
      </c>
      <c r="G34">
        <v>16</v>
      </c>
      <c r="H34">
        <v>23.51</v>
      </c>
    </row>
    <row r="35" spans="2:8">
      <c r="B35" t="s">
        <v>2140</v>
      </c>
      <c r="C35">
        <v>120.51</v>
      </c>
      <c r="D35">
        <v>80.69</v>
      </c>
      <c r="E35">
        <v>0.94341600000000003</v>
      </c>
      <c r="F35">
        <v>77.3</v>
      </c>
      <c r="G35">
        <v>4</v>
      </c>
      <c r="H35">
        <v>29.65</v>
      </c>
    </row>
    <row r="36" spans="2:8">
      <c r="B36" t="s">
        <v>2141</v>
      </c>
      <c r="C36">
        <v>91.22</v>
      </c>
      <c r="D36">
        <v>79.400000000000006</v>
      </c>
      <c r="E36">
        <v>0.910972</v>
      </c>
      <c r="F36">
        <v>54.45</v>
      </c>
      <c r="G36">
        <v>6</v>
      </c>
      <c r="H36">
        <v>22.06</v>
      </c>
    </row>
    <row r="37" spans="2:8">
      <c r="B37" t="s">
        <v>2142</v>
      </c>
      <c r="C37">
        <v>87.92</v>
      </c>
      <c r="D37">
        <v>79.17</v>
      </c>
      <c r="E37">
        <v>0.88910800000000001</v>
      </c>
      <c r="F37">
        <v>49.42</v>
      </c>
      <c r="G37">
        <v>16</v>
      </c>
      <c r="H37">
        <v>21.48</v>
      </c>
    </row>
    <row r="38" spans="2:8">
      <c r="B38" t="s">
        <v>2143</v>
      </c>
      <c r="C38">
        <v>108.18</v>
      </c>
      <c r="D38">
        <v>80.209999999999994</v>
      </c>
      <c r="E38">
        <v>0.94537099999999996</v>
      </c>
      <c r="F38">
        <v>79.41</v>
      </c>
      <c r="G38">
        <v>14</v>
      </c>
      <c r="H38">
        <v>26.04</v>
      </c>
    </row>
    <row r="39" spans="2:8">
      <c r="B39" t="s">
        <v>2144</v>
      </c>
      <c r="C39">
        <v>104.61</v>
      </c>
      <c r="D39">
        <v>80.14</v>
      </c>
      <c r="E39">
        <v>0.97511899999999996</v>
      </c>
      <c r="F39">
        <v>80.260000000000005</v>
      </c>
      <c r="G39">
        <v>2</v>
      </c>
      <c r="H39">
        <v>26.3</v>
      </c>
    </row>
    <row r="40" spans="2:8">
      <c r="B40" t="s">
        <v>2145</v>
      </c>
      <c r="C40">
        <v>99.72</v>
      </c>
      <c r="D40">
        <v>79.94</v>
      </c>
      <c r="E40">
        <v>0.97809100000000004</v>
      </c>
      <c r="F40">
        <v>79.72</v>
      </c>
      <c r="G40">
        <v>4</v>
      </c>
      <c r="H40">
        <v>23.59</v>
      </c>
    </row>
    <row r="41" spans="2:8">
      <c r="B41" t="s">
        <v>2146</v>
      </c>
      <c r="C41">
        <v>94.97</v>
      </c>
      <c r="D41">
        <v>79.67</v>
      </c>
      <c r="E41">
        <v>0.95266700000000004</v>
      </c>
      <c r="F41">
        <v>57.83</v>
      </c>
      <c r="G41">
        <v>4</v>
      </c>
      <c r="H41">
        <v>23.15</v>
      </c>
    </row>
    <row r="42" spans="2:8">
      <c r="B42" t="s">
        <v>2147</v>
      </c>
      <c r="C42">
        <v>108.36</v>
      </c>
      <c r="D42">
        <v>80.069999999999993</v>
      </c>
      <c r="E42">
        <v>0.88703399999999999</v>
      </c>
      <c r="F42">
        <v>60.02</v>
      </c>
      <c r="G42">
        <v>2</v>
      </c>
      <c r="H42">
        <v>28.01</v>
      </c>
    </row>
    <row r="43" spans="2:8">
      <c r="B43" t="s">
        <v>2148</v>
      </c>
      <c r="C43">
        <v>102.84</v>
      </c>
      <c r="D43">
        <v>79.819999999999993</v>
      </c>
      <c r="E43">
        <v>0.88616300000000003</v>
      </c>
      <c r="F43">
        <v>51.72</v>
      </c>
      <c r="G43">
        <v>0</v>
      </c>
      <c r="H43">
        <v>23.84</v>
      </c>
    </row>
    <row r="44" spans="2:8">
      <c r="B44" t="s">
        <v>2149</v>
      </c>
      <c r="C44">
        <v>99.18</v>
      </c>
      <c r="D44">
        <v>79.81</v>
      </c>
      <c r="E44">
        <v>0.92439000000000004</v>
      </c>
      <c r="F44">
        <v>71.08</v>
      </c>
      <c r="G44">
        <v>8</v>
      </c>
      <c r="H44">
        <v>24.57</v>
      </c>
    </row>
    <row r="45" spans="2:8">
      <c r="B45" t="s">
        <v>2150</v>
      </c>
      <c r="C45">
        <v>110.62</v>
      </c>
      <c r="D45">
        <v>80.25</v>
      </c>
      <c r="E45">
        <v>0.92298899999999995</v>
      </c>
      <c r="F45">
        <v>57.98</v>
      </c>
      <c r="G45">
        <v>2</v>
      </c>
      <c r="H45">
        <v>25.68</v>
      </c>
    </row>
    <row r="46" spans="2:8">
      <c r="B46" t="s">
        <v>2151</v>
      </c>
      <c r="C46">
        <v>106.96</v>
      </c>
      <c r="D46">
        <v>80.19</v>
      </c>
      <c r="E46">
        <v>0.95977800000000002</v>
      </c>
      <c r="F46">
        <v>71.39</v>
      </c>
      <c r="G46">
        <v>12</v>
      </c>
      <c r="H46">
        <v>25.45</v>
      </c>
    </row>
    <row r="47" spans="2:8">
      <c r="B47" t="s">
        <v>2152</v>
      </c>
      <c r="C47">
        <v>109.75</v>
      </c>
      <c r="D47">
        <v>80.33</v>
      </c>
      <c r="E47">
        <v>0.96251799999999998</v>
      </c>
      <c r="F47">
        <v>80.64</v>
      </c>
      <c r="G47">
        <v>4</v>
      </c>
      <c r="H47">
        <v>25.77</v>
      </c>
    </row>
    <row r="48" spans="2:8">
      <c r="B48" t="s">
        <v>2153</v>
      </c>
      <c r="C48">
        <v>107.88</v>
      </c>
      <c r="D48">
        <v>80.150000000000006</v>
      </c>
      <c r="E48">
        <v>0.93171000000000004</v>
      </c>
      <c r="F48">
        <v>59.67</v>
      </c>
      <c r="G48">
        <v>14</v>
      </c>
      <c r="H48">
        <v>26.28</v>
      </c>
    </row>
    <row r="49" spans="2:8">
      <c r="B49" t="s">
        <v>2154</v>
      </c>
      <c r="C49">
        <v>88.77</v>
      </c>
      <c r="D49">
        <v>78.239999999999995</v>
      </c>
      <c r="E49">
        <v>0.877776</v>
      </c>
      <c r="F49">
        <v>2.2999999999999998</v>
      </c>
      <c r="G49">
        <v>16</v>
      </c>
      <c r="H49">
        <v>22.21</v>
      </c>
    </row>
    <row r="50" spans="2:8">
      <c r="B50" t="s">
        <v>2155</v>
      </c>
      <c r="C50">
        <v>113.06</v>
      </c>
      <c r="D50">
        <v>80.45</v>
      </c>
      <c r="E50">
        <v>0.960893</v>
      </c>
      <c r="F50">
        <v>79.180000000000007</v>
      </c>
      <c r="G50">
        <v>0</v>
      </c>
      <c r="H50">
        <v>25.89</v>
      </c>
    </row>
    <row r="51" spans="2:8">
      <c r="B51" t="s">
        <v>2156</v>
      </c>
      <c r="C51">
        <v>91.17</v>
      </c>
      <c r="D51">
        <v>158.82</v>
      </c>
      <c r="E51">
        <v>0.91712899999999997</v>
      </c>
      <c r="F51">
        <v>47.88</v>
      </c>
      <c r="G51">
        <v>6</v>
      </c>
      <c r="H51">
        <v>20.53</v>
      </c>
    </row>
    <row r="52" spans="2:8">
      <c r="B52" t="s">
        <v>2157</v>
      </c>
      <c r="C52">
        <v>80.3</v>
      </c>
      <c r="D52">
        <v>157.22999999999999</v>
      </c>
      <c r="E52">
        <v>0.87100500000000003</v>
      </c>
      <c r="F52">
        <v>24.23</v>
      </c>
      <c r="G52">
        <v>28</v>
      </c>
      <c r="H52">
        <v>18.690000000000001</v>
      </c>
    </row>
    <row r="53" spans="2:8">
      <c r="B53" t="s">
        <v>2158</v>
      </c>
      <c r="C53">
        <v>88.83</v>
      </c>
      <c r="D53">
        <v>158.33000000000001</v>
      </c>
      <c r="E53">
        <v>0.88156900000000005</v>
      </c>
      <c r="F53">
        <v>42.39</v>
      </c>
      <c r="G53">
        <v>20</v>
      </c>
      <c r="H53">
        <v>21.45</v>
      </c>
    </row>
    <row r="54" spans="2:8">
      <c r="B54" t="s">
        <v>2159</v>
      </c>
      <c r="C54">
        <v>81.73</v>
      </c>
      <c r="D54">
        <v>157.78</v>
      </c>
      <c r="E54">
        <v>0.91161099999999995</v>
      </c>
      <c r="F54">
        <v>39.71</v>
      </c>
      <c r="G54">
        <v>10</v>
      </c>
      <c r="H54">
        <v>19.02</v>
      </c>
    </row>
    <row r="55" spans="2:8">
      <c r="B55" t="s">
        <v>2160</v>
      </c>
      <c r="C55">
        <v>80.81</v>
      </c>
      <c r="D55">
        <v>157.13</v>
      </c>
      <c r="E55">
        <v>0.82532499999999998</v>
      </c>
      <c r="F55">
        <v>24.77</v>
      </c>
      <c r="G55">
        <v>22</v>
      </c>
      <c r="H55">
        <v>18.420000000000002</v>
      </c>
    </row>
    <row r="56" spans="2:8">
      <c r="B56" t="s">
        <v>2161</v>
      </c>
      <c r="C56">
        <v>97.12</v>
      </c>
      <c r="D56">
        <v>159.25</v>
      </c>
      <c r="E56">
        <v>0.91381299999999999</v>
      </c>
      <c r="F56">
        <v>39.74</v>
      </c>
      <c r="G56">
        <v>8</v>
      </c>
      <c r="H56">
        <v>22.37</v>
      </c>
    </row>
    <row r="57" spans="2:8">
      <c r="B57" t="s">
        <v>2162</v>
      </c>
      <c r="C57">
        <v>90.43</v>
      </c>
      <c r="D57">
        <v>158.71</v>
      </c>
      <c r="E57">
        <v>0.91691199999999995</v>
      </c>
      <c r="F57">
        <v>44.08</v>
      </c>
      <c r="G57">
        <v>26</v>
      </c>
      <c r="H57">
        <v>20.36</v>
      </c>
    </row>
    <row r="58" spans="2:8">
      <c r="B58" t="s">
        <v>2163</v>
      </c>
      <c r="C58">
        <v>77.180000000000007</v>
      </c>
      <c r="D58">
        <v>157.22</v>
      </c>
      <c r="E58">
        <v>0.90107800000000005</v>
      </c>
      <c r="F58">
        <v>37.520000000000003</v>
      </c>
      <c r="G58">
        <v>6</v>
      </c>
      <c r="H58">
        <v>17.41</v>
      </c>
    </row>
    <row r="59" spans="2:8">
      <c r="B59" t="s">
        <v>2164</v>
      </c>
      <c r="C59">
        <v>81.11</v>
      </c>
      <c r="D59">
        <v>157.47</v>
      </c>
      <c r="E59">
        <v>0.89366199999999996</v>
      </c>
      <c r="F59">
        <v>16.82</v>
      </c>
      <c r="G59">
        <v>36</v>
      </c>
      <c r="H59">
        <v>18.89</v>
      </c>
    </row>
    <row r="60" spans="2:8">
      <c r="B60" t="s">
        <v>2165</v>
      </c>
      <c r="C60">
        <v>94.98</v>
      </c>
      <c r="D60">
        <v>159.22999999999999</v>
      </c>
      <c r="E60">
        <v>0.93908199999999997</v>
      </c>
      <c r="F60">
        <v>44.43</v>
      </c>
      <c r="G60">
        <v>30</v>
      </c>
      <c r="H60">
        <v>21.81</v>
      </c>
    </row>
    <row r="61" spans="2:8">
      <c r="B61" t="s">
        <v>2166</v>
      </c>
      <c r="C61">
        <v>90.71</v>
      </c>
      <c r="D61">
        <v>157.1</v>
      </c>
      <c r="E61">
        <v>0.85326100000000005</v>
      </c>
      <c r="F61">
        <v>1.34</v>
      </c>
      <c r="G61">
        <v>18</v>
      </c>
      <c r="H61">
        <v>20.34</v>
      </c>
    </row>
    <row r="62" spans="2:8">
      <c r="B62" t="s">
        <v>2167</v>
      </c>
      <c r="C62">
        <v>83.54</v>
      </c>
      <c r="D62">
        <v>157.88999999999999</v>
      </c>
      <c r="E62">
        <v>0.901424</v>
      </c>
      <c r="F62">
        <v>37.020000000000003</v>
      </c>
      <c r="G62">
        <v>8</v>
      </c>
      <c r="H62">
        <v>20.29</v>
      </c>
    </row>
    <row r="63" spans="2:8">
      <c r="B63" t="s">
        <v>2168</v>
      </c>
      <c r="C63">
        <v>91.37</v>
      </c>
      <c r="D63">
        <v>158.33000000000001</v>
      </c>
      <c r="E63">
        <v>0.90229999999999999</v>
      </c>
      <c r="F63">
        <v>9.68</v>
      </c>
      <c r="G63">
        <v>4</v>
      </c>
      <c r="H63">
        <v>21.16</v>
      </c>
    </row>
    <row r="64" spans="2:8">
      <c r="B64" t="s">
        <v>2169</v>
      </c>
      <c r="C64">
        <v>76.819999999999993</v>
      </c>
      <c r="D64">
        <v>156.91999999999999</v>
      </c>
      <c r="E64">
        <v>0.85656100000000002</v>
      </c>
      <c r="F64">
        <v>33.520000000000003</v>
      </c>
      <c r="G64">
        <v>32</v>
      </c>
      <c r="H64">
        <v>18.079999999999998</v>
      </c>
    </row>
    <row r="65" spans="2:8">
      <c r="B65" t="s">
        <v>2170</v>
      </c>
      <c r="C65">
        <v>87.93</v>
      </c>
      <c r="D65">
        <v>157.31</v>
      </c>
      <c r="E65">
        <v>0.884571</v>
      </c>
      <c r="F65">
        <v>1.88</v>
      </c>
      <c r="G65">
        <v>34</v>
      </c>
      <c r="H65">
        <v>20.37</v>
      </c>
    </row>
    <row r="66" spans="2:8">
      <c r="B66" t="s">
        <v>2171</v>
      </c>
      <c r="C66">
        <v>91.12</v>
      </c>
      <c r="D66">
        <v>158.38</v>
      </c>
      <c r="E66">
        <v>0.93126799999999998</v>
      </c>
      <c r="F66">
        <v>7.33</v>
      </c>
      <c r="G66">
        <v>18</v>
      </c>
      <c r="H66">
        <v>21.04</v>
      </c>
    </row>
    <row r="67" spans="2:8">
      <c r="B67" t="s">
        <v>2172</v>
      </c>
      <c r="C67">
        <v>84.69</v>
      </c>
      <c r="D67">
        <v>158.03</v>
      </c>
      <c r="E67">
        <v>0.89485499999999996</v>
      </c>
      <c r="F67">
        <v>41.28</v>
      </c>
      <c r="G67">
        <v>30</v>
      </c>
      <c r="H67">
        <v>19.72</v>
      </c>
    </row>
    <row r="68" spans="2:8">
      <c r="B68" t="s">
        <v>2173</v>
      </c>
      <c r="C68">
        <v>81.290000000000006</v>
      </c>
      <c r="D68">
        <v>157.81</v>
      </c>
      <c r="E68">
        <v>0.92380099999999998</v>
      </c>
      <c r="F68">
        <v>44.66</v>
      </c>
      <c r="G68">
        <v>10</v>
      </c>
      <c r="H68">
        <v>19.190000000000001</v>
      </c>
    </row>
    <row r="69" spans="2:8">
      <c r="B69" t="s">
        <v>2174</v>
      </c>
      <c r="C69">
        <v>80.86</v>
      </c>
      <c r="D69">
        <v>156.37</v>
      </c>
      <c r="E69">
        <v>0.87604599999999999</v>
      </c>
      <c r="F69">
        <v>1.84</v>
      </c>
      <c r="G69">
        <v>20</v>
      </c>
      <c r="H69">
        <v>18.329999999999998</v>
      </c>
    </row>
    <row r="70" spans="2:8">
      <c r="B70" t="s">
        <v>2175</v>
      </c>
      <c r="C70">
        <v>97.36</v>
      </c>
      <c r="D70">
        <v>159.1</v>
      </c>
      <c r="E70">
        <v>0.88938799999999996</v>
      </c>
      <c r="F70">
        <v>32.14</v>
      </c>
      <c r="G70">
        <v>24</v>
      </c>
      <c r="H70">
        <v>22.18</v>
      </c>
    </row>
    <row r="71" spans="2:8">
      <c r="B71" t="s">
        <v>2176</v>
      </c>
      <c r="C71">
        <v>93.13</v>
      </c>
      <c r="D71">
        <v>159.16999999999999</v>
      </c>
      <c r="E71">
        <v>0.95884800000000003</v>
      </c>
      <c r="F71">
        <v>55.26</v>
      </c>
      <c r="G71">
        <v>6</v>
      </c>
      <c r="H71">
        <v>22.37</v>
      </c>
    </row>
    <row r="72" spans="2:8">
      <c r="B72" t="s">
        <v>2177</v>
      </c>
      <c r="C72">
        <v>89.48</v>
      </c>
      <c r="D72">
        <v>158.65</v>
      </c>
      <c r="E72">
        <v>0.93203899999999995</v>
      </c>
      <c r="F72">
        <v>43.2</v>
      </c>
      <c r="G72">
        <v>10</v>
      </c>
      <c r="H72">
        <v>21.19</v>
      </c>
    </row>
    <row r="73" spans="2:8">
      <c r="B73" t="s">
        <v>2178</v>
      </c>
      <c r="C73">
        <v>85.35</v>
      </c>
      <c r="D73">
        <v>158.06</v>
      </c>
      <c r="E73">
        <v>0.89311200000000002</v>
      </c>
      <c r="F73">
        <v>46.16</v>
      </c>
      <c r="G73">
        <v>14</v>
      </c>
      <c r="H73">
        <v>19.809999999999999</v>
      </c>
    </row>
    <row r="74" spans="2:8">
      <c r="B74" t="s">
        <v>2179</v>
      </c>
      <c r="C74">
        <v>91.51</v>
      </c>
      <c r="D74">
        <v>159.01</v>
      </c>
      <c r="E74">
        <v>0.94944600000000001</v>
      </c>
      <c r="F74">
        <v>61.82</v>
      </c>
      <c r="G74">
        <v>34</v>
      </c>
      <c r="H74">
        <v>20.65</v>
      </c>
    </row>
    <row r="75" spans="2:8">
      <c r="B75" t="s">
        <v>2180</v>
      </c>
      <c r="C75">
        <v>88.72</v>
      </c>
      <c r="D75">
        <v>156.47999999999999</v>
      </c>
      <c r="E75">
        <v>0.86307199999999995</v>
      </c>
      <c r="F75">
        <v>0.5</v>
      </c>
      <c r="G75">
        <v>28</v>
      </c>
      <c r="H75">
        <v>20.56</v>
      </c>
    </row>
    <row r="76" spans="2:8">
      <c r="B76" t="s">
        <v>2181</v>
      </c>
      <c r="C76">
        <v>94.04</v>
      </c>
      <c r="D76">
        <v>158.88</v>
      </c>
      <c r="E76">
        <v>0.88978599999999997</v>
      </c>
      <c r="F76">
        <v>44.51</v>
      </c>
      <c r="G76">
        <v>24</v>
      </c>
      <c r="H76">
        <v>21.59</v>
      </c>
    </row>
    <row r="77" spans="2:8">
      <c r="B77" t="s">
        <v>2182</v>
      </c>
      <c r="C77">
        <v>86.5</v>
      </c>
      <c r="D77">
        <v>156.46</v>
      </c>
      <c r="E77">
        <v>0.83999699999999999</v>
      </c>
      <c r="F77">
        <v>1.8</v>
      </c>
      <c r="G77">
        <v>4</v>
      </c>
      <c r="H77">
        <v>19.91</v>
      </c>
    </row>
    <row r="78" spans="2:8">
      <c r="B78" t="s">
        <v>2183</v>
      </c>
      <c r="C78">
        <v>93.15</v>
      </c>
      <c r="D78">
        <v>158.84</v>
      </c>
      <c r="E78">
        <v>0.90427800000000003</v>
      </c>
      <c r="F78">
        <v>41.09</v>
      </c>
      <c r="G78">
        <v>18</v>
      </c>
      <c r="H78">
        <v>22.45</v>
      </c>
    </row>
    <row r="79" spans="2:8">
      <c r="B79" t="s">
        <v>2184</v>
      </c>
      <c r="C79">
        <v>86.47</v>
      </c>
      <c r="D79">
        <v>158.16999999999999</v>
      </c>
      <c r="E79">
        <v>0.90472600000000003</v>
      </c>
      <c r="F79">
        <v>23.42</v>
      </c>
      <c r="G79">
        <v>24</v>
      </c>
      <c r="H79">
        <v>21.14</v>
      </c>
    </row>
    <row r="80" spans="2:8">
      <c r="B80" t="s">
        <v>2185</v>
      </c>
      <c r="C80">
        <v>78.67</v>
      </c>
      <c r="D80">
        <v>155.74</v>
      </c>
      <c r="E80">
        <v>0.82335700000000001</v>
      </c>
      <c r="F80">
        <v>4.26</v>
      </c>
      <c r="G80">
        <v>16</v>
      </c>
      <c r="H80">
        <v>19.98</v>
      </c>
    </row>
    <row r="81" spans="2:8">
      <c r="B81" t="s">
        <v>2186</v>
      </c>
      <c r="C81">
        <v>81.97</v>
      </c>
      <c r="D81">
        <v>157.57</v>
      </c>
      <c r="E81">
        <v>0.88032100000000002</v>
      </c>
      <c r="F81">
        <v>30.91</v>
      </c>
      <c r="G81">
        <v>18</v>
      </c>
      <c r="H81">
        <v>19.440000000000001</v>
      </c>
    </row>
    <row r="82" spans="2:8">
      <c r="B82" t="s">
        <v>2187</v>
      </c>
      <c r="C82">
        <v>79.41</v>
      </c>
      <c r="D82">
        <v>157.18</v>
      </c>
      <c r="E82">
        <v>0.85845199999999999</v>
      </c>
      <c r="F82">
        <v>28.42</v>
      </c>
      <c r="G82">
        <v>26</v>
      </c>
      <c r="H82">
        <v>18.46</v>
      </c>
    </row>
    <row r="83" spans="2:8">
      <c r="B83" t="s">
        <v>2188</v>
      </c>
      <c r="C83">
        <v>94.26</v>
      </c>
      <c r="D83">
        <v>158.69</v>
      </c>
      <c r="E83">
        <v>0.88107899999999995</v>
      </c>
      <c r="F83">
        <v>19.809999999999999</v>
      </c>
      <c r="G83">
        <v>34</v>
      </c>
      <c r="H83">
        <v>21.99</v>
      </c>
    </row>
    <row r="84" spans="2:8">
      <c r="B84" t="s">
        <v>2189</v>
      </c>
      <c r="C84">
        <v>90.93</v>
      </c>
      <c r="D84">
        <v>158.44999999999999</v>
      </c>
      <c r="E84">
        <v>0.89356100000000005</v>
      </c>
      <c r="F84">
        <v>19.28</v>
      </c>
      <c r="G84">
        <v>26</v>
      </c>
      <c r="H84">
        <v>21.08</v>
      </c>
    </row>
    <row r="85" spans="2:8">
      <c r="B85" t="s">
        <v>2190</v>
      </c>
      <c r="C85">
        <v>78.09</v>
      </c>
      <c r="D85">
        <v>156.46</v>
      </c>
      <c r="E85">
        <v>0.79008199999999995</v>
      </c>
      <c r="F85">
        <v>15.51</v>
      </c>
      <c r="G85">
        <v>10</v>
      </c>
      <c r="H85">
        <v>19.11</v>
      </c>
    </row>
    <row r="86" spans="2:8">
      <c r="B86" t="s">
        <v>2191</v>
      </c>
      <c r="C86">
        <v>96.75</v>
      </c>
      <c r="D86">
        <v>159.09</v>
      </c>
      <c r="E86">
        <v>0.91003500000000004</v>
      </c>
      <c r="F86">
        <v>25.15</v>
      </c>
      <c r="G86">
        <v>2</v>
      </c>
      <c r="H86">
        <v>22.36</v>
      </c>
    </row>
    <row r="87" spans="2:8">
      <c r="B87" t="s">
        <v>2192</v>
      </c>
      <c r="C87">
        <v>88.67</v>
      </c>
      <c r="D87">
        <v>158.35</v>
      </c>
      <c r="E87">
        <v>0.90535600000000005</v>
      </c>
      <c r="F87">
        <v>31.83</v>
      </c>
      <c r="G87">
        <v>24</v>
      </c>
      <c r="H87">
        <v>20.29</v>
      </c>
    </row>
    <row r="88" spans="2:8">
      <c r="B88" t="s">
        <v>2193</v>
      </c>
      <c r="C88">
        <v>75.39</v>
      </c>
      <c r="D88">
        <v>155.72</v>
      </c>
      <c r="E88">
        <v>0.83319399999999999</v>
      </c>
      <c r="F88">
        <v>1.8</v>
      </c>
      <c r="G88">
        <v>6</v>
      </c>
      <c r="H88">
        <v>17.21</v>
      </c>
    </row>
    <row r="89" spans="2:8">
      <c r="B89" t="s">
        <v>2194</v>
      </c>
      <c r="C89">
        <v>86.18</v>
      </c>
      <c r="D89">
        <v>158.29</v>
      </c>
      <c r="E89">
        <v>0.92634000000000005</v>
      </c>
      <c r="F89">
        <v>43.58</v>
      </c>
      <c r="G89">
        <v>12</v>
      </c>
      <c r="H89">
        <v>19.73</v>
      </c>
    </row>
    <row r="90" spans="2:8">
      <c r="B90" t="s">
        <v>2195</v>
      </c>
      <c r="C90">
        <v>87.74</v>
      </c>
      <c r="D90">
        <v>157.83000000000001</v>
      </c>
      <c r="E90">
        <v>0.87442799999999998</v>
      </c>
      <c r="F90">
        <v>9.8699999999999992</v>
      </c>
      <c r="G90">
        <v>4</v>
      </c>
      <c r="H90">
        <v>19.87</v>
      </c>
    </row>
    <row r="91" spans="2:8">
      <c r="B91" t="s">
        <v>2196</v>
      </c>
      <c r="C91">
        <v>84.18</v>
      </c>
      <c r="D91">
        <v>158.03</v>
      </c>
      <c r="E91">
        <v>0.92012899999999997</v>
      </c>
      <c r="F91">
        <v>33.68</v>
      </c>
      <c r="G91">
        <v>4</v>
      </c>
      <c r="H91">
        <v>18.78</v>
      </c>
    </row>
    <row r="92" spans="2:8">
      <c r="B92" t="s">
        <v>2197</v>
      </c>
      <c r="C92">
        <v>92.98</v>
      </c>
      <c r="D92">
        <v>159</v>
      </c>
      <c r="E92">
        <v>0.92685300000000004</v>
      </c>
      <c r="F92">
        <v>47</v>
      </c>
      <c r="G92">
        <v>16</v>
      </c>
      <c r="H92">
        <v>21.17</v>
      </c>
    </row>
    <row r="93" spans="2:8">
      <c r="B93" t="s">
        <v>2198</v>
      </c>
      <c r="C93">
        <v>73.14</v>
      </c>
      <c r="D93">
        <v>156.58000000000001</v>
      </c>
      <c r="E93">
        <v>0.87764699999999995</v>
      </c>
      <c r="F93">
        <v>30.41</v>
      </c>
      <c r="G93">
        <v>2</v>
      </c>
      <c r="H93">
        <v>16.86</v>
      </c>
    </row>
    <row r="94" spans="2:8">
      <c r="B94" t="s">
        <v>2199</v>
      </c>
      <c r="C94">
        <v>100.48</v>
      </c>
      <c r="D94">
        <v>157.94999999999999</v>
      </c>
      <c r="E94">
        <v>0.88514300000000001</v>
      </c>
      <c r="F94">
        <v>0.65</v>
      </c>
      <c r="G94">
        <v>34</v>
      </c>
      <c r="H94">
        <v>23.39</v>
      </c>
    </row>
    <row r="95" spans="2:8">
      <c r="B95" t="s">
        <v>2200</v>
      </c>
      <c r="C95">
        <v>94.16</v>
      </c>
      <c r="D95">
        <v>158.46</v>
      </c>
      <c r="E95">
        <v>0.85854699999999995</v>
      </c>
      <c r="F95">
        <v>23.62</v>
      </c>
      <c r="G95">
        <v>4</v>
      </c>
      <c r="H95">
        <v>21.02</v>
      </c>
    </row>
    <row r="96" spans="2:8">
      <c r="B96" t="s">
        <v>2201</v>
      </c>
      <c r="C96">
        <v>83.05</v>
      </c>
      <c r="D96">
        <v>155.41</v>
      </c>
      <c r="E96">
        <v>0.82257800000000003</v>
      </c>
      <c r="F96">
        <v>1.46</v>
      </c>
      <c r="G96">
        <v>32</v>
      </c>
      <c r="H96">
        <v>19.38</v>
      </c>
    </row>
    <row r="97" spans="2:8">
      <c r="B97" t="s">
        <v>2202</v>
      </c>
      <c r="C97">
        <v>87.47</v>
      </c>
      <c r="D97">
        <v>157.99</v>
      </c>
      <c r="E97">
        <v>0.85889400000000005</v>
      </c>
      <c r="F97">
        <v>31.18</v>
      </c>
      <c r="G97">
        <v>20</v>
      </c>
      <c r="H97">
        <v>21.19</v>
      </c>
    </row>
    <row r="98" spans="2:8">
      <c r="B98" t="s">
        <v>2203</v>
      </c>
      <c r="C98">
        <v>73.53</v>
      </c>
      <c r="D98">
        <v>156.52000000000001</v>
      </c>
      <c r="E98">
        <v>0.87777499999999997</v>
      </c>
      <c r="F98">
        <v>21.16</v>
      </c>
      <c r="G98">
        <v>32</v>
      </c>
      <c r="H98">
        <v>16.64</v>
      </c>
    </row>
    <row r="99" spans="2:8">
      <c r="B99" t="s">
        <v>2204</v>
      </c>
      <c r="C99">
        <v>83.59</v>
      </c>
      <c r="D99">
        <v>157.71</v>
      </c>
      <c r="E99">
        <v>0.88782499999999998</v>
      </c>
      <c r="F99">
        <v>25.88</v>
      </c>
      <c r="G99">
        <v>0</v>
      </c>
      <c r="H99">
        <v>19.39</v>
      </c>
    </row>
    <row r="100" spans="2:8">
      <c r="B100" t="s">
        <v>2205</v>
      </c>
      <c r="C100">
        <v>74.62</v>
      </c>
      <c r="D100">
        <v>156.12</v>
      </c>
      <c r="E100">
        <v>0.86439500000000002</v>
      </c>
      <c r="F100">
        <v>4.07</v>
      </c>
      <c r="G100">
        <v>2</v>
      </c>
      <c r="H100">
        <v>18</v>
      </c>
    </row>
    <row r="101" spans="2:8">
      <c r="B101" t="s">
        <v>1455</v>
      </c>
      <c r="C101">
        <v>89.8</v>
      </c>
      <c r="D101">
        <v>15.9</v>
      </c>
      <c r="E101">
        <v>0.99004400000000004</v>
      </c>
      <c r="F101">
        <v>80.790000000000006</v>
      </c>
      <c r="G101">
        <v>0</v>
      </c>
      <c r="H101">
        <v>19.22</v>
      </c>
    </row>
    <row r="102" spans="2:8">
      <c r="B102" t="s">
        <v>1458</v>
      </c>
      <c r="C102">
        <v>105.56</v>
      </c>
      <c r="D102">
        <v>16.02</v>
      </c>
      <c r="E102">
        <v>0.945967</v>
      </c>
      <c r="F102">
        <v>80.33</v>
      </c>
      <c r="G102">
        <v>0</v>
      </c>
      <c r="H102">
        <v>27.74</v>
      </c>
    </row>
    <row r="103" spans="2:8">
      <c r="B103" t="s">
        <v>1461</v>
      </c>
      <c r="C103">
        <v>129.47999999999999</v>
      </c>
      <c r="D103">
        <v>16.2</v>
      </c>
      <c r="E103">
        <v>0.94994999999999996</v>
      </c>
      <c r="F103">
        <v>99.76</v>
      </c>
      <c r="G103">
        <v>0</v>
      </c>
      <c r="H103">
        <v>28.82</v>
      </c>
    </row>
    <row r="104" spans="2:8">
      <c r="B104" t="s">
        <v>1464</v>
      </c>
      <c r="C104">
        <v>148.4</v>
      </c>
      <c r="D104">
        <v>16.34</v>
      </c>
      <c r="E104">
        <v>0.99312599999999995</v>
      </c>
      <c r="F104">
        <v>136.05000000000001</v>
      </c>
      <c r="G104">
        <v>0</v>
      </c>
      <c r="H104">
        <v>33.5</v>
      </c>
    </row>
    <row r="105" spans="2:8">
      <c r="B105" t="s">
        <v>1467</v>
      </c>
      <c r="C105">
        <v>104.37</v>
      </c>
      <c r="D105">
        <v>16.04</v>
      </c>
      <c r="E105">
        <v>0.99610299999999996</v>
      </c>
      <c r="F105">
        <v>97.84</v>
      </c>
      <c r="G105">
        <v>2</v>
      </c>
      <c r="H105">
        <v>22.57</v>
      </c>
    </row>
    <row r="106" spans="2:8">
      <c r="B106" t="s">
        <v>1470</v>
      </c>
      <c r="C106">
        <v>134.27000000000001</v>
      </c>
      <c r="D106">
        <v>16.239999999999998</v>
      </c>
      <c r="E106">
        <v>0.973445</v>
      </c>
      <c r="F106">
        <v>112.09</v>
      </c>
      <c r="G106">
        <v>2</v>
      </c>
      <c r="H106">
        <v>36.549999999999997</v>
      </c>
    </row>
    <row r="107" spans="2:8">
      <c r="B107" t="s">
        <v>1473</v>
      </c>
      <c r="C107">
        <v>118.27</v>
      </c>
      <c r="D107">
        <v>16.100000000000001</v>
      </c>
      <c r="E107">
        <v>0.90976599999999996</v>
      </c>
      <c r="F107">
        <v>81.02</v>
      </c>
      <c r="G107">
        <v>0</v>
      </c>
      <c r="H107">
        <v>26.45</v>
      </c>
    </row>
    <row r="108" spans="2:8">
      <c r="B108" t="s">
        <v>1476</v>
      </c>
      <c r="C108">
        <v>119.79</v>
      </c>
      <c r="D108">
        <v>16.16</v>
      </c>
      <c r="E108">
        <v>0.99996099999999999</v>
      </c>
      <c r="F108">
        <v>119.04</v>
      </c>
      <c r="G108">
        <v>2</v>
      </c>
      <c r="H108">
        <v>30.62</v>
      </c>
    </row>
    <row r="109" spans="2:8">
      <c r="B109" t="s">
        <v>1479</v>
      </c>
      <c r="C109">
        <v>100.17</v>
      </c>
      <c r="D109">
        <v>16</v>
      </c>
      <c r="E109">
        <v>0.99969600000000003</v>
      </c>
      <c r="F109">
        <v>98.42</v>
      </c>
      <c r="G109">
        <v>0</v>
      </c>
      <c r="H109">
        <v>22.6</v>
      </c>
    </row>
    <row r="110" spans="2:8">
      <c r="B110" t="s">
        <v>1482</v>
      </c>
      <c r="C110">
        <v>93.75</v>
      </c>
      <c r="D110">
        <v>15.94</v>
      </c>
      <c r="E110">
        <v>0.99843999999999999</v>
      </c>
      <c r="F110">
        <v>90.05</v>
      </c>
      <c r="G110">
        <v>2</v>
      </c>
      <c r="H110">
        <v>19.28</v>
      </c>
    </row>
    <row r="111" spans="2:8">
      <c r="B111" t="s">
        <v>1485</v>
      </c>
      <c r="C111">
        <v>101.3</v>
      </c>
      <c r="D111">
        <v>16.010000000000002</v>
      </c>
      <c r="E111">
        <v>0.98781399999999997</v>
      </c>
      <c r="F111">
        <v>90.05</v>
      </c>
      <c r="G111">
        <v>0</v>
      </c>
      <c r="H111">
        <v>22.69</v>
      </c>
    </row>
    <row r="112" spans="2:8">
      <c r="B112" t="s">
        <v>1488</v>
      </c>
      <c r="C112">
        <v>104.56</v>
      </c>
      <c r="D112">
        <v>16.02</v>
      </c>
      <c r="E112">
        <v>0.94980200000000004</v>
      </c>
      <c r="F112">
        <v>80.52</v>
      </c>
      <c r="G112">
        <v>0</v>
      </c>
      <c r="H112">
        <v>22.35</v>
      </c>
    </row>
    <row r="113" spans="2:8">
      <c r="B113" t="s">
        <v>1491</v>
      </c>
      <c r="C113">
        <v>142.04</v>
      </c>
      <c r="D113">
        <v>16.260000000000002</v>
      </c>
      <c r="E113">
        <v>0.91172299999999995</v>
      </c>
      <c r="F113">
        <v>97.84</v>
      </c>
      <c r="G113">
        <v>2</v>
      </c>
      <c r="H113">
        <v>31.83</v>
      </c>
    </row>
    <row r="114" spans="2:8">
      <c r="B114" t="s">
        <v>1494</v>
      </c>
      <c r="C114">
        <v>144.86000000000001</v>
      </c>
      <c r="D114">
        <v>16.32</v>
      </c>
      <c r="E114">
        <v>0.99059900000000001</v>
      </c>
      <c r="F114">
        <v>130.75</v>
      </c>
      <c r="G114">
        <v>2</v>
      </c>
      <c r="H114">
        <v>40.86</v>
      </c>
    </row>
    <row r="115" spans="2:8">
      <c r="B115" t="s">
        <v>1497</v>
      </c>
      <c r="C115">
        <v>111.82</v>
      </c>
      <c r="D115">
        <v>16.059999999999999</v>
      </c>
      <c r="E115">
        <v>0.92216600000000004</v>
      </c>
      <c r="F115">
        <v>79.33</v>
      </c>
      <c r="G115">
        <v>2</v>
      </c>
      <c r="H115">
        <v>32.99</v>
      </c>
    </row>
    <row r="116" spans="2:8">
      <c r="B116" t="s">
        <v>1500</v>
      </c>
      <c r="C116">
        <v>111.11</v>
      </c>
      <c r="D116">
        <v>16.09</v>
      </c>
      <c r="E116">
        <v>0.99195999999999995</v>
      </c>
      <c r="F116">
        <v>101.11</v>
      </c>
      <c r="G116">
        <v>2</v>
      </c>
      <c r="H116">
        <v>30.68</v>
      </c>
    </row>
    <row r="117" spans="2:8">
      <c r="B117" t="s">
        <v>1503</v>
      </c>
      <c r="C117">
        <v>90.99</v>
      </c>
      <c r="D117">
        <v>15.91</v>
      </c>
      <c r="E117">
        <v>0.98203300000000004</v>
      </c>
      <c r="F117">
        <v>78.680000000000007</v>
      </c>
      <c r="G117">
        <v>2</v>
      </c>
      <c r="H117">
        <v>22.83</v>
      </c>
    </row>
    <row r="118" spans="2:8">
      <c r="B118" t="s">
        <v>1506</v>
      </c>
      <c r="C118">
        <v>99.9</v>
      </c>
      <c r="D118">
        <v>16</v>
      </c>
      <c r="E118">
        <v>0.99974600000000002</v>
      </c>
      <c r="F118">
        <v>98.3</v>
      </c>
      <c r="G118">
        <v>2</v>
      </c>
      <c r="H118">
        <v>22.62</v>
      </c>
    </row>
    <row r="119" spans="2:8">
      <c r="B119" t="s">
        <v>1509</v>
      </c>
      <c r="C119">
        <v>113.91</v>
      </c>
      <c r="D119">
        <v>16.100000000000001</v>
      </c>
      <c r="E119">
        <v>0.98021100000000005</v>
      </c>
      <c r="F119">
        <v>97.73</v>
      </c>
      <c r="G119">
        <v>0</v>
      </c>
      <c r="H119">
        <v>33.93</v>
      </c>
    </row>
    <row r="120" spans="2:8">
      <c r="B120" t="s">
        <v>1512</v>
      </c>
      <c r="C120">
        <v>117.66</v>
      </c>
      <c r="D120">
        <v>16.13</v>
      </c>
      <c r="E120">
        <v>0.97304199999999996</v>
      </c>
      <c r="F120">
        <v>98.07</v>
      </c>
      <c r="G120">
        <v>0</v>
      </c>
      <c r="H120">
        <v>26.42</v>
      </c>
    </row>
    <row r="121" spans="2:8">
      <c r="B121" t="s">
        <v>1515</v>
      </c>
      <c r="C121">
        <v>149.18</v>
      </c>
      <c r="D121">
        <v>16.350000000000001</v>
      </c>
      <c r="E121">
        <v>0.99845099999999998</v>
      </c>
      <c r="F121">
        <v>143.31</v>
      </c>
      <c r="G121">
        <v>0</v>
      </c>
      <c r="H121">
        <v>46.6</v>
      </c>
    </row>
    <row r="122" spans="2:8">
      <c r="B122" t="s">
        <v>1518</v>
      </c>
      <c r="C122">
        <v>93.7</v>
      </c>
      <c r="D122">
        <v>15.94</v>
      </c>
      <c r="E122">
        <v>0.998081</v>
      </c>
      <c r="F122">
        <v>89.59</v>
      </c>
      <c r="G122">
        <v>0</v>
      </c>
      <c r="H122">
        <v>19.170000000000002</v>
      </c>
    </row>
    <row r="123" spans="2:8">
      <c r="B123" t="s">
        <v>1521</v>
      </c>
      <c r="C123">
        <v>130.5</v>
      </c>
      <c r="D123">
        <v>16.23</v>
      </c>
      <c r="E123">
        <v>0.99224199999999996</v>
      </c>
      <c r="F123">
        <v>118.96</v>
      </c>
      <c r="G123">
        <v>0</v>
      </c>
      <c r="H123">
        <v>36.14</v>
      </c>
    </row>
    <row r="124" spans="2:8">
      <c r="B124" t="s">
        <v>1524</v>
      </c>
      <c r="C124">
        <v>118.87</v>
      </c>
      <c r="D124">
        <v>16.100000000000001</v>
      </c>
      <c r="E124">
        <v>0.90283599999999997</v>
      </c>
      <c r="F124">
        <v>79.87</v>
      </c>
      <c r="G124">
        <v>0</v>
      </c>
      <c r="H124">
        <v>25.93</v>
      </c>
    </row>
    <row r="125" spans="2:8">
      <c r="B125" t="s">
        <v>1527</v>
      </c>
      <c r="C125">
        <v>128.69999999999999</v>
      </c>
      <c r="D125">
        <v>16.2</v>
      </c>
      <c r="E125">
        <v>0.95664300000000002</v>
      </c>
      <c r="F125">
        <v>101.3</v>
      </c>
      <c r="G125">
        <v>0</v>
      </c>
      <c r="H125">
        <v>29.96</v>
      </c>
    </row>
    <row r="126" spans="2:8">
      <c r="B126" t="s">
        <v>1530</v>
      </c>
      <c r="C126">
        <v>129.5</v>
      </c>
      <c r="D126">
        <v>16.22</v>
      </c>
      <c r="E126">
        <v>0.99980999999999998</v>
      </c>
      <c r="F126">
        <v>127.72</v>
      </c>
      <c r="G126">
        <v>2</v>
      </c>
      <c r="H126">
        <v>37.159999999999997</v>
      </c>
    </row>
    <row r="127" spans="2:8">
      <c r="B127" t="s">
        <v>1533</v>
      </c>
      <c r="C127">
        <v>121.59</v>
      </c>
      <c r="D127">
        <v>16.170000000000002</v>
      </c>
      <c r="E127">
        <v>0.99089700000000003</v>
      </c>
      <c r="F127">
        <v>109.94</v>
      </c>
      <c r="G127">
        <v>2</v>
      </c>
      <c r="H127">
        <v>36.17</v>
      </c>
    </row>
    <row r="128" spans="2:8">
      <c r="B128" t="s">
        <v>1536</v>
      </c>
      <c r="C128">
        <v>124.93</v>
      </c>
      <c r="D128">
        <v>16.16</v>
      </c>
      <c r="E128">
        <v>0.92363600000000001</v>
      </c>
      <c r="F128">
        <v>89.01</v>
      </c>
      <c r="G128">
        <v>0</v>
      </c>
      <c r="H128">
        <v>32.119999999999997</v>
      </c>
    </row>
    <row r="129" spans="2:8">
      <c r="B129" t="s">
        <v>1539</v>
      </c>
      <c r="C129">
        <v>121.65</v>
      </c>
      <c r="D129">
        <v>16.16</v>
      </c>
      <c r="E129">
        <v>0.97135800000000005</v>
      </c>
      <c r="F129">
        <v>100.76</v>
      </c>
      <c r="G129">
        <v>0</v>
      </c>
      <c r="H129">
        <v>36.020000000000003</v>
      </c>
    </row>
    <row r="130" spans="2:8">
      <c r="B130" t="s">
        <v>1542</v>
      </c>
      <c r="C130">
        <v>143.16999999999999</v>
      </c>
      <c r="D130">
        <v>16.260000000000002</v>
      </c>
      <c r="E130">
        <v>0.90705800000000003</v>
      </c>
      <c r="F130">
        <v>97.34</v>
      </c>
      <c r="G130">
        <v>2</v>
      </c>
      <c r="H130">
        <v>30.73</v>
      </c>
    </row>
    <row r="131" spans="2:8">
      <c r="B131" t="s">
        <v>1545</v>
      </c>
      <c r="C131">
        <v>133.94</v>
      </c>
      <c r="D131">
        <v>16.239999999999998</v>
      </c>
      <c r="E131">
        <v>0.97041699999999997</v>
      </c>
      <c r="F131">
        <v>110.55</v>
      </c>
      <c r="G131">
        <v>0</v>
      </c>
      <c r="H131">
        <v>34.880000000000003</v>
      </c>
    </row>
    <row r="132" spans="2:8">
      <c r="B132" t="s">
        <v>1548</v>
      </c>
      <c r="C132">
        <v>111.38</v>
      </c>
      <c r="D132">
        <v>16.09</v>
      </c>
      <c r="E132">
        <v>0.98640600000000001</v>
      </c>
      <c r="F132">
        <v>98.3</v>
      </c>
      <c r="G132">
        <v>2</v>
      </c>
      <c r="H132">
        <v>22.49</v>
      </c>
    </row>
    <row r="133" spans="2:8">
      <c r="B133" t="s">
        <v>1551</v>
      </c>
      <c r="C133">
        <v>158.82</v>
      </c>
      <c r="D133">
        <v>16.399999999999999</v>
      </c>
      <c r="E133">
        <v>0.99948400000000004</v>
      </c>
      <c r="F133">
        <v>155.21</v>
      </c>
      <c r="G133">
        <v>0</v>
      </c>
      <c r="H133">
        <v>39.75</v>
      </c>
    </row>
    <row r="134" spans="2:8">
      <c r="B134" t="s">
        <v>1554</v>
      </c>
      <c r="C134">
        <v>89.8</v>
      </c>
      <c r="D134">
        <v>15.9</v>
      </c>
      <c r="E134">
        <v>0.99004400000000004</v>
      </c>
      <c r="F134">
        <v>80.790000000000006</v>
      </c>
      <c r="G134">
        <v>0</v>
      </c>
      <c r="H134">
        <v>19.22</v>
      </c>
    </row>
    <row r="135" spans="2:8">
      <c r="B135" t="s">
        <v>1557</v>
      </c>
      <c r="C135">
        <v>129.47999999999999</v>
      </c>
      <c r="D135">
        <v>16.2</v>
      </c>
      <c r="E135">
        <v>0.94994999999999996</v>
      </c>
      <c r="F135">
        <v>99.76</v>
      </c>
      <c r="G135">
        <v>0</v>
      </c>
      <c r="H135">
        <v>28.82</v>
      </c>
    </row>
    <row r="136" spans="2:8">
      <c r="B136" t="s">
        <v>1560</v>
      </c>
      <c r="C136">
        <v>142.77000000000001</v>
      </c>
      <c r="D136">
        <v>16.309999999999999</v>
      </c>
      <c r="E136">
        <v>0.99990599999999996</v>
      </c>
      <c r="F136">
        <v>141.38999999999999</v>
      </c>
      <c r="G136">
        <v>2</v>
      </c>
      <c r="H136">
        <v>46.62</v>
      </c>
    </row>
    <row r="137" spans="2:8">
      <c r="B137" t="s">
        <v>1563</v>
      </c>
      <c r="C137">
        <v>130.94</v>
      </c>
      <c r="D137">
        <v>16.21</v>
      </c>
      <c r="E137">
        <v>0.948326</v>
      </c>
      <c r="F137">
        <v>100.38</v>
      </c>
      <c r="G137">
        <v>0</v>
      </c>
      <c r="H137">
        <v>29.17</v>
      </c>
    </row>
    <row r="138" spans="2:8">
      <c r="B138" t="s">
        <v>1566</v>
      </c>
      <c r="C138">
        <v>110.4</v>
      </c>
      <c r="D138">
        <v>16.079999999999998</v>
      </c>
      <c r="E138">
        <v>0.99073699999999998</v>
      </c>
      <c r="F138">
        <v>99.72</v>
      </c>
      <c r="G138">
        <v>0</v>
      </c>
      <c r="H138">
        <v>30.7</v>
      </c>
    </row>
    <row r="139" spans="2:8">
      <c r="B139" t="s">
        <v>1569</v>
      </c>
      <c r="C139">
        <v>152.68</v>
      </c>
      <c r="D139">
        <v>16.37</v>
      </c>
      <c r="E139">
        <v>0.99868999999999997</v>
      </c>
      <c r="F139">
        <v>147.15</v>
      </c>
      <c r="G139">
        <v>2</v>
      </c>
      <c r="H139">
        <v>39.65</v>
      </c>
    </row>
    <row r="140" spans="2:8">
      <c r="B140" t="s">
        <v>1572</v>
      </c>
      <c r="C140">
        <v>152.54</v>
      </c>
      <c r="D140">
        <v>16.350000000000001</v>
      </c>
      <c r="E140">
        <v>0.958893</v>
      </c>
      <c r="F140">
        <v>120.96</v>
      </c>
      <c r="G140">
        <v>0</v>
      </c>
      <c r="H140">
        <v>39.29</v>
      </c>
    </row>
    <row r="141" spans="2:8">
      <c r="B141" t="s">
        <v>1575</v>
      </c>
      <c r="C141">
        <v>117.29</v>
      </c>
      <c r="D141">
        <v>16.09</v>
      </c>
      <c r="E141">
        <v>0.91001600000000005</v>
      </c>
      <c r="F141">
        <v>80.41</v>
      </c>
      <c r="G141">
        <v>0</v>
      </c>
      <c r="H141">
        <v>32.76</v>
      </c>
    </row>
    <row r="142" spans="2:8">
      <c r="B142" t="s">
        <v>1578</v>
      </c>
      <c r="C142">
        <v>99.96</v>
      </c>
      <c r="D142">
        <v>15.98</v>
      </c>
      <c r="E142">
        <v>0.96119699999999997</v>
      </c>
      <c r="F142">
        <v>79.87</v>
      </c>
      <c r="G142">
        <v>0</v>
      </c>
      <c r="H142">
        <v>27.46</v>
      </c>
    </row>
    <row r="143" spans="2:8">
      <c r="B143" t="s">
        <v>1581</v>
      </c>
      <c r="C143">
        <v>116.37</v>
      </c>
      <c r="D143">
        <v>16.09</v>
      </c>
      <c r="E143">
        <v>0.91282799999999997</v>
      </c>
      <c r="F143">
        <v>80.41</v>
      </c>
      <c r="G143">
        <v>2</v>
      </c>
      <c r="H143">
        <v>26.55</v>
      </c>
    </row>
    <row r="144" spans="2:8">
      <c r="B144" t="s">
        <v>1584</v>
      </c>
      <c r="C144">
        <v>122.25</v>
      </c>
      <c r="D144">
        <v>16.12</v>
      </c>
      <c r="E144">
        <v>0.89670300000000003</v>
      </c>
      <c r="F144">
        <v>80.760000000000005</v>
      </c>
      <c r="G144">
        <v>0</v>
      </c>
      <c r="H144">
        <v>32.53</v>
      </c>
    </row>
    <row r="145" spans="2:8">
      <c r="B145" t="s">
        <v>1587</v>
      </c>
      <c r="C145">
        <v>152.03</v>
      </c>
      <c r="D145">
        <v>16.36</v>
      </c>
      <c r="E145">
        <v>0.99824500000000005</v>
      </c>
      <c r="F145">
        <v>145.65</v>
      </c>
      <c r="G145">
        <v>0</v>
      </c>
      <c r="H145">
        <v>39.31</v>
      </c>
    </row>
    <row r="146" spans="2:8">
      <c r="B146" t="s">
        <v>1590</v>
      </c>
      <c r="C146">
        <v>150.88999999999999</v>
      </c>
      <c r="D146">
        <v>16.329999999999998</v>
      </c>
      <c r="E146">
        <v>0.93866099999999997</v>
      </c>
      <c r="F146">
        <v>112.32</v>
      </c>
      <c r="G146">
        <v>0</v>
      </c>
      <c r="H146">
        <v>39.5</v>
      </c>
    </row>
    <row r="147" spans="2:8">
      <c r="B147" t="s">
        <v>1593</v>
      </c>
      <c r="C147">
        <v>99.96</v>
      </c>
      <c r="D147">
        <v>15.98</v>
      </c>
      <c r="E147">
        <v>0.96119699999999997</v>
      </c>
      <c r="F147">
        <v>79.87</v>
      </c>
      <c r="G147">
        <v>0</v>
      </c>
      <c r="H147">
        <v>27.46</v>
      </c>
    </row>
    <row r="148" spans="2:8">
      <c r="B148" t="s">
        <v>1596</v>
      </c>
      <c r="C148">
        <v>118.39</v>
      </c>
      <c r="D148">
        <v>16.149999999999999</v>
      </c>
      <c r="E148">
        <v>0.999973</v>
      </c>
      <c r="F148">
        <v>117.77</v>
      </c>
      <c r="G148">
        <v>2</v>
      </c>
      <c r="H148">
        <v>26.27</v>
      </c>
    </row>
    <row r="149" spans="2:8">
      <c r="B149" t="s">
        <v>1599</v>
      </c>
      <c r="C149">
        <v>165.48</v>
      </c>
      <c r="D149">
        <v>16.440000000000001</v>
      </c>
      <c r="E149">
        <v>0.99989300000000003</v>
      </c>
      <c r="F149">
        <v>163.78</v>
      </c>
      <c r="G149">
        <v>0</v>
      </c>
      <c r="H149">
        <v>46.02</v>
      </c>
    </row>
    <row r="150" spans="2:8">
      <c r="B150" t="s">
        <v>1602</v>
      </c>
      <c r="C150">
        <v>146.75</v>
      </c>
      <c r="D150">
        <v>16.329999999999998</v>
      </c>
      <c r="E150">
        <v>0.99653000000000003</v>
      </c>
      <c r="F150">
        <v>138.09</v>
      </c>
      <c r="G150">
        <v>2</v>
      </c>
      <c r="H150">
        <v>33.92</v>
      </c>
    </row>
    <row r="151" spans="2:8">
      <c r="B151" t="s">
        <v>2206</v>
      </c>
      <c r="C151">
        <v>79.17</v>
      </c>
      <c r="D151">
        <v>235.39</v>
      </c>
      <c r="E151">
        <v>0.890011</v>
      </c>
      <c r="F151">
        <v>3.96</v>
      </c>
      <c r="G151">
        <v>50</v>
      </c>
      <c r="H151">
        <v>18.13</v>
      </c>
    </row>
    <row r="152" spans="2:8">
      <c r="B152" t="s">
        <v>2207</v>
      </c>
      <c r="C152">
        <v>79.48</v>
      </c>
      <c r="D152">
        <v>235.42</v>
      </c>
      <c r="E152">
        <v>0.89148899999999998</v>
      </c>
      <c r="F152">
        <v>3.23</v>
      </c>
      <c r="G152">
        <v>38</v>
      </c>
      <c r="H152">
        <v>18.13</v>
      </c>
    </row>
    <row r="153" spans="2:8">
      <c r="B153" t="s">
        <v>2208</v>
      </c>
      <c r="C153">
        <v>78.98</v>
      </c>
      <c r="D153">
        <v>235.86</v>
      </c>
      <c r="E153">
        <v>0.86597000000000002</v>
      </c>
      <c r="F153">
        <v>32.869999999999997</v>
      </c>
      <c r="G153">
        <v>30</v>
      </c>
      <c r="H153">
        <v>18.13</v>
      </c>
    </row>
    <row r="154" spans="2:8">
      <c r="B154" t="s">
        <v>2209</v>
      </c>
      <c r="C154">
        <v>76.67</v>
      </c>
      <c r="D154">
        <v>234.66</v>
      </c>
      <c r="E154">
        <v>0.89172600000000002</v>
      </c>
      <c r="F154">
        <v>1.5</v>
      </c>
      <c r="G154">
        <v>20</v>
      </c>
      <c r="H154">
        <v>17.329999999999998</v>
      </c>
    </row>
    <row r="155" spans="2:8">
      <c r="B155" t="s">
        <v>2210</v>
      </c>
      <c r="C155">
        <v>80.239999999999995</v>
      </c>
      <c r="D155">
        <v>235.34</v>
      </c>
      <c r="E155">
        <v>0.89375599999999999</v>
      </c>
      <c r="F155">
        <v>2.57</v>
      </c>
      <c r="G155">
        <v>58</v>
      </c>
      <c r="H155">
        <v>18.239999999999998</v>
      </c>
    </row>
    <row r="156" spans="2:8">
      <c r="B156" t="s">
        <v>2211</v>
      </c>
      <c r="C156">
        <v>72.08</v>
      </c>
      <c r="D156">
        <v>232.65</v>
      </c>
      <c r="E156">
        <v>0.85236900000000004</v>
      </c>
      <c r="F156">
        <v>1.73</v>
      </c>
      <c r="G156">
        <v>8</v>
      </c>
      <c r="H156">
        <v>16.23</v>
      </c>
    </row>
    <row r="157" spans="2:8">
      <c r="B157" t="s">
        <v>2212</v>
      </c>
      <c r="C157">
        <v>77.98</v>
      </c>
      <c r="D157">
        <v>235.71</v>
      </c>
      <c r="E157">
        <v>0.889378</v>
      </c>
      <c r="F157">
        <v>27.49</v>
      </c>
      <c r="G157">
        <v>16</v>
      </c>
      <c r="H157">
        <v>17.98</v>
      </c>
    </row>
    <row r="158" spans="2:8">
      <c r="B158" t="s">
        <v>2213</v>
      </c>
      <c r="C158">
        <v>73.73</v>
      </c>
      <c r="D158">
        <v>231.64</v>
      </c>
      <c r="E158">
        <v>0.791018</v>
      </c>
      <c r="F158">
        <v>2.23</v>
      </c>
      <c r="G158">
        <v>54</v>
      </c>
      <c r="H158">
        <v>16.78</v>
      </c>
    </row>
    <row r="159" spans="2:8">
      <c r="B159" t="s">
        <v>2214</v>
      </c>
      <c r="C159">
        <v>78.739999999999995</v>
      </c>
      <c r="D159">
        <v>231.78</v>
      </c>
      <c r="E159">
        <v>0.82309900000000003</v>
      </c>
      <c r="F159">
        <v>0.42</v>
      </c>
      <c r="G159">
        <v>30</v>
      </c>
      <c r="H159">
        <v>17.739999999999998</v>
      </c>
    </row>
    <row r="160" spans="2:8">
      <c r="B160" t="s">
        <v>2215</v>
      </c>
      <c r="C160">
        <v>73.27</v>
      </c>
      <c r="D160">
        <v>233.46</v>
      </c>
      <c r="E160">
        <v>0.82362599999999997</v>
      </c>
      <c r="F160">
        <v>3.38</v>
      </c>
      <c r="G160">
        <v>28</v>
      </c>
      <c r="H160">
        <v>16.57</v>
      </c>
    </row>
    <row r="161" spans="2:8">
      <c r="B161" t="s">
        <v>2216</v>
      </c>
      <c r="C161">
        <v>79.56</v>
      </c>
      <c r="D161">
        <v>235.78</v>
      </c>
      <c r="E161">
        <v>0.84257700000000002</v>
      </c>
      <c r="F161">
        <v>29.68</v>
      </c>
      <c r="G161">
        <v>44</v>
      </c>
      <c r="H161">
        <v>18.03</v>
      </c>
    </row>
    <row r="162" spans="2:8">
      <c r="B162" t="s">
        <v>2217</v>
      </c>
      <c r="C162">
        <v>81.31</v>
      </c>
      <c r="D162">
        <v>235.45</v>
      </c>
      <c r="E162">
        <v>0.84957700000000003</v>
      </c>
      <c r="F162">
        <v>5.03</v>
      </c>
      <c r="G162">
        <v>58</v>
      </c>
      <c r="H162">
        <v>18.809999999999999</v>
      </c>
    </row>
    <row r="163" spans="2:8">
      <c r="B163" t="s">
        <v>2218</v>
      </c>
      <c r="C163">
        <v>68.510000000000005</v>
      </c>
      <c r="D163">
        <v>232.51</v>
      </c>
      <c r="E163">
        <v>0.84721800000000003</v>
      </c>
      <c r="F163">
        <v>1.1100000000000001</v>
      </c>
      <c r="G163">
        <v>4</v>
      </c>
      <c r="H163">
        <v>15.91</v>
      </c>
    </row>
    <row r="164" spans="2:8">
      <c r="B164" t="s">
        <v>2219</v>
      </c>
      <c r="C164">
        <v>85.65</v>
      </c>
      <c r="D164">
        <v>235.86</v>
      </c>
      <c r="E164">
        <v>0.878027</v>
      </c>
      <c r="F164">
        <v>1.38</v>
      </c>
      <c r="G164">
        <v>6</v>
      </c>
      <c r="H164">
        <v>18.690000000000001</v>
      </c>
    </row>
    <row r="165" spans="2:8">
      <c r="B165" t="s">
        <v>2220</v>
      </c>
      <c r="C165">
        <v>76.97</v>
      </c>
      <c r="D165">
        <v>233.34</v>
      </c>
      <c r="E165">
        <v>0.86795</v>
      </c>
      <c r="F165">
        <v>0.73</v>
      </c>
      <c r="G165">
        <v>34</v>
      </c>
      <c r="H165">
        <v>17.36</v>
      </c>
    </row>
    <row r="166" spans="2:8">
      <c r="B166" t="s">
        <v>2221</v>
      </c>
      <c r="C166">
        <v>79.959999999999994</v>
      </c>
      <c r="D166">
        <v>235.6</v>
      </c>
      <c r="E166">
        <v>0.89325399999999999</v>
      </c>
      <c r="F166">
        <v>5.91</v>
      </c>
      <c r="G166">
        <v>2</v>
      </c>
      <c r="H166">
        <v>18.13</v>
      </c>
    </row>
    <row r="167" spans="2:8">
      <c r="B167" t="s">
        <v>2222</v>
      </c>
      <c r="C167">
        <v>76.59</v>
      </c>
      <c r="D167">
        <v>234.91</v>
      </c>
      <c r="E167">
        <v>0.85212900000000003</v>
      </c>
      <c r="F167">
        <v>18.36</v>
      </c>
      <c r="G167">
        <v>32</v>
      </c>
      <c r="H167">
        <v>17.600000000000001</v>
      </c>
    </row>
    <row r="168" spans="2:8">
      <c r="B168" t="s">
        <v>2223</v>
      </c>
      <c r="C168">
        <v>82.55</v>
      </c>
      <c r="D168">
        <v>235.09</v>
      </c>
      <c r="E168">
        <v>0.86024299999999998</v>
      </c>
      <c r="F168">
        <v>1.31</v>
      </c>
      <c r="G168">
        <v>36</v>
      </c>
      <c r="H168">
        <v>18.32</v>
      </c>
    </row>
    <row r="169" spans="2:8">
      <c r="B169" t="s">
        <v>2224</v>
      </c>
      <c r="C169">
        <v>86.74</v>
      </c>
      <c r="D169">
        <v>235.57</v>
      </c>
      <c r="E169">
        <v>0.86995800000000001</v>
      </c>
      <c r="F169">
        <v>2.5</v>
      </c>
      <c r="G169">
        <v>18</v>
      </c>
      <c r="H169">
        <v>19.989999999999998</v>
      </c>
    </row>
    <row r="170" spans="2:8">
      <c r="B170" t="s">
        <v>2225</v>
      </c>
      <c r="C170">
        <v>78.3</v>
      </c>
      <c r="D170">
        <v>234.56</v>
      </c>
      <c r="E170">
        <v>0.87387099999999995</v>
      </c>
      <c r="F170">
        <v>1</v>
      </c>
      <c r="G170">
        <v>28</v>
      </c>
      <c r="H170">
        <v>17.690000000000001</v>
      </c>
    </row>
    <row r="171" spans="2:8">
      <c r="B171" t="s">
        <v>2226</v>
      </c>
      <c r="C171">
        <v>72</v>
      </c>
      <c r="D171">
        <v>231.63</v>
      </c>
      <c r="E171">
        <v>0.77742999999999995</v>
      </c>
      <c r="F171">
        <v>1.27</v>
      </c>
      <c r="G171">
        <v>40</v>
      </c>
      <c r="H171">
        <v>16.350000000000001</v>
      </c>
    </row>
    <row r="172" spans="2:8">
      <c r="B172" t="s">
        <v>2227</v>
      </c>
      <c r="C172">
        <v>80.790000000000006</v>
      </c>
      <c r="D172">
        <v>234.98</v>
      </c>
      <c r="E172">
        <v>0.82670900000000003</v>
      </c>
      <c r="F172">
        <v>2.34</v>
      </c>
      <c r="G172">
        <v>0</v>
      </c>
      <c r="H172">
        <v>18.25</v>
      </c>
    </row>
    <row r="173" spans="2:8">
      <c r="B173" t="s">
        <v>2228</v>
      </c>
      <c r="C173">
        <v>82.5</v>
      </c>
      <c r="D173">
        <v>233.91</v>
      </c>
      <c r="E173">
        <v>0.85478900000000002</v>
      </c>
      <c r="F173">
        <v>1.65</v>
      </c>
      <c r="G173">
        <v>40</v>
      </c>
      <c r="H173">
        <v>19.239999999999998</v>
      </c>
    </row>
    <row r="174" spans="2:8">
      <c r="B174" t="s">
        <v>2229</v>
      </c>
      <c r="C174">
        <v>69.260000000000005</v>
      </c>
      <c r="D174">
        <v>233.84</v>
      </c>
      <c r="E174">
        <v>0.86252700000000004</v>
      </c>
      <c r="F174">
        <v>20.239999999999998</v>
      </c>
      <c r="G174">
        <v>58</v>
      </c>
      <c r="H174">
        <v>16.350000000000001</v>
      </c>
    </row>
    <row r="175" spans="2:8">
      <c r="B175" t="s">
        <v>2230</v>
      </c>
      <c r="C175">
        <v>74.989999999999995</v>
      </c>
      <c r="D175">
        <v>234.03</v>
      </c>
      <c r="E175">
        <v>0.83895799999999998</v>
      </c>
      <c r="F175">
        <v>2.23</v>
      </c>
      <c r="G175">
        <v>58</v>
      </c>
      <c r="H175">
        <v>17.899999999999999</v>
      </c>
    </row>
    <row r="176" spans="2:8">
      <c r="B176" t="s">
        <v>2231</v>
      </c>
      <c r="C176">
        <v>82.31</v>
      </c>
      <c r="D176">
        <v>236.71</v>
      </c>
      <c r="E176">
        <v>0.91544499999999995</v>
      </c>
      <c r="F176">
        <v>30.37</v>
      </c>
      <c r="G176">
        <v>58</v>
      </c>
      <c r="H176">
        <v>18.68</v>
      </c>
    </row>
    <row r="177" spans="2:8">
      <c r="B177" t="s">
        <v>2232</v>
      </c>
      <c r="C177">
        <v>76.739999999999995</v>
      </c>
      <c r="D177">
        <v>234.25</v>
      </c>
      <c r="E177">
        <v>0.89730299999999996</v>
      </c>
      <c r="F177">
        <v>0.5</v>
      </c>
      <c r="G177">
        <v>58</v>
      </c>
      <c r="H177">
        <v>17.190000000000001</v>
      </c>
    </row>
    <row r="178" spans="2:8">
      <c r="B178" t="s">
        <v>2233</v>
      </c>
      <c r="C178">
        <v>72.13</v>
      </c>
      <c r="D178">
        <v>231.35</v>
      </c>
      <c r="E178">
        <v>0.78581000000000001</v>
      </c>
      <c r="F178">
        <v>1.1499999999999999</v>
      </c>
      <c r="G178">
        <v>32</v>
      </c>
      <c r="H178">
        <v>16.86</v>
      </c>
    </row>
    <row r="179" spans="2:8">
      <c r="B179" t="s">
        <v>2234</v>
      </c>
      <c r="C179">
        <v>83.25</v>
      </c>
      <c r="D179">
        <v>235.35</v>
      </c>
      <c r="E179">
        <v>0.85279400000000005</v>
      </c>
      <c r="F179">
        <v>2.27</v>
      </c>
      <c r="G179">
        <v>16</v>
      </c>
      <c r="H179">
        <v>18.48</v>
      </c>
    </row>
    <row r="180" spans="2:8">
      <c r="B180" t="s">
        <v>2235</v>
      </c>
      <c r="C180">
        <v>86.85</v>
      </c>
      <c r="D180">
        <v>237.13</v>
      </c>
      <c r="E180">
        <v>0.88363800000000003</v>
      </c>
      <c r="F180">
        <v>30.64</v>
      </c>
      <c r="G180">
        <v>42</v>
      </c>
      <c r="H180">
        <v>19.89</v>
      </c>
    </row>
    <row r="181" spans="2:8">
      <c r="B181" t="s">
        <v>2236</v>
      </c>
      <c r="C181">
        <v>79.400000000000006</v>
      </c>
      <c r="D181">
        <v>235.8</v>
      </c>
      <c r="E181">
        <v>0.89227199999999995</v>
      </c>
      <c r="F181">
        <v>16.670000000000002</v>
      </c>
      <c r="G181">
        <v>8</v>
      </c>
      <c r="H181">
        <v>18.43</v>
      </c>
    </row>
    <row r="182" spans="2:8">
      <c r="B182" t="s">
        <v>2237</v>
      </c>
      <c r="C182">
        <v>76.44</v>
      </c>
      <c r="D182">
        <v>234.41</v>
      </c>
      <c r="E182">
        <v>0.85136999999999996</v>
      </c>
      <c r="F182">
        <v>3.23</v>
      </c>
      <c r="G182">
        <v>48</v>
      </c>
      <c r="H182">
        <v>17.46</v>
      </c>
    </row>
    <row r="183" spans="2:8">
      <c r="B183" t="s">
        <v>2238</v>
      </c>
      <c r="C183">
        <v>79.59</v>
      </c>
      <c r="D183">
        <v>233.92</v>
      </c>
      <c r="E183">
        <v>0.83290200000000003</v>
      </c>
      <c r="F183">
        <v>1.84</v>
      </c>
      <c r="G183">
        <v>10</v>
      </c>
      <c r="H183">
        <v>18.37</v>
      </c>
    </row>
    <row r="184" spans="2:8">
      <c r="B184" t="s">
        <v>2239</v>
      </c>
      <c r="C184">
        <v>78.95</v>
      </c>
      <c r="D184">
        <v>235.4</v>
      </c>
      <c r="E184">
        <v>0.85447099999999998</v>
      </c>
      <c r="F184">
        <v>15.09</v>
      </c>
      <c r="G184">
        <v>56</v>
      </c>
      <c r="H184">
        <v>18.079999999999998</v>
      </c>
    </row>
    <row r="185" spans="2:8">
      <c r="B185" t="s">
        <v>2240</v>
      </c>
      <c r="C185">
        <v>86.57</v>
      </c>
      <c r="D185">
        <v>236.02</v>
      </c>
      <c r="E185">
        <v>0.901424</v>
      </c>
      <c r="F185">
        <v>0.96</v>
      </c>
      <c r="G185">
        <v>0</v>
      </c>
      <c r="H185">
        <v>19.309999999999999</v>
      </c>
    </row>
    <row r="186" spans="2:8">
      <c r="B186" t="s">
        <v>2241</v>
      </c>
      <c r="C186">
        <v>75.510000000000005</v>
      </c>
      <c r="D186">
        <v>234.18</v>
      </c>
      <c r="E186">
        <v>0.88430600000000004</v>
      </c>
      <c r="F186">
        <v>1.69</v>
      </c>
      <c r="G186">
        <v>46</v>
      </c>
      <c r="H186">
        <v>17.309999999999999</v>
      </c>
    </row>
    <row r="187" spans="2:8">
      <c r="B187" t="s">
        <v>2242</v>
      </c>
      <c r="C187">
        <v>79.05</v>
      </c>
      <c r="D187">
        <v>235.24</v>
      </c>
      <c r="E187">
        <v>0.87672799999999995</v>
      </c>
      <c r="F187">
        <v>4.3</v>
      </c>
      <c r="G187">
        <v>8</v>
      </c>
      <c r="H187">
        <v>17.52</v>
      </c>
    </row>
    <row r="188" spans="2:8">
      <c r="B188" t="s">
        <v>2243</v>
      </c>
      <c r="C188">
        <v>84.8</v>
      </c>
      <c r="D188">
        <v>235.6</v>
      </c>
      <c r="E188">
        <v>0.86632799999999999</v>
      </c>
      <c r="F188">
        <v>1.88</v>
      </c>
      <c r="G188">
        <v>16</v>
      </c>
      <c r="H188">
        <v>18.899999999999999</v>
      </c>
    </row>
    <row r="189" spans="2:8">
      <c r="B189" t="s">
        <v>2244</v>
      </c>
      <c r="C189">
        <v>70.2</v>
      </c>
      <c r="D189">
        <v>234.28</v>
      </c>
      <c r="E189">
        <v>0.86412999999999995</v>
      </c>
      <c r="F189">
        <v>26.57</v>
      </c>
      <c r="G189">
        <v>48</v>
      </c>
      <c r="H189">
        <v>17.22</v>
      </c>
    </row>
    <row r="190" spans="2:8">
      <c r="B190" t="s">
        <v>2245</v>
      </c>
      <c r="C190">
        <v>77.290000000000006</v>
      </c>
      <c r="D190">
        <v>234.48</v>
      </c>
      <c r="E190">
        <v>0.86536500000000005</v>
      </c>
      <c r="F190">
        <v>1.8</v>
      </c>
      <c r="G190">
        <v>34</v>
      </c>
      <c r="H190">
        <v>17.82</v>
      </c>
    </row>
    <row r="191" spans="2:8">
      <c r="B191" t="s">
        <v>2246</v>
      </c>
      <c r="C191">
        <v>83.45</v>
      </c>
      <c r="D191">
        <v>234.88</v>
      </c>
      <c r="E191">
        <v>0.81664999999999999</v>
      </c>
      <c r="F191">
        <v>3.42</v>
      </c>
      <c r="G191">
        <v>18</v>
      </c>
      <c r="H191">
        <v>18.010000000000002</v>
      </c>
    </row>
    <row r="192" spans="2:8">
      <c r="B192" t="s">
        <v>2247</v>
      </c>
      <c r="C192">
        <v>77.150000000000006</v>
      </c>
      <c r="D192">
        <v>234.04</v>
      </c>
      <c r="E192">
        <v>0.80718599999999996</v>
      </c>
      <c r="F192">
        <v>8.7200000000000006</v>
      </c>
      <c r="G192">
        <v>48</v>
      </c>
      <c r="H192">
        <v>17.489999999999998</v>
      </c>
    </row>
    <row r="193" spans="2:8">
      <c r="B193" t="s">
        <v>2248</v>
      </c>
      <c r="C193">
        <v>79.040000000000006</v>
      </c>
      <c r="D193">
        <v>234.55</v>
      </c>
      <c r="E193">
        <v>0.87989799999999996</v>
      </c>
      <c r="F193">
        <v>1.19</v>
      </c>
      <c r="G193">
        <v>34</v>
      </c>
      <c r="H193">
        <v>17.62</v>
      </c>
    </row>
    <row r="194" spans="2:8">
      <c r="B194" t="s">
        <v>2249</v>
      </c>
      <c r="C194">
        <v>73.53</v>
      </c>
      <c r="D194">
        <v>233.59</v>
      </c>
      <c r="E194">
        <v>0.84275800000000001</v>
      </c>
      <c r="F194">
        <v>2.46</v>
      </c>
      <c r="G194">
        <v>6</v>
      </c>
      <c r="H194">
        <v>17.309999999999999</v>
      </c>
    </row>
    <row r="195" spans="2:8">
      <c r="B195" t="s">
        <v>2250</v>
      </c>
      <c r="C195">
        <v>74.790000000000006</v>
      </c>
      <c r="D195">
        <v>235.24</v>
      </c>
      <c r="E195">
        <v>0.86834</v>
      </c>
      <c r="F195">
        <v>33.950000000000003</v>
      </c>
      <c r="G195">
        <v>0</v>
      </c>
      <c r="H195">
        <v>16.559999999999999</v>
      </c>
    </row>
    <row r="196" spans="2:8">
      <c r="B196" t="s">
        <v>2251</v>
      </c>
      <c r="C196">
        <v>87.4</v>
      </c>
      <c r="D196">
        <v>237.42</v>
      </c>
      <c r="E196">
        <v>0.91891100000000003</v>
      </c>
      <c r="F196">
        <v>21.08</v>
      </c>
      <c r="G196">
        <v>10</v>
      </c>
      <c r="H196">
        <v>19.5</v>
      </c>
    </row>
    <row r="197" spans="2:8">
      <c r="B197" t="s">
        <v>2252</v>
      </c>
      <c r="C197">
        <v>86.7</v>
      </c>
      <c r="D197">
        <v>237.45</v>
      </c>
      <c r="E197">
        <v>0.91214499999999998</v>
      </c>
      <c r="F197">
        <v>38.979999999999997</v>
      </c>
      <c r="G197">
        <v>32</v>
      </c>
      <c r="H197">
        <v>19.260000000000002</v>
      </c>
    </row>
    <row r="198" spans="2:8">
      <c r="B198" t="s">
        <v>2253</v>
      </c>
      <c r="C198">
        <v>76.84</v>
      </c>
      <c r="D198">
        <v>234.88</v>
      </c>
      <c r="E198">
        <v>0.85146500000000003</v>
      </c>
      <c r="F198">
        <v>5.41</v>
      </c>
      <c r="G198">
        <v>48</v>
      </c>
      <c r="H198">
        <v>17.48</v>
      </c>
    </row>
    <row r="199" spans="2:8">
      <c r="B199" t="s">
        <v>2254</v>
      </c>
      <c r="C199">
        <v>71.28</v>
      </c>
      <c r="D199">
        <v>234.95</v>
      </c>
      <c r="E199">
        <v>0.90965799999999997</v>
      </c>
      <c r="F199">
        <v>44.51</v>
      </c>
      <c r="G199">
        <v>40</v>
      </c>
      <c r="H199">
        <v>15.95</v>
      </c>
    </row>
    <row r="200" spans="2:8">
      <c r="B200" t="s">
        <v>2255</v>
      </c>
      <c r="C200">
        <v>77.459999999999994</v>
      </c>
      <c r="D200">
        <v>234.96</v>
      </c>
      <c r="E200">
        <v>0.87218200000000001</v>
      </c>
      <c r="F200">
        <v>4.26</v>
      </c>
      <c r="G200">
        <v>14</v>
      </c>
      <c r="H200">
        <v>18.18</v>
      </c>
    </row>
    <row r="201" spans="2:8">
      <c r="B201" t="s">
        <v>2256</v>
      </c>
      <c r="C201">
        <v>70.209999999999994</v>
      </c>
      <c r="D201">
        <v>311.67</v>
      </c>
      <c r="E201">
        <v>0.83374300000000001</v>
      </c>
      <c r="F201">
        <v>14.05</v>
      </c>
      <c r="G201">
        <v>30</v>
      </c>
      <c r="H201">
        <v>15.33</v>
      </c>
    </row>
    <row r="202" spans="2:8">
      <c r="B202" t="s">
        <v>2257</v>
      </c>
      <c r="C202">
        <v>76.540000000000006</v>
      </c>
      <c r="D202">
        <v>309.86</v>
      </c>
      <c r="E202">
        <v>0.84107100000000001</v>
      </c>
      <c r="F202">
        <v>0.31</v>
      </c>
      <c r="G202">
        <v>50</v>
      </c>
      <c r="H202">
        <v>16.96</v>
      </c>
    </row>
    <row r="203" spans="2:8">
      <c r="B203" t="s">
        <v>2258</v>
      </c>
      <c r="C203">
        <v>73.52</v>
      </c>
      <c r="D203">
        <v>311.83</v>
      </c>
      <c r="E203">
        <v>0.79798400000000003</v>
      </c>
      <c r="F203">
        <v>18.05</v>
      </c>
      <c r="G203">
        <v>68</v>
      </c>
      <c r="H203">
        <v>16.21</v>
      </c>
    </row>
    <row r="204" spans="2:8">
      <c r="B204" t="s">
        <v>2259</v>
      </c>
      <c r="C204">
        <v>70.510000000000005</v>
      </c>
      <c r="D204">
        <v>310.61</v>
      </c>
      <c r="E204">
        <v>0.84861699999999995</v>
      </c>
      <c r="F204">
        <v>0.73</v>
      </c>
      <c r="G204">
        <v>40</v>
      </c>
      <c r="H204">
        <v>15.85</v>
      </c>
    </row>
    <row r="205" spans="2:8">
      <c r="B205" t="s">
        <v>2260</v>
      </c>
      <c r="C205">
        <v>68.66</v>
      </c>
      <c r="D205">
        <v>310.91000000000003</v>
      </c>
      <c r="E205">
        <v>0.83051799999999998</v>
      </c>
      <c r="F205">
        <v>10.64</v>
      </c>
      <c r="G205">
        <v>38</v>
      </c>
      <c r="H205">
        <v>15.1</v>
      </c>
    </row>
    <row r="206" spans="2:8">
      <c r="B206" t="s">
        <v>2261</v>
      </c>
      <c r="C206">
        <v>71.290000000000006</v>
      </c>
      <c r="D206">
        <v>311.17</v>
      </c>
      <c r="E206">
        <v>0.83035000000000003</v>
      </c>
      <c r="F206">
        <v>1.73</v>
      </c>
      <c r="G206">
        <v>26</v>
      </c>
      <c r="H206">
        <v>16.37</v>
      </c>
    </row>
    <row r="207" spans="2:8">
      <c r="B207" t="s">
        <v>2262</v>
      </c>
      <c r="C207">
        <v>68.489999999999995</v>
      </c>
      <c r="D207">
        <v>311.57</v>
      </c>
      <c r="E207">
        <v>0.84077599999999997</v>
      </c>
      <c r="F207">
        <v>21.16</v>
      </c>
      <c r="G207">
        <v>12</v>
      </c>
      <c r="H207">
        <v>15.01</v>
      </c>
    </row>
    <row r="208" spans="2:8">
      <c r="B208" t="s">
        <v>2263</v>
      </c>
      <c r="C208">
        <v>69.790000000000006</v>
      </c>
      <c r="D208">
        <v>310.47000000000003</v>
      </c>
      <c r="E208">
        <v>0.80975900000000001</v>
      </c>
      <c r="F208">
        <v>3.23</v>
      </c>
      <c r="G208">
        <v>0</v>
      </c>
      <c r="H208">
        <v>15.82</v>
      </c>
    </row>
    <row r="209" spans="2:8">
      <c r="B209" t="s">
        <v>2264</v>
      </c>
      <c r="C209">
        <v>70.45</v>
      </c>
      <c r="D209">
        <v>311.77</v>
      </c>
      <c r="E209">
        <v>0.88516499999999998</v>
      </c>
      <c r="F209">
        <v>2.19</v>
      </c>
      <c r="G209">
        <v>74</v>
      </c>
      <c r="H209">
        <v>15.83</v>
      </c>
    </row>
    <row r="210" spans="2:8">
      <c r="B210" t="s">
        <v>2265</v>
      </c>
      <c r="C210">
        <v>61.16</v>
      </c>
      <c r="D210">
        <v>305.47000000000003</v>
      </c>
      <c r="E210">
        <v>0.73853999999999997</v>
      </c>
      <c r="F210">
        <v>0.96</v>
      </c>
      <c r="G210">
        <v>52</v>
      </c>
      <c r="H210">
        <v>13.62</v>
      </c>
    </row>
    <row r="211" spans="2:8">
      <c r="B211" t="s">
        <v>2266</v>
      </c>
      <c r="C211">
        <v>72.66</v>
      </c>
      <c r="D211">
        <v>312.69</v>
      </c>
      <c r="E211">
        <v>0.87185999999999997</v>
      </c>
      <c r="F211">
        <v>18.850000000000001</v>
      </c>
      <c r="G211">
        <v>8</v>
      </c>
      <c r="H211">
        <v>16.100000000000001</v>
      </c>
    </row>
    <row r="212" spans="2:8">
      <c r="B212" t="s">
        <v>2267</v>
      </c>
      <c r="C212">
        <v>72.599999999999994</v>
      </c>
      <c r="D212">
        <v>312.93</v>
      </c>
      <c r="E212">
        <v>0.89319800000000005</v>
      </c>
      <c r="F212">
        <v>14.28</v>
      </c>
      <c r="G212">
        <v>8</v>
      </c>
      <c r="H212">
        <v>16.63</v>
      </c>
    </row>
    <row r="213" spans="2:8">
      <c r="B213" t="s">
        <v>2268</v>
      </c>
      <c r="C213">
        <v>72.88</v>
      </c>
      <c r="D213">
        <v>310.38</v>
      </c>
      <c r="E213">
        <v>0.80631900000000001</v>
      </c>
      <c r="F213">
        <v>1.04</v>
      </c>
      <c r="G213">
        <v>74</v>
      </c>
      <c r="H213">
        <v>15.77</v>
      </c>
    </row>
    <row r="214" spans="2:8">
      <c r="B214" t="s">
        <v>2269</v>
      </c>
      <c r="C214">
        <v>71.14</v>
      </c>
      <c r="D214">
        <v>311.94</v>
      </c>
      <c r="E214">
        <v>0.81630199999999997</v>
      </c>
      <c r="F214">
        <v>19.66</v>
      </c>
      <c r="G214">
        <v>60</v>
      </c>
      <c r="H214">
        <v>15.95</v>
      </c>
    </row>
    <row r="215" spans="2:8">
      <c r="B215" t="s">
        <v>2270</v>
      </c>
      <c r="C215">
        <v>71.44</v>
      </c>
      <c r="D215">
        <v>310.07</v>
      </c>
      <c r="E215">
        <v>0.84862000000000004</v>
      </c>
      <c r="F215">
        <v>0.96</v>
      </c>
      <c r="G215">
        <v>36</v>
      </c>
      <c r="H215">
        <v>16.32</v>
      </c>
    </row>
    <row r="216" spans="2:8">
      <c r="B216" t="s">
        <v>2271</v>
      </c>
      <c r="C216">
        <v>68.819999999999993</v>
      </c>
      <c r="D216">
        <v>310.87</v>
      </c>
      <c r="E216">
        <v>0.84683200000000003</v>
      </c>
      <c r="F216">
        <v>5.8</v>
      </c>
      <c r="G216">
        <v>18</v>
      </c>
      <c r="H216">
        <v>15.88</v>
      </c>
    </row>
    <row r="217" spans="2:8">
      <c r="B217" t="s">
        <v>2272</v>
      </c>
      <c r="C217">
        <v>71.53</v>
      </c>
      <c r="D217">
        <v>308.43</v>
      </c>
      <c r="E217">
        <v>0.82496100000000006</v>
      </c>
      <c r="F217">
        <v>0.96</v>
      </c>
      <c r="G217">
        <v>40</v>
      </c>
      <c r="H217">
        <v>16.3</v>
      </c>
    </row>
    <row r="218" spans="2:8">
      <c r="B218" t="s">
        <v>2273</v>
      </c>
      <c r="C218">
        <v>66.150000000000006</v>
      </c>
      <c r="D218">
        <v>307.16000000000003</v>
      </c>
      <c r="E218">
        <v>0.82725300000000002</v>
      </c>
      <c r="F218">
        <v>0.27</v>
      </c>
      <c r="G218">
        <v>4</v>
      </c>
      <c r="H218">
        <v>15.12</v>
      </c>
    </row>
    <row r="219" spans="2:8">
      <c r="B219" t="s">
        <v>2274</v>
      </c>
      <c r="C219">
        <v>69.92</v>
      </c>
      <c r="D219">
        <v>311.45999999999998</v>
      </c>
      <c r="E219">
        <v>0.83566700000000005</v>
      </c>
      <c r="F219">
        <v>10.71</v>
      </c>
      <c r="G219">
        <v>16</v>
      </c>
      <c r="H219">
        <v>16.13</v>
      </c>
    </row>
    <row r="220" spans="2:8">
      <c r="B220" t="s">
        <v>2275</v>
      </c>
      <c r="C220">
        <v>67.77</v>
      </c>
      <c r="D220">
        <v>310.81</v>
      </c>
      <c r="E220">
        <v>0.83020099999999997</v>
      </c>
      <c r="F220">
        <v>9.14</v>
      </c>
      <c r="G220">
        <v>68</v>
      </c>
      <c r="H220">
        <v>15.26</v>
      </c>
    </row>
    <row r="221" spans="2:8">
      <c r="B221" t="s">
        <v>2276</v>
      </c>
      <c r="C221">
        <v>65.58</v>
      </c>
      <c r="D221" t="e">
        <f>-inf</f>
        <v>#NAME?</v>
      </c>
      <c r="E221">
        <v>0.83503499999999997</v>
      </c>
      <c r="F221">
        <v>0</v>
      </c>
      <c r="G221">
        <v>38</v>
      </c>
      <c r="H221">
        <v>14.34</v>
      </c>
    </row>
    <row r="222" spans="2:8">
      <c r="B222" t="s">
        <v>2277</v>
      </c>
      <c r="C222">
        <v>73.41</v>
      </c>
      <c r="D222">
        <v>308.77</v>
      </c>
      <c r="E222">
        <v>0.79543799999999998</v>
      </c>
      <c r="F222">
        <v>0.31</v>
      </c>
      <c r="G222">
        <v>22</v>
      </c>
      <c r="H222">
        <v>16.170000000000002</v>
      </c>
    </row>
    <row r="223" spans="2:8">
      <c r="B223" t="s">
        <v>2278</v>
      </c>
      <c r="C223">
        <v>70.260000000000005</v>
      </c>
      <c r="D223">
        <v>310.99</v>
      </c>
      <c r="E223">
        <v>0.83820399999999995</v>
      </c>
      <c r="F223">
        <v>1.8</v>
      </c>
      <c r="G223">
        <v>52</v>
      </c>
      <c r="H223">
        <v>15.87</v>
      </c>
    </row>
    <row r="224" spans="2:8">
      <c r="B224" t="s">
        <v>2279</v>
      </c>
      <c r="C224">
        <v>73.38</v>
      </c>
      <c r="D224">
        <v>310.68</v>
      </c>
      <c r="E224">
        <v>0.82026500000000002</v>
      </c>
      <c r="F224">
        <v>1.54</v>
      </c>
      <c r="G224">
        <v>66</v>
      </c>
      <c r="H224">
        <v>16.25</v>
      </c>
    </row>
    <row r="225" spans="2:8">
      <c r="B225" t="s">
        <v>2280</v>
      </c>
      <c r="C225">
        <v>76.319999999999993</v>
      </c>
      <c r="D225">
        <v>313.77999999999997</v>
      </c>
      <c r="E225">
        <v>0.87534599999999996</v>
      </c>
      <c r="F225">
        <v>20.16</v>
      </c>
      <c r="G225">
        <v>4</v>
      </c>
      <c r="H225">
        <v>17.75</v>
      </c>
    </row>
    <row r="226" spans="2:8">
      <c r="B226" t="s">
        <v>2281</v>
      </c>
      <c r="C226">
        <v>76.099999999999994</v>
      </c>
      <c r="D226">
        <v>313.72000000000003</v>
      </c>
      <c r="E226">
        <v>0.89763599999999999</v>
      </c>
      <c r="F226">
        <v>7.76</v>
      </c>
      <c r="G226">
        <v>68</v>
      </c>
      <c r="H226">
        <v>17.13</v>
      </c>
    </row>
    <row r="227" spans="2:8">
      <c r="B227" t="s">
        <v>2282</v>
      </c>
      <c r="C227">
        <v>71.319999999999993</v>
      </c>
      <c r="D227">
        <v>310.38</v>
      </c>
      <c r="E227">
        <v>0.84849600000000003</v>
      </c>
      <c r="F227">
        <v>1.23</v>
      </c>
      <c r="G227">
        <v>40</v>
      </c>
      <c r="H227">
        <v>16.05</v>
      </c>
    </row>
    <row r="228" spans="2:8">
      <c r="B228" t="s">
        <v>2283</v>
      </c>
      <c r="C228">
        <v>67.72</v>
      </c>
      <c r="D228">
        <v>308.77</v>
      </c>
      <c r="E228">
        <v>0.78500700000000001</v>
      </c>
      <c r="F228">
        <v>1.73</v>
      </c>
      <c r="G228">
        <v>54</v>
      </c>
      <c r="H228">
        <v>15.58</v>
      </c>
    </row>
    <row r="229" spans="2:8">
      <c r="B229" t="s">
        <v>2284</v>
      </c>
      <c r="C229">
        <v>68.510000000000005</v>
      </c>
      <c r="D229">
        <v>306.81</v>
      </c>
      <c r="E229">
        <v>0.77555399999999997</v>
      </c>
      <c r="F229">
        <v>1.27</v>
      </c>
      <c r="G229">
        <v>40</v>
      </c>
      <c r="H229">
        <v>14.94</v>
      </c>
    </row>
    <row r="230" spans="2:8">
      <c r="B230" t="s">
        <v>2285</v>
      </c>
      <c r="C230">
        <v>68.08</v>
      </c>
      <c r="D230">
        <v>310.06</v>
      </c>
      <c r="E230">
        <v>0.80662299999999998</v>
      </c>
      <c r="F230">
        <v>2.34</v>
      </c>
      <c r="G230">
        <v>66</v>
      </c>
      <c r="H230">
        <v>15.29</v>
      </c>
    </row>
    <row r="231" spans="2:8">
      <c r="B231" t="s">
        <v>2286</v>
      </c>
      <c r="C231">
        <v>68.19</v>
      </c>
      <c r="D231">
        <v>310.79000000000002</v>
      </c>
      <c r="E231">
        <v>0.84285500000000002</v>
      </c>
      <c r="F231">
        <v>3.07</v>
      </c>
      <c r="G231">
        <v>16</v>
      </c>
      <c r="H231">
        <v>15.4</v>
      </c>
    </row>
    <row r="232" spans="2:8">
      <c r="B232" t="s">
        <v>2287</v>
      </c>
      <c r="C232">
        <v>77.78</v>
      </c>
      <c r="D232">
        <v>310.81</v>
      </c>
      <c r="E232">
        <v>0.84021699999999999</v>
      </c>
      <c r="F232">
        <v>0.38</v>
      </c>
      <c r="G232">
        <v>58</v>
      </c>
      <c r="H232">
        <v>17.260000000000002</v>
      </c>
    </row>
    <row r="233" spans="2:8">
      <c r="B233" t="s">
        <v>2288</v>
      </c>
      <c r="C233">
        <v>70.8</v>
      </c>
      <c r="D233">
        <v>307.83999999999997</v>
      </c>
      <c r="E233">
        <v>0.77461500000000005</v>
      </c>
      <c r="F233">
        <v>0.61</v>
      </c>
      <c r="G233">
        <v>10</v>
      </c>
      <c r="H233">
        <v>15.41</v>
      </c>
    </row>
    <row r="234" spans="2:8">
      <c r="B234" t="s">
        <v>2289</v>
      </c>
      <c r="C234">
        <v>70.95</v>
      </c>
      <c r="D234">
        <v>311.29000000000002</v>
      </c>
      <c r="E234">
        <v>0.83468799999999999</v>
      </c>
      <c r="F234">
        <v>2.19</v>
      </c>
      <c r="G234">
        <v>38</v>
      </c>
      <c r="H234">
        <v>15.63</v>
      </c>
    </row>
    <row r="235" spans="2:8">
      <c r="B235" t="s">
        <v>2290</v>
      </c>
      <c r="C235">
        <v>70.41</v>
      </c>
      <c r="D235">
        <v>309.81</v>
      </c>
      <c r="E235">
        <v>0.80817799999999995</v>
      </c>
      <c r="F235">
        <v>1.19</v>
      </c>
      <c r="G235">
        <v>34</v>
      </c>
      <c r="H235">
        <v>15.65</v>
      </c>
    </row>
    <row r="236" spans="2:8">
      <c r="B236" t="s">
        <v>2291</v>
      </c>
      <c r="C236">
        <v>68.260000000000005</v>
      </c>
      <c r="D236">
        <v>304.64999999999998</v>
      </c>
      <c r="E236">
        <v>0.74077400000000004</v>
      </c>
      <c r="F236">
        <v>0.08</v>
      </c>
      <c r="G236">
        <v>34</v>
      </c>
      <c r="H236">
        <v>15.28</v>
      </c>
    </row>
    <row r="237" spans="2:8">
      <c r="B237" t="s">
        <v>2292</v>
      </c>
      <c r="C237">
        <v>71.37</v>
      </c>
      <c r="D237">
        <v>308.89999999999998</v>
      </c>
      <c r="E237">
        <v>0.82495399999999997</v>
      </c>
      <c r="F237">
        <v>0.65</v>
      </c>
      <c r="G237">
        <v>44</v>
      </c>
      <c r="H237">
        <v>15.79</v>
      </c>
    </row>
    <row r="238" spans="2:8">
      <c r="B238" t="s">
        <v>2293</v>
      </c>
      <c r="C238">
        <v>70.400000000000006</v>
      </c>
      <c r="D238">
        <v>310.88</v>
      </c>
      <c r="E238">
        <v>0.86158299999999999</v>
      </c>
      <c r="F238">
        <v>1.23</v>
      </c>
      <c r="G238">
        <v>6</v>
      </c>
      <c r="H238">
        <v>15.96</v>
      </c>
    </row>
    <row r="239" spans="2:8">
      <c r="B239" t="s">
        <v>2294</v>
      </c>
      <c r="C239">
        <v>71.510000000000005</v>
      </c>
      <c r="D239">
        <v>312.81</v>
      </c>
      <c r="E239">
        <v>0.86778299999999997</v>
      </c>
      <c r="F239">
        <v>30.07</v>
      </c>
      <c r="G239">
        <v>34</v>
      </c>
      <c r="H239">
        <v>15.96</v>
      </c>
    </row>
    <row r="240" spans="2:8">
      <c r="B240" t="s">
        <v>2295</v>
      </c>
      <c r="C240">
        <v>70.709999999999994</v>
      </c>
      <c r="D240">
        <v>311.66000000000003</v>
      </c>
      <c r="E240">
        <v>0.86209400000000003</v>
      </c>
      <c r="F240">
        <v>3.65</v>
      </c>
      <c r="G240">
        <v>48</v>
      </c>
      <c r="H240">
        <v>16.27</v>
      </c>
    </row>
    <row r="241" spans="2:8">
      <c r="B241" t="s">
        <v>2296</v>
      </c>
      <c r="C241">
        <v>67.709999999999994</v>
      </c>
      <c r="D241">
        <v>309.83</v>
      </c>
      <c r="E241">
        <v>0.80927300000000002</v>
      </c>
      <c r="F241">
        <v>1.88</v>
      </c>
      <c r="G241">
        <v>0</v>
      </c>
      <c r="H241">
        <v>14.97</v>
      </c>
    </row>
    <row r="242" spans="2:8">
      <c r="B242" t="s">
        <v>2297</v>
      </c>
      <c r="C242">
        <v>65.13</v>
      </c>
      <c r="D242">
        <v>309.47000000000003</v>
      </c>
      <c r="E242">
        <v>0.80360600000000004</v>
      </c>
      <c r="F242">
        <v>5.53</v>
      </c>
      <c r="G242">
        <v>20</v>
      </c>
      <c r="H242">
        <v>14.73</v>
      </c>
    </row>
    <row r="243" spans="2:8">
      <c r="B243" t="s">
        <v>2298</v>
      </c>
      <c r="C243">
        <v>65.48</v>
      </c>
      <c r="D243">
        <v>310.56</v>
      </c>
      <c r="E243">
        <v>0.84872000000000003</v>
      </c>
      <c r="F243">
        <v>9.02</v>
      </c>
      <c r="G243">
        <v>38</v>
      </c>
      <c r="H243">
        <v>14.3</v>
      </c>
    </row>
    <row r="244" spans="2:8">
      <c r="B244" t="s">
        <v>2299</v>
      </c>
      <c r="C244">
        <v>67.180000000000007</v>
      </c>
      <c r="D244">
        <v>310.13</v>
      </c>
      <c r="E244">
        <v>0.82846900000000001</v>
      </c>
      <c r="F244">
        <v>2.57</v>
      </c>
      <c r="G244">
        <v>2</v>
      </c>
      <c r="H244">
        <v>14.82</v>
      </c>
    </row>
    <row r="245" spans="2:8">
      <c r="B245" t="s">
        <v>2300</v>
      </c>
      <c r="C245">
        <v>73.819999999999993</v>
      </c>
      <c r="D245">
        <v>308.51</v>
      </c>
      <c r="E245">
        <v>0.81669199999999997</v>
      </c>
      <c r="F245">
        <v>1.04</v>
      </c>
      <c r="G245">
        <v>36</v>
      </c>
      <c r="H245">
        <v>16.37</v>
      </c>
    </row>
    <row r="246" spans="2:8">
      <c r="B246" t="s">
        <v>2301</v>
      </c>
      <c r="C246">
        <v>69.430000000000007</v>
      </c>
      <c r="D246">
        <v>311.37</v>
      </c>
      <c r="E246">
        <v>0.84138400000000002</v>
      </c>
      <c r="F246">
        <v>12.4</v>
      </c>
      <c r="G246">
        <v>12</v>
      </c>
      <c r="H246">
        <v>15.64</v>
      </c>
    </row>
    <row r="247" spans="2:8">
      <c r="B247" t="s">
        <v>2302</v>
      </c>
      <c r="C247">
        <v>66.459999999999994</v>
      </c>
      <c r="D247">
        <v>310.08</v>
      </c>
      <c r="E247">
        <v>0.83298300000000003</v>
      </c>
      <c r="F247">
        <v>3</v>
      </c>
      <c r="G247">
        <v>22</v>
      </c>
      <c r="H247">
        <v>15.66</v>
      </c>
    </row>
    <row r="248" spans="2:8">
      <c r="B248" t="s">
        <v>2303</v>
      </c>
      <c r="C248">
        <v>68.569999999999993</v>
      </c>
      <c r="D248">
        <v>312.23</v>
      </c>
      <c r="E248">
        <v>0.87074099999999999</v>
      </c>
      <c r="F248">
        <v>26.34</v>
      </c>
      <c r="G248">
        <v>32</v>
      </c>
      <c r="H248">
        <v>15.14</v>
      </c>
    </row>
    <row r="249" spans="2:8">
      <c r="B249" t="s">
        <v>2304</v>
      </c>
      <c r="C249">
        <v>67.209999999999994</v>
      </c>
      <c r="D249">
        <v>309.98</v>
      </c>
      <c r="E249">
        <v>0.78401100000000001</v>
      </c>
      <c r="F249">
        <v>13.21</v>
      </c>
      <c r="G249">
        <v>42</v>
      </c>
      <c r="H249">
        <v>16.260000000000002</v>
      </c>
    </row>
    <row r="250" spans="2:8">
      <c r="B250" t="s">
        <v>2305</v>
      </c>
      <c r="C250">
        <v>70.25</v>
      </c>
      <c r="D250">
        <v>312.02</v>
      </c>
      <c r="E250">
        <v>0.87191399999999997</v>
      </c>
      <c r="F250">
        <v>7.03</v>
      </c>
      <c r="G250">
        <v>66</v>
      </c>
      <c r="H250">
        <v>15.71</v>
      </c>
    </row>
    <row r="251" spans="2:8">
      <c r="B251" t="s">
        <v>3822</v>
      </c>
      <c r="C251">
        <v>63.07</v>
      </c>
      <c r="D251">
        <v>386.26</v>
      </c>
      <c r="E251">
        <v>0.80606299999999997</v>
      </c>
      <c r="F251">
        <v>4.42</v>
      </c>
      <c r="G251">
        <v>8</v>
      </c>
      <c r="H251">
        <v>14.26</v>
      </c>
    </row>
    <row r="252" spans="2:8">
      <c r="B252" t="s">
        <v>3823</v>
      </c>
      <c r="C252">
        <v>58.08</v>
      </c>
      <c r="D252">
        <v>382.96</v>
      </c>
      <c r="E252">
        <v>0.80635000000000001</v>
      </c>
      <c r="F252">
        <v>1.23</v>
      </c>
      <c r="G252">
        <v>84</v>
      </c>
      <c r="H252">
        <v>13.73</v>
      </c>
    </row>
    <row r="253" spans="2:8">
      <c r="B253" t="s">
        <v>3824</v>
      </c>
      <c r="C253">
        <v>63.63</v>
      </c>
      <c r="D253">
        <v>384.82</v>
      </c>
      <c r="E253">
        <v>0.83270999999999995</v>
      </c>
      <c r="F253">
        <v>0.42</v>
      </c>
      <c r="G253">
        <v>32</v>
      </c>
      <c r="H253">
        <v>14.05</v>
      </c>
    </row>
    <row r="254" spans="2:8">
      <c r="B254" t="s">
        <v>3825</v>
      </c>
      <c r="C254">
        <v>62.6</v>
      </c>
      <c r="D254">
        <v>384.63</v>
      </c>
      <c r="E254">
        <v>0.83786099999999997</v>
      </c>
      <c r="F254">
        <v>0.57999999999999996</v>
      </c>
      <c r="G254">
        <v>28</v>
      </c>
      <c r="H254">
        <v>13.85</v>
      </c>
    </row>
    <row r="255" spans="2:8">
      <c r="B255" t="s">
        <v>3826</v>
      </c>
      <c r="C255">
        <v>64.959999999999994</v>
      </c>
      <c r="D255">
        <v>386.73</v>
      </c>
      <c r="E255">
        <v>0.83174300000000001</v>
      </c>
      <c r="F255">
        <v>1.88</v>
      </c>
      <c r="G255">
        <v>22</v>
      </c>
      <c r="H255">
        <v>14.97</v>
      </c>
    </row>
    <row r="256" spans="2:8">
      <c r="B256" t="s">
        <v>3827</v>
      </c>
      <c r="C256">
        <v>62.18</v>
      </c>
      <c r="D256">
        <v>383.28</v>
      </c>
      <c r="E256">
        <v>0.76037399999999999</v>
      </c>
      <c r="F256">
        <v>1.65</v>
      </c>
      <c r="G256">
        <v>52</v>
      </c>
      <c r="H256">
        <v>14.04</v>
      </c>
    </row>
    <row r="257" spans="2:8">
      <c r="B257" t="s">
        <v>3828</v>
      </c>
      <c r="C257">
        <v>63.33</v>
      </c>
      <c r="D257">
        <v>384.75</v>
      </c>
      <c r="E257">
        <v>0.805064</v>
      </c>
      <c r="F257">
        <v>2.27</v>
      </c>
      <c r="G257">
        <v>2</v>
      </c>
      <c r="H257">
        <v>14.05</v>
      </c>
    </row>
    <row r="258" spans="2:8">
      <c r="B258" t="s">
        <v>3829</v>
      </c>
      <c r="C258">
        <v>62.99</v>
      </c>
      <c r="D258">
        <v>384.25</v>
      </c>
      <c r="E258">
        <v>0.77404499999999998</v>
      </c>
      <c r="F258">
        <v>0.92</v>
      </c>
      <c r="G258">
        <v>74</v>
      </c>
      <c r="H258">
        <v>13.84</v>
      </c>
    </row>
    <row r="259" spans="2:8">
      <c r="B259" t="s">
        <v>3830</v>
      </c>
      <c r="C259">
        <v>62.34</v>
      </c>
      <c r="D259">
        <v>382.95</v>
      </c>
      <c r="E259">
        <v>0.75586600000000004</v>
      </c>
      <c r="F259">
        <v>1.77</v>
      </c>
      <c r="G259">
        <v>70</v>
      </c>
      <c r="H259">
        <v>14.01</v>
      </c>
    </row>
    <row r="260" spans="2:8">
      <c r="B260" t="s">
        <v>3831</v>
      </c>
      <c r="C260">
        <v>67.45</v>
      </c>
      <c r="D260">
        <v>383.49</v>
      </c>
      <c r="E260">
        <v>0.77230900000000002</v>
      </c>
      <c r="F260">
        <v>1.23</v>
      </c>
      <c r="G260">
        <v>84</v>
      </c>
      <c r="H260">
        <v>15.67</v>
      </c>
    </row>
    <row r="261" spans="2:8">
      <c r="B261" t="s">
        <v>3832</v>
      </c>
      <c r="C261">
        <v>61.34</v>
      </c>
      <c r="D261">
        <v>384.06</v>
      </c>
      <c r="E261">
        <v>0.79091500000000003</v>
      </c>
      <c r="F261">
        <v>0.84</v>
      </c>
      <c r="G261">
        <v>46</v>
      </c>
      <c r="H261">
        <v>13.46</v>
      </c>
    </row>
    <row r="262" spans="2:8">
      <c r="B262" t="s">
        <v>3833</v>
      </c>
      <c r="C262">
        <v>63.07</v>
      </c>
      <c r="D262">
        <v>386.71</v>
      </c>
      <c r="E262">
        <v>0.82543100000000003</v>
      </c>
      <c r="F262">
        <v>6.37</v>
      </c>
      <c r="G262">
        <v>2</v>
      </c>
      <c r="H262">
        <v>13.98</v>
      </c>
    </row>
    <row r="263" spans="2:8">
      <c r="B263" t="s">
        <v>3834</v>
      </c>
      <c r="C263">
        <v>69.099999999999994</v>
      </c>
      <c r="D263">
        <v>388.24</v>
      </c>
      <c r="E263">
        <v>0.81947099999999995</v>
      </c>
      <c r="F263">
        <v>6.72</v>
      </c>
      <c r="G263">
        <v>38</v>
      </c>
      <c r="H263">
        <v>15.42</v>
      </c>
    </row>
    <row r="264" spans="2:8">
      <c r="B264" t="s">
        <v>3835</v>
      </c>
      <c r="C264">
        <v>67.19</v>
      </c>
      <c r="D264">
        <v>384.26</v>
      </c>
      <c r="E264">
        <v>0.77472399999999997</v>
      </c>
      <c r="F264">
        <v>0.23</v>
      </c>
      <c r="G264">
        <v>86</v>
      </c>
      <c r="H264">
        <v>15.52</v>
      </c>
    </row>
    <row r="265" spans="2:8">
      <c r="B265" t="s">
        <v>3836</v>
      </c>
      <c r="C265">
        <v>65.94</v>
      </c>
      <c r="D265">
        <v>385.52</v>
      </c>
      <c r="E265">
        <v>0.80170300000000005</v>
      </c>
      <c r="F265">
        <v>1.34</v>
      </c>
      <c r="G265">
        <v>62</v>
      </c>
      <c r="H265">
        <v>14.52</v>
      </c>
    </row>
    <row r="266" spans="2:8">
      <c r="B266" t="s">
        <v>3837</v>
      </c>
      <c r="C266">
        <v>60.85</v>
      </c>
      <c r="D266" t="e">
        <f>-inf</f>
        <v>#NAME?</v>
      </c>
      <c r="E266">
        <v>0.80065299999999995</v>
      </c>
      <c r="F266">
        <v>0</v>
      </c>
      <c r="G266">
        <v>28</v>
      </c>
      <c r="H266">
        <v>13.79</v>
      </c>
    </row>
    <row r="267" spans="2:8">
      <c r="B267" t="s">
        <v>3838</v>
      </c>
      <c r="C267">
        <v>63.34</v>
      </c>
      <c r="D267">
        <v>383.4</v>
      </c>
      <c r="E267">
        <v>0.78719300000000003</v>
      </c>
      <c r="F267">
        <v>1.73</v>
      </c>
      <c r="G267">
        <v>94</v>
      </c>
      <c r="H267">
        <v>13.86</v>
      </c>
    </row>
    <row r="268" spans="2:8">
      <c r="B268" t="s">
        <v>3839</v>
      </c>
      <c r="C268">
        <v>60.78</v>
      </c>
      <c r="D268">
        <v>379.93</v>
      </c>
      <c r="E268">
        <v>0.76155600000000001</v>
      </c>
      <c r="F268">
        <v>1.04</v>
      </c>
      <c r="G268">
        <v>6</v>
      </c>
      <c r="H268">
        <v>13.63</v>
      </c>
    </row>
    <row r="269" spans="2:8">
      <c r="B269" t="s">
        <v>3840</v>
      </c>
      <c r="C269">
        <v>56.27</v>
      </c>
      <c r="D269">
        <v>383.67</v>
      </c>
      <c r="E269">
        <v>0.79570300000000005</v>
      </c>
      <c r="F269">
        <v>6.41</v>
      </c>
      <c r="G269">
        <v>24</v>
      </c>
      <c r="H269">
        <v>12.55</v>
      </c>
    </row>
    <row r="270" spans="2:8">
      <c r="B270" t="s">
        <v>3841</v>
      </c>
      <c r="C270">
        <v>64.7</v>
      </c>
      <c r="D270">
        <v>387.4</v>
      </c>
      <c r="E270">
        <v>0.82034799999999997</v>
      </c>
      <c r="F270">
        <v>11.14</v>
      </c>
      <c r="G270">
        <v>38</v>
      </c>
      <c r="H270">
        <v>14.92</v>
      </c>
    </row>
    <row r="271" spans="2:8">
      <c r="B271" t="s">
        <v>3842</v>
      </c>
      <c r="C271">
        <v>67.91</v>
      </c>
      <c r="D271">
        <v>387.51</v>
      </c>
      <c r="E271">
        <v>0.80137700000000001</v>
      </c>
      <c r="F271">
        <v>2.61</v>
      </c>
      <c r="G271">
        <v>58</v>
      </c>
      <c r="H271">
        <v>15.21</v>
      </c>
    </row>
    <row r="272" spans="2:8">
      <c r="B272" t="s">
        <v>3843</v>
      </c>
      <c r="C272">
        <v>56.48</v>
      </c>
      <c r="D272">
        <v>384.53</v>
      </c>
      <c r="E272">
        <v>0.80798800000000004</v>
      </c>
      <c r="F272">
        <v>14.59</v>
      </c>
      <c r="G272">
        <v>28</v>
      </c>
      <c r="H272">
        <v>12.73</v>
      </c>
    </row>
    <row r="273" spans="2:8">
      <c r="B273" t="s">
        <v>3844</v>
      </c>
      <c r="C273">
        <v>59.09</v>
      </c>
      <c r="D273">
        <v>382.48</v>
      </c>
      <c r="E273">
        <v>0.75159299999999996</v>
      </c>
      <c r="F273">
        <v>0.61</v>
      </c>
      <c r="G273">
        <v>38</v>
      </c>
      <c r="H273">
        <v>13.2</v>
      </c>
    </row>
    <row r="274" spans="2:8">
      <c r="B274" t="s">
        <v>3845</v>
      </c>
      <c r="C274">
        <v>67.27</v>
      </c>
      <c r="D274">
        <v>388.88</v>
      </c>
      <c r="E274">
        <v>0.855325</v>
      </c>
      <c r="F274">
        <v>9.64</v>
      </c>
      <c r="G274">
        <v>2</v>
      </c>
      <c r="H274">
        <v>15.05</v>
      </c>
    </row>
    <row r="275" spans="2:8">
      <c r="B275" t="s">
        <v>3846</v>
      </c>
      <c r="C275">
        <v>69.989999999999995</v>
      </c>
      <c r="D275">
        <v>387.72</v>
      </c>
      <c r="E275">
        <v>0.82992999999999995</v>
      </c>
      <c r="F275">
        <v>1.57</v>
      </c>
      <c r="G275">
        <v>30</v>
      </c>
      <c r="H275">
        <v>15.48</v>
      </c>
    </row>
    <row r="276" spans="2:8">
      <c r="B276" t="s">
        <v>3847</v>
      </c>
      <c r="C276">
        <v>64.69</v>
      </c>
      <c r="D276">
        <v>388.94</v>
      </c>
      <c r="E276">
        <v>0.86563999999999997</v>
      </c>
      <c r="F276">
        <v>27.8</v>
      </c>
      <c r="G276">
        <v>12</v>
      </c>
      <c r="H276">
        <v>14.13</v>
      </c>
    </row>
    <row r="277" spans="2:8">
      <c r="B277" t="s">
        <v>3848</v>
      </c>
      <c r="C277">
        <v>60.23</v>
      </c>
      <c r="D277">
        <v>383.93</v>
      </c>
      <c r="E277">
        <v>0.75598699999999996</v>
      </c>
      <c r="F277">
        <v>2.5</v>
      </c>
      <c r="G277">
        <v>6</v>
      </c>
      <c r="H277">
        <v>13.23</v>
      </c>
    </row>
    <row r="278" spans="2:8">
      <c r="B278" t="s">
        <v>3849</v>
      </c>
      <c r="C278">
        <v>61.17</v>
      </c>
      <c r="D278">
        <v>386.89</v>
      </c>
      <c r="E278">
        <v>0.82528199999999996</v>
      </c>
      <c r="F278">
        <v>13.59</v>
      </c>
      <c r="G278">
        <v>22</v>
      </c>
      <c r="H278">
        <v>13.85</v>
      </c>
    </row>
    <row r="279" spans="2:8">
      <c r="B279" t="s">
        <v>3850</v>
      </c>
      <c r="C279">
        <v>64.06</v>
      </c>
      <c r="D279">
        <v>385.15</v>
      </c>
      <c r="E279">
        <v>0.83529100000000001</v>
      </c>
      <c r="F279">
        <v>1.08</v>
      </c>
      <c r="G279">
        <v>18</v>
      </c>
      <c r="H279">
        <v>14.18</v>
      </c>
    </row>
    <row r="280" spans="2:8">
      <c r="B280" t="s">
        <v>3851</v>
      </c>
      <c r="C280">
        <v>61.89</v>
      </c>
      <c r="D280">
        <v>384.37</v>
      </c>
      <c r="E280">
        <v>0.790767</v>
      </c>
      <c r="F280">
        <v>0.42</v>
      </c>
      <c r="G280">
        <v>52</v>
      </c>
      <c r="H280">
        <v>13.96</v>
      </c>
    </row>
    <row r="281" spans="2:8">
      <c r="B281" t="s">
        <v>3852</v>
      </c>
      <c r="C281">
        <v>58.65</v>
      </c>
      <c r="D281">
        <v>382.43</v>
      </c>
      <c r="E281">
        <v>0.793794</v>
      </c>
      <c r="F281">
        <v>0.81</v>
      </c>
      <c r="G281">
        <v>28</v>
      </c>
      <c r="H281">
        <v>13.15</v>
      </c>
    </row>
    <row r="282" spans="2:8">
      <c r="B282" t="s">
        <v>3853</v>
      </c>
      <c r="C282">
        <v>70.7</v>
      </c>
      <c r="D282">
        <v>387.62</v>
      </c>
      <c r="E282">
        <v>0.84411400000000003</v>
      </c>
      <c r="F282">
        <v>0.84</v>
      </c>
      <c r="G282">
        <v>78</v>
      </c>
      <c r="H282">
        <v>15.34</v>
      </c>
    </row>
    <row r="283" spans="2:8">
      <c r="B283" t="s">
        <v>3854</v>
      </c>
      <c r="C283">
        <v>66.260000000000005</v>
      </c>
      <c r="D283">
        <v>387.96</v>
      </c>
      <c r="E283">
        <v>0.85804000000000002</v>
      </c>
      <c r="F283">
        <v>1.61</v>
      </c>
      <c r="G283">
        <v>70</v>
      </c>
      <c r="H283">
        <v>14.73</v>
      </c>
    </row>
    <row r="284" spans="2:8">
      <c r="B284" t="s">
        <v>3855</v>
      </c>
      <c r="C284">
        <v>61.74</v>
      </c>
      <c r="D284">
        <v>384.97</v>
      </c>
      <c r="E284">
        <v>0.80375700000000005</v>
      </c>
      <c r="F284">
        <v>1.65</v>
      </c>
      <c r="G284">
        <v>30</v>
      </c>
      <c r="H284">
        <v>14.05</v>
      </c>
    </row>
    <row r="285" spans="2:8">
      <c r="B285" t="s">
        <v>3856</v>
      </c>
      <c r="C285">
        <v>62.91</v>
      </c>
      <c r="D285">
        <v>385.6</v>
      </c>
      <c r="E285">
        <v>0.79402899999999998</v>
      </c>
      <c r="F285">
        <v>1.69</v>
      </c>
      <c r="G285">
        <v>46</v>
      </c>
      <c r="H285">
        <v>14.19</v>
      </c>
    </row>
    <row r="286" spans="2:8">
      <c r="B286" t="s">
        <v>3857</v>
      </c>
      <c r="C286">
        <v>60.19</v>
      </c>
      <c r="D286">
        <v>380.87</v>
      </c>
      <c r="E286">
        <v>0.74796200000000002</v>
      </c>
      <c r="F286">
        <v>0.92</v>
      </c>
      <c r="G286">
        <v>0</v>
      </c>
      <c r="H286">
        <v>13.16</v>
      </c>
    </row>
    <row r="287" spans="2:8">
      <c r="B287" t="s">
        <v>3858</v>
      </c>
      <c r="C287">
        <v>62.31</v>
      </c>
      <c r="D287">
        <v>385.86</v>
      </c>
      <c r="E287">
        <v>0.82718800000000003</v>
      </c>
      <c r="F287">
        <v>0.84</v>
      </c>
      <c r="G287">
        <v>14</v>
      </c>
      <c r="H287">
        <v>13.83</v>
      </c>
    </row>
    <row r="288" spans="2:8">
      <c r="B288" t="s">
        <v>3859</v>
      </c>
      <c r="C288">
        <v>63.65</v>
      </c>
      <c r="D288">
        <v>382.36</v>
      </c>
      <c r="E288">
        <v>0.77703100000000003</v>
      </c>
      <c r="F288">
        <v>0.35</v>
      </c>
      <c r="G288">
        <v>72</v>
      </c>
      <c r="H288">
        <v>14.4</v>
      </c>
    </row>
    <row r="289" spans="2:8">
      <c r="B289" t="s">
        <v>3860</v>
      </c>
      <c r="C289">
        <v>59.7</v>
      </c>
      <c r="D289">
        <v>383.08</v>
      </c>
      <c r="E289">
        <v>0.76652799999999999</v>
      </c>
      <c r="F289">
        <v>2.84</v>
      </c>
      <c r="G289">
        <v>74</v>
      </c>
      <c r="H289">
        <v>13.57</v>
      </c>
    </row>
    <row r="290" spans="2:8">
      <c r="B290" t="s">
        <v>3861</v>
      </c>
      <c r="C290">
        <v>57.05</v>
      </c>
      <c r="D290">
        <v>384.74</v>
      </c>
      <c r="E290">
        <v>0.82774300000000001</v>
      </c>
      <c r="F290">
        <v>2.19</v>
      </c>
      <c r="G290">
        <v>28</v>
      </c>
      <c r="H290">
        <v>12.67</v>
      </c>
    </row>
    <row r="291" spans="2:8">
      <c r="B291" t="s">
        <v>3862</v>
      </c>
      <c r="C291">
        <v>54.49</v>
      </c>
      <c r="D291">
        <v>382.17</v>
      </c>
      <c r="E291">
        <v>0.80476400000000003</v>
      </c>
      <c r="F291">
        <v>1.46</v>
      </c>
      <c r="G291">
        <v>64</v>
      </c>
      <c r="H291">
        <v>12.25</v>
      </c>
    </row>
    <row r="292" spans="2:8">
      <c r="B292" t="s">
        <v>3863</v>
      </c>
      <c r="C292">
        <v>63.64</v>
      </c>
      <c r="D292">
        <v>384.94</v>
      </c>
      <c r="E292">
        <v>0.78361400000000003</v>
      </c>
      <c r="F292">
        <v>0.96</v>
      </c>
      <c r="G292">
        <v>96</v>
      </c>
      <c r="H292">
        <v>14.31</v>
      </c>
    </row>
    <row r="293" spans="2:8">
      <c r="B293" t="s">
        <v>3864</v>
      </c>
      <c r="C293">
        <v>64.69</v>
      </c>
      <c r="D293">
        <v>385.46</v>
      </c>
      <c r="E293">
        <v>0.79303800000000002</v>
      </c>
      <c r="F293">
        <v>3.8</v>
      </c>
      <c r="G293">
        <v>22</v>
      </c>
      <c r="H293">
        <v>14.54</v>
      </c>
    </row>
    <row r="294" spans="2:8">
      <c r="B294" t="s">
        <v>3865</v>
      </c>
      <c r="C294">
        <v>63.72</v>
      </c>
      <c r="D294">
        <v>386.3</v>
      </c>
      <c r="E294">
        <v>0.82030000000000003</v>
      </c>
      <c r="F294">
        <v>2.11</v>
      </c>
      <c r="G294">
        <v>20</v>
      </c>
      <c r="H294">
        <v>14.58</v>
      </c>
    </row>
    <row r="295" spans="2:8">
      <c r="B295" t="s">
        <v>3866</v>
      </c>
      <c r="C295">
        <v>63.47</v>
      </c>
      <c r="D295">
        <v>383.47</v>
      </c>
      <c r="E295">
        <v>0.81497200000000003</v>
      </c>
      <c r="F295">
        <v>0.19</v>
      </c>
      <c r="G295">
        <v>86</v>
      </c>
      <c r="H295">
        <v>14.36</v>
      </c>
    </row>
    <row r="296" spans="2:8">
      <c r="B296" t="s">
        <v>3867</v>
      </c>
      <c r="C296">
        <v>63.29</v>
      </c>
      <c r="D296">
        <v>379.12</v>
      </c>
      <c r="E296">
        <v>0.77814899999999998</v>
      </c>
      <c r="F296">
        <v>0.08</v>
      </c>
      <c r="G296">
        <v>28</v>
      </c>
      <c r="H296">
        <v>14.56</v>
      </c>
    </row>
    <row r="297" spans="2:8">
      <c r="B297" t="s">
        <v>3868</v>
      </c>
      <c r="C297">
        <v>62.12</v>
      </c>
      <c r="D297">
        <v>383.16</v>
      </c>
      <c r="E297">
        <v>0.77643099999999998</v>
      </c>
      <c r="F297">
        <v>1</v>
      </c>
      <c r="G297">
        <v>30</v>
      </c>
      <c r="H297">
        <v>13.74</v>
      </c>
    </row>
    <row r="298" spans="2:8">
      <c r="B298" t="s">
        <v>3869</v>
      </c>
      <c r="C298">
        <v>64.819999999999993</v>
      </c>
      <c r="D298">
        <v>385.24</v>
      </c>
      <c r="E298">
        <v>0.78253499999999998</v>
      </c>
      <c r="F298">
        <v>1.69</v>
      </c>
      <c r="G298">
        <v>32</v>
      </c>
      <c r="H298">
        <v>14.29</v>
      </c>
    </row>
    <row r="299" spans="2:8">
      <c r="B299" t="s">
        <v>3870</v>
      </c>
      <c r="C299">
        <v>60.31</v>
      </c>
      <c r="D299">
        <v>385.73</v>
      </c>
      <c r="E299">
        <v>0.81563600000000003</v>
      </c>
      <c r="F299">
        <v>6.26</v>
      </c>
      <c r="G299">
        <v>2</v>
      </c>
      <c r="H299">
        <v>13.74</v>
      </c>
    </row>
    <row r="300" spans="2:8">
      <c r="B300" t="s">
        <v>3871</v>
      </c>
      <c r="C300">
        <v>57.88</v>
      </c>
      <c r="D300">
        <v>383.28</v>
      </c>
      <c r="E300">
        <v>0.78403800000000001</v>
      </c>
      <c r="F300">
        <v>3.99</v>
      </c>
      <c r="G300">
        <v>8</v>
      </c>
      <c r="H300">
        <v>13.52</v>
      </c>
    </row>
    <row r="301" spans="2:8">
      <c r="B301" t="s">
        <v>3872</v>
      </c>
      <c r="C301">
        <v>117.1</v>
      </c>
      <c r="D301">
        <v>40.299999999999997</v>
      </c>
      <c r="E301">
        <v>0.96406199999999997</v>
      </c>
      <c r="F301">
        <v>89.4</v>
      </c>
      <c r="G301">
        <v>0</v>
      </c>
      <c r="H301">
        <v>28.6</v>
      </c>
    </row>
    <row r="302" spans="2:8">
      <c r="B302" t="s">
        <v>3873</v>
      </c>
      <c r="C302">
        <v>108.64</v>
      </c>
      <c r="D302">
        <v>40.130000000000003</v>
      </c>
      <c r="E302">
        <v>0.94956099999999999</v>
      </c>
      <c r="F302">
        <v>80.290000000000006</v>
      </c>
      <c r="G302">
        <v>2</v>
      </c>
      <c r="H302">
        <v>23.36</v>
      </c>
    </row>
    <row r="303" spans="2:8">
      <c r="B303" t="s">
        <v>3874</v>
      </c>
      <c r="C303">
        <v>154.66999999999999</v>
      </c>
      <c r="D303">
        <v>40.92</v>
      </c>
      <c r="E303">
        <v>0.97204000000000002</v>
      </c>
      <c r="F303">
        <v>120.77</v>
      </c>
      <c r="G303">
        <v>2</v>
      </c>
      <c r="H303">
        <v>40.590000000000003</v>
      </c>
    </row>
    <row r="304" spans="2:8">
      <c r="B304" t="s">
        <v>3875</v>
      </c>
      <c r="C304">
        <v>121.42</v>
      </c>
      <c r="D304">
        <v>40.409999999999997</v>
      </c>
      <c r="E304">
        <v>0.99072499999999997</v>
      </c>
      <c r="F304">
        <v>99.23</v>
      </c>
      <c r="G304">
        <v>8</v>
      </c>
      <c r="H304">
        <v>26.57</v>
      </c>
    </row>
    <row r="305" spans="2:8">
      <c r="B305" t="s">
        <v>3876</v>
      </c>
      <c r="C305">
        <v>105.21</v>
      </c>
      <c r="D305">
        <v>40.08</v>
      </c>
      <c r="E305">
        <v>0.97469899999999998</v>
      </c>
      <c r="F305">
        <v>88.93</v>
      </c>
      <c r="G305">
        <v>2</v>
      </c>
      <c r="H305">
        <v>24.87</v>
      </c>
    </row>
    <row r="306" spans="2:8">
      <c r="B306" t="s">
        <v>3877</v>
      </c>
      <c r="C306">
        <v>127.6</v>
      </c>
      <c r="D306">
        <v>40.44</v>
      </c>
      <c r="E306">
        <v>0.92607099999999998</v>
      </c>
      <c r="F306">
        <v>79.599999999999994</v>
      </c>
      <c r="G306">
        <v>8</v>
      </c>
      <c r="H306">
        <v>31.89</v>
      </c>
    </row>
    <row r="307" spans="2:8">
      <c r="B307" t="s">
        <v>3878</v>
      </c>
      <c r="C307">
        <v>102.84</v>
      </c>
      <c r="D307">
        <v>40</v>
      </c>
      <c r="E307">
        <v>0.93449199999999999</v>
      </c>
      <c r="F307">
        <v>81.72</v>
      </c>
      <c r="G307">
        <v>2</v>
      </c>
      <c r="H307">
        <v>22.18</v>
      </c>
    </row>
    <row r="308" spans="2:8">
      <c r="B308" t="s">
        <v>3879</v>
      </c>
      <c r="C308">
        <v>132.44</v>
      </c>
      <c r="D308">
        <v>40.520000000000003</v>
      </c>
      <c r="E308">
        <v>0.92883099999999996</v>
      </c>
      <c r="F308">
        <v>79.83</v>
      </c>
      <c r="G308">
        <v>8</v>
      </c>
      <c r="H308">
        <v>31.32</v>
      </c>
    </row>
    <row r="309" spans="2:8">
      <c r="B309" t="s">
        <v>3880</v>
      </c>
      <c r="C309">
        <v>106.49</v>
      </c>
      <c r="D309">
        <v>40.049999999999997</v>
      </c>
      <c r="E309">
        <v>0.91965399999999997</v>
      </c>
      <c r="F309">
        <v>79.260000000000005</v>
      </c>
      <c r="G309">
        <v>2</v>
      </c>
      <c r="H309">
        <v>23.33</v>
      </c>
    </row>
    <row r="310" spans="2:8">
      <c r="B310" t="s">
        <v>3881</v>
      </c>
      <c r="C310">
        <v>113.43</v>
      </c>
      <c r="D310">
        <v>40.21</v>
      </c>
      <c r="E310">
        <v>0.94314600000000004</v>
      </c>
      <c r="F310">
        <v>89.2</v>
      </c>
      <c r="G310">
        <v>4</v>
      </c>
      <c r="H310">
        <v>23.01</v>
      </c>
    </row>
    <row r="311" spans="2:8">
      <c r="B311" t="s">
        <v>3882</v>
      </c>
      <c r="C311">
        <v>114.36</v>
      </c>
      <c r="D311">
        <v>40.25</v>
      </c>
      <c r="E311">
        <v>0.95889800000000003</v>
      </c>
      <c r="F311">
        <v>88.7</v>
      </c>
      <c r="G311">
        <v>6</v>
      </c>
      <c r="H311">
        <v>26.31</v>
      </c>
    </row>
    <row r="312" spans="2:8">
      <c r="B312" t="s">
        <v>3883</v>
      </c>
      <c r="C312">
        <v>122.01</v>
      </c>
      <c r="D312">
        <v>40.369999999999997</v>
      </c>
      <c r="E312">
        <v>0.94665699999999997</v>
      </c>
      <c r="F312">
        <v>88.63</v>
      </c>
      <c r="G312">
        <v>4</v>
      </c>
      <c r="H312">
        <v>28.78</v>
      </c>
    </row>
    <row r="313" spans="2:8">
      <c r="B313" t="s">
        <v>3884</v>
      </c>
      <c r="C313">
        <v>115.23</v>
      </c>
      <c r="D313">
        <v>40.26</v>
      </c>
      <c r="E313">
        <v>0.95639399999999997</v>
      </c>
      <c r="F313">
        <v>79.760000000000005</v>
      </c>
      <c r="G313">
        <v>4</v>
      </c>
      <c r="H313">
        <v>28.18</v>
      </c>
    </row>
    <row r="314" spans="2:8">
      <c r="B314" t="s">
        <v>3885</v>
      </c>
      <c r="C314">
        <v>111.15</v>
      </c>
      <c r="D314">
        <v>40.200000000000003</v>
      </c>
      <c r="E314">
        <v>0.97498200000000002</v>
      </c>
      <c r="F314">
        <v>89.36</v>
      </c>
      <c r="G314">
        <v>8</v>
      </c>
      <c r="H314">
        <v>27.39</v>
      </c>
    </row>
    <row r="315" spans="2:8">
      <c r="B315" t="s">
        <v>3886</v>
      </c>
      <c r="C315">
        <v>94</v>
      </c>
      <c r="D315">
        <v>39.86</v>
      </c>
      <c r="E315">
        <v>0.99586600000000003</v>
      </c>
      <c r="F315">
        <v>87.94</v>
      </c>
      <c r="G315">
        <v>2</v>
      </c>
      <c r="H315">
        <v>20.63</v>
      </c>
    </row>
    <row r="316" spans="2:8">
      <c r="B316" t="s">
        <v>3887</v>
      </c>
      <c r="C316">
        <v>116.58</v>
      </c>
      <c r="D316">
        <v>40.03</v>
      </c>
      <c r="E316">
        <v>0.81305400000000005</v>
      </c>
      <c r="F316">
        <v>51.38</v>
      </c>
      <c r="G316">
        <v>2</v>
      </c>
      <c r="H316">
        <v>24.72</v>
      </c>
    </row>
    <row r="317" spans="2:8">
      <c r="B317" t="s">
        <v>3888</v>
      </c>
      <c r="C317">
        <v>121.62</v>
      </c>
      <c r="D317">
        <v>40.33</v>
      </c>
      <c r="E317">
        <v>0.91537800000000002</v>
      </c>
      <c r="F317">
        <v>79.95</v>
      </c>
      <c r="G317">
        <v>2</v>
      </c>
      <c r="H317">
        <v>29.56</v>
      </c>
    </row>
    <row r="318" spans="2:8">
      <c r="B318" t="s">
        <v>3889</v>
      </c>
      <c r="C318">
        <v>102.07</v>
      </c>
      <c r="D318">
        <v>39.97</v>
      </c>
      <c r="E318">
        <v>0.91953099999999999</v>
      </c>
      <c r="F318">
        <v>80.41</v>
      </c>
      <c r="G318">
        <v>4</v>
      </c>
      <c r="H318">
        <v>24.51</v>
      </c>
    </row>
    <row r="319" spans="2:8">
      <c r="B319" t="s">
        <v>3890</v>
      </c>
      <c r="C319">
        <v>138.94</v>
      </c>
      <c r="D319">
        <v>40.700000000000003</v>
      </c>
      <c r="E319">
        <v>0.99122200000000005</v>
      </c>
      <c r="F319">
        <v>119.39</v>
      </c>
      <c r="G319">
        <v>0</v>
      </c>
      <c r="H319">
        <v>32.74</v>
      </c>
    </row>
    <row r="320" spans="2:8">
      <c r="B320" t="s">
        <v>3891</v>
      </c>
      <c r="C320">
        <v>135.25</v>
      </c>
      <c r="D320">
        <v>40.65</v>
      </c>
      <c r="E320">
        <v>0.99169499999999999</v>
      </c>
      <c r="F320">
        <v>119.69</v>
      </c>
      <c r="G320">
        <v>4</v>
      </c>
      <c r="H320">
        <v>37.07</v>
      </c>
    </row>
    <row r="321" spans="2:8">
      <c r="B321" t="s">
        <v>3892</v>
      </c>
      <c r="C321">
        <v>141.97</v>
      </c>
      <c r="D321">
        <v>40.72</v>
      </c>
      <c r="E321">
        <v>0.971086</v>
      </c>
      <c r="F321">
        <v>97.38</v>
      </c>
      <c r="G321">
        <v>0</v>
      </c>
      <c r="H321">
        <v>33.64</v>
      </c>
    </row>
    <row r="322" spans="2:8">
      <c r="B322" t="s">
        <v>3893</v>
      </c>
      <c r="C322">
        <v>141.97999999999999</v>
      </c>
      <c r="D322">
        <v>40.71</v>
      </c>
      <c r="E322">
        <v>0.95079100000000005</v>
      </c>
      <c r="F322">
        <v>101.57</v>
      </c>
      <c r="G322">
        <v>6</v>
      </c>
      <c r="H322">
        <v>37.21</v>
      </c>
    </row>
    <row r="323" spans="2:8">
      <c r="B323" t="s">
        <v>3894</v>
      </c>
      <c r="C323">
        <v>119.34</v>
      </c>
      <c r="D323">
        <v>40.31</v>
      </c>
      <c r="E323">
        <v>0.940855</v>
      </c>
      <c r="F323">
        <v>80.180000000000007</v>
      </c>
      <c r="G323">
        <v>0</v>
      </c>
      <c r="H323">
        <v>28.76</v>
      </c>
    </row>
    <row r="324" spans="2:8">
      <c r="B324" t="s">
        <v>3895</v>
      </c>
      <c r="C324">
        <v>111.97</v>
      </c>
      <c r="D324">
        <v>40.22</v>
      </c>
      <c r="E324">
        <v>0.97682599999999997</v>
      </c>
      <c r="F324">
        <v>98.73</v>
      </c>
      <c r="G324">
        <v>6</v>
      </c>
      <c r="H324">
        <v>26.46</v>
      </c>
    </row>
    <row r="325" spans="2:8">
      <c r="B325" t="s">
        <v>3896</v>
      </c>
      <c r="C325">
        <v>104.51</v>
      </c>
      <c r="D325">
        <v>40.06</v>
      </c>
      <c r="E325">
        <v>0.97094599999999998</v>
      </c>
      <c r="F325">
        <v>79.91</v>
      </c>
      <c r="G325">
        <v>6</v>
      </c>
      <c r="H325">
        <v>24.89</v>
      </c>
    </row>
    <row r="326" spans="2:8">
      <c r="B326" t="s">
        <v>3897</v>
      </c>
      <c r="C326">
        <v>92.33</v>
      </c>
      <c r="D326">
        <v>39.770000000000003</v>
      </c>
      <c r="E326">
        <v>0.95233299999999999</v>
      </c>
      <c r="F326">
        <v>73.73</v>
      </c>
      <c r="G326">
        <v>0</v>
      </c>
      <c r="H326">
        <v>24.68</v>
      </c>
    </row>
    <row r="327" spans="2:8">
      <c r="B327" t="s">
        <v>3898</v>
      </c>
      <c r="C327">
        <v>87.6</v>
      </c>
      <c r="D327">
        <v>38.64</v>
      </c>
      <c r="E327">
        <v>0.75867499999999999</v>
      </c>
      <c r="F327">
        <v>3.57</v>
      </c>
      <c r="G327">
        <v>8</v>
      </c>
      <c r="H327">
        <v>23.74</v>
      </c>
    </row>
    <row r="328" spans="2:8">
      <c r="B328" t="s">
        <v>3899</v>
      </c>
      <c r="C328">
        <v>129.78</v>
      </c>
      <c r="D328">
        <v>40.43</v>
      </c>
      <c r="E328">
        <v>0.89352100000000001</v>
      </c>
      <c r="F328">
        <v>78.91</v>
      </c>
      <c r="G328">
        <v>2</v>
      </c>
      <c r="H328">
        <v>29.37</v>
      </c>
    </row>
    <row r="329" spans="2:8">
      <c r="B329" t="s">
        <v>3900</v>
      </c>
      <c r="C329">
        <v>102.57</v>
      </c>
      <c r="D329">
        <v>39.840000000000003</v>
      </c>
      <c r="E329">
        <v>0.83769099999999996</v>
      </c>
      <c r="F329">
        <v>54.8</v>
      </c>
      <c r="G329">
        <v>0</v>
      </c>
      <c r="H329">
        <v>24.8</v>
      </c>
    </row>
    <row r="330" spans="2:8">
      <c r="B330" t="s">
        <v>3901</v>
      </c>
      <c r="C330">
        <v>116.04</v>
      </c>
      <c r="D330">
        <v>40.29</v>
      </c>
      <c r="E330">
        <v>0.97419100000000003</v>
      </c>
      <c r="F330">
        <v>89.89</v>
      </c>
      <c r="G330">
        <v>2</v>
      </c>
      <c r="H330">
        <v>28.81</v>
      </c>
    </row>
    <row r="331" spans="2:8">
      <c r="B331" t="s">
        <v>3902</v>
      </c>
      <c r="C331">
        <v>125.54</v>
      </c>
      <c r="D331">
        <v>40.450000000000003</v>
      </c>
      <c r="E331">
        <v>0.96529100000000001</v>
      </c>
      <c r="F331">
        <v>89.2</v>
      </c>
      <c r="G331">
        <v>4</v>
      </c>
      <c r="H331">
        <v>32.590000000000003</v>
      </c>
    </row>
    <row r="332" spans="2:8">
      <c r="B332" t="s">
        <v>3903</v>
      </c>
      <c r="C332">
        <v>96.13</v>
      </c>
      <c r="D332">
        <v>39.82</v>
      </c>
      <c r="E332">
        <v>0.92516100000000001</v>
      </c>
      <c r="F332">
        <v>65.63</v>
      </c>
      <c r="G332">
        <v>2</v>
      </c>
      <c r="H332">
        <v>23.99</v>
      </c>
    </row>
    <row r="333" spans="2:8">
      <c r="B333" t="s">
        <v>3904</v>
      </c>
      <c r="C333">
        <v>97.47</v>
      </c>
      <c r="D333">
        <v>39.909999999999997</v>
      </c>
      <c r="E333">
        <v>0.96660900000000005</v>
      </c>
      <c r="F333">
        <v>79.489999999999995</v>
      </c>
      <c r="G333">
        <v>6</v>
      </c>
      <c r="H333">
        <v>23.64</v>
      </c>
    </row>
    <row r="334" spans="2:8">
      <c r="B334" t="s">
        <v>3905</v>
      </c>
      <c r="C334">
        <v>103.95</v>
      </c>
      <c r="D334">
        <v>40.049999999999997</v>
      </c>
      <c r="E334">
        <v>0.97050800000000004</v>
      </c>
      <c r="F334">
        <v>80.45</v>
      </c>
      <c r="G334">
        <v>4</v>
      </c>
      <c r="H334">
        <v>23.53</v>
      </c>
    </row>
    <row r="335" spans="2:8">
      <c r="B335" t="s">
        <v>3906</v>
      </c>
      <c r="C335">
        <v>99.65</v>
      </c>
      <c r="D335">
        <v>39.97</v>
      </c>
      <c r="E335">
        <v>0.98319699999999999</v>
      </c>
      <c r="F335">
        <v>80.760000000000005</v>
      </c>
      <c r="G335">
        <v>8</v>
      </c>
      <c r="H335">
        <v>25.4</v>
      </c>
    </row>
    <row r="336" spans="2:8">
      <c r="B336" t="s">
        <v>3907</v>
      </c>
      <c r="C336">
        <v>126.81</v>
      </c>
      <c r="D336">
        <v>40.5</v>
      </c>
      <c r="E336">
        <v>0.98282800000000003</v>
      </c>
      <c r="F336">
        <v>100.53</v>
      </c>
      <c r="G336">
        <v>4</v>
      </c>
      <c r="H336">
        <v>34.25</v>
      </c>
    </row>
    <row r="337" spans="2:8">
      <c r="B337" t="s">
        <v>3908</v>
      </c>
      <c r="C337">
        <v>103.53</v>
      </c>
      <c r="D337">
        <v>40.04</v>
      </c>
      <c r="E337">
        <v>0.96808300000000003</v>
      </c>
      <c r="F337">
        <v>79.72</v>
      </c>
      <c r="G337">
        <v>6</v>
      </c>
      <c r="H337">
        <v>24.94</v>
      </c>
    </row>
    <row r="338" spans="2:8">
      <c r="B338" t="s">
        <v>3909</v>
      </c>
      <c r="C338">
        <v>95.94</v>
      </c>
      <c r="D338">
        <v>39.89</v>
      </c>
      <c r="E338">
        <v>0.98607999999999996</v>
      </c>
      <c r="F338">
        <v>80.14</v>
      </c>
      <c r="G338">
        <v>4</v>
      </c>
      <c r="H338">
        <v>20.6</v>
      </c>
    </row>
    <row r="339" spans="2:8">
      <c r="B339" t="s">
        <v>3910</v>
      </c>
      <c r="C339">
        <v>127.11</v>
      </c>
      <c r="D339">
        <v>40.49</v>
      </c>
      <c r="E339">
        <v>0.97427299999999994</v>
      </c>
      <c r="F339">
        <v>100.07</v>
      </c>
      <c r="G339">
        <v>0</v>
      </c>
      <c r="H339">
        <v>30.4</v>
      </c>
    </row>
    <row r="340" spans="2:8">
      <c r="B340" t="s">
        <v>3911</v>
      </c>
      <c r="C340">
        <v>99.49</v>
      </c>
      <c r="D340">
        <v>39.96</v>
      </c>
      <c r="E340">
        <v>0.97956200000000004</v>
      </c>
      <c r="F340">
        <v>74.8</v>
      </c>
      <c r="G340">
        <v>4</v>
      </c>
      <c r="H340">
        <v>25.03</v>
      </c>
    </row>
    <row r="341" spans="2:8">
      <c r="B341" t="s">
        <v>3912</v>
      </c>
      <c r="C341">
        <v>119.59</v>
      </c>
      <c r="D341">
        <v>40.380000000000003</v>
      </c>
      <c r="E341">
        <v>0.98961200000000005</v>
      </c>
      <c r="F341">
        <v>98.65</v>
      </c>
      <c r="G341">
        <v>2</v>
      </c>
      <c r="H341">
        <v>26.31</v>
      </c>
    </row>
    <row r="342" spans="2:8">
      <c r="B342" t="s">
        <v>3913</v>
      </c>
      <c r="C342">
        <v>105.38</v>
      </c>
      <c r="D342">
        <v>40.049999999999997</v>
      </c>
      <c r="E342">
        <v>0.94718000000000002</v>
      </c>
      <c r="F342">
        <v>79.56</v>
      </c>
      <c r="G342">
        <v>4</v>
      </c>
      <c r="H342">
        <v>27.45</v>
      </c>
    </row>
    <row r="343" spans="2:8">
      <c r="B343" t="s">
        <v>3914</v>
      </c>
      <c r="C343">
        <v>128.63999999999999</v>
      </c>
      <c r="D343">
        <v>40.520000000000003</v>
      </c>
      <c r="E343">
        <v>0.97927500000000001</v>
      </c>
      <c r="F343">
        <v>100.68</v>
      </c>
      <c r="G343">
        <v>2</v>
      </c>
      <c r="H343">
        <v>29.01</v>
      </c>
    </row>
    <row r="344" spans="2:8">
      <c r="B344" t="s">
        <v>3915</v>
      </c>
      <c r="C344">
        <v>109.64</v>
      </c>
      <c r="D344">
        <v>40.18</v>
      </c>
      <c r="E344">
        <v>0.97776399999999997</v>
      </c>
      <c r="F344">
        <v>95.19</v>
      </c>
      <c r="G344">
        <v>6</v>
      </c>
      <c r="H344">
        <v>26.19</v>
      </c>
    </row>
    <row r="345" spans="2:8">
      <c r="B345" t="s">
        <v>3916</v>
      </c>
      <c r="C345">
        <v>112.62</v>
      </c>
      <c r="D345">
        <v>40.25</v>
      </c>
      <c r="E345">
        <v>0.991676</v>
      </c>
      <c r="F345">
        <v>98.69</v>
      </c>
      <c r="G345">
        <v>8</v>
      </c>
      <c r="H345">
        <v>26.49</v>
      </c>
    </row>
    <row r="346" spans="2:8">
      <c r="B346" t="s">
        <v>3917</v>
      </c>
      <c r="C346">
        <v>109.97</v>
      </c>
      <c r="D346">
        <v>39.85</v>
      </c>
      <c r="E346">
        <v>0.80440100000000003</v>
      </c>
      <c r="F346">
        <v>29.72</v>
      </c>
      <c r="G346">
        <v>0</v>
      </c>
      <c r="H346">
        <v>22.16</v>
      </c>
    </row>
    <row r="347" spans="2:8">
      <c r="B347" t="s">
        <v>3918</v>
      </c>
      <c r="C347">
        <v>115.91</v>
      </c>
      <c r="D347">
        <v>40.200000000000003</v>
      </c>
      <c r="E347">
        <v>0.88503799999999999</v>
      </c>
      <c r="F347">
        <v>80.099999999999994</v>
      </c>
      <c r="G347">
        <v>6</v>
      </c>
      <c r="H347">
        <v>25.21</v>
      </c>
    </row>
    <row r="348" spans="2:8">
      <c r="B348" t="s">
        <v>3919</v>
      </c>
      <c r="C348">
        <v>122.45</v>
      </c>
      <c r="D348">
        <v>40.409999999999997</v>
      </c>
      <c r="E348">
        <v>0.97539399999999998</v>
      </c>
      <c r="F348">
        <v>101.41</v>
      </c>
      <c r="G348">
        <v>0</v>
      </c>
      <c r="H348">
        <v>30.97</v>
      </c>
    </row>
    <row r="349" spans="2:8">
      <c r="B349" t="s">
        <v>3920</v>
      </c>
      <c r="C349">
        <v>97.77</v>
      </c>
      <c r="D349">
        <v>39.729999999999997</v>
      </c>
      <c r="E349">
        <v>0.82871300000000003</v>
      </c>
      <c r="F349">
        <v>53.15</v>
      </c>
      <c r="G349">
        <v>8</v>
      </c>
      <c r="H349">
        <v>26.5</v>
      </c>
    </row>
    <row r="350" spans="2:8">
      <c r="B350" t="s">
        <v>3921</v>
      </c>
      <c r="C350">
        <v>134.09</v>
      </c>
      <c r="D350">
        <v>40.6</v>
      </c>
      <c r="E350">
        <v>0.96883200000000003</v>
      </c>
      <c r="F350">
        <v>96</v>
      </c>
      <c r="G350">
        <v>0</v>
      </c>
      <c r="H350">
        <v>40.5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45"/>
  <sheetViews>
    <sheetView topLeftCell="B1" zoomScale="55" zoomScaleNormal="55" workbookViewId="0">
      <selection activeCell="F399" sqref="F399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10" width="10.109375" style="1" bestFit="1" customWidth="1"/>
    <col min="11" max="11" width="8.88671875" style="1"/>
    <col min="12" max="12" width="23.5546875" style="1" customWidth="1"/>
    <col min="13" max="16384" width="8.88671875" style="1"/>
  </cols>
  <sheetData>
    <row r="1" spans="1:8" ht="14.4" customHeight="1">
      <c r="B1" s="25" t="s">
        <v>17</v>
      </c>
      <c r="C1" s="25"/>
      <c r="D1" s="25"/>
    </row>
    <row r="2" spans="1:8" ht="14.4" customHeight="1">
      <c r="B2" s="25"/>
      <c r="C2" s="25"/>
      <c r="D2" s="25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430</v>
      </c>
      <c r="C6" s="1">
        <v>102.16</v>
      </c>
      <c r="D6" s="1">
        <v>16.02</v>
      </c>
      <c r="E6" s="1">
        <v>0.49999399999999999</v>
      </c>
      <c r="F6" s="1">
        <f>101798400*(10^-6)</f>
        <v>101.7984</v>
      </c>
      <c r="G6" s="1">
        <v>2</v>
      </c>
      <c r="H6" s="1">
        <v>19.309999999999999</v>
      </c>
    </row>
    <row r="7" spans="1:8">
      <c r="A7" s="1">
        <v>2</v>
      </c>
      <c r="B7" s="1" t="s">
        <v>431</v>
      </c>
      <c r="C7" s="1">
        <v>235.24</v>
      </c>
      <c r="D7" s="1">
        <v>16.57</v>
      </c>
      <c r="E7" s="1">
        <v>0.37790699999999999</v>
      </c>
      <c r="F7" s="1">
        <f>101529600*(10^-6)</f>
        <v>101.5296</v>
      </c>
      <c r="G7" s="1">
        <v>0</v>
      </c>
      <c r="H7" s="1">
        <v>44.63</v>
      </c>
    </row>
    <row r="8" spans="1:8">
      <c r="A8" s="1">
        <v>3</v>
      </c>
      <c r="B8" s="1" t="s">
        <v>432</v>
      </c>
      <c r="C8" s="1">
        <v>281.26</v>
      </c>
      <c r="D8" s="1">
        <v>16.850000000000001</v>
      </c>
      <c r="E8" s="1">
        <v>0.45403500000000002</v>
      </c>
      <c r="F8" s="1">
        <f>191769600*(10^-6)</f>
        <v>191.7696</v>
      </c>
      <c r="G8" s="1">
        <v>0</v>
      </c>
      <c r="H8" s="1">
        <v>53.64</v>
      </c>
    </row>
    <row r="9" spans="1:8">
      <c r="A9" s="1">
        <v>4</v>
      </c>
      <c r="B9" s="1" t="s">
        <v>433</v>
      </c>
      <c r="C9" s="1">
        <v>368.6</v>
      </c>
      <c r="D9" s="1">
        <v>17.13</v>
      </c>
      <c r="E9" s="1">
        <v>0.49999500000000002</v>
      </c>
      <c r="F9" s="1">
        <f>367411200*(10^-6)</f>
        <v>367.41120000000001</v>
      </c>
      <c r="G9" s="1">
        <v>0</v>
      </c>
      <c r="H9" s="1">
        <v>69.900000000000006</v>
      </c>
    </row>
    <row r="10" spans="1:8">
      <c r="A10" s="1">
        <v>5</v>
      </c>
      <c r="B10" s="1" t="s">
        <v>434</v>
      </c>
      <c r="C10" s="1">
        <v>50.78</v>
      </c>
      <c r="D10" s="1">
        <v>12.89</v>
      </c>
      <c r="E10" s="1">
        <v>0.25037799999999999</v>
      </c>
      <c r="F10" s="1">
        <f>76800*(10^-6)</f>
        <v>7.6799999999999993E-2</v>
      </c>
      <c r="G10" s="1">
        <v>0</v>
      </c>
      <c r="H10" s="1">
        <v>9.66</v>
      </c>
    </row>
    <row r="11" spans="1:8">
      <c r="A11" s="1">
        <v>6</v>
      </c>
      <c r="B11" s="1" t="s">
        <v>435</v>
      </c>
      <c r="C11" s="1">
        <v>386.86</v>
      </c>
      <c r="D11" s="1">
        <v>17.05</v>
      </c>
      <c r="E11" s="1">
        <v>0.400754</v>
      </c>
      <c r="F11" s="1">
        <f>194342400*(10^-6)</f>
        <v>194.3424</v>
      </c>
      <c r="G11" s="1">
        <v>2</v>
      </c>
      <c r="H11" s="1">
        <v>82.75</v>
      </c>
    </row>
    <row r="12" spans="1:8">
      <c r="A12" s="1">
        <v>7</v>
      </c>
      <c r="B12" s="1" t="s">
        <v>436</v>
      </c>
      <c r="C12" s="1">
        <v>234.05</v>
      </c>
      <c r="D12" s="1">
        <v>16.57</v>
      </c>
      <c r="E12" s="1">
        <v>0.37739499999999998</v>
      </c>
      <c r="F12" s="1">
        <f>100646400*(10^-6)</f>
        <v>100.6464</v>
      </c>
      <c r="G12" s="1">
        <v>0</v>
      </c>
      <c r="H12" s="1">
        <v>44.63</v>
      </c>
    </row>
    <row r="13" spans="1:8">
      <c r="A13" s="1">
        <v>8</v>
      </c>
      <c r="B13" s="1" t="s">
        <v>437</v>
      </c>
      <c r="C13" s="1">
        <v>149.88999999999999</v>
      </c>
      <c r="D13" s="1">
        <v>16.350000000000001</v>
      </c>
      <c r="E13" s="1">
        <v>0.49857800000000002</v>
      </c>
      <c r="F13" s="1">
        <f>141888000*(10^-6)</f>
        <v>141.88800000000001</v>
      </c>
      <c r="G13" s="1">
        <v>2</v>
      </c>
      <c r="H13" s="1">
        <v>30.31</v>
      </c>
    </row>
    <row r="14" spans="1:8">
      <c r="A14" s="1">
        <v>9</v>
      </c>
      <c r="B14" s="1" t="s">
        <v>438</v>
      </c>
      <c r="C14" s="1">
        <v>148.16999999999999</v>
      </c>
      <c r="D14" s="1">
        <v>16.3</v>
      </c>
      <c r="E14" s="1">
        <v>0.45425100000000002</v>
      </c>
      <c r="F14" s="1">
        <f>101145600*(10^-6)</f>
        <v>101.1456</v>
      </c>
      <c r="G14" s="1">
        <v>0</v>
      </c>
      <c r="H14" s="1">
        <v>28.34</v>
      </c>
    </row>
    <row r="15" spans="1:8">
      <c r="A15" s="1">
        <v>10</v>
      </c>
      <c r="B15" s="1" t="s">
        <v>439</v>
      </c>
      <c r="C15" s="1">
        <v>84.13</v>
      </c>
      <c r="D15" s="1">
        <v>15.85</v>
      </c>
      <c r="E15" s="1">
        <v>0.49845499999999998</v>
      </c>
      <c r="F15" s="1">
        <f>79449600*(10^-6)</f>
        <v>79.44959999999999</v>
      </c>
      <c r="G15" s="1">
        <v>2</v>
      </c>
      <c r="H15" s="1">
        <v>17.3</v>
      </c>
    </row>
    <row r="16" spans="1:8">
      <c r="A16" s="1">
        <v>11</v>
      </c>
      <c r="B16" s="1" t="s">
        <v>440</v>
      </c>
      <c r="C16" s="1">
        <v>147.99</v>
      </c>
      <c r="D16" s="1">
        <v>16.29</v>
      </c>
      <c r="E16" s="1">
        <v>0.45432400000000001</v>
      </c>
      <c r="F16" s="1">
        <f>101068800*(10^-6)</f>
        <v>101.0688</v>
      </c>
      <c r="G16" s="1">
        <v>0</v>
      </c>
      <c r="H16" s="1">
        <v>28.33</v>
      </c>
    </row>
    <row r="17" spans="1:8">
      <c r="A17" s="1">
        <v>12</v>
      </c>
      <c r="B17" s="1" t="s">
        <v>441</v>
      </c>
      <c r="C17" s="1">
        <v>147.99</v>
      </c>
      <c r="D17" s="1">
        <v>16.29</v>
      </c>
      <c r="E17" s="1">
        <v>0.45432400000000001</v>
      </c>
      <c r="F17" s="1">
        <f>101068800*(10^-6)</f>
        <v>101.0688</v>
      </c>
      <c r="G17" s="1">
        <v>0</v>
      </c>
      <c r="H17" s="1">
        <v>28.33</v>
      </c>
    </row>
    <row r="18" spans="1:8">
      <c r="A18" s="1">
        <v>13</v>
      </c>
      <c r="B18" s="1" t="s">
        <v>442</v>
      </c>
      <c r="C18" s="1">
        <v>362.19</v>
      </c>
      <c r="D18" s="1">
        <v>16.8</v>
      </c>
      <c r="E18" s="1">
        <v>0.32902999999999999</v>
      </c>
      <c r="F18" s="1">
        <f>101107200*(10^-6)</f>
        <v>101.10719999999999</v>
      </c>
      <c r="G18" s="1">
        <v>2</v>
      </c>
      <c r="H18" s="1">
        <v>72.650000000000006</v>
      </c>
    </row>
    <row r="19" spans="1:8">
      <c r="A19" s="1">
        <v>14</v>
      </c>
      <c r="B19" s="1" t="s">
        <v>443</v>
      </c>
      <c r="C19" s="1">
        <v>447.65</v>
      </c>
      <c r="D19" s="1">
        <v>17.29</v>
      </c>
      <c r="E19" s="1">
        <v>0.48472399999999999</v>
      </c>
      <c r="F19" s="1">
        <f>368179200*(10^-6)</f>
        <v>368.17919999999998</v>
      </c>
      <c r="G19" s="1">
        <v>0</v>
      </c>
      <c r="H19" s="1">
        <v>99.97</v>
      </c>
    </row>
    <row r="20" spans="1:8">
      <c r="A20" s="1">
        <v>15</v>
      </c>
      <c r="B20" s="1" t="s">
        <v>444</v>
      </c>
      <c r="C20" s="1">
        <v>315.45999999999998</v>
      </c>
      <c r="D20" s="1">
        <v>16.73</v>
      </c>
      <c r="E20" s="1">
        <v>0.34303499999999998</v>
      </c>
      <c r="F20" s="1">
        <f>102067200*(10^-6)</f>
        <v>102.0672</v>
      </c>
      <c r="G20" s="1">
        <v>2</v>
      </c>
      <c r="H20" s="1">
        <v>75.08</v>
      </c>
    </row>
    <row r="21" spans="1:8">
      <c r="A21" s="1">
        <v>16</v>
      </c>
      <c r="B21" s="1" t="s">
        <v>445</v>
      </c>
      <c r="C21" s="1">
        <v>140.26</v>
      </c>
      <c r="D21" s="1">
        <v>16.29</v>
      </c>
      <c r="E21" s="1">
        <v>0.49865799999999999</v>
      </c>
      <c r="F21" s="1">
        <f>132979200*(10^-6)</f>
        <v>132.97919999999999</v>
      </c>
      <c r="G21" s="1">
        <v>0</v>
      </c>
      <c r="H21" s="1">
        <v>30.65</v>
      </c>
    </row>
    <row r="22" spans="1:8">
      <c r="A22" s="1">
        <v>17</v>
      </c>
      <c r="B22" s="1" t="s">
        <v>446</v>
      </c>
      <c r="C22" s="1">
        <v>147.61000000000001</v>
      </c>
      <c r="D22" s="1">
        <v>16.29</v>
      </c>
      <c r="E22" s="1">
        <v>0.45376699999999998</v>
      </c>
      <c r="F22" s="1">
        <f>100492800*(10^-6)</f>
        <v>100.49279999999999</v>
      </c>
      <c r="G22" s="1">
        <v>2</v>
      </c>
      <c r="H22" s="1">
        <v>28.32</v>
      </c>
    </row>
    <row r="23" spans="1:8">
      <c r="A23" s="1">
        <v>18</v>
      </c>
      <c r="B23" s="1" t="s">
        <v>447</v>
      </c>
      <c r="C23" s="1">
        <v>147.91999999999999</v>
      </c>
      <c r="D23" s="1">
        <v>16.29</v>
      </c>
      <c r="E23" s="1">
        <v>0.45414500000000002</v>
      </c>
      <c r="F23" s="1">
        <f>100915200*(10^-6)</f>
        <v>100.9152</v>
      </c>
      <c r="G23" s="1">
        <v>2</v>
      </c>
      <c r="H23" s="1">
        <v>28.33</v>
      </c>
    </row>
    <row r="24" spans="1:8">
      <c r="A24" s="1">
        <v>19</v>
      </c>
      <c r="B24" s="1" t="s">
        <v>448</v>
      </c>
      <c r="C24" s="1">
        <v>83.14</v>
      </c>
      <c r="D24" s="1">
        <v>15.84</v>
      </c>
      <c r="E24" s="1">
        <v>0.49849399999999999</v>
      </c>
      <c r="F24" s="1">
        <f>78566400*(10^-6)</f>
        <v>78.566400000000002</v>
      </c>
      <c r="G24" s="1">
        <v>2</v>
      </c>
      <c r="H24" s="1">
        <v>18.13</v>
      </c>
    </row>
    <row r="25" spans="1:8">
      <c r="A25" s="1">
        <v>20</v>
      </c>
      <c r="B25" s="1" t="s">
        <v>449</v>
      </c>
      <c r="C25" s="1">
        <v>234.05</v>
      </c>
      <c r="D25" s="1">
        <v>16.57</v>
      </c>
      <c r="E25" s="1">
        <v>0.37739499999999998</v>
      </c>
      <c r="F25" s="1">
        <f>100646400*(10^-6)</f>
        <v>100.6464</v>
      </c>
      <c r="G25" s="1">
        <v>0</v>
      </c>
      <c r="H25" s="1">
        <v>44.63</v>
      </c>
    </row>
    <row r="26" spans="1:8">
      <c r="A26" s="1">
        <v>21</v>
      </c>
      <c r="B26" s="1" t="s">
        <v>450</v>
      </c>
      <c r="C26" s="1">
        <v>302.32</v>
      </c>
      <c r="D26" s="1">
        <v>16.96</v>
      </c>
      <c r="E26" s="1">
        <v>0.499969</v>
      </c>
      <c r="F26" s="1">
        <f>299942400*(10^-6)</f>
        <v>299.94239999999996</v>
      </c>
      <c r="G26" s="1">
        <v>2</v>
      </c>
      <c r="H26" s="1">
        <v>70.510000000000005</v>
      </c>
    </row>
    <row r="27" spans="1:8">
      <c r="A27" s="1">
        <v>22</v>
      </c>
      <c r="B27" s="1" t="s">
        <v>451</v>
      </c>
      <c r="C27" s="1">
        <v>102.16</v>
      </c>
      <c r="D27" s="1">
        <v>16.02</v>
      </c>
      <c r="E27" s="1">
        <v>0.49999399999999999</v>
      </c>
      <c r="F27" s="1">
        <f>101798400*(10^-6)</f>
        <v>101.7984</v>
      </c>
      <c r="G27" s="1">
        <v>2</v>
      </c>
      <c r="H27" s="1">
        <v>19.309999999999999</v>
      </c>
    </row>
    <row r="28" spans="1:8">
      <c r="A28" s="1">
        <v>23</v>
      </c>
      <c r="B28" s="1" t="s">
        <v>452</v>
      </c>
      <c r="C28" s="1">
        <v>363.01</v>
      </c>
      <c r="D28" s="1">
        <v>17.010000000000002</v>
      </c>
      <c r="E28" s="1">
        <v>0.41152</v>
      </c>
      <c r="F28" s="1">
        <f>194688000*(10^-6)</f>
        <v>194.68799999999999</v>
      </c>
      <c r="G28" s="1">
        <v>0</v>
      </c>
      <c r="H28" s="1">
        <v>84.13</v>
      </c>
    </row>
    <row r="29" spans="1:8">
      <c r="A29" s="1">
        <v>24</v>
      </c>
      <c r="B29" s="1" t="s">
        <v>453</v>
      </c>
      <c r="C29" s="1">
        <v>234.05</v>
      </c>
      <c r="D29" s="1">
        <v>16.57</v>
      </c>
      <c r="E29" s="1">
        <v>0.37739499999999998</v>
      </c>
      <c r="F29" s="1">
        <f>100646400*(10^-6)</f>
        <v>100.6464</v>
      </c>
      <c r="G29" s="1">
        <v>0</v>
      </c>
      <c r="H29" s="1">
        <v>44.63</v>
      </c>
    </row>
    <row r="30" spans="1:8">
      <c r="A30" s="1">
        <v>25</v>
      </c>
      <c r="B30" s="1" t="s">
        <v>454</v>
      </c>
      <c r="C30" s="1">
        <v>281.26</v>
      </c>
      <c r="D30" s="1">
        <v>16.850000000000001</v>
      </c>
      <c r="E30" s="1">
        <v>0.45403500000000002</v>
      </c>
      <c r="F30" s="1">
        <f>191769600*(10^-6)</f>
        <v>191.7696</v>
      </c>
      <c r="G30" s="1">
        <v>0</v>
      </c>
      <c r="H30" s="1">
        <v>53.64</v>
      </c>
    </row>
    <row r="31" spans="1:8">
      <c r="A31" s="1">
        <v>26</v>
      </c>
      <c r="B31" s="1" t="s">
        <v>455</v>
      </c>
      <c r="C31" s="1">
        <v>361.54</v>
      </c>
      <c r="D31" s="1">
        <v>17.010000000000002</v>
      </c>
      <c r="E31" s="1">
        <v>0.41067300000000001</v>
      </c>
      <c r="F31" s="1">
        <f>192921600*(10^-6)</f>
        <v>192.92159999999998</v>
      </c>
      <c r="G31" s="1">
        <v>2</v>
      </c>
      <c r="H31" s="1">
        <v>84.12</v>
      </c>
    </row>
    <row r="32" spans="1:8">
      <c r="A32" s="1">
        <v>27</v>
      </c>
      <c r="B32" s="1" t="s">
        <v>456</v>
      </c>
      <c r="C32" s="1">
        <v>351.09</v>
      </c>
      <c r="D32" s="1">
        <v>17.09</v>
      </c>
      <c r="E32" s="1">
        <v>0.49895200000000001</v>
      </c>
      <c r="F32" s="1">
        <f>335001600*(10^-6)</f>
        <v>335.0016</v>
      </c>
      <c r="G32" s="1">
        <v>2</v>
      </c>
      <c r="H32" s="1">
        <v>70.33</v>
      </c>
    </row>
    <row r="33" spans="1:8">
      <c r="A33" s="1">
        <v>28</v>
      </c>
      <c r="B33" s="1" t="s">
        <v>457</v>
      </c>
      <c r="C33" s="1">
        <v>83.71</v>
      </c>
      <c r="D33" s="1">
        <v>15.84</v>
      </c>
      <c r="E33" s="1">
        <v>0.49785800000000002</v>
      </c>
      <c r="F33" s="1">
        <f>78220800*(10^-6)</f>
        <v>78.220799999999997</v>
      </c>
      <c r="G33" s="1">
        <v>2</v>
      </c>
      <c r="H33" s="1">
        <v>17.21</v>
      </c>
    </row>
    <row r="34" spans="1:8">
      <c r="A34" s="1">
        <v>29</v>
      </c>
      <c r="B34" s="1" t="s">
        <v>458</v>
      </c>
      <c r="C34" s="1">
        <v>363.05</v>
      </c>
      <c r="D34" s="1">
        <v>17.010000000000002</v>
      </c>
      <c r="E34" s="1">
        <v>0.41100300000000001</v>
      </c>
      <c r="F34" s="1">
        <f>194112000*(10^-6)</f>
        <v>194.11199999999999</v>
      </c>
      <c r="G34" s="1">
        <v>0</v>
      </c>
      <c r="H34" s="1">
        <v>84.15</v>
      </c>
    </row>
    <row r="35" spans="1:8">
      <c r="A35" s="1">
        <v>30</v>
      </c>
      <c r="B35" s="1" t="s">
        <v>459</v>
      </c>
      <c r="C35" s="1">
        <v>350.67</v>
      </c>
      <c r="D35" s="1">
        <v>16.79</v>
      </c>
      <c r="E35" s="1">
        <v>0.332484</v>
      </c>
      <c r="F35" s="1">
        <f>101760000*(10^-6)</f>
        <v>101.75999999999999</v>
      </c>
      <c r="G35" s="1">
        <v>2</v>
      </c>
      <c r="H35" s="1">
        <v>70.53</v>
      </c>
    </row>
    <row r="36" spans="1:8">
      <c r="A36" s="1">
        <v>31</v>
      </c>
      <c r="B36" s="1" t="s">
        <v>460</v>
      </c>
      <c r="C36" s="1">
        <v>222.64</v>
      </c>
      <c r="D36" s="1">
        <v>16.690000000000001</v>
      </c>
      <c r="E36" s="1">
        <v>0.49971700000000002</v>
      </c>
      <c r="F36" s="1">
        <f>217344000*(10^-6)</f>
        <v>217.34399999999999</v>
      </c>
      <c r="G36" s="1">
        <v>2</v>
      </c>
      <c r="H36" s="1">
        <v>45.93</v>
      </c>
    </row>
    <row r="37" spans="1:8">
      <c r="A37" s="1">
        <v>32</v>
      </c>
      <c r="B37" s="1" t="s">
        <v>461</v>
      </c>
      <c r="C37" s="1">
        <v>147.91999999999999</v>
      </c>
      <c r="D37" s="1">
        <v>16.29</v>
      </c>
      <c r="E37" s="1">
        <v>0.45414500000000002</v>
      </c>
      <c r="F37" s="1">
        <f>100915200*(10^-6)</f>
        <v>100.9152</v>
      </c>
      <c r="G37" s="1">
        <v>2</v>
      </c>
      <c r="H37" s="1">
        <v>28.33</v>
      </c>
    </row>
    <row r="38" spans="1:8">
      <c r="A38" s="1">
        <v>33</v>
      </c>
      <c r="B38" s="1" t="s">
        <v>462</v>
      </c>
      <c r="C38" s="1">
        <v>476.03</v>
      </c>
      <c r="D38" s="1">
        <v>17.329999999999998</v>
      </c>
      <c r="E38" s="1">
        <v>0.47557300000000002</v>
      </c>
      <c r="F38" s="1">
        <f>368140800*(10^-6)</f>
        <v>368.14079999999996</v>
      </c>
      <c r="G38" s="1">
        <v>2</v>
      </c>
      <c r="H38" s="1">
        <v>99.01</v>
      </c>
    </row>
    <row r="39" spans="1:8">
      <c r="A39" s="1">
        <v>34</v>
      </c>
      <c r="B39" s="1" t="s">
        <v>463</v>
      </c>
      <c r="C39" s="1">
        <v>102.16</v>
      </c>
      <c r="D39" s="1">
        <v>16.02</v>
      </c>
      <c r="E39" s="1">
        <v>0.49999399999999999</v>
      </c>
      <c r="F39" s="1">
        <f>101798400*(10^-6)</f>
        <v>101.7984</v>
      </c>
      <c r="G39" s="1">
        <v>2</v>
      </c>
      <c r="H39" s="1">
        <v>19.309999999999999</v>
      </c>
    </row>
    <row r="40" spans="1:8">
      <c r="A40" s="1">
        <v>35</v>
      </c>
      <c r="B40" s="1" t="s">
        <v>464</v>
      </c>
      <c r="C40" s="1">
        <v>281.26</v>
      </c>
      <c r="D40" s="1">
        <v>16.850000000000001</v>
      </c>
      <c r="E40" s="1">
        <v>0.45403500000000002</v>
      </c>
      <c r="F40" s="1">
        <f>191769600*(10^-6)</f>
        <v>191.7696</v>
      </c>
      <c r="G40" s="1">
        <v>0</v>
      </c>
      <c r="H40" s="1">
        <v>53.64</v>
      </c>
    </row>
    <row r="41" spans="1:8">
      <c r="A41" s="1">
        <v>36</v>
      </c>
      <c r="B41" s="1" t="s">
        <v>465</v>
      </c>
      <c r="C41" s="1">
        <v>529.71</v>
      </c>
      <c r="D41" s="1">
        <v>17.45</v>
      </c>
      <c r="E41" s="1">
        <v>0.49998999999999999</v>
      </c>
      <c r="F41" s="1">
        <f>527385600*(10^-6)</f>
        <v>527.38559999999995</v>
      </c>
      <c r="G41" s="1">
        <v>0</v>
      </c>
      <c r="H41" s="1">
        <v>130.80000000000001</v>
      </c>
    </row>
    <row r="42" spans="1:8">
      <c r="A42" s="1">
        <v>37</v>
      </c>
      <c r="B42" s="1" t="s">
        <v>466</v>
      </c>
      <c r="C42" s="1">
        <v>280.74</v>
      </c>
      <c r="D42" s="1">
        <v>16.850000000000001</v>
      </c>
      <c r="E42" s="1">
        <v>0.45663500000000001</v>
      </c>
      <c r="F42" s="1">
        <f>194227200*(10^-6)</f>
        <v>194.22719999999998</v>
      </c>
      <c r="G42" s="1">
        <v>0</v>
      </c>
      <c r="H42" s="1">
        <v>53.61</v>
      </c>
    </row>
    <row r="43" spans="1:8">
      <c r="A43" s="1">
        <v>38</v>
      </c>
      <c r="B43" s="1" t="s">
        <v>467</v>
      </c>
      <c r="C43" s="1">
        <v>280.67</v>
      </c>
      <c r="D43" s="1">
        <v>16.850000000000001</v>
      </c>
      <c r="E43" s="1">
        <v>0.45583699999999999</v>
      </c>
      <c r="F43" s="1">
        <f>193305600*(10^-6)</f>
        <v>193.3056</v>
      </c>
      <c r="G43" s="1">
        <v>0</v>
      </c>
      <c r="H43" s="1">
        <v>53.61</v>
      </c>
    </row>
    <row r="44" spans="1:8">
      <c r="A44" s="1">
        <v>39</v>
      </c>
      <c r="B44" s="1" t="s">
        <v>468</v>
      </c>
      <c r="C44" s="1">
        <v>450.22</v>
      </c>
      <c r="D44" s="1">
        <v>17.29</v>
      </c>
      <c r="E44" s="1">
        <v>0.48436499999999999</v>
      </c>
      <c r="F44" s="1">
        <f>369331200*(10^-6)</f>
        <v>369.33119999999997</v>
      </c>
      <c r="G44" s="1">
        <v>0</v>
      </c>
      <c r="H44" s="1">
        <v>100.38</v>
      </c>
    </row>
    <row r="45" spans="1:8">
      <c r="A45" s="1">
        <v>40</v>
      </c>
      <c r="B45" s="1" t="s">
        <v>469</v>
      </c>
      <c r="C45" s="1">
        <v>478.89</v>
      </c>
      <c r="D45" s="1">
        <v>17.32</v>
      </c>
      <c r="E45" s="1">
        <v>0.45898499999999998</v>
      </c>
      <c r="F45" s="1">
        <f>335731200*(10^-6)</f>
        <v>335.7312</v>
      </c>
      <c r="G45" s="1">
        <v>0</v>
      </c>
      <c r="H45" s="1">
        <v>98.27</v>
      </c>
    </row>
    <row r="46" spans="1:8">
      <c r="A46" s="1">
        <v>41</v>
      </c>
      <c r="B46" s="1" t="s">
        <v>470</v>
      </c>
      <c r="C46" s="1">
        <v>315.58999999999997</v>
      </c>
      <c r="D46" s="1">
        <v>16.73</v>
      </c>
      <c r="E46" s="1">
        <v>0.34167500000000001</v>
      </c>
      <c r="F46" s="1">
        <f>100761600*(10^-6)</f>
        <v>100.7616</v>
      </c>
      <c r="G46" s="1">
        <v>0</v>
      </c>
      <c r="H46" s="1">
        <v>75.150000000000006</v>
      </c>
    </row>
    <row r="47" spans="1:8">
      <c r="A47" s="1">
        <v>42</v>
      </c>
      <c r="B47" s="1" t="s">
        <v>471</v>
      </c>
      <c r="C47" s="1">
        <v>234.05</v>
      </c>
      <c r="D47" s="1">
        <v>16.57</v>
      </c>
      <c r="E47" s="1">
        <v>0.37739499999999998</v>
      </c>
      <c r="F47" s="1">
        <f>100646400*(10^-6)</f>
        <v>100.6464</v>
      </c>
      <c r="G47" s="1">
        <v>0</v>
      </c>
      <c r="H47" s="1">
        <v>44.63</v>
      </c>
    </row>
    <row r="48" spans="1:8">
      <c r="A48" s="1">
        <v>43</v>
      </c>
      <c r="B48" s="1" t="s">
        <v>472</v>
      </c>
      <c r="C48" s="1">
        <v>234.28</v>
      </c>
      <c r="D48" s="1">
        <v>16.57</v>
      </c>
      <c r="E48" s="1">
        <v>0.378162</v>
      </c>
      <c r="F48" s="1">
        <f>101299200*(10^-6)</f>
        <v>101.2992</v>
      </c>
      <c r="G48" s="1">
        <v>2</v>
      </c>
      <c r="H48" s="1">
        <v>44.63</v>
      </c>
    </row>
    <row r="49" spans="1:8">
      <c r="A49" s="1">
        <v>44</v>
      </c>
      <c r="B49" s="1" t="s">
        <v>473</v>
      </c>
      <c r="C49" s="1">
        <v>342.03</v>
      </c>
      <c r="D49" s="1">
        <v>16.78</v>
      </c>
      <c r="E49" s="1">
        <v>0.33592100000000003</v>
      </c>
      <c r="F49" s="1">
        <f>102988800*(10^-6)</f>
        <v>102.9888</v>
      </c>
      <c r="G49" s="1">
        <v>0</v>
      </c>
      <c r="H49" s="1">
        <v>73.760000000000005</v>
      </c>
    </row>
    <row r="50" spans="1:8">
      <c r="A50" s="1">
        <v>45</v>
      </c>
      <c r="B50" s="1" t="s">
        <v>474</v>
      </c>
      <c r="C50" s="1">
        <v>450.03</v>
      </c>
      <c r="D50" s="1">
        <v>17.29</v>
      </c>
      <c r="E50" s="1">
        <v>0.48442400000000002</v>
      </c>
      <c r="F50" s="1">
        <f>369331200*(10^-6)</f>
        <v>369.33119999999997</v>
      </c>
      <c r="G50" s="1">
        <v>2</v>
      </c>
      <c r="H50" s="1">
        <v>100.4</v>
      </c>
    </row>
    <row r="51" spans="1:8">
      <c r="A51" s="1">
        <v>46</v>
      </c>
      <c r="B51" s="1" t="s">
        <v>475</v>
      </c>
      <c r="C51" s="1">
        <v>482.13</v>
      </c>
      <c r="D51" s="1">
        <v>17.329999999999998</v>
      </c>
      <c r="E51" s="1">
        <v>0.459978</v>
      </c>
      <c r="F51" s="1">
        <f>339916800*(10^-6)</f>
        <v>339.91679999999997</v>
      </c>
      <c r="G51" s="1">
        <v>0</v>
      </c>
      <c r="H51" s="1">
        <v>98.29</v>
      </c>
    </row>
    <row r="52" spans="1:8">
      <c r="A52" s="1">
        <v>47</v>
      </c>
      <c r="B52" s="1" t="s">
        <v>476</v>
      </c>
      <c r="C52" s="1">
        <v>219.03</v>
      </c>
      <c r="D52" s="1">
        <v>16.54</v>
      </c>
      <c r="E52" s="1">
        <v>0.38922400000000001</v>
      </c>
      <c r="F52" s="1">
        <f>102182400*(10^-6)</f>
        <v>102.1824</v>
      </c>
      <c r="G52" s="1">
        <v>0</v>
      </c>
      <c r="H52" s="1">
        <v>45.05</v>
      </c>
    </row>
    <row r="53" spans="1:8">
      <c r="A53" s="1">
        <v>48</v>
      </c>
      <c r="B53" s="1" t="s">
        <v>477</v>
      </c>
      <c r="C53" s="1">
        <v>194.13</v>
      </c>
      <c r="D53" s="1">
        <v>16.579999999999998</v>
      </c>
      <c r="E53" s="1">
        <v>0.49999399999999999</v>
      </c>
      <c r="F53" s="1">
        <f>193459200*(10^-6)</f>
        <v>193.45919999999998</v>
      </c>
      <c r="G53" s="1">
        <v>2</v>
      </c>
      <c r="H53" s="1">
        <v>37.35</v>
      </c>
    </row>
    <row r="54" spans="1:8">
      <c r="A54" s="1">
        <v>49</v>
      </c>
      <c r="B54" s="1" t="s">
        <v>478</v>
      </c>
      <c r="C54" s="1">
        <v>378.99</v>
      </c>
      <c r="D54" s="1">
        <v>17.16</v>
      </c>
      <c r="E54" s="1">
        <v>0.49999900000000003</v>
      </c>
      <c r="F54" s="1">
        <f>378547200*(10^-6)</f>
        <v>378.54719999999998</v>
      </c>
      <c r="G54" s="1">
        <v>0</v>
      </c>
      <c r="H54" s="1">
        <v>83.76</v>
      </c>
    </row>
    <row r="55" spans="1:8">
      <c r="A55" s="1">
        <v>50</v>
      </c>
      <c r="B55" s="1" t="s">
        <v>479</v>
      </c>
      <c r="C55" s="1">
        <v>368.95</v>
      </c>
      <c r="D55" s="1">
        <v>17.13</v>
      </c>
      <c r="E55" s="1">
        <v>0.5</v>
      </c>
      <c r="F55" s="1">
        <f>368947200*(10^-6)</f>
        <v>368.94720000000001</v>
      </c>
      <c r="G55" s="1">
        <v>0</v>
      </c>
      <c r="H55" s="1">
        <v>69.91</v>
      </c>
    </row>
    <row r="56" spans="1:8">
      <c r="B56" s="1" t="s">
        <v>19</v>
      </c>
      <c r="C56" s="1">
        <f>AVERAGE(C6:C55)</f>
        <v>269.55419999999998</v>
      </c>
      <c r="D56" s="1">
        <f t="shared" ref="D56:F56" si="0">AVERAGE(D6:D55)</f>
        <v>16.620600000000003</v>
      </c>
      <c r="E56" s="1">
        <f t="shared" si="0"/>
        <v>0.44119137999999986</v>
      </c>
      <c r="F56" s="1">
        <f t="shared" si="0"/>
        <v>184.32076799999999</v>
      </c>
      <c r="H56" s="1">
        <f t="shared" ref="H56" si="1">AVERAGE(H6:H55)</f>
        <v>56.185400000000016</v>
      </c>
    </row>
    <row r="57" spans="1:8">
      <c r="B57" s="1" t="s">
        <v>20</v>
      </c>
      <c r="C57" s="1">
        <f>MIN(C5:C55)</f>
        <v>50.78</v>
      </c>
      <c r="D57" s="1">
        <f t="shared" ref="D57:F57" si="2">MIN(D5:D55)</f>
        <v>12.89</v>
      </c>
      <c r="E57" s="1">
        <f t="shared" si="2"/>
        <v>0.25037799999999999</v>
      </c>
      <c r="F57" s="1">
        <f t="shared" si="2"/>
        <v>7.6799999999999993E-2</v>
      </c>
      <c r="H57" s="1">
        <f t="shared" ref="H57" si="3">MIN(H5:H55)</f>
        <v>9.66</v>
      </c>
    </row>
    <row r="58" spans="1:8">
      <c r="B58" s="1" t="s">
        <v>3</v>
      </c>
      <c r="C58" s="1">
        <f>STDEV(C6:C55)</f>
        <v>125.67582151970625</v>
      </c>
      <c r="D58" s="1">
        <f t="shared" ref="D58:E58" si="4">STDEV(D6:D55)</f>
        <v>0.69043142383620959</v>
      </c>
      <c r="E58" s="1">
        <f t="shared" si="4"/>
        <v>6.1682077195724452E-2</v>
      </c>
      <c r="F58" s="1">
        <f>STDEV(F6:F55)</f>
        <v>116.12425821123314</v>
      </c>
      <c r="H58" s="1">
        <f>STDEV(H6:H55)</f>
        <v>28.920046730563161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580</v>
      </c>
      <c r="C62" s="1">
        <v>130.59</v>
      </c>
      <c r="D62" s="1" t="e">
        <f>-inf</f>
        <v>#NAME?</v>
      </c>
      <c r="E62" s="1">
        <v>0.36660799999999999</v>
      </c>
      <c r="F62" s="1">
        <f>0*(10^-6)</f>
        <v>0</v>
      </c>
      <c r="G62" s="1">
        <v>8</v>
      </c>
      <c r="H62" s="1">
        <v>27.56</v>
      </c>
    </row>
    <row r="63" spans="1:8">
      <c r="A63" s="1">
        <v>2</v>
      </c>
      <c r="B63" s="1" t="s">
        <v>581</v>
      </c>
      <c r="C63" s="1">
        <v>111.41</v>
      </c>
      <c r="D63" s="1">
        <v>40.1</v>
      </c>
      <c r="E63" s="1">
        <v>0.43503900000000001</v>
      </c>
      <c r="F63" s="1">
        <f>74457600*(10^-6)</f>
        <v>74.457599999999999</v>
      </c>
      <c r="G63" s="1">
        <v>4</v>
      </c>
      <c r="H63" s="1">
        <v>21.17</v>
      </c>
    </row>
    <row r="64" spans="1:8">
      <c r="A64" s="1">
        <v>3</v>
      </c>
      <c r="B64" s="1" t="s">
        <v>582</v>
      </c>
      <c r="C64" s="1">
        <v>323.32</v>
      </c>
      <c r="D64" s="1">
        <v>39.54</v>
      </c>
      <c r="E64" s="1">
        <v>0.36267899999999997</v>
      </c>
      <c r="F64" s="1">
        <f>153600*(10^-6)</f>
        <v>0.15359999999999999</v>
      </c>
      <c r="G64" s="1">
        <v>2</v>
      </c>
      <c r="H64" s="1">
        <v>66.87</v>
      </c>
    </row>
    <row r="65" spans="1:8">
      <c r="A65" s="1">
        <v>4</v>
      </c>
      <c r="B65" s="1" t="s">
        <v>583</v>
      </c>
      <c r="C65" s="1">
        <v>134.5</v>
      </c>
      <c r="D65" s="1">
        <v>38.97</v>
      </c>
      <c r="E65" s="1">
        <v>0.25855400000000001</v>
      </c>
      <c r="F65" s="1">
        <f>11366400*(10^-6)</f>
        <v>11.366399999999999</v>
      </c>
      <c r="G65" s="1">
        <v>2</v>
      </c>
      <c r="H65" s="1">
        <v>25.61</v>
      </c>
    </row>
    <row r="66" spans="1:8">
      <c r="A66" s="1">
        <v>5</v>
      </c>
      <c r="B66" s="1" t="s">
        <v>584</v>
      </c>
      <c r="C66" s="1">
        <v>118.86</v>
      </c>
      <c r="D66" s="1" t="e">
        <f>-inf</f>
        <v>#NAME?</v>
      </c>
      <c r="E66" s="1">
        <v>0.36443199999999998</v>
      </c>
      <c r="F66" s="1">
        <f>0*(10^-6)</f>
        <v>0</v>
      </c>
      <c r="G66" s="1">
        <v>8</v>
      </c>
      <c r="H66" s="1">
        <v>22.66</v>
      </c>
    </row>
    <row r="67" spans="1:8">
      <c r="A67" s="1">
        <v>6</v>
      </c>
      <c r="B67" s="1" t="s">
        <v>585</v>
      </c>
      <c r="C67" s="1">
        <v>323.77999999999997</v>
      </c>
      <c r="D67" s="1">
        <v>42.18</v>
      </c>
      <c r="E67" s="1">
        <v>0.38700499999999999</v>
      </c>
      <c r="F67" s="1">
        <f>102144000*(10^-6)</f>
        <v>102.14399999999999</v>
      </c>
      <c r="G67" s="1">
        <v>8</v>
      </c>
      <c r="H67" s="1">
        <v>64.209999999999994</v>
      </c>
    </row>
    <row r="68" spans="1:8">
      <c r="A68" s="1">
        <v>7</v>
      </c>
      <c r="B68" s="1" t="s">
        <v>586</v>
      </c>
      <c r="C68" s="1">
        <v>72.78</v>
      </c>
      <c r="D68" s="1" t="e">
        <f>-inf</f>
        <v>#NAME?</v>
      </c>
      <c r="E68" s="1">
        <v>0.39308399999999999</v>
      </c>
      <c r="F68" s="1">
        <f>0*(10^-6)</f>
        <v>0</v>
      </c>
      <c r="G68" s="1">
        <v>4</v>
      </c>
      <c r="H68" s="1">
        <v>14.67</v>
      </c>
    </row>
    <row r="69" spans="1:8">
      <c r="A69" s="1">
        <v>8</v>
      </c>
      <c r="B69" s="1" t="s">
        <v>587</v>
      </c>
      <c r="C69" s="1">
        <v>147</v>
      </c>
      <c r="D69" s="1">
        <v>39.42</v>
      </c>
      <c r="E69" s="1">
        <v>0.291491</v>
      </c>
      <c r="F69" s="1">
        <f>5068800*(10^-6)</f>
        <v>5.0687999999999995</v>
      </c>
      <c r="G69" s="1">
        <v>2</v>
      </c>
      <c r="H69" s="1">
        <v>28.26</v>
      </c>
    </row>
    <row r="70" spans="1:8">
      <c r="A70" s="1">
        <v>9</v>
      </c>
      <c r="B70" s="1" t="s">
        <v>588</v>
      </c>
      <c r="C70" s="1">
        <v>99.99</v>
      </c>
      <c r="D70" s="1" t="e">
        <f>-inf</f>
        <v>#NAME?</v>
      </c>
      <c r="E70" s="1">
        <v>0.36253000000000002</v>
      </c>
      <c r="F70" s="1">
        <f>0*(10^-6)</f>
        <v>0</v>
      </c>
      <c r="G70" s="1">
        <v>6</v>
      </c>
      <c r="H70" s="1">
        <v>19.05</v>
      </c>
    </row>
    <row r="71" spans="1:8">
      <c r="A71" s="1">
        <v>10</v>
      </c>
      <c r="B71" s="1" t="s">
        <v>589</v>
      </c>
      <c r="C71" s="1">
        <v>154.83000000000001</v>
      </c>
      <c r="D71" s="1">
        <v>40.33</v>
      </c>
      <c r="E71" s="1">
        <v>0.31554599999999999</v>
      </c>
      <c r="F71" s="1">
        <f>53606400*(10^-6)</f>
        <v>53.606400000000001</v>
      </c>
      <c r="G71" s="1">
        <v>4</v>
      </c>
      <c r="H71" s="1">
        <v>29.42</v>
      </c>
    </row>
    <row r="72" spans="1:8">
      <c r="A72" s="1">
        <v>11</v>
      </c>
      <c r="B72" s="1" t="s">
        <v>590</v>
      </c>
      <c r="C72" s="1">
        <v>171.89</v>
      </c>
      <c r="D72" s="1" t="e">
        <f>-inf</f>
        <v>#NAME?</v>
      </c>
      <c r="E72" s="1">
        <v>0.33230799999999999</v>
      </c>
      <c r="F72" s="1">
        <f>0*(10^-6)</f>
        <v>0</v>
      </c>
      <c r="G72" s="1">
        <v>8</v>
      </c>
      <c r="H72" s="1">
        <v>32.770000000000003</v>
      </c>
    </row>
    <row r="73" spans="1:8">
      <c r="A73" s="1">
        <v>12</v>
      </c>
      <c r="B73" s="1" t="s">
        <v>591</v>
      </c>
      <c r="C73" s="1">
        <v>209.95</v>
      </c>
      <c r="D73" s="1">
        <v>41.03</v>
      </c>
      <c r="E73" s="1">
        <v>0.28187499999999999</v>
      </c>
      <c r="F73" s="1">
        <f>101606400*(10^-6)</f>
        <v>101.60639999999999</v>
      </c>
      <c r="G73" s="1">
        <v>4</v>
      </c>
      <c r="H73" s="1">
        <v>43.52</v>
      </c>
    </row>
    <row r="74" spans="1:8">
      <c r="A74" s="1">
        <v>13</v>
      </c>
      <c r="B74" s="1" t="s">
        <v>592</v>
      </c>
      <c r="C74" s="1">
        <v>171.64</v>
      </c>
      <c r="D74" s="1">
        <v>39.56</v>
      </c>
      <c r="E74" s="1">
        <v>0.33350600000000002</v>
      </c>
      <c r="F74" s="1">
        <f>2649600*(10^-6)</f>
        <v>2.6496</v>
      </c>
      <c r="G74" s="1">
        <v>2</v>
      </c>
      <c r="H74" s="1">
        <v>32.83</v>
      </c>
    </row>
    <row r="75" spans="1:8">
      <c r="A75" s="1">
        <v>14</v>
      </c>
      <c r="B75" s="1" t="s">
        <v>593</v>
      </c>
      <c r="C75" s="1">
        <v>147.33000000000001</v>
      </c>
      <c r="D75" s="1">
        <v>36.200000000000003</v>
      </c>
      <c r="E75" s="1">
        <v>0.178507</v>
      </c>
      <c r="F75" s="1">
        <f>537600*(10^-6)</f>
        <v>0.53759999999999997</v>
      </c>
      <c r="G75" s="1">
        <v>2</v>
      </c>
      <c r="H75" s="1">
        <v>33.93</v>
      </c>
    </row>
    <row r="76" spans="1:8">
      <c r="A76" s="1">
        <v>15</v>
      </c>
      <c r="B76" s="1" t="s">
        <v>594</v>
      </c>
      <c r="C76" s="1">
        <v>96.11</v>
      </c>
      <c r="D76" s="1">
        <v>39.69</v>
      </c>
      <c r="E76" s="1">
        <v>0.39632000000000001</v>
      </c>
      <c r="F76" s="1">
        <f>55795200*(10^-6)</f>
        <v>55.795199999999994</v>
      </c>
      <c r="G76" s="1">
        <v>2</v>
      </c>
      <c r="H76" s="1">
        <v>20.170000000000002</v>
      </c>
    </row>
    <row r="77" spans="1:8">
      <c r="A77" s="1">
        <v>16</v>
      </c>
      <c r="B77" s="1" t="s">
        <v>595</v>
      </c>
      <c r="C77" s="1">
        <v>263.33999999999997</v>
      </c>
      <c r="D77" s="1">
        <v>41.27</v>
      </c>
      <c r="E77" s="1">
        <v>0.30327599999999999</v>
      </c>
      <c r="F77" s="1">
        <f>57792000*(10^-6)</f>
        <v>57.791999999999994</v>
      </c>
      <c r="G77" s="1">
        <v>2</v>
      </c>
      <c r="H77" s="1">
        <v>51.52</v>
      </c>
    </row>
    <row r="78" spans="1:8">
      <c r="A78" s="1">
        <v>17</v>
      </c>
      <c r="B78" s="1" t="s">
        <v>596</v>
      </c>
      <c r="C78" s="1">
        <v>165.04</v>
      </c>
      <c r="D78" s="1">
        <v>39.57</v>
      </c>
      <c r="E78" s="1">
        <v>0.34529500000000002</v>
      </c>
      <c r="F78" s="1">
        <f>2918400*(10^-6)</f>
        <v>2.9183999999999997</v>
      </c>
      <c r="G78" s="1">
        <v>0</v>
      </c>
      <c r="H78" s="1">
        <v>33</v>
      </c>
    </row>
    <row r="79" spans="1:8">
      <c r="A79" s="1">
        <v>18</v>
      </c>
      <c r="B79" s="1" t="s">
        <v>597</v>
      </c>
      <c r="C79" s="1">
        <v>224.44</v>
      </c>
      <c r="D79" s="1">
        <v>39.979999999999997</v>
      </c>
      <c r="E79" s="1">
        <v>0.26779199999999997</v>
      </c>
      <c r="F79" s="1">
        <f>4761600*(10^-6)</f>
        <v>4.7615999999999996</v>
      </c>
      <c r="G79" s="1">
        <v>0</v>
      </c>
      <c r="H79" s="1">
        <v>47.54</v>
      </c>
    </row>
    <row r="80" spans="1:8">
      <c r="A80" s="1">
        <v>19</v>
      </c>
      <c r="B80" s="1" t="s">
        <v>598</v>
      </c>
      <c r="C80" s="1">
        <v>225.73</v>
      </c>
      <c r="D80" s="1">
        <v>40.630000000000003</v>
      </c>
      <c r="E80" s="1">
        <v>0.37119799999999997</v>
      </c>
      <c r="F80" s="1">
        <f>8448000*(10^-6)</f>
        <v>8.4480000000000004</v>
      </c>
      <c r="G80" s="1">
        <v>8</v>
      </c>
      <c r="H80" s="1">
        <v>43.02</v>
      </c>
    </row>
    <row r="81" spans="1:8">
      <c r="A81" s="1">
        <v>20</v>
      </c>
      <c r="B81" s="1" t="s">
        <v>599</v>
      </c>
      <c r="C81" s="1">
        <v>214.3</v>
      </c>
      <c r="D81" s="1">
        <v>37.479999999999997</v>
      </c>
      <c r="E81" s="1">
        <v>0.30952600000000002</v>
      </c>
      <c r="F81" s="1">
        <f>38400*(10^-6)</f>
        <v>3.8399999999999997E-2</v>
      </c>
      <c r="G81" s="1">
        <v>6</v>
      </c>
      <c r="H81" s="1">
        <v>42.17</v>
      </c>
    </row>
    <row r="82" spans="1:8">
      <c r="A82" s="1">
        <v>21</v>
      </c>
      <c r="B82" s="1" t="s">
        <v>600</v>
      </c>
      <c r="C82" s="1">
        <v>176.94</v>
      </c>
      <c r="D82" s="1">
        <v>40.909999999999997</v>
      </c>
      <c r="E82" s="1">
        <v>0.410547</v>
      </c>
      <c r="F82" s="1">
        <f>54412800*(10^-6)</f>
        <v>54.412799999999997</v>
      </c>
      <c r="G82" s="1">
        <v>0</v>
      </c>
      <c r="H82" s="1">
        <v>35.119999999999997</v>
      </c>
    </row>
    <row r="83" spans="1:8">
      <c r="A83" s="1">
        <v>22</v>
      </c>
      <c r="B83" s="1" t="s">
        <v>601</v>
      </c>
      <c r="C83" s="1">
        <v>318.52</v>
      </c>
      <c r="D83" s="1">
        <v>42.34</v>
      </c>
      <c r="E83" s="1">
        <v>0.41953099999999999</v>
      </c>
      <c r="F83" s="1">
        <f>191692800*(10^-6)</f>
        <v>191.69280000000001</v>
      </c>
      <c r="G83" s="1">
        <v>6</v>
      </c>
      <c r="H83" s="1">
        <v>66.05</v>
      </c>
    </row>
    <row r="84" spans="1:8">
      <c r="A84" s="1">
        <v>23</v>
      </c>
      <c r="B84" s="1" t="s">
        <v>602</v>
      </c>
      <c r="C84" s="1">
        <v>259.18</v>
      </c>
      <c r="D84" s="1">
        <v>41.59</v>
      </c>
      <c r="E84" s="1">
        <v>0.35298499999999999</v>
      </c>
      <c r="F84" s="1">
        <f>101145600*(10^-6)</f>
        <v>101.1456</v>
      </c>
      <c r="G84" s="1">
        <v>0</v>
      </c>
      <c r="H84" s="1">
        <v>55.26</v>
      </c>
    </row>
    <row r="85" spans="1:8">
      <c r="A85" s="1">
        <v>24</v>
      </c>
      <c r="B85" s="1" t="s">
        <v>603</v>
      </c>
      <c r="C85" s="1">
        <v>98.3</v>
      </c>
      <c r="D85" s="1" t="e">
        <f>-inf</f>
        <v>#NAME?</v>
      </c>
      <c r="E85" s="1">
        <v>0.28211799999999998</v>
      </c>
      <c r="F85" s="1">
        <f>0*(10^-6)</f>
        <v>0</v>
      </c>
      <c r="G85" s="1">
        <v>8</v>
      </c>
      <c r="H85" s="1">
        <v>18.87</v>
      </c>
    </row>
    <row r="86" spans="1:8">
      <c r="A86" s="1">
        <v>25</v>
      </c>
      <c r="B86" s="1" t="s">
        <v>604</v>
      </c>
      <c r="C86" s="1">
        <v>121.57</v>
      </c>
      <c r="D86" s="1">
        <v>40.29</v>
      </c>
      <c r="E86" s="1">
        <v>0.44534699999999999</v>
      </c>
      <c r="F86" s="1">
        <f>74841600*(10^-6)</f>
        <v>74.8416</v>
      </c>
      <c r="G86" s="1">
        <v>0</v>
      </c>
      <c r="H86" s="1">
        <v>23.28</v>
      </c>
    </row>
    <row r="87" spans="1:8">
      <c r="A87" s="1">
        <v>26</v>
      </c>
      <c r="B87" s="1" t="s">
        <v>605</v>
      </c>
      <c r="C87" s="1">
        <v>167.47</v>
      </c>
      <c r="D87" s="1">
        <v>41.02</v>
      </c>
      <c r="E87" s="1">
        <v>0.45764199999999999</v>
      </c>
      <c r="F87" s="1">
        <f>101414400*(10^-6)</f>
        <v>101.4144</v>
      </c>
      <c r="G87" s="1">
        <v>6</v>
      </c>
      <c r="H87" s="1">
        <v>34.979999999999997</v>
      </c>
    </row>
    <row r="88" spans="1:8">
      <c r="A88" s="1">
        <v>27</v>
      </c>
      <c r="B88" s="1" t="s">
        <v>606</v>
      </c>
      <c r="C88" s="1">
        <v>84.81</v>
      </c>
      <c r="D88" s="1">
        <v>38.96</v>
      </c>
      <c r="E88" s="1">
        <v>0.33888000000000001</v>
      </c>
      <c r="F88" s="1">
        <f>18009600*(10^-6)</f>
        <v>18.009599999999999</v>
      </c>
      <c r="G88" s="1">
        <v>6</v>
      </c>
      <c r="H88" s="1">
        <v>17.78</v>
      </c>
    </row>
    <row r="89" spans="1:8">
      <c r="A89" s="1">
        <v>28</v>
      </c>
      <c r="B89" s="1" t="s">
        <v>607</v>
      </c>
      <c r="C89" s="1">
        <v>69.040000000000006</v>
      </c>
      <c r="D89" s="1">
        <v>37.28</v>
      </c>
      <c r="E89" s="1">
        <v>0.40001799999999998</v>
      </c>
      <c r="F89" s="1">
        <f>345600*(10^-6)</f>
        <v>0.34559999999999996</v>
      </c>
      <c r="G89" s="1">
        <v>0</v>
      </c>
      <c r="H89" s="1">
        <v>13.55</v>
      </c>
    </row>
    <row r="90" spans="1:8">
      <c r="A90" s="1">
        <v>29</v>
      </c>
      <c r="B90" s="1" t="s">
        <v>608</v>
      </c>
      <c r="C90" s="1">
        <v>70.319999999999993</v>
      </c>
      <c r="D90" s="1">
        <v>39.14</v>
      </c>
      <c r="E90" s="1">
        <v>0.46330900000000003</v>
      </c>
      <c r="F90" s="1">
        <f>40934400*(10^-6)</f>
        <v>40.934399999999997</v>
      </c>
      <c r="G90" s="1">
        <v>4</v>
      </c>
      <c r="H90" s="1">
        <v>13.96</v>
      </c>
    </row>
    <row r="91" spans="1:8">
      <c r="A91" s="1">
        <v>30</v>
      </c>
      <c r="B91" s="1" t="s">
        <v>609</v>
      </c>
      <c r="C91" s="1">
        <v>241.18</v>
      </c>
      <c r="D91" s="1">
        <v>41.85</v>
      </c>
      <c r="E91" s="1">
        <v>0.47287200000000001</v>
      </c>
      <c r="F91" s="1">
        <f>192921600*(10^-6)</f>
        <v>192.92159999999998</v>
      </c>
      <c r="G91" s="1">
        <v>0</v>
      </c>
      <c r="H91" s="1">
        <v>50.22</v>
      </c>
    </row>
    <row r="92" spans="1:8">
      <c r="A92" s="1">
        <v>31</v>
      </c>
      <c r="B92" s="1" t="s">
        <v>610</v>
      </c>
      <c r="C92" s="1">
        <v>154.65</v>
      </c>
      <c r="D92" s="1">
        <v>40.369999999999997</v>
      </c>
      <c r="E92" s="1">
        <v>0.33737499999999998</v>
      </c>
      <c r="F92" s="1">
        <f>35596800*(10^-6)</f>
        <v>35.596800000000002</v>
      </c>
      <c r="G92" s="1">
        <v>8</v>
      </c>
      <c r="H92" s="1">
        <v>30.63</v>
      </c>
    </row>
    <row r="93" spans="1:8">
      <c r="A93" s="1">
        <v>32</v>
      </c>
      <c r="B93" s="1" t="s">
        <v>611</v>
      </c>
      <c r="C93" s="1">
        <v>227.24</v>
      </c>
      <c r="D93" s="1">
        <v>40.74</v>
      </c>
      <c r="E93" s="1">
        <v>0.35941400000000001</v>
      </c>
      <c r="F93" s="1">
        <f>13785600*(10^-6)</f>
        <v>13.785599999999999</v>
      </c>
      <c r="G93" s="1">
        <v>2</v>
      </c>
      <c r="H93" s="1">
        <v>44.57</v>
      </c>
    </row>
    <row r="94" spans="1:8">
      <c r="A94" s="1">
        <v>33</v>
      </c>
      <c r="B94" s="1" t="s">
        <v>612</v>
      </c>
      <c r="C94" s="1">
        <v>118.76</v>
      </c>
      <c r="D94" s="1">
        <v>37.18</v>
      </c>
      <c r="E94" s="1">
        <v>0.36410599999999999</v>
      </c>
      <c r="F94" s="1">
        <f>38400*(10^-6)</f>
        <v>3.8399999999999997E-2</v>
      </c>
      <c r="G94" s="1">
        <v>0</v>
      </c>
      <c r="H94" s="1">
        <v>22.65</v>
      </c>
    </row>
    <row r="95" spans="1:8">
      <c r="A95" s="1">
        <v>34</v>
      </c>
      <c r="B95" s="1" t="s">
        <v>613</v>
      </c>
      <c r="C95" s="1">
        <v>88.78</v>
      </c>
      <c r="D95" s="1">
        <v>36.92</v>
      </c>
      <c r="E95" s="1">
        <v>0.33378400000000003</v>
      </c>
      <c r="F95" s="1">
        <f>76800*(10^-6)</f>
        <v>7.6799999999999993E-2</v>
      </c>
      <c r="G95" s="1">
        <v>6</v>
      </c>
      <c r="H95" s="1">
        <v>17.27</v>
      </c>
    </row>
    <row r="96" spans="1:8">
      <c r="A96" s="1">
        <v>35</v>
      </c>
      <c r="B96" s="1" t="s">
        <v>614</v>
      </c>
      <c r="C96" s="1">
        <v>138.52000000000001</v>
      </c>
      <c r="D96" s="1">
        <v>39.549999999999997</v>
      </c>
      <c r="E96" s="1">
        <v>0.29988999999999999</v>
      </c>
      <c r="F96" s="1">
        <f>8678400*(10^-6)</f>
        <v>8.6783999999999999</v>
      </c>
      <c r="G96" s="1">
        <v>2</v>
      </c>
      <c r="H96" s="1">
        <v>27.82</v>
      </c>
    </row>
    <row r="97" spans="1:8">
      <c r="A97" s="1">
        <v>36</v>
      </c>
      <c r="B97" s="1" t="s">
        <v>615</v>
      </c>
      <c r="C97" s="1">
        <v>143.56</v>
      </c>
      <c r="D97" s="1">
        <v>37.590000000000003</v>
      </c>
      <c r="E97" s="1">
        <v>0.39726899999999998</v>
      </c>
      <c r="F97" s="1">
        <f>38400*(10^-6)</f>
        <v>3.8399999999999997E-2</v>
      </c>
      <c r="G97" s="1">
        <v>8</v>
      </c>
      <c r="H97" s="1">
        <v>30.55</v>
      </c>
    </row>
    <row r="98" spans="1:8">
      <c r="A98" s="1">
        <v>37</v>
      </c>
      <c r="B98" s="1" t="s">
        <v>616</v>
      </c>
      <c r="C98" s="1">
        <v>100.65</v>
      </c>
      <c r="D98" s="1">
        <v>39.840000000000003</v>
      </c>
      <c r="E98" s="1">
        <v>0.41190300000000002</v>
      </c>
      <c r="F98" s="1">
        <f>70003200*(10^-6)</f>
        <v>70.003199999999993</v>
      </c>
      <c r="G98" s="1">
        <v>6</v>
      </c>
      <c r="H98" s="1">
        <v>19.77</v>
      </c>
    </row>
    <row r="99" spans="1:8">
      <c r="A99" s="1">
        <v>38</v>
      </c>
      <c r="B99" s="1" t="s">
        <v>617</v>
      </c>
      <c r="C99" s="1">
        <v>99.26</v>
      </c>
      <c r="D99" s="1">
        <v>37.659999999999997</v>
      </c>
      <c r="E99" s="1">
        <v>0.362039</v>
      </c>
      <c r="F99" s="1">
        <f>230400*(10^-6)</f>
        <v>0.23039999999999999</v>
      </c>
      <c r="G99" s="1">
        <v>4</v>
      </c>
      <c r="H99" s="1">
        <v>19.05</v>
      </c>
    </row>
    <row r="100" spans="1:8">
      <c r="A100" s="1">
        <v>39</v>
      </c>
      <c r="B100" s="1" t="s">
        <v>618</v>
      </c>
      <c r="C100" s="1">
        <v>223.91</v>
      </c>
      <c r="D100" s="1">
        <v>39.4</v>
      </c>
      <c r="E100" s="1">
        <v>0.36620000000000003</v>
      </c>
      <c r="F100" s="1">
        <f>499200*(10^-6)</f>
        <v>0.49919999999999998</v>
      </c>
      <c r="G100" s="1">
        <v>2</v>
      </c>
      <c r="H100" s="1">
        <v>42.85</v>
      </c>
    </row>
    <row r="101" spans="1:8">
      <c r="A101" s="1">
        <v>40</v>
      </c>
      <c r="B101" s="1" t="s">
        <v>619</v>
      </c>
      <c r="C101" s="1">
        <v>102.64</v>
      </c>
      <c r="D101" s="1">
        <v>37.24</v>
      </c>
      <c r="E101" s="1">
        <v>0.36462099999999997</v>
      </c>
      <c r="F101" s="1">
        <f>76800*(10^-6)</f>
        <v>7.6799999999999993E-2</v>
      </c>
      <c r="G101" s="1">
        <v>0</v>
      </c>
      <c r="H101" s="1">
        <v>19.62</v>
      </c>
    </row>
    <row r="102" spans="1:8">
      <c r="A102" s="1">
        <v>41</v>
      </c>
      <c r="B102" s="1" t="s">
        <v>620</v>
      </c>
      <c r="C102" s="1">
        <v>136.66999999999999</v>
      </c>
      <c r="D102" s="1">
        <v>37.450000000000003</v>
      </c>
      <c r="E102" s="1">
        <v>0.37936900000000001</v>
      </c>
      <c r="F102" s="1">
        <f>38400*(10^-6)</f>
        <v>3.8399999999999997E-2</v>
      </c>
      <c r="G102" s="1">
        <v>8</v>
      </c>
      <c r="H102" s="1">
        <v>26.26</v>
      </c>
    </row>
    <row r="103" spans="1:8">
      <c r="A103" s="1">
        <v>42</v>
      </c>
      <c r="B103" s="1" t="s">
        <v>621</v>
      </c>
      <c r="C103" s="1">
        <v>118.72</v>
      </c>
      <c r="D103" s="1">
        <v>38.89</v>
      </c>
      <c r="E103" s="1">
        <v>0.366701</v>
      </c>
      <c r="F103" s="1">
        <f>1996800*(10^-6)</f>
        <v>1.9967999999999999</v>
      </c>
      <c r="G103" s="1">
        <v>2</v>
      </c>
      <c r="H103" s="1">
        <v>22.72</v>
      </c>
    </row>
    <row r="104" spans="1:8">
      <c r="A104" s="1">
        <v>43</v>
      </c>
      <c r="B104" s="1" t="s">
        <v>622</v>
      </c>
      <c r="C104" s="1">
        <v>188.59</v>
      </c>
      <c r="D104" s="1">
        <v>38.049999999999997</v>
      </c>
      <c r="E104" s="1">
        <v>0.30455100000000002</v>
      </c>
      <c r="F104" s="1">
        <f>76800*(10^-6)</f>
        <v>7.6799999999999993E-2</v>
      </c>
      <c r="G104" s="1">
        <v>6</v>
      </c>
      <c r="H104" s="1">
        <v>35.909999999999997</v>
      </c>
    </row>
    <row r="105" spans="1:8">
      <c r="A105" s="1">
        <v>44</v>
      </c>
      <c r="B105" s="1" t="s">
        <v>623</v>
      </c>
      <c r="C105" s="1">
        <v>173.28</v>
      </c>
      <c r="D105" s="1">
        <v>40.26</v>
      </c>
      <c r="E105" s="1">
        <v>0.32658300000000001</v>
      </c>
      <c r="F105" s="1">
        <f>16665600*(10^-6)</f>
        <v>16.665599999999998</v>
      </c>
      <c r="G105" s="1">
        <v>6</v>
      </c>
      <c r="H105" s="1">
        <v>34.130000000000003</v>
      </c>
    </row>
    <row r="106" spans="1:8">
      <c r="A106" s="1">
        <v>45</v>
      </c>
      <c r="B106" s="1" t="s">
        <v>624</v>
      </c>
      <c r="C106" s="1">
        <v>211.17</v>
      </c>
      <c r="D106" s="1">
        <v>41.44</v>
      </c>
      <c r="E106" s="1">
        <v>0.42696899999999999</v>
      </c>
      <c r="F106" s="1">
        <f>101568000*(10^-6)</f>
        <v>101.568</v>
      </c>
      <c r="G106" s="1">
        <v>8</v>
      </c>
      <c r="H106" s="1">
        <v>40.22</v>
      </c>
    </row>
    <row r="107" spans="1:8">
      <c r="A107" s="1">
        <v>46</v>
      </c>
      <c r="B107" s="1" t="s">
        <v>625</v>
      </c>
      <c r="C107" s="1">
        <v>191.22</v>
      </c>
      <c r="D107" s="1">
        <v>38.31</v>
      </c>
      <c r="E107" s="1">
        <v>0.21091199999999999</v>
      </c>
      <c r="F107" s="1">
        <f>345600*(10^-6)</f>
        <v>0.34559999999999996</v>
      </c>
      <c r="G107" s="1">
        <v>8</v>
      </c>
      <c r="H107" s="1">
        <v>37.94</v>
      </c>
    </row>
    <row r="108" spans="1:8">
      <c r="A108" s="1">
        <v>47</v>
      </c>
      <c r="B108" s="1" t="s">
        <v>626</v>
      </c>
      <c r="C108" s="1">
        <v>234.32</v>
      </c>
      <c r="D108" s="1">
        <v>41.29</v>
      </c>
      <c r="E108" s="1">
        <v>0.29396099999999997</v>
      </c>
      <c r="F108" s="1">
        <f>101414400*(10^-6)</f>
        <v>101.4144</v>
      </c>
      <c r="G108" s="1">
        <v>4</v>
      </c>
      <c r="H108" s="1">
        <v>46.85</v>
      </c>
    </row>
    <row r="109" spans="1:8">
      <c r="A109" s="1">
        <v>48</v>
      </c>
      <c r="B109" s="1" t="s">
        <v>627</v>
      </c>
      <c r="C109" s="1">
        <v>249.56</v>
      </c>
      <c r="D109" s="1">
        <v>41.19</v>
      </c>
      <c r="E109" s="1">
        <v>0.39355200000000001</v>
      </c>
      <c r="F109" s="1">
        <f>19545600*(10^-6)</f>
        <v>19.5456</v>
      </c>
      <c r="G109" s="1">
        <v>0</v>
      </c>
      <c r="H109" s="1">
        <v>47.43</v>
      </c>
    </row>
    <row r="110" spans="1:8">
      <c r="A110" s="1">
        <v>49</v>
      </c>
      <c r="B110" s="1" t="s">
        <v>628</v>
      </c>
      <c r="C110" s="1">
        <v>163.61000000000001</v>
      </c>
      <c r="D110" s="1">
        <v>40.29</v>
      </c>
      <c r="E110" s="1">
        <v>0.32847799999999999</v>
      </c>
      <c r="F110" s="1">
        <f>26342400*(10^-6)</f>
        <v>26.342399999999998</v>
      </c>
      <c r="G110" s="1">
        <v>8</v>
      </c>
      <c r="H110" s="1">
        <v>34.33</v>
      </c>
    </row>
    <row r="111" spans="1:8">
      <c r="A111" s="1">
        <v>50</v>
      </c>
      <c r="B111" s="1" t="s">
        <v>629</v>
      </c>
      <c r="C111" s="1">
        <v>199.99</v>
      </c>
      <c r="D111" s="1">
        <v>37.93</v>
      </c>
      <c r="E111" s="1">
        <v>0.22894800000000001</v>
      </c>
      <c r="F111" s="1">
        <f>76800*(10^-6)</f>
        <v>7.6799999999999993E-2</v>
      </c>
      <c r="G111" s="1">
        <v>4</v>
      </c>
      <c r="H111" s="1">
        <v>42.29</v>
      </c>
    </row>
    <row r="112" spans="1:8">
      <c r="B112" s="1" t="s">
        <v>19</v>
      </c>
      <c r="C112" s="1">
        <f>AVERAGE(C62:C111)</f>
        <v>167.58520000000004</v>
      </c>
      <c r="D112" s="1" t="e">
        <f t="shared" ref="D112:F112" si="5">AVERAGE(D62:D111)</f>
        <v>#NAME?</v>
      </c>
      <c r="E112" s="1">
        <f t="shared" si="5"/>
        <v>0.35112889999999991</v>
      </c>
      <c r="F112" s="1">
        <f t="shared" si="5"/>
        <v>33.083135999999989</v>
      </c>
      <c r="H112" s="1">
        <f t="shared" ref="H112" si="6">AVERAGE(H62:H111)</f>
        <v>33.437599999999996</v>
      </c>
    </row>
    <row r="113" spans="1:8">
      <c r="B113" s="1" t="s">
        <v>20</v>
      </c>
      <c r="C113" s="1">
        <f>MIN(C61:C111)</f>
        <v>69.040000000000006</v>
      </c>
      <c r="D113" s="1" t="e">
        <f t="shared" ref="D113:F113" si="7">MIN(D61:D111)</f>
        <v>#NAME?</v>
      </c>
      <c r="E113" s="1">
        <f t="shared" si="7"/>
        <v>0.178507</v>
      </c>
      <c r="F113" s="1">
        <f t="shared" si="7"/>
        <v>0</v>
      </c>
      <c r="H113" s="1">
        <f t="shared" ref="H113" si="8">MIN(H61:H111)</f>
        <v>13.55</v>
      </c>
    </row>
    <row r="114" spans="1:8">
      <c r="B114" s="1" t="s">
        <v>3</v>
      </c>
      <c r="C114" s="1">
        <f>STDEV(C62:C111)</f>
        <v>66.165889517737497</v>
      </c>
      <c r="D114" s="1" t="e">
        <f t="shared" ref="D114:E114" si="9">STDEV(D62:D111)</f>
        <v>#NAME?</v>
      </c>
      <c r="E114" s="1">
        <f t="shared" si="9"/>
        <v>6.3155973281977973E-2</v>
      </c>
      <c r="F114" s="1">
        <f>STDEV(F62:F111)</f>
        <v>48.361362220571181</v>
      </c>
      <c r="H114" s="1">
        <f>STDEV(H62:H111)</f>
        <v>13.61357973885352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330</v>
      </c>
      <c r="C118" s="1">
        <v>117.06</v>
      </c>
      <c r="D118" s="1" t="e">
        <f>-inf</f>
        <v>#NAME?</v>
      </c>
      <c r="E118" s="1">
        <v>0.30768600000000002</v>
      </c>
      <c r="F118" s="1">
        <f>0*(10^-6)</f>
        <v>0</v>
      </c>
      <c r="G118" s="1">
        <v>4</v>
      </c>
      <c r="H118" s="1">
        <v>25.35</v>
      </c>
    </row>
    <row r="119" spans="1:8">
      <c r="A119" s="1">
        <v>2</v>
      </c>
      <c r="B119" s="1" t="s">
        <v>331</v>
      </c>
      <c r="C119" s="1">
        <v>131.75</v>
      </c>
      <c r="D119" s="1" t="e">
        <f>-inf</f>
        <v>#NAME?</v>
      </c>
      <c r="E119" s="1">
        <v>0.29307</v>
      </c>
      <c r="F119" s="1">
        <f>0*(10^-6)</f>
        <v>0</v>
      </c>
      <c r="G119" s="1">
        <v>2</v>
      </c>
      <c r="H119" s="1">
        <v>25.69</v>
      </c>
    </row>
    <row r="120" spans="1:8">
      <c r="A120" s="1">
        <v>3</v>
      </c>
      <c r="B120" s="1" t="s">
        <v>332</v>
      </c>
      <c r="C120" s="1">
        <v>133.72</v>
      </c>
      <c r="D120" s="1" t="e">
        <f>-inf</f>
        <v>#NAME?</v>
      </c>
      <c r="E120" s="1">
        <v>0.29981099999999999</v>
      </c>
      <c r="F120" s="1">
        <f>0*(10^-6)</f>
        <v>0</v>
      </c>
      <c r="G120" s="1">
        <v>12</v>
      </c>
      <c r="H120" s="1">
        <v>26.4</v>
      </c>
    </row>
    <row r="121" spans="1:8">
      <c r="A121" s="1">
        <v>4</v>
      </c>
      <c r="B121" s="1" t="s">
        <v>333</v>
      </c>
      <c r="C121" s="1">
        <v>184.55</v>
      </c>
      <c r="D121" s="1" t="e">
        <f>-inf</f>
        <v>#NAME?</v>
      </c>
      <c r="E121" s="1">
        <v>0.27323999999999998</v>
      </c>
      <c r="F121" s="1">
        <f>0*(10^-6)</f>
        <v>0</v>
      </c>
      <c r="G121" s="1">
        <v>0</v>
      </c>
      <c r="H121" s="1">
        <v>40.64</v>
      </c>
    </row>
    <row r="122" spans="1:8">
      <c r="A122" s="1">
        <v>5</v>
      </c>
      <c r="B122" s="1" t="s">
        <v>334</v>
      </c>
      <c r="C122" s="1">
        <v>141.44999999999999</v>
      </c>
      <c r="D122" s="1" t="e">
        <f>-inf</f>
        <v>#NAME?</v>
      </c>
      <c r="E122" s="1">
        <v>0.24063499999999999</v>
      </c>
      <c r="F122" s="1">
        <f>0*(10^-6)</f>
        <v>0</v>
      </c>
      <c r="G122" s="1">
        <v>12</v>
      </c>
      <c r="H122" s="1">
        <v>27.83</v>
      </c>
    </row>
    <row r="123" spans="1:8">
      <c r="A123" s="1">
        <v>6</v>
      </c>
      <c r="B123" s="1" t="s">
        <v>335</v>
      </c>
      <c r="C123" s="1">
        <v>110.97</v>
      </c>
      <c r="D123" s="1">
        <v>76.150000000000006</v>
      </c>
      <c r="E123" s="1">
        <v>0.27493499999999998</v>
      </c>
      <c r="F123" s="1">
        <f>76800*(10^-6)</f>
        <v>7.6799999999999993E-2</v>
      </c>
      <c r="G123" s="1">
        <v>6</v>
      </c>
      <c r="H123" s="1">
        <v>21.49</v>
      </c>
    </row>
    <row r="124" spans="1:8">
      <c r="A124" s="1">
        <v>7</v>
      </c>
      <c r="B124" s="1" t="s">
        <v>336</v>
      </c>
      <c r="C124" s="1">
        <v>115.58</v>
      </c>
      <c r="D124" s="1" t="e">
        <f>-inf</f>
        <v>#NAME?</v>
      </c>
      <c r="E124" s="1">
        <v>0.27206200000000003</v>
      </c>
      <c r="F124" s="1">
        <f>0*(10^-6)</f>
        <v>0</v>
      </c>
      <c r="G124" s="1">
        <v>8</v>
      </c>
      <c r="H124" s="1">
        <v>25.76</v>
      </c>
    </row>
    <row r="125" spans="1:8">
      <c r="A125" s="1">
        <v>8</v>
      </c>
      <c r="B125" s="1" t="s">
        <v>337</v>
      </c>
      <c r="C125" s="1">
        <v>85.48</v>
      </c>
      <c r="D125" s="1" t="e">
        <f>-inf</f>
        <v>#NAME?</v>
      </c>
      <c r="E125" s="1">
        <v>0.22736200000000001</v>
      </c>
      <c r="F125" s="1">
        <f>0*(10^-6)</f>
        <v>0</v>
      </c>
      <c r="G125" s="1">
        <v>4</v>
      </c>
      <c r="H125" s="1">
        <v>16.87</v>
      </c>
    </row>
    <row r="126" spans="1:8">
      <c r="A126" s="1">
        <v>9</v>
      </c>
      <c r="B126" s="1" t="s">
        <v>338</v>
      </c>
      <c r="C126" s="1">
        <v>98.99</v>
      </c>
      <c r="D126" s="1" t="e">
        <f>-inf</f>
        <v>#NAME?</v>
      </c>
      <c r="E126" s="1">
        <v>0.24643300000000001</v>
      </c>
      <c r="F126" s="1">
        <f>0*(10^-6)</f>
        <v>0</v>
      </c>
      <c r="G126" s="1">
        <v>16</v>
      </c>
      <c r="H126" s="1">
        <v>19.05</v>
      </c>
    </row>
    <row r="127" spans="1:8">
      <c r="A127" s="1">
        <v>10</v>
      </c>
      <c r="B127" s="1" t="s">
        <v>339</v>
      </c>
      <c r="C127" s="1">
        <v>68.8</v>
      </c>
      <c r="D127" s="1">
        <v>73.92</v>
      </c>
      <c r="E127" s="1">
        <v>0.38750400000000002</v>
      </c>
      <c r="F127" s="1">
        <f>38400*(10^-6)</f>
        <v>3.8399999999999997E-2</v>
      </c>
      <c r="G127" s="1">
        <v>14</v>
      </c>
      <c r="H127" s="1">
        <v>13.08</v>
      </c>
    </row>
    <row r="128" spans="1:8">
      <c r="A128" s="1">
        <v>11</v>
      </c>
      <c r="B128" s="1" t="s">
        <v>340</v>
      </c>
      <c r="C128" s="1">
        <v>170.51</v>
      </c>
      <c r="D128" s="1" t="e">
        <f>-inf</f>
        <v>#NAME?</v>
      </c>
      <c r="E128" s="1">
        <v>0.32275100000000001</v>
      </c>
      <c r="F128" s="1">
        <f>0*(10^-6)</f>
        <v>0</v>
      </c>
      <c r="G128" s="1">
        <v>8</v>
      </c>
      <c r="H128" s="1">
        <v>34.68</v>
      </c>
    </row>
    <row r="129" spans="1:8">
      <c r="A129" s="1">
        <v>12</v>
      </c>
      <c r="B129" s="1" t="s">
        <v>341</v>
      </c>
      <c r="C129" s="1">
        <v>128.54</v>
      </c>
      <c r="D129" s="1">
        <v>74.599999999999994</v>
      </c>
      <c r="E129" s="1">
        <v>0.26017200000000001</v>
      </c>
      <c r="F129" s="1">
        <f>153600*(10^-6)</f>
        <v>0.15359999999999999</v>
      </c>
      <c r="G129" s="1">
        <v>12</v>
      </c>
      <c r="H129" s="1">
        <v>25.14</v>
      </c>
    </row>
    <row r="130" spans="1:8">
      <c r="A130" s="1">
        <v>13</v>
      </c>
      <c r="B130" s="1" t="s">
        <v>342</v>
      </c>
      <c r="C130" s="1">
        <v>86.46</v>
      </c>
      <c r="D130" s="1">
        <v>74.069999999999993</v>
      </c>
      <c r="E130" s="1">
        <v>0.37006</v>
      </c>
      <c r="F130" s="1">
        <f>38400*(10^-6)</f>
        <v>3.8399999999999997E-2</v>
      </c>
      <c r="G130" s="1">
        <v>6</v>
      </c>
      <c r="H130" s="1">
        <v>17.53</v>
      </c>
    </row>
    <row r="131" spans="1:8">
      <c r="A131" s="1">
        <v>14</v>
      </c>
      <c r="B131" s="1" t="s">
        <v>343</v>
      </c>
      <c r="C131" s="1">
        <v>96.6</v>
      </c>
      <c r="D131" s="1" t="e">
        <f>-inf</f>
        <v>#NAME?</v>
      </c>
      <c r="E131" s="1">
        <v>0.342644</v>
      </c>
      <c r="F131" s="1">
        <f>0*(10^-6)</f>
        <v>0</v>
      </c>
      <c r="G131" s="1">
        <v>8</v>
      </c>
      <c r="H131" s="1">
        <v>18.940000000000001</v>
      </c>
    </row>
    <row r="132" spans="1:8">
      <c r="A132" s="1">
        <v>15</v>
      </c>
      <c r="B132" s="1" t="s">
        <v>344</v>
      </c>
      <c r="C132" s="1">
        <v>98.69</v>
      </c>
      <c r="D132" s="1" t="e">
        <f>-inf</f>
        <v>#NAME?</v>
      </c>
      <c r="E132" s="1">
        <v>0.33900200000000003</v>
      </c>
      <c r="F132" s="1">
        <f>0*(10^-6)</f>
        <v>0</v>
      </c>
      <c r="G132" s="1">
        <v>10</v>
      </c>
      <c r="H132" s="1">
        <v>19.73</v>
      </c>
    </row>
    <row r="133" spans="1:8">
      <c r="A133" s="1">
        <v>16</v>
      </c>
      <c r="B133" s="1" t="s">
        <v>345</v>
      </c>
      <c r="C133" s="1">
        <v>103.19</v>
      </c>
      <c r="D133" s="1" t="e">
        <f>-inf</f>
        <v>#NAME?</v>
      </c>
      <c r="E133" s="1">
        <v>0.273399</v>
      </c>
      <c r="F133" s="1">
        <f>0*(10^-6)</f>
        <v>0</v>
      </c>
      <c r="G133" s="1">
        <v>2</v>
      </c>
      <c r="H133" s="1">
        <v>20.47</v>
      </c>
    </row>
    <row r="134" spans="1:8">
      <c r="A134" s="1">
        <v>17</v>
      </c>
      <c r="B134" s="1" t="s">
        <v>346</v>
      </c>
      <c r="C134" s="1">
        <v>105.53</v>
      </c>
      <c r="D134" s="1">
        <v>75.400000000000006</v>
      </c>
      <c r="E134" s="1">
        <v>0.36738100000000001</v>
      </c>
      <c r="F134" s="1">
        <f>76800*(10^-6)</f>
        <v>7.6799999999999993E-2</v>
      </c>
      <c r="G134" s="1">
        <v>18</v>
      </c>
      <c r="H134" s="1">
        <v>20.21</v>
      </c>
    </row>
    <row r="135" spans="1:8">
      <c r="A135" s="1">
        <v>18</v>
      </c>
      <c r="B135" s="1" t="s">
        <v>347</v>
      </c>
      <c r="C135" s="1">
        <v>176.94</v>
      </c>
      <c r="D135" s="1">
        <v>80.069999999999993</v>
      </c>
      <c r="E135" s="1">
        <v>0.273864</v>
      </c>
      <c r="F135" s="1">
        <f>17548800*(10^-6)</f>
        <v>17.5488</v>
      </c>
      <c r="G135" s="1">
        <v>6</v>
      </c>
      <c r="H135" s="1">
        <v>34.590000000000003</v>
      </c>
    </row>
    <row r="136" spans="1:8">
      <c r="A136" s="1">
        <v>19</v>
      </c>
      <c r="B136" s="1" t="s">
        <v>348</v>
      </c>
      <c r="C136" s="1">
        <v>174.24</v>
      </c>
      <c r="D136" s="1">
        <v>77.91</v>
      </c>
      <c r="E136" s="1">
        <v>0.27566800000000002</v>
      </c>
      <c r="F136" s="1">
        <f>38400*(10^-6)</f>
        <v>3.8399999999999997E-2</v>
      </c>
      <c r="G136" s="1">
        <v>18</v>
      </c>
      <c r="H136" s="1">
        <v>34.799999999999997</v>
      </c>
    </row>
    <row r="137" spans="1:8">
      <c r="A137" s="1">
        <v>20</v>
      </c>
      <c r="B137" s="1" t="s">
        <v>349</v>
      </c>
      <c r="C137" s="1">
        <v>118.56</v>
      </c>
      <c r="D137" s="1">
        <v>76.53</v>
      </c>
      <c r="E137" s="1">
        <v>0.24526500000000001</v>
      </c>
      <c r="F137" s="1">
        <f>268800*(10^-6)</f>
        <v>0.26879999999999998</v>
      </c>
      <c r="G137" s="1">
        <v>14</v>
      </c>
      <c r="H137" s="1">
        <v>23.18</v>
      </c>
    </row>
    <row r="138" spans="1:8">
      <c r="A138" s="1">
        <v>21</v>
      </c>
      <c r="B138" s="1" t="s">
        <v>350</v>
      </c>
      <c r="C138" s="1">
        <v>127.86</v>
      </c>
      <c r="D138" s="1">
        <v>79.739999999999995</v>
      </c>
      <c r="E138" s="1">
        <v>0.40890399999999999</v>
      </c>
      <c r="F138" s="1">
        <f>4032000*(10^-6)</f>
        <v>4.032</v>
      </c>
      <c r="G138" s="1">
        <v>16</v>
      </c>
      <c r="H138" s="1">
        <v>24.71</v>
      </c>
    </row>
    <row r="139" spans="1:8">
      <c r="A139" s="1">
        <v>22</v>
      </c>
      <c r="B139" s="1" t="s">
        <v>351</v>
      </c>
      <c r="C139" s="1">
        <v>161.05000000000001</v>
      </c>
      <c r="D139" s="1">
        <v>76.56</v>
      </c>
      <c r="E139" s="1">
        <v>0.21348700000000001</v>
      </c>
      <c r="F139" s="1">
        <f>115200*(10^-6)</f>
        <v>0.1152</v>
      </c>
      <c r="G139" s="1">
        <v>14</v>
      </c>
      <c r="H139" s="1">
        <v>33.58</v>
      </c>
    </row>
    <row r="140" spans="1:8">
      <c r="A140" s="1">
        <v>23</v>
      </c>
      <c r="B140" s="1" t="s">
        <v>352</v>
      </c>
      <c r="C140" s="1">
        <v>117.99</v>
      </c>
      <c r="D140" s="1" t="e">
        <f>-inf</f>
        <v>#NAME?</v>
      </c>
      <c r="E140" s="1">
        <v>0.15954199999999999</v>
      </c>
      <c r="F140" s="1">
        <f>0*(10^-6)</f>
        <v>0</v>
      </c>
      <c r="G140" s="1">
        <v>0</v>
      </c>
      <c r="H140" s="1">
        <v>24.2</v>
      </c>
    </row>
    <row r="141" spans="1:8">
      <c r="A141" s="1">
        <v>24</v>
      </c>
      <c r="B141" s="1" t="s">
        <v>353</v>
      </c>
      <c r="C141" s="1">
        <v>113.48</v>
      </c>
      <c r="D141" s="1">
        <v>74.23</v>
      </c>
      <c r="E141" s="1">
        <v>0.367398</v>
      </c>
      <c r="F141" s="1">
        <f>38400*(10^-6)</f>
        <v>3.8399999999999997E-2</v>
      </c>
      <c r="G141" s="1">
        <v>0</v>
      </c>
      <c r="H141" s="1">
        <v>21.7</v>
      </c>
    </row>
    <row r="142" spans="1:8">
      <c r="A142" s="1">
        <v>25</v>
      </c>
      <c r="B142" s="1" t="s">
        <v>354</v>
      </c>
      <c r="C142" s="1">
        <v>109.32</v>
      </c>
      <c r="D142" s="1">
        <v>78.099999999999994</v>
      </c>
      <c r="E142" s="1">
        <v>0.280553</v>
      </c>
      <c r="F142" s="1">
        <f>4185600*(10^-6)</f>
        <v>4.1856</v>
      </c>
      <c r="G142" s="1">
        <v>0</v>
      </c>
      <c r="H142" s="1">
        <v>21.5</v>
      </c>
    </row>
    <row r="143" spans="1:8">
      <c r="A143" s="1">
        <v>26</v>
      </c>
      <c r="B143" s="1" t="s">
        <v>355</v>
      </c>
      <c r="C143" s="1">
        <v>113.1</v>
      </c>
      <c r="D143" s="1" t="e">
        <f>-inf</f>
        <v>#NAME?</v>
      </c>
      <c r="E143" s="1">
        <v>0.25998599999999999</v>
      </c>
      <c r="F143" s="1">
        <f>0*(10^-6)</f>
        <v>0</v>
      </c>
      <c r="G143" s="1">
        <v>10</v>
      </c>
      <c r="H143" s="1">
        <v>22.04</v>
      </c>
    </row>
    <row r="144" spans="1:8">
      <c r="A144" s="1">
        <v>27</v>
      </c>
      <c r="B144" s="1" t="s">
        <v>356</v>
      </c>
      <c r="C144" s="1">
        <v>76.3</v>
      </c>
      <c r="D144" s="1">
        <v>71.64</v>
      </c>
      <c r="E144" s="1">
        <v>0.27427299999999999</v>
      </c>
      <c r="F144" s="1">
        <f>38400*(10^-6)</f>
        <v>3.8399999999999997E-2</v>
      </c>
      <c r="G144" s="1">
        <v>6</v>
      </c>
      <c r="H144" s="1">
        <v>14.64</v>
      </c>
    </row>
    <row r="145" spans="1:8">
      <c r="A145" s="1">
        <v>28</v>
      </c>
      <c r="B145" s="1" t="s">
        <v>357</v>
      </c>
      <c r="C145" s="1">
        <v>83.4</v>
      </c>
      <c r="D145" s="1">
        <v>74.599999999999994</v>
      </c>
      <c r="E145" s="1">
        <v>0.30077199999999998</v>
      </c>
      <c r="F145" s="1">
        <f>729600*(10^-6)</f>
        <v>0.72959999999999992</v>
      </c>
      <c r="G145" s="1">
        <v>0</v>
      </c>
      <c r="H145" s="1">
        <v>15.91</v>
      </c>
    </row>
    <row r="146" spans="1:8">
      <c r="A146" s="1">
        <v>29</v>
      </c>
      <c r="B146" s="1" t="s">
        <v>358</v>
      </c>
      <c r="C146" s="1">
        <v>87.53</v>
      </c>
      <c r="D146" s="1" t="e">
        <f>-inf</f>
        <v>#NAME?</v>
      </c>
      <c r="E146" s="1">
        <v>0.19334399999999999</v>
      </c>
      <c r="F146" s="1">
        <f>0*(10^-6)</f>
        <v>0</v>
      </c>
      <c r="G146" s="1">
        <v>4</v>
      </c>
      <c r="H146" s="1">
        <v>17.09</v>
      </c>
    </row>
    <row r="147" spans="1:8">
      <c r="A147" s="1">
        <v>30</v>
      </c>
      <c r="B147" s="1" t="s">
        <v>359</v>
      </c>
      <c r="C147" s="1">
        <v>92.17</v>
      </c>
      <c r="D147" s="1">
        <v>75.16</v>
      </c>
      <c r="E147" s="1">
        <v>0.37147799999999997</v>
      </c>
      <c r="F147" s="1">
        <f>115200*(10^-6)</f>
        <v>0.1152</v>
      </c>
      <c r="G147" s="1">
        <v>4</v>
      </c>
      <c r="H147" s="1">
        <v>18.03</v>
      </c>
    </row>
    <row r="148" spans="1:8">
      <c r="A148" s="1">
        <v>31</v>
      </c>
      <c r="B148" s="1" t="s">
        <v>360</v>
      </c>
      <c r="C148" s="1">
        <v>125.81</v>
      </c>
      <c r="D148" s="1">
        <v>74.44</v>
      </c>
      <c r="E148" s="1">
        <v>0.32639000000000001</v>
      </c>
      <c r="F148" s="1">
        <f>38400*(10^-6)</f>
        <v>3.8399999999999997E-2</v>
      </c>
      <c r="G148" s="1">
        <v>14</v>
      </c>
      <c r="H148" s="1">
        <v>25.37</v>
      </c>
    </row>
    <row r="149" spans="1:8">
      <c r="A149" s="1">
        <v>32</v>
      </c>
      <c r="B149" s="1" t="s">
        <v>361</v>
      </c>
      <c r="C149" s="1">
        <v>130.5</v>
      </c>
      <c r="D149" s="1" t="e">
        <f>-inf</f>
        <v>#NAME?</v>
      </c>
      <c r="E149" s="1">
        <v>0.179872</v>
      </c>
      <c r="F149" s="1">
        <f>0*(10^-6)</f>
        <v>0</v>
      </c>
      <c r="G149" s="1">
        <v>12</v>
      </c>
      <c r="H149" s="1">
        <v>25.73</v>
      </c>
    </row>
    <row r="150" spans="1:8">
      <c r="A150" s="1">
        <v>33</v>
      </c>
      <c r="B150" s="1" t="s">
        <v>362</v>
      </c>
      <c r="C150" s="1">
        <v>85.31</v>
      </c>
      <c r="D150" s="1" t="e">
        <f>-inf</f>
        <v>#NAME?</v>
      </c>
      <c r="E150" s="1">
        <v>0.173064</v>
      </c>
      <c r="F150" s="1">
        <f>0*(10^-6)</f>
        <v>0</v>
      </c>
      <c r="G150" s="1">
        <v>10</v>
      </c>
      <c r="H150" s="1">
        <v>18.8</v>
      </c>
    </row>
    <row r="151" spans="1:8">
      <c r="A151" s="1">
        <v>34</v>
      </c>
      <c r="B151" s="1" t="s">
        <v>363</v>
      </c>
      <c r="C151" s="1">
        <v>108.14</v>
      </c>
      <c r="D151" s="1" t="e">
        <f>-inf</f>
        <v>#NAME?</v>
      </c>
      <c r="E151" s="1">
        <v>0.23063800000000001</v>
      </c>
      <c r="F151" s="1">
        <f>0*(10^-6)</f>
        <v>0</v>
      </c>
      <c r="G151" s="1">
        <v>4</v>
      </c>
      <c r="H151" s="1">
        <v>21.24</v>
      </c>
    </row>
    <row r="152" spans="1:8">
      <c r="A152" s="1">
        <v>35</v>
      </c>
      <c r="B152" s="1" t="s">
        <v>364</v>
      </c>
      <c r="C152" s="1">
        <v>172.4</v>
      </c>
      <c r="D152" s="1">
        <v>77.08</v>
      </c>
      <c r="E152" s="1">
        <v>0.22688800000000001</v>
      </c>
      <c r="F152" s="1">
        <f>345600*(10^-6)</f>
        <v>0.34559999999999996</v>
      </c>
      <c r="G152" s="1">
        <v>0</v>
      </c>
      <c r="H152" s="1">
        <v>34.380000000000003</v>
      </c>
    </row>
    <row r="153" spans="1:8">
      <c r="A153" s="1">
        <v>36</v>
      </c>
      <c r="B153" s="1" t="s">
        <v>365</v>
      </c>
      <c r="C153" s="1">
        <v>73.75</v>
      </c>
      <c r="D153" s="1" t="e">
        <f>-inf</f>
        <v>#NAME?</v>
      </c>
      <c r="E153" s="1">
        <v>0.32064700000000002</v>
      </c>
      <c r="F153" s="1">
        <f>0*(10^-6)</f>
        <v>0</v>
      </c>
      <c r="G153" s="1">
        <v>8</v>
      </c>
      <c r="H153" s="1">
        <v>14.92</v>
      </c>
    </row>
    <row r="154" spans="1:8">
      <c r="A154" s="1">
        <v>37</v>
      </c>
      <c r="B154" s="1" t="s">
        <v>366</v>
      </c>
      <c r="C154" s="1">
        <v>152.76</v>
      </c>
      <c r="D154" s="1">
        <v>77.34</v>
      </c>
      <c r="E154" s="1">
        <v>0.24209900000000001</v>
      </c>
      <c r="F154" s="1">
        <f>537600*(10^-6)</f>
        <v>0.53759999999999997</v>
      </c>
      <c r="G154" s="1">
        <v>16</v>
      </c>
      <c r="H154" s="1">
        <v>32.020000000000003</v>
      </c>
    </row>
    <row r="155" spans="1:8">
      <c r="A155" s="1">
        <v>38</v>
      </c>
      <c r="B155" s="1" t="s">
        <v>367</v>
      </c>
      <c r="C155" s="1">
        <v>160.35</v>
      </c>
      <c r="D155" s="1" t="e">
        <f>-inf</f>
        <v>#NAME?</v>
      </c>
      <c r="E155" s="1">
        <v>0.33989399999999997</v>
      </c>
      <c r="F155" s="1">
        <f>0*(10^-6)</f>
        <v>0</v>
      </c>
      <c r="G155" s="1">
        <v>2</v>
      </c>
      <c r="H155" s="1">
        <v>31.49</v>
      </c>
    </row>
    <row r="156" spans="1:8">
      <c r="A156" s="1">
        <v>39</v>
      </c>
      <c r="B156" s="1" t="s">
        <v>368</v>
      </c>
      <c r="C156" s="1">
        <v>91.97</v>
      </c>
      <c r="D156" s="1">
        <v>73.56</v>
      </c>
      <c r="E156" s="1">
        <v>0.373583</v>
      </c>
      <c r="F156" s="1">
        <f>38400*(10^-6)</f>
        <v>3.8399999999999997E-2</v>
      </c>
      <c r="G156" s="1">
        <v>6</v>
      </c>
      <c r="H156" s="1">
        <v>18.059999999999999</v>
      </c>
    </row>
    <row r="157" spans="1:8">
      <c r="A157" s="1">
        <v>40</v>
      </c>
      <c r="B157" s="1" t="s">
        <v>369</v>
      </c>
      <c r="C157" s="1">
        <v>135.16</v>
      </c>
      <c r="D157" s="1" t="e">
        <f>-inf</f>
        <v>#NAME?</v>
      </c>
      <c r="E157" s="1">
        <v>0.229267</v>
      </c>
      <c r="F157" s="1">
        <f>0*(10^-6)</f>
        <v>0</v>
      </c>
      <c r="G157" s="1">
        <v>8</v>
      </c>
      <c r="H157" s="1">
        <v>28.9</v>
      </c>
    </row>
    <row r="158" spans="1:8">
      <c r="A158" s="1">
        <v>41</v>
      </c>
      <c r="B158" s="1" t="s">
        <v>370</v>
      </c>
      <c r="C158" s="1">
        <v>101.47</v>
      </c>
      <c r="D158" s="1" t="e">
        <f>-inf</f>
        <v>#NAME?</v>
      </c>
      <c r="E158" s="1">
        <v>0.26458999999999999</v>
      </c>
      <c r="F158" s="1">
        <f>0*(10^-6)</f>
        <v>0</v>
      </c>
      <c r="G158" s="1">
        <v>16</v>
      </c>
      <c r="H158" s="1">
        <v>20.059999999999999</v>
      </c>
    </row>
    <row r="159" spans="1:8">
      <c r="A159" s="1">
        <v>42</v>
      </c>
      <c r="B159" s="1" t="s">
        <v>371</v>
      </c>
      <c r="C159" s="1">
        <v>204.05</v>
      </c>
      <c r="D159" s="1">
        <v>81.59</v>
      </c>
      <c r="E159" s="1">
        <v>0.29427399999999998</v>
      </c>
      <c r="F159" s="1">
        <f>25728000*(10^-6)</f>
        <v>25.727999999999998</v>
      </c>
      <c r="G159" s="1">
        <v>8</v>
      </c>
      <c r="H159" s="1">
        <v>45.47</v>
      </c>
    </row>
    <row r="160" spans="1:8">
      <c r="A160" s="1">
        <v>43</v>
      </c>
      <c r="B160" s="1" t="s">
        <v>372</v>
      </c>
      <c r="C160" s="1">
        <v>83.77</v>
      </c>
      <c r="D160" s="1">
        <v>71.36</v>
      </c>
      <c r="E160" s="1">
        <v>0.29249900000000001</v>
      </c>
      <c r="F160" s="1">
        <f>38400*(10^-6)</f>
        <v>3.8399999999999997E-2</v>
      </c>
      <c r="G160" s="1">
        <v>10</v>
      </c>
      <c r="H160" s="1">
        <v>16</v>
      </c>
    </row>
    <row r="161" spans="1:8">
      <c r="A161" s="1">
        <v>44</v>
      </c>
      <c r="B161" s="1" t="s">
        <v>373</v>
      </c>
      <c r="C161" s="1">
        <v>102.06</v>
      </c>
      <c r="D161" s="1">
        <v>75.11</v>
      </c>
      <c r="E161" s="1">
        <v>0.18615000000000001</v>
      </c>
      <c r="F161" s="1">
        <f>537600*(10^-6)</f>
        <v>0.53759999999999997</v>
      </c>
      <c r="G161" s="1">
        <v>12</v>
      </c>
      <c r="H161" s="1">
        <v>22.6</v>
      </c>
    </row>
    <row r="162" spans="1:8">
      <c r="A162" s="1">
        <v>45</v>
      </c>
      <c r="B162" s="1" t="s">
        <v>374</v>
      </c>
      <c r="C162" s="1">
        <v>154.47999999999999</v>
      </c>
      <c r="D162" s="1">
        <v>76.69</v>
      </c>
      <c r="E162" s="1">
        <v>0.22040899999999999</v>
      </c>
      <c r="F162" s="1">
        <f>192000*(10^-6)</f>
        <v>0.192</v>
      </c>
      <c r="G162" s="1">
        <v>6</v>
      </c>
      <c r="H162" s="1">
        <v>31.02</v>
      </c>
    </row>
    <row r="163" spans="1:8">
      <c r="A163" s="1">
        <v>46</v>
      </c>
      <c r="B163" s="1" t="s">
        <v>375</v>
      </c>
      <c r="C163" s="1">
        <v>137.97</v>
      </c>
      <c r="D163" s="1" t="e">
        <f>-inf</f>
        <v>#NAME?</v>
      </c>
      <c r="E163" s="1">
        <v>0.31927100000000003</v>
      </c>
      <c r="F163" s="1">
        <f>0*(10^-6)</f>
        <v>0</v>
      </c>
      <c r="G163" s="1">
        <v>12</v>
      </c>
      <c r="H163" s="1">
        <v>26.73</v>
      </c>
    </row>
    <row r="164" spans="1:8">
      <c r="A164" s="1">
        <v>47</v>
      </c>
      <c r="B164" s="1" t="s">
        <v>376</v>
      </c>
      <c r="C164" s="1">
        <v>126.34</v>
      </c>
      <c r="D164" s="1" t="e">
        <f>-inf</f>
        <v>#NAME?</v>
      </c>
      <c r="E164" s="1">
        <v>0.37159700000000001</v>
      </c>
      <c r="F164" s="1">
        <f>0*(10^-6)</f>
        <v>0</v>
      </c>
      <c r="G164" s="1">
        <v>0</v>
      </c>
      <c r="H164" s="1">
        <v>24.52</v>
      </c>
    </row>
    <row r="165" spans="1:8">
      <c r="A165" s="1">
        <v>48</v>
      </c>
      <c r="B165" s="1" t="s">
        <v>377</v>
      </c>
      <c r="C165" s="1">
        <v>143.91</v>
      </c>
      <c r="D165" s="1">
        <v>76.849999999999994</v>
      </c>
      <c r="E165" s="1">
        <v>0.27281499999999997</v>
      </c>
      <c r="F165" s="1">
        <f>422400*(10^-6)</f>
        <v>0.4224</v>
      </c>
      <c r="G165" s="1">
        <v>8</v>
      </c>
      <c r="H165" s="1">
        <v>27.46</v>
      </c>
    </row>
    <row r="166" spans="1:8">
      <c r="A166" s="1">
        <v>49</v>
      </c>
      <c r="B166" s="1" t="s">
        <v>378</v>
      </c>
      <c r="C166" s="1">
        <v>92.92</v>
      </c>
      <c r="D166" s="1" t="e">
        <f>-inf</f>
        <v>#NAME?</v>
      </c>
      <c r="E166" s="1">
        <v>0.21215500000000001</v>
      </c>
      <c r="F166" s="1">
        <f>0*(10^-6)</f>
        <v>0</v>
      </c>
      <c r="G166" s="1">
        <v>4</v>
      </c>
      <c r="H166" s="1">
        <v>17.670000000000002</v>
      </c>
    </row>
    <row r="167" spans="1:8">
      <c r="A167" s="1">
        <v>50</v>
      </c>
      <c r="B167" s="1" t="s">
        <v>379</v>
      </c>
      <c r="C167" s="1">
        <v>165.89</v>
      </c>
      <c r="D167" s="1">
        <v>78.819999999999993</v>
      </c>
      <c r="E167" s="1">
        <v>0.29983399999999999</v>
      </c>
      <c r="F167" s="1">
        <f>2726400*(10^-6)</f>
        <v>2.7263999999999999</v>
      </c>
      <c r="G167" s="1">
        <v>14</v>
      </c>
      <c r="H167" s="1">
        <v>32.44</v>
      </c>
    </row>
    <row r="168" spans="1:8">
      <c r="B168" s="1" t="s">
        <v>19</v>
      </c>
      <c r="C168" s="1">
        <f>AVERAGE(C118:C167)</f>
        <v>121.57640000000005</v>
      </c>
      <c r="D168" s="1" t="e">
        <f t="shared" ref="D168:F168" si="10">AVERAGE(D118:D167)</f>
        <v>#NAME?</v>
      </c>
      <c r="E168" s="1">
        <f t="shared" si="10"/>
        <v>0.28197233999999993</v>
      </c>
      <c r="F168" s="1">
        <f t="shared" si="10"/>
        <v>1.1619840000000001</v>
      </c>
      <c r="H168" s="1">
        <f>AVERAGE(H118:H167)</f>
        <v>24.394200000000001</v>
      </c>
    </row>
    <row r="169" spans="1:8">
      <c r="B169" s="1" t="s">
        <v>20</v>
      </c>
      <c r="C169" s="1">
        <f>MIN(C117:C167)</f>
        <v>68.8</v>
      </c>
      <c r="D169" s="1" t="e">
        <f t="shared" ref="D169:F169" si="11">MIN(D117:D167)</f>
        <v>#NAME?</v>
      </c>
      <c r="E169" s="1">
        <f t="shared" si="11"/>
        <v>0.15954199999999999</v>
      </c>
      <c r="F169" s="1">
        <f t="shared" si="11"/>
        <v>0</v>
      </c>
      <c r="H169" s="1">
        <f>MIN(H117:H167)</f>
        <v>13.08</v>
      </c>
    </row>
    <row r="170" spans="1:8">
      <c r="B170" s="1" t="s">
        <v>3</v>
      </c>
      <c r="C170" s="1">
        <f>STDEV(C118:C167)</f>
        <v>32.498051983062922</v>
      </c>
      <c r="D170" s="1" t="e">
        <f t="shared" ref="D170:E170" si="12">STDEV(D118:D167)</f>
        <v>#NAME?</v>
      </c>
      <c r="E170" s="1">
        <f t="shared" si="12"/>
        <v>6.0558435286855471E-2</v>
      </c>
      <c r="F170" s="1">
        <f>STDEV(F118:F167)</f>
        <v>4.3919699526573375</v>
      </c>
      <c r="H170" s="1">
        <f>STDEV(H118:H167)</f>
        <v>7.0448406624411106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380</v>
      </c>
      <c r="C174" s="1">
        <v>108.97</v>
      </c>
      <c r="D174" s="1" t="e">
        <f>-inf</f>
        <v>#NAME?</v>
      </c>
      <c r="E174" s="1">
        <v>0.16212599999999999</v>
      </c>
      <c r="F174" s="1">
        <f>0*(10^-6)</f>
        <v>0</v>
      </c>
      <c r="G174" s="1">
        <v>14</v>
      </c>
      <c r="H174" s="1">
        <v>21.39</v>
      </c>
    </row>
    <row r="175" spans="1:8">
      <c r="A175" s="1">
        <v>2</v>
      </c>
      <c r="B175" s="1" t="s">
        <v>381</v>
      </c>
      <c r="C175" s="1">
        <v>52.16</v>
      </c>
      <c r="D175" s="1" t="e">
        <f>-inf</f>
        <v>#NAME?</v>
      </c>
      <c r="E175" s="1">
        <v>0.12962899999999999</v>
      </c>
      <c r="F175" s="1">
        <f>0*(10^-6)</f>
        <v>0</v>
      </c>
      <c r="G175" s="1">
        <v>0</v>
      </c>
      <c r="H175" s="1">
        <v>9.93</v>
      </c>
    </row>
    <row r="176" spans="1:8">
      <c r="A176" s="1">
        <v>3</v>
      </c>
      <c r="B176" s="1" t="s">
        <v>382</v>
      </c>
      <c r="C176" s="1">
        <v>86.66</v>
      </c>
      <c r="D176" s="1" t="e">
        <f>-inf</f>
        <v>#NAME?</v>
      </c>
      <c r="E176" s="1">
        <v>0.14747099999999999</v>
      </c>
      <c r="F176" s="1">
        <f>0*(10^-6)</f>
        <v>0</v>
      </c>
      <c r="G176" s="1">
        <v>6</v>
      </c>
      <c r="H176" s="1">
        <v>17.899999999999999</v>
      </c>
    </row>
    <row r="177" spans="1:8">
      <c r="A177" s="1">
        <v>4</v>
      </c>
      <c r="B177" s="1" t="s">
        <v>383</v>
      </c>
      <c r="C177" s="1">
        <v>83.76</v>
      </c>
      <c r="D177" s="1" t="e">
        <f>-inf</f>
        <v>#NAME?</v>
      </c>
      <c r="E177" s="1">
        <v>0.20793300000000001</v>
      </c>
      <c r="F177" s="1">
        <f>0*(10^-6)</f>
        <v>0</v>
      </c>
      <c r="G177" s="1">
        <v>26</v>
      </c>
      <c r="H177" s="1">
        <v>16.62</v>
      </c>
    </row>
    <row r="178" spans="1:8">
      <c r="A178" s="1">
        <v>5</v>
      </c>
      <c r="B178" s="1" t="s">
        <v>384</v>
      </c>
      <c r="C178" s="1">
        <v>72.319999999999993</v>
      </c>
      <c r="D178" s="1">
        <v>140.16</v>
      </c>
      <c r="E178" s="1">
        <v>0.16689899999999999</v>
      </c>
      <c r="F178" s="1">
        <f>38400*(10^-6)</f>
        <v>3.8399999999999997E-2</v>
      </c>
      <c r="G178" s="1">
        <v>26</v>
      </c>
      <c r="H178" s="1">
        <v>14.19</v>
      </c>
    </row>
    <row r="179" spans="1:8">
      <c r="A179" s="1">
        <v>6</v>
      </c>
      <c r="B179" s="1" t="s">
        <v>385</v>
      </c>
      <c r="C179" s="1">
        <v>99.69</v>
      </c>
      <c r="D179" s="1">
        <v>145.69999999999999</v>
      </c>
      <c r="E179" s="1">
        <v>0.23602600000000001</v>
      </c>
      <c r="F179" s="1">
        <f>76800*(10^-6)</f>
        <v>7.6799999999999993E-2</v>
      </c>
      <c r="G179" s="1">
        <v>6</v>
      </c>
      <c r="H179" s="1">
        <v>20.12</v>
      </c>
    </row>
    <row r="180" spans="1:8">
      <c r="A180" s="1">
        <v>7</v>
      </c>
      <c r="B180" s="1" t="s">
        <v>386</v>
      </c>
      <c r="C180" s="1">
        <v>76.53</v>
      </c>
      <c r="D180" s="1" t="e">
        <f t="shared" ref="D180:D197" si="13">-inf</f>
        <v>#NAME?</v>
      </c>
      <c r="E180" s="1">
        <v>0.20072400000000001</v>
      </c>
      <c r="F180" s="1">
        <f t="shared" ref="F180:F197" si="14">0*(10^-6)</f>
        <v>0</v>
      </c>
      <c r="G180" s="1">
        <v>8</v>
      </c>
      <c r="H180" s="1">
        <v>14.61</v>
      </c>
    </row>
    <row r="181" spans="1:8">
      <c r="A181" s="1">
        <v>8</v>
      </c>
      <c r="B181" s="1" t="s">
        <v>387</v>
      </c>
      <c r="C181" s="1">
        <v>62.93</v>
      </c>
      <c r="D181" s="1" t="e">
        <f t="shared" si="13"/>
        <v>#NAME?</v>
      </c>
      <c r="E181" s="1">
        <v>0.30521700000000002</v>
      </c>
      <c r="F181" s="1">
        <f t="shared" si="14"/>
        <v>0</v>
      </c>
      <c r="G181" s="1">
        <v>16</v>
      </c>
      <c r="H181" s="1">
        <v>12.3</v>
      </c>
    </row>
    <row r="182" spans="1:8">
      <c r="A182" s="1">
        <v>9</v>
      </c>
      <c r="B182" s="1" t="s">
        <v>388</v>
      </c>
      <c r="C182" s="1">
        <v>59.96</v>
      </c>
      <c r="D182" s="1" t="e">
        <f t="shared" si="13"/>
        <v>#NAME?</v>
      </c>
      <c r="E182" s="1">
        <v>0.20616599999999999</v>
      </c>
      <c r="F182" s="1">
        <f t="shared" si="14"/>
        <v>0</v>
      </c>
      <c r="G182" s="1">
        <v>2</v>
      </c>
      <c r="H182" s="1">
        <v>11.43</v>
      </c>
    </row>
    <row r="183" spans="1:8">
      <c r="A183" s="1">
        <v>10</v>
      </c>
      <c r="B183" s="1" t="s">
        <v>389</v>
      </c>
      <c r="C183" s="1">
        <v>98.59</v>
      </c>
      <c r="D183" s="1" t="e">
        <f t="shared" si="13"/>
        <v>#NAME?</v>
      </c>
      <c r="E183" s="1">
        <v>0.161102</v>
      </c>
      <c r="F183" s="1">
        <f t="shared" si="14"/>
        <v>0</v>
      </c>
      <c r="G183" s="1">
        <v>2</v>
      </c>
      <c r="H183" s="1">
        <v>19.399999999999999</v>
      </c>
    </row>
    <row r="184" spans="1:8">
      <c r="A184" s="1">
        <v>11</v>
      </c>
      <c r="B184" s="1" t="s">
        <v>390</v>
      </c>
      <c r="C184" s="1">
        <v>76.25</v>
      </c>
      <c r="D184" s="1" t="e">
        <f t="shared" si="13"/>
        <v>#NAME?</v>
      </c>
      <c r="E184" s="1">
        <v>0.20574899999999999</v>
      </c>
      <c r="F184" s="1">
        <f t="shared" si="14"/>
        <v>0</v>
      </c>
      <c r="G184" s="1">
        <v>4</v>
      </c>
      <c r="H184" s="1">
        <v>14.52</v>
      </c>
    </row>
    <row r="185" spans="1:8">
      <c r="A185" s="1">
        <v>12</v>
      </c>
      <c r="B185" s="1" t="s">
        <v>391</v>
      </c>
      <c r="C185" s="1">
        <v>64.62</v>
      </c>
      <c r="D185" s="1" t="e">
        <f t="shared" si="13"/>
        <v>#NAME?</v>
      </c>
      <c r="E185" s="1">
        <v>0.19181200000000001</v>
      </c>
      <c r="F185" s="1">
        <f t="shared" si="14"/>
        <v>0</v>
      </c>
      <c r="G185" s="1">
        <v>0</v>
      </c>
      <c r="H185" s="1">
        <v>13.34</v>
      </c>
    </row>
    <row r="186" spans="1:8">
      <c r="A186" s="1">
        <v>13</v>
      </c>
      <c r="B186" s="1" t="s">
        <v>392</v>
      </c>
      <c r="C186" s="1">
        <v>64.47</v>
      </c>
      <c r="D186" s="1" t="e">
        <f t="shared" si="13"/>
        <v>#NAME?</v>
      </c>
      <c r="E186" s="1">
        <v>0.14977799999999999</v>
      </c>
      <c r="F186" s="1">
        <f t="shared" si="14"/>
        <v>0</v>
      </c>
      <c r="G186" s="1">
        <v>4</v>
      </c>
      <c r="H186" s="1">
        <v>12.55</v>
      </c>
    </row>
    <row r="187" spans="1:8">
      <c r="A187" s="1">
        <v>14</v>
      </c>
      <c r="B187" s="1" t="s">
        <v>393</v>
      </c>
      <c r="C187" s="1">
        <v>70.680000000000007</v>
      </c>
      <c r="D187" s="1" t="e">
        <f t="shared" si="13"/>
        <v>#NAME?</v>
      </c>
      <c r="E187" s="1">
        <v>0.187525</v>
      </c>
      <c r="F187" s="1">
        <f t="shared" si="14"/>
        <v>0</v>
      </c>
      <c r="G187" s="1">
        <v>22</v>
      </c>
      <c r="H187" s="1">
        <v>13.85</v>
      </c>
    </row>
    <row r="188" spans="1:8">
      <c r="A188" s="1">
        <v>15</v>
      </c>
      <c r="B188" s="1" t="s">
        <v>394</v>
      </c>
      <c r="C188" s="1">
        <v>68.069999999999993</v>
      </c>
      <c r="D188" s="1" t="e">
        <f t="shared" si="13"/>
        <v>#NAME?</v>
      </c>
      <c r="E188" s="1">
        <v>0.14291899999999999</v>
      </c>
      <c r="F188" s="1">
        <f t="shared" si="14"/>
        <v>0</v>
      </c>
      <c r="G188" s="1">
        <v>8</v>
      </c>
      <c r="H188" s="1">
        <v>12.92</v>
      </c>
    </row>
    <row r="189" spans="1:8">
      <c r="A189" s="1">
        <v>16</v>
      </c>
      <c r="B189" s="1" t="s">
        <v>395</v>
      </c>
      <c r="C189" s="1">
        <v>60.25</v>
      </c>
      <c r="D189" s="1" t="e">
        <f t="shared" si="13"/>
        <v>#NAME?</v>
      </c>
      <c r="E189" s="1">
        <v>0.27294800000000002</v>
      </c>
      <c r="F189" s="1">
        <f t="shared" si="14"/>
        <v>0</v>
      </c>
      <c r="G189" s="1">
        <v>16</v>
      </c>
      <c r="H189" s="1">
        <v>11.55</v>
      </c>
    </row>
    <row r="190" spans="1:8">
      <c r="A190" s="1">
        <v>17</v>
      </c>
      <c r="B190" s="1" t="s">
        <v>396</v>
      </c>
      <c r="C190" s="1">
        <v>71.739999999999995</v>
      </c>
      <c r="D190" s="1" t="e">
        <f t="shared" si="13"/>
        <v>#NAME?</v>
      </c>
      <c r="E190" s="1">
        <v>0.20317299999999999</v>
      </c>
      <c r="F190" s="1">
        <f t="shared" si="14"/>
        <v>0</v>
      </c>
      <c r="G190" s="1">
        <v>0</v>
      </c>
      <c r="H190" s="1">
        <v>14.12</v>
      </c>
    </row>
    <row r="191" spans="1:8">
      <c r="A191" s="1">
        <v>18</v>
      </c>
      <c r="B191" s="1" t="s">
        <v>397</v>
      </c>
      <c r="C191" s="1">
        <v>56.78</v>
      </c>
      <c r="D191" s="1" t="e">
        <f t="shared" si="13"/>
        <v>#NAME?</v>
      </c>
      <c r="E191" s="1">
        <v>0.25318800000000002</v>
      </c>
      <c r="F191" s="1">
        <f t="shared" si="14"/>
        <v>0</v>
      </c>
      <c r="G191" s="1">
        <v>2</v>
      </c>
      <c r="H191" s="1">
        <v>11.56</v>
      </c>
    </row>
    <row r="192" spans="1:8">
      <c r="A192" s="1">
        <v>19</v>
      </c>
      <c r="B192" s="1" t="s">
        <v>398</v>
      </c>
      <c r="C192" s="1">
        <v>66.989999999999995</v>
      </c>
      <c r="D192" s="1" t="e">
        <f t="shared" si="13"/>
        <v>#NAME?</v>
      </c>
      <c r="E192" s="1">
        <v>0.192</v>
      </c>
      <c r="F192" s="1">
        <f t="shared" si="14"/>
        <v>0</v>
      </c>
      <c r="G192" s="1">
        <v>0</v>
      </c>
      <c r="H192" s="1">
        <v>12.74</v>
      </c>
    </row>
    <row r="193" spans="1:8">
      <c r="A193" s="1">
        <v>20</v>
      </c>
      <c r="B193" s="1" t="s">
        <v>399</v>
      </c>
      <c r="C193" s="1">
        <v>70.03</v>
      </c>
      <c r="D193" s="1" t="e">
        <f t="shared" si="13"/>
        <v>#NAME?</v>
      </c>
      <c r="E193" s="1">
        <v>0.25862800000000002</v>
      </c>
      <c r="F193" s="1">
        <f t="shared" si="14"/>
        <v>0</v>
      </c>
      <c r="G193" s="1">
        <v>10</v>
      </c>
      <c r="H193" s="1">
        <v>13.63</v>
      </c>
    </row>
    <row r="194" spans="1:8">
      <c r="A194" s="1">
        <v>21</v>
      </c>
      <c r="B194" s="1" t="s">
        <v>400</v>
      </c>
      <c r="C194" s="1">
        <v>81.72</v>
      </c>
      <c r="D194" s="1" t="e">
        <f t="shared" si="13"/>
        <v>#NAME?</v>
      </c>
      <c r="E194" s="1">
        <v>0.25221399999999999</v>
      </c>
      <c r="F194" s="1">
        <f t="shared" si="14"/>
        <v>0</v>
      </c>
      <c r="G194" s="1">
        <v>8</v>
      </c>
      <c r="H194" s="1">
        <v>16.18</v>
      </c>
    </row>
    <row r="195" spans="1:8">
      <c r="A195" s="1">
        <v>22</v>
      </c>
      <c r="B195" s="1" t="s">
        <v>401</v>
      </c>
      <c r="C195" s="1">
        <v>74.81</v>
      </c>
      <c r="D195" s="1" t="e">
        <f t="shared" si="13"/>
        <v>#NAME?</v>
      </c>
      <c r="E195" s="1">
        <v>0.22081799999999999</v>
      </c>
      <c r="F195" s="1">
        <f t="shared" si="14"/>
        <v>0</v>
      </c>
      <c r="G195" s="1">
        <v>8</v>
      </c>
      <c r="H195" s="1">
        <v>14.63</v>
      </c>
    </row>
    <row r="196" spans="1:8">
      <c r="A196" s="1">
        <v>23</v>
      </c>
      <c r="B196" s="1" t="s">
        <v>402</v>
      </c>
      <c r="C196" s="1">
        <v>58.19</v>
      </c>
      <c r="D196" s="1" t="e">
        <f t="shared" si="13"/>
        <v>#NAME?</v>
      </c>
      <c r="E196" s="1">
        <v>0.242978</v>
      </c>
      <c r="F196" s="1">
        <f t="shared" si="14"/>
        <v>0</v>
      </c>
      <c r="G196" s="1">
        <v>12</v>
      </c>
      <c r="H196" s="1">
        <v>11.17</v>
      </c>
    </row>
    <row r="197" spans="1:8">
      <c r="A197" s="1">
        <v>24</v>
      </c>
      <c r="B197" s="1" t="s">
        <v>403</v>
      </c>
      <c r="C197" s="1">
        <v>75.069999999999993</v>
      </c>
      <c r="D197" s="1" t="e">
        <f t="shared" si="13"/>
        <v>#NAME?</v>
      </c>
      <c r="E197" s="1">
        <v>0.31066500000000002</v>
      </c>
      <c r="F197" s="1">
        <f t="shared" si="14"/>
        <v>0</v>
      </c>
      <c r="G197" s="1">
        <v>28</v>
      </c>
      <c r="H197" s="1">
        <v>14.37</v>
      </c>
    </row>
    <row r="198" spans="1:8">
      <c r="A198" s="1">
        <v>25</v>
      </c>
      <c r="B198" s="1" t="s">
        <v>404</v>
      </c>
      <c r="C198" s="1">
        <v>82.8</v>
      </c>
      <c r="D198" s="1">
        <v>135.38999999999999</v>
      </c>
      <c r="E198" s="1">
        <v>0.171066</v>
      </c>
      <c r="F198" s="1">
        <f>38400*(10^-6)</f>
        <v>3.8399999999999997E-2</v>
      </c>
      <c r="G198" s="1">
        <v>16</v>
      </c>
      <c r="H198" s="1">
        <v>16.64</v>
      </c>
    </row>
    <row r="199" spans="1:8">
      <c r="A199" s="1">
        <v>26</v>
      </c>
      <c r="B199" s="1" t="s">
        <v>405</v>
      </c>
      <c r="C199" s="1">
        <v>63.09</v>
      </c>
      <c r="D199" s="1" t="e">
        <f t="shared" ref="D199:D223" si="15">-inf</f>
        <v>#NAME?</v>
      </c>
      <c r="E199" s="1">
        <v>0.17278199999999999</v>
      </c>
      <c r="F199" s="1">
        <f t="shared" ref="F199:F223" si="16">0*(10^-6)</f>
        <v>0</v>
      </c>
      <c r="G199" s="1">
        <v>6</v>
      </c>
      <c r="H199" s="1">
        <v>12.5</v>
      </c>
    </row>
    <row r="200" spans="1:8">
      <c r="A200" s="1">
        <v>27</v>
      </c>
      <c r="B200" s="1" t="s">
        <v>406</v>
      </c>
      <c r="C200" s="1">
        <v>72.25</v>
      </c>
      <c r="D200" s="1" t="e">
        <f t="shared" si="15"/>
        <v>#NAME?</v>
      </c>
      <c r="E200" s="1">
        <v>0.127251</v>
      </c>
      <c r="F200" s="1">
        <f t="shared" si="16"/>
        <v>0</v>
      </c>
      <c r="G200" s="1">
        <v>10</v>
      </c>
      <c r="H200" s="1">
        <v>15.05</v>
      </c>
    </row>
    <row r="201" spans="1:8">
      <c r="A201" s="1">
        <v>28</v>
      </c>
      <c r="B201" s="1" t="s">
        <v>407</v>
      </c>
      <c r="C201" s="1">
        <v>95.21</v>
      </c>
      <c r="D201" s="1" t="e">
        <f t="shared" si="15"/>
        <v>#NAME?</v>
      </c>
      <c r="E201" s="1">
        <v>0.218776</v>
      </c>
      <c r="F201" s="1">
        <f t="shared" si="16"/>
        <v>0</v>
      </c>
      <c r="G201" s="1">
        <v>10</v>
      </c>
      <c r="H201" s="1">
        <v>18.43</v>
      </c>
    </row>
    <row r="202" spans="1:8">
      <c r="A202" s="1">
        <v>29</v>
      </c>
      <c r="B202" s="1" t="s">
        <v>408</v>
      </c>
      <c r="C202" s="1">
        <v>100.28</v>
      </c>
      <c r="D202" s="1" t="e">
        <f t="shared" si="15"/>
        <v>#NAME?</v>
      </c>
      <c r="E202" s="1">
        <v>0.25061</v>
      </c>
      <c r="F202" s="1">
        <f t="shared" si="16"/>
        <v>0</v>
      </c>
      <c r="G202" s="1">
        <v>10</v>
      </c>
      <c r="H202" s="1">
        <v>20.68</v>
      </c>
    </row>
    <row r="203" spans="1:8">
      <c r="A203" s="1">
        <v>30</v>
      </c>
      <c r="B203" s="1" t="s">
        <v>409</v>
      </c>
      <c r="C203" s="1">
        <v>90.64</v>
      </c>
      <c r="D203" s="1" t="e">
        <f t="shared" si="15"/>
        <v>#NAME?</v>
      </c>
      <c r="E203" s="1">
        <v>0.23840500000000001</v>
      </c>
      <c r="F203" s="1">
        <f t="shared" si="16"/>
        <v>0</v>
      </c>
      <c r="G203" s="1">
        <v>4</v>
      </c>
      <c r="H203" s="1">
        <v>19.25</v>
      </c>
    </row>
    <row r="204" spans="1:8">
      <c r="A204" s="1">
        <v>31</v>
      </c>
      <c r="B204" s="1" t="s">
        <v>410</v>
      </c>
      <c r="C204" s="1">
        <v>67.91</v>
      </c>
      <c r="D204" s="1" t="e">
        <f t="shared" si="15"/>
        <v>#NAME?</v>
      </c>
      <c r="E204" s="1">
        <v>0.26405400000000001</v>
      </c>
      <c r="F204" s="1">
        <f t="shared" si="16"/>
        <v>0</v>
      </c>
      <c r="G204" s="1">
        <v>22</v>
      </c>
      <c r="H204" s="1">
        <v>13.42</v>
      </c>
    </row>
    <row r="205" spans="1:8">
      <c r="A205" s="1">
        <v>32</v>
      </c>
      <c r="B205" s="1" t="s">
        <v>411</v>
      </c>
      <c r="C205" s="1">
        <v>84.32</v>
      </c>
      <c r="D205" s="1" t="e">
        <f t="shared" si="15"/>
        <v>#NAME?</v>
      </c>
      <c r="E205" s="1">
        <v>0.23228699999999999</v>
      </c>
      <c r="F205" s="1">
        <f t="shared" si="16"/>
        <v>0</v>
      </c>
      <c r="G205" s="1">
        <v>30</v>
      </c>
      <c r="H205" s="1">
        <v>16.14</v>
      </c>
    </row>
    <row r="206" spans="1:8">
      <c r="A206" s="1">
        <v>33</v>
      </c>
      <c r="B206" s="1" t="s">
        <v>412</v>
      </c>
      <c r="C206" s="1">
        <v>83.51</v>
      </c>
      <c r="D206" s="1" t="e">
        <f t="shared" si="15"/>
        <v>#NAME?</v>
      </c>
      <c r="E206" s="1">
        <v>0.235957</v>
      </c>
      <c r="F206" s="1">
        <f t="shared" si="16"/>
        <v>0</v>
      </c>
      <c r="G206" s="1">
        <v>0</v>
      </c>
      <c r="H206" s="1">
        <v>17.57</v>
      </c>
    </row>
    <row r="207" spans="1:8">
      <c r="A207" s="1">
        <v>34</v>
      </c>
      <c r="B207" s="1" t="s">
        <v>413</v>
      </c>
      <c r="C207" s="1">
        <v>82.95</v>
      </c>
      <c r="D207" s="1" t="e">
        <f t="shared" si="15"/>
        <v>#NAME?</v>
      </c>
      <c r="E207" s="1">
        <v>0.26771499999999998</v>
      </c>
      <c r="F207" s="1">
        <f t="shared" si="16"/>
        <v>0</v>
      </c>
      <c r="G207" s="1">
        <v>26</v>
      </c>
      <c r="H207" s="1">
        <v>16.13</v>
      </c>
    </row>
    <row r="208" spans="1:8">
      <c r="A208" s="1">
        <v>35</v>
      </c>
      <c r="B208" s="1" t="s">
        <v>414</v>
      </c>
      <c r="C208" s="1">
        <v>90.36</v>
      </c>
      <c r="D208" s="1" t="e">
        <f t="shared" si="15"/>
        <v>#NAME?</v>
      </c>
      <c r="E208" s="1">
        <v>0.19730600000000001</v>
      </c>
      <c r="F208" s="1">
        <f t="shared" si="16"/>
        <v>0</v>
      </c>
      <c r="G208" s="1">
        <v>2</v>
      </c>
      <c r="H208" s="1">
        <v>17.62</v>
      </c>
    </row>
    <row r="209" spans="1:8">
      <c r="A209" s="1">
        <v>36</v>
      </c>
      <c r="B209" s="1" t="s">
        <v>415</v>
      </c>
      <c r="C209" s="1">
        <v>97.79</v>
      </c>
      <c r="D209" s="1" t="e">
        <f t="shared" si="15"/>
        <v>#NAME?</v>
      </c>
      <c r="E209" s="1">
        <v>0.24310899999999999</v>
      </c>
      <c r="F209" s="1">
        <f t="shared" si="16"/>
        <v>0</v>
      </c>
      <c r="G209" s="1">
        <v>8</v>
      </c>
      <c r="H209" s="1">
        <v>19.059999999999999</v>
      </c>
    </row>
    <row r="210" spans="1:8">
      <c r="A210" s="1">
        <v>37</v>
      </c>
      <c r="B210" s="1" t="s">
        <v>416</v>
      </c>
      <c r="C210" s="1">
        <v>78.41</v>
      </c>
      <c r="D210" s="1" t="e">
        <f t="shared" si="15"/>
        <v>#NAME?</v>
      </c>
      <c r="E210" s="1">
        <v>0.265955</v>
      </c>
      <c r="F210" s="1">
        <f t="shared" si="16"/>
        <v>0</v>
      </c>
      <c r="G210" s="1">
        <v>4</v>
      </c>
      <c r="H210" s="1">
        <v>15.04</v>
      </c>
    </row>
    <row r="211" spans="1:8">
      <c r="A211" s="1">
        <v>38</v>
      </c>
      <c r="B211" s="1" t="s">
        <v>417</v>
      </c>
      <c r="C211" s="1">
        <v>73.95</v>
      </c>
      <c r="D211" s="1" t="e">
        <f t="shared" si="15"/>
        <v>#NAME?</v>
      </c>
      <c r="E211" s="1">
        <v>0.18979499999999999</v>
      </c>
      <c r="F211" s="1">
        <f t="shared" si="16"/>
        <v>0</v>
      </c>
      <c r="G211" s="1">
        <v>0</v>
      </c>
      <c r="H211" s="1">
        <v>14.55</v>
      </c>
    </row>
    <row r="212" spans="1:8">
      <c r="A212" s="1">
        <v>39</v>
      </c>
      <c r="B212" s="1" t="s">
        <v>418</v>
      </c>
      <c r="C212" s="1">
        <v>72.31</v>
      </c>
      <c r="D212" s="1" t="e">
        <f t="shared" si="15"/>
        <v>#NAME?</v>
      </c>
      <c r="E212" s="1">
        <v>0.33602700000000002</v>
      </c>
      <c r="F212" s="1">
        <f t="shared" si="16"/>
        <v>0</v>
      </c>
      <c r="G212" s="1">
        <v>26</v>
      </c>
      <c r="H212" s="1">
        <v>14.06</v>
      </c>
    </row>
    <row r="213" spans="1:8">
      <c r="A213" s="1">
        <v>40</v>
      </c>
      <c r="B213" s="1" t="s">
        <v>419</v>
      </c>
      <c r="C213" s="1">
        <v>99.38</v>
      </c>
      <c r="D213" s="1" t="e">
        <f t="shared" si="15"/>
        <v>#NAME?</v>
      </c>
      <c r="E213" s="1">
        <v>0.18629599999999999</v>
      </c>
      <c r="F213" s="1">
        <f t="shared" si="16"/>
        <v>0</v>
      </c>
      <c r="G213" s="1">
        <v>34</v>
      </c>
      <c r="H213" s="1">
        <v>19.87</v>
      </c>
    </row>
    <row r="214" spans="1:8">
      <c r="A214" s="1">
        <v>41</v>
      </c>
      <c r="B214" s="1" t="s">
        <v>420</v>
      </c>
      <c r="C214" s="1">
        <v>81.81</v>
      </c>
      <c r="D214" s="1" t="e">
        <f t="shared" si="15"/>
        <v>#NAME?</v>
      </c>
      <c r="E214" s="1">
        <v>0.16531899999999999</v>
      </c>
      <c r="F214" s="1">
        <f t="shared" si="16"/>
        <v>0</v>
      </c>
      <c r="G214" s="1">
        <v>4</v>
      </c>
      <c r="H214" s="1">
        <v>16.91</v>
      </c>
    </row>
    <row r="215" spans="1:8">
      <c r="A215" s="1">
        <v>42</v>
      </c>
      <c r="B215" s="1" t="s">
        <v>421</v>
      </c>
      <c r="C215" s="1">
        <v>87.37</v>
      </c>
      <c r="D215" s="1" t="e">
        <f t="shared" si="15"/>
        <v>#NAME?</v>
      </c>
      <c r="E215" s="1">
        <v>0.21162500000000001</v>
      </c>
      <c r="F215" s="1">
        <f t="shared" si="16"/>
        <v>0</v>
      </c>
      <c r="G215" s="1">
        <v>26</v>
      </c>
      <c r="H215" s="1">
        <v>17.68</v>
      </c>
    </row>
    <row r="216" spans="1:8">
      <c r="A216" s="1">
        <v>43</v>
      </c>
      <c r="B216" s="1" t="s">
        <v>422</v>
      </c>
      <c r="C216" s="1">
        <v>50.72</v>
      </c>
      <c r="D216" s="1" t="e">
        <f t="shared" si="15"/>
        <v>#NAME?</v>
      </c>
      <c r="E216" s="1">
        <v>0.24179200000000001</v>
      </c>
      <c r="F216" s="1">
        <f t="shared" si="16"/>
        <v>0</v>
      </c>
      <c r="G216" s="1">
        <v>10</v>
      </c>
      <c r="H216" s="1">
        <v>9.6199999999999992</v>
      </c>
    </row>
    <row r="217" spans="1:8">
      <c r="A217" s="1">
        <v>44</v>
      </c>
      <c r="B217" s="1" t="s">
        <v>423</v>
      </c>
      <c r="C217" s="1">
        <v>68.13</v>
      </c>
      <c r="D217" s="1" t="e">
        <f t="shared" si="15"/>
        <v>#NAME?</v>
      </c>
      <c r="E217" s="1">
        <v>0.258218</v>
      </c>
      <c r="F217" s="1">
        <f t="shared" si="16"/>
        <v>0</v>
      </c>
      <c r="G217" s="1">
        <v>36</v>
      </c>
      <c r="H217" s="1">
        <v>13.16</v>
      </c>
    </row>
    <row r="218" spans="1:8">
      <c r="A218" s="1">
        <v>45</v>
      </c>
      <c r="B218" s="1" t="s">
        <v>424</v>
      </c>
      <c r="C218" s="1">
        <v>57.6</v>
      </c>
      <c r="D218" s="1" t="e">
        <f t="shared" si="15"/>
        <v>#NAME?</v>
      </c>
      <c r="E218" s="1">
        <v>0.24709400000000001</v>
      </c>
      <c r="F218" s="1">
        <f t="shared" si="16"/>
        <v>0</v>
      </c>
      <c r="G218" s="1">
        <v>6</v>
      </c>
      <c r="H218" s="1">
        <v>11.66</v>
      </c>
    </row>
    <row r="219" spans="1:8">
      <c r="A219" s="1">
        <v>46</v>
      </c>
      <c r="B219" s="1" t="s">
        <v>425</v>
      </c>
      <c r="C219" s="1">
        <v>83.63</v>
      </c>
      <c r="D219" s="1" t="e">
        <f t="shared" si="15"/>
        <v>#NAME?</v>
      </c>
      <c r="E219" s="1">
        <v>0.22272700000000001</v>
      </c>
      <c r="F219" s="1">
        <f t="shared" si="16"/>
        <v>0</v>
      </c>
      <c r="G219" s="1">
        <v>6</v>
      </c>
      <c r="H219" s="1">
        <v>15.89</v>
      </c>
    </row>
    <row r="220" spans="1:8">
      <c r="A220" s="1">
        <v>47</v>
      </c>
      <c r="B220" s="1" t="s">
        <v>426</v>
      </c>
      <c r="C220" s="1">
        <v>61.63</v>
      </c>
      <c r="D220" s="1" t="e">
        <f t="shared" si="15"/>
        <v>#NAME?</v>
      </c>
      <c r="E220" s="1">
        <v>0.27009899999999998</v>
      </c>
      <c r="F220" s="1">
        <f t="shared" si="16"/>
        <v>0</v>
      </c>
      <c r="G220" s="1">
        <v>2</v>
      </c>
      <c r="H220" s="1">
        <v>11.91</v>
      </c>
    </row>
    <row r="221" spans="1:8">
      <c r="A221" s="1">
        <v>48</v>
      </c>
      <c r="B221" s="1" t="s">
        <v>427</v>
      </c>
      <c r="C221" s="1">
        <v>51.18</v>
      </c>
      <c r="D221" s="1" t="e">
        <f t="shared" si="15"/>
        <v>#NAME?</v>
      </c>
      <c r="E221" s="1">
        <v>0.22170999999999999</v>
      </c>
      <c r="F221" s="1">
        <f t="shared" si="16"/>
        <v>0</v>
      </c>
      <c r="G221" s="1">
        <v>0</v>
      </c>
      <c r="H221" s="1">
        <v>10.15</v>
      </c>
    </row>
    <row r="222" spans="1:8">
      <c r="A222" s="1">
        <v>49</v>
      </c>
      <c r="B222" s="1" t="s">
        <v>428</v>
      </c>
      <c r="C222" s="1">
        <v>51.26</v>
      </c>
      <c r="D222" s="1" t="e">
        <f t="shared" si="15"/>
        <v>#NAME?</v>
      </c>
      <c r="E222" s="1">
        <v>0.25072</v>
      </c>
      <c r="F222" s="1">
        <f t="shared" si="16"/>
        <v>0</v>
      </c>
      <c r="G222" s="1">
        <v>2</v>
      </c>
      <c r="H222" s="1">
        <v>9.7100000000000009</v>
      </c>
    </row>
    <row r="223" spans="1:8">
      <c r="A223" s="1">
        <v>50</v>
      </c>
      <c r="B223" s="1" t="s">
        <v>429</v>
      </c>
      <c r="C223" s="1">
        <v>52.04</v>
      </c>
      <c r="D223" s="1" t="e">
        <f t="shared" si="15"/>
        <v>#NAME?</v>
      </c>
      <c r="E223" s="1">
        <v>0.23218800000000001</v>
      </c>
      <c r="F223" s="1">
        <f t="shared" si="16"/>
        <v>0</v>
      </c>
      <c r="G223" s="1">
        <v>8</v>
      </c>
      <c r="H223" s="1">
        <v>10.06</v>
      </c>
    </row>
    <row r="224" spans="1:8">
      <c r="B224" s="1" t="s">
        <v>19</v>
      </c>
      <c r="C224" s="1">
        <f>AVERAGE(C174:C223)</f>
        <v>74.835399999999993</v>
      </c>
      <c r="D224" s="1" t="e">
        <f t="shared" ref="D224:F224" si="17">AVERAGE(D174:D223)</f>
        <v>#NAME?</v>
      </c>
      <c r="E224" s="1">
        <f t="shared" si="17"/>
        <v>0.21853142000000006</v>
      </c>
      <c r="F224" s="1">
        <f t="shared" si="17"/>
        <v>3.0719999999999996E-3</v>
      </c>
      <c r="H224" s="1">
        <f t="shared" ref="H224" si="18">AVERAGE(H174:H223)</f>
        <v>14.755599999999992</v>
      </c>
    </row>
    <row r="225" spans="1:8">
      <c r="B225" s="1" t="s">
        <v>20</v>
      </c>
      <c r="C225" s="1">
        <f>MIN(C173:C223)</f>
        <v>50.72</v>
      </c>
      <c r="D225" s="1" t="e">
        <f t="shared" ref="D225:F225" si="19">MIN(D173:D223)</f>
        <v>#NAME?</v>
      </c>
      <c r="E225" s="1">
        <f t="shared" si="19"/>
        <v>0.127251</v>
      </c>
      <c r="F225" s="1">
        <f t="shared" si="19"/>
        <v>0</v>
      </c>
      <c r="H225" s="1">
        <f t="shared" ref="H225" si="20">MIN(H173:H223)</f>
        <v>9.6199999999999992</v>
      </c>
    </row>
    <row r="226" spans="1:8">
      <c r="B226" s="1" t="s">
        <v>3</v>
      </c>
      <c r="C226" s="1">
        <f>STDEV(C174:C223)</f>
        <v>14.910052383597915</v>
      </c>
      <c r="D226" s="1" t="e">
        <f t="shared" ref="D226:E226" si="21">STDEV(D174:D223)</f>
        <v>#NAME?</v>
      </c>
      <c r="E226" s="1">
        <f t="shared" si="21"/>
        <v>4.6839082109503362E-2</v>
      </c>
      <c r="F226" s="1">
        <f>STDEV(F174:F223)</f>
        <v>1.3073966030057674E-2</v>
      </c>
      <c r="H226" s="1">
        <f>STDEV(H174:H223)</f>
        <v>3.1140190973685029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480</v>
      </c>
      <c r="C230" s="1">
        <v>57.8</v>
      </c>
      <c r="D230" s="1" t="e">
        <f t="shared" ref="D230:D253" si="22">-inf</f>
        <v>#NAME?</v>
      </c>
      <c r="E230" s="1">
        <v>0.18054000000000001</v>
      </c>
      <c r="F230" s="1">
        <f t="shared" ref="F230:F253" si="23">0*(10^-6)</f>
        <v>0</v>
      </c>
      <c r="G230" s="1">
        <v>0</v>
      </c>
      <c r="H230" s="1">
        <v>11.04</v>
      </c>
    </row>
    <row r="231" spans="1:8">
      <c r="A231" s="1">
        <v>2</v>
      </c>
      <c r="B231" s="1" t="s">
        <v>481</v>
      </c>
      <c r="C231" s="1">
        <v>56.19</v>
      </c>
      <c r="D231" s="1" t="e">
        <f t="shared" si="22"/>
        <v>#NAME?</v>
      </c>
      <c r="E231" s="1">
        <v>0.19331899999999999</v>
      </c>
      <c r="F231" s="1">
        <f t="shared" si="23"/>
        <v>0</v>
      </c>
      <c r="G231" s="1">
        <v>0</v>
      </c>
      <c r="H231" s="1">
        <v>10.78</v>
      </c>
    </row>
    <row r="232" spans="1:8">
      <c r="A232" s="1">
        <v>3</v>
      </c>
      <c r="B232" s="1" t="s">
        <v>482</v>
      </c>
      <c r="C232" s="1">
        <v>56.13</v>
      </c>
      <c r="D232" s="1" t="e">
        <f t="shared" si="22"/>
        <v>#NAME?</v>
      </c>
      <c r="E232" s="1">
        <v>0.17282900000000001</v>
      </c>
      <c r="F232" s="1">
        <f t="shared" si="23"/>
        <v>0</v>
      </c>
      <c r="G232" s="1">
        <v>4</v>
      </c>
      <c r="H232" s="1">
        <v>10.76</v>
      </c>
    </row>
    <row r="233" spans="1:8">
      <c r="A233" s="1">
        <v>4</v>
      </c>
      <c r="B233" s="1" t="s">
        <v>483</v>
      </c>
      <c r="C233" s="1">
        <v>55.58</v>
      </c>
      <c r="D233" s="1" t="e">
        <f t="shared" si="22"/>
        <v>#NAME?</v>
      </c>
      <c r="E233" s="1">
        <v>0.22387000000000001</v>
      </c>
      <c r="F233" s="1">
        <f t="shared" si="23"/>
        <v>0</v>
      </c>
      <c r="G233" s="1">
        <v>22</v>
      </c>
      <c r="H233" s="1">
        <v>10.67</v>
      </c>
    </row>
    <row r="234" spans="1:8">
      <c r="A234" s="1">
        <v>5</v>
      </c>
      <c r="B234" s="1" t="s">
        <v>484</v>
      </c>
      <c r="C234" s="1">
        <v>47.67</v>
      </c>
      <c r="D234" s="1" t="e">
        <f t="shared" si="22"/>
        <v>#NAME?</v>
      </c>
      <c r="E234" s="1">
        <v>0.121598</v>
      </c>
      <c r="F234" s="1">
        <f t="shared" si="23"/>
        <v>0</v>
      </c>
      <c r="G234" s="1">
        <v>10</v>
      </c>
      <c r="H234" s="1">
        <v>9.32</v>
      </c>
    </row>
    <row r="235" spans="1:8">
      <c r="A235" s="1">
        <v>6</v>
      </c>
      <c r="B235" s="1" t="s">
        <v>485</v>
      </c>
      <c r="C235" s="1">
        <v>54.47</v>
      </c>
      <c r="D235" s="1" t="e">
        <f t="shared" si="22"/>
        <v>#NAME?</v>
      </c>
      <c r="E235" s="1">
        <v>0.154114</v>
      </c>
      <c r="F235" s="1">
        <f t="shared" si="23"/>
        <v>0</v>
      </c>
      <c r="G235" s="1">
        <v>8</v>
      </c>
      <c r="H235" s="1">
        <v>11.14</v>
      </c>
    </row>
    <row r="236" spans="1:8">
      <c r="A236" s="1">
        <v>7</v>
      </c>
      <c r="B236" s="1" t="s">
        <v>486</v>
      </c>
      <c r="C236" s="1">
        <v>44.97</v>
      </c>
      <c r="D236" s="1" t="e">
        <f t="shared" si="22"/>
        <v>#NAME?</v>
      </c>
      <c r="E236" s="1">
        <v>0.150787</v>
      </c>
      <c r="F236" s="1">
        <f t="shared" si="23"/>
        <v>0</v>
      </c>
      <c r="G236" s="1">
        <v>2</v>
      </c>
      <c r="H236" s="1">
        <v>8.9600000000000009</v>
      </c>
    </row>
    <row r="237" spans="1:8">
      <c r="A237" s="1">
        <v>8</v>
      </c>
      <c r="B237" s="1" t="s">
        <v>487</v>
      </c>
      <c r="C237" s="1">
        <v>63.02</v>
      </c>
      <c r="D237" s="1" t="e">
        <f t="shared" si="22"/>
        <v>#NAME?</v>
      </c>
      <c r="E237" s="1">
        <v>0.16184100000000001</v>
      </c>
      <c r="F237" s="1">
        <f t="shared" si="23"/>
        <v>0</v>
      </c>
      <c r="G237" s="1">
        <v>0</v>
      </c>
      <c r="H237" s="1">
        <v>12.22</v>
      </c>
    </row>
    <row r="238" spans="1:8">
      <c r="A238" s="1">
        <v>9</v>
      </c>
      <c r="B238" s="1" t="s">
        <v>488</v>
      </c>
      <c r="C238" s="1">
        <v>45.44</v>
      </c>
      <c r="D238" s="1" t="e">
        <f t="shared" si="22"/>
        <v>#NAME?</v>
      </c>
      <c r="E238" s="1">
        <v>0.221609</v>
      </c>
      <c r="F238" s="1">
        <f t="shared" si="23"/>
        <v>0</v>
      </c>
      <c r="G238" s="1">
        <v>2</v>
      </c>
      <c r="H238" s="1">
        <v>8.68</v>
      </c>
    </row>
    <row r="239" spans="1:8">
      <c r="A239" s="1">
        <v>10</v>
      </c>
      <c r="B239" s="1" t="s">
        <v>489</v>
      </c>
      <c r="C239" s="1">
        <v>56.88</v>
      </c>
      <c r="D239" s="1" t="e">
        <f t="shared" si="22"/>
        <v>#NAME?</v>
      </c>
      <c r="E239" s="1">
        <v>0.155339</v>
      </c>
      <c r="F239" s="1">
        <f t="shared" si="23"/>
        <v>0</v>
      </c>
      <c r="G239" s="1">
        <v>18</v>
      </c>
      <c r="H239" s="1">
        <v>11.25</v>
      </c>
    </row>
    <row r="240" spans="1:8">
      <c r="A240" s="1">
        <v>11</v>
      </c>
      <c r="B240" s="1" t="s">
        <v>490</v>
      </c>
      <c r="C240" s="1">
        <v>53.62</v>
      </c>
      <c r="D240" s="1" t="e">
        <f t="shared" si="22"/>
        <v>#NAME?</v>
      </c>
      <c r="E240" s="1">
        <v>0.23649999999999999</v>
      </c>
      <c r="F240" s="1">
        <f t="shared" si="23"/>
        <v>0</v>
      </c>
      <c r="G240" s="1">
        <v>28</v>
      </c>
      <c r="H240" s="1">
        <v>10.25</v>
      </c>
    </row>
    <row r="241" spans="1:8">
      <c r="A241" s="1">
        <v>12</v>
      </c>
      <c r="B241" s="1" t="s">
        <v>491</v>
      </c>
      <c r="C241" s="1">
        <v>61.74</v>
      </c>
      <c r="D241" s="1" t="e">
        <f t="shared" si="22"/>
        <v>#NAME?</v>
      </c>
      <c r="E241" s="1">
        <v>0.21845100000000001</v>
      </c>
      <c r="F241" s="1">
        <f t="shared" si="23"/>
        <v>0</v>
      </c>
      <c r="G241" s="1">
        <v>2</v>
      </c>
      <c r="H241" s="1">
        <v>12.14</v>
      </c>
    </row>
    <row r="242" spans="1:8">
      <c r="A242" s="1">
        <v>13</v>
      </c>
      <c r="B242" s="1" t="s">
        <v>492</v>
      </c>
      <c r="C242" s="1">
        <v>58.48</v>
      </c>
      <c r="D242" s="1" t="e">
        <f t="shared" si="22"/>
        <v>#NAME?</v>
      </c>
      <c r="E242" s="1">
        <v>0.20913399999999999</v>
      </c>
      <c r="F242" s="1">
        <f t="shared" si="23"/>
        <v>0</v>
      </c>
      <c r="G242" s="1">
        <v>8</v>
      </c>
      <c r="H242" s="1">
        <v>11.19</v>
      </c>
    </row>
    <row r="243" spans="1:8">
      <c r="A243" s="1">
        <v>14</v>
      </c>
      <c r="B243" s="1" t="s">
        <v>493</v>
      </c>
      <c r="C243" s="1">
        <v>65.25</v>
      </c>
      <c r="D243" s="1" t="e">
        <f t="shared" si="22"/>
        <v>#NAME?</v>
      </c>
      <c r="E243" s="1">
        <v>0.20458899999999999</v>
      </c>
      <c r="F243" s="1">
        <f t="shared" si="23"/>
        <v>0</v>
      </c>
      <c r="G243" s="1">
        <v>2</v>
      </c>
      <c r="H243" s="1">
        <v>12.5</v>
      </c>
    </row>
    <row r="244" spans="1:8">
      <c r="A244" s="1">
        <v>15</v>
      </c>
      <c r="B244" s="1" t="s">
        <v>494</v>
      </c>
      <c r="C244" s="1">
        <v>57.72</v>
      </c>
      <c r="D244" s="1" t="e">
        <f t="shared" si="22"/>
        <v>#NAME?</v>
      </c>
      <c r="E244" s="1">
        <v>0.214586</v>
      </c>
      <c r="F244" s="1">
        <f t="shared" si="23"/>
        <v>0</v>
      </c>
      <c r="G244" s="1">
        <v>0</v>
      </c>
      <c r="H244" s="1">
        <v>11.3</v>
      </c>
    </row>
    <row r="245" spans="1:8">
      <c r="A245" s="1">
        <v>16</v>
      </c>
      <c r="B245" s="1" t="s">
        <v>495</v>
      </c>
      <c r="C245" s="1">
        <v>42.88</v>
      </c>
      <c r="D245" s="1" t="e">
        <f t="shared" si="22"/>
        <v>#NAME?</v>
      </c>
      <c r="E245" s="1">
        <v>0.202042</v>
      </c>
      <c r="F245" s="1">
        <f t="shared" si="23"/>
        <v>0</v>
      </c>
      <c r="G245" s="1">
        <v>10</v>
      </c>
      <c r="H245" s="1">
        <v>8.39</v>
      </c>
    </row>
    <row r="246" spans="1:8">
      <c r="A246" s="1">
        <v>17</v>
      </c>
      <c r="B246" s="1" t="s">
        <v>496</v>
      </c>
      <c r="C246" s="1">
        <v>67.290000000000006</v>
      </c>
      <c r="D246" s="1" t="e">
        <f t="shared" si="22"/>
        <v>#NAME?</v>
      </c>
      <c r="E246" s="1">
        <v>0.18596399999999999</v>
      </c>
      <c r="F246" s="1">
        <f t="shared" si="23"/>
        <v>0</v>
      </c>
      <c r="G246" s="1">
        <v>0</v>
      </c>
      <c r="H246" s="1">
        <v>12.91</v>
      </c>
    </row>
    <row r="247" spans="1:8">
      <c r="A247" s="1">
        <v>18</v>
      </c>
      <c r="B247" s="1" t="s">
        <v>497</v>
      </c>
      <c r="C247" s="1">
        <v>69.48</v>
      </c>
      <c r="D247" s="1" t="e">
        <f t="shared" si="22"/>
        <v>#NAME?</v>
      </c>
      <c r="E247" s="1">
        <v>0.18801100000000001</v>
      </c>
      <c r="F247" s="1">
        <f t="shared" si="23"/>
        <v>0</v>
      </c>
      <c r="G247" s="1">
        <v>10</v>
      </c>
      <c r="H247" s="1">
        <v>13.23</v>
      </c>
    </row>
    <row r="248" spans="1:8">
      <c r="A248" s="1">
        <v>19</v>
      </c>
      <c r="B248" s="1" t="s">
        <v>498</v>
      </c>
      <c r="C248" s="1">
        <v>60.2</v>
      </c>
      <c r="D248" s="1" t="e">
        <f t="shared" si="22"/>
        <v>#NAME?</v>
      </c>
      <c r="E248" s="1">
        <v>0.185142</v>
      </c>
      <c r="F248" s="1">
        <f t="shared" si="23"/>
        <v>0</v>
      </c>
      <c r="G248" s="1">
        <v>0</v>
      </c>
      <c r="H248" s="1">
        <v>11.79</v>
      </c>
    </row>
    <row r="249" spans="1:8">
      <c r="A249" s="1">
        <v>20</v>
      </c>
      <c r="B249" s="1" t="s">
        <v>499</v>
      </c>
      <c r="C249" s="1">
        <v>46.8</v>
      </c>
      <c r="D249" s="1" t="e">
        <f t="shared" si="22"/>
        <v>#NAME?</v>
      </c>
      <c r="E249" s="1">
        <v>0.110124</v>
      </c>
      <c r="F249" s="1">
        <f t="shared" si="23"/>
        <v>0</v>
      </c>
      <c r="G249" s="1">
        <v>0</v>
      </c>
      <c r="H249" s="1">
        <v>9.81</v>
      </c>
    </row>
    <row r="250" spans="1:8">
      <c r="A250" s="1">
        <v>21</v>
      </c>
      <c r="B250" s="1" t="s">
        <v>500</v>
      </c>
      <c r="C250" s="1">
        <v>52.25</v>
      </c>
      <c r="D250" s="1" t="e">
        <f t="shared" si="22"/>
        <v>#NAME?</v>
      </c>
      <c r="E250" s="1">
        <v>0.18950600000000001</v>
      </c>
      <c r="F250" s="1">
        <f t="shared" si="23"/>
        <v>0</v>
      </c>
      <c r="G250" s="1">
        <v>4</v>
      </c>
      <c r="H250" s="1">
        <v>10.24</v>
      </c>
    </row>
    <row r="251" spans="1:8">
      <c r="A251" s="1">
        <v>22</v>
      </c>
      <c r="B251" s="1" t="s">
        <v>501</v>
      </c>
      <c r="C251" s="1">
        <v>43.1</v>
      </c>
      <c r="D251" s="1" t="e">
        <f t="shared" si="22"/>
        <v>#NAME?</v>
      </c>
      <c r="E251" s="1">
        <v>0.204237</v>
      </c>
      <c r="F251" s="1">
        <f t="shared" si="23"/>
        <v>0</v>
      </c>
      <c r="G251" s="1">
        <v>14</v>
      </c>
      <c r="H251" s="1">
        <v>8.41</v>
      </c>
    </row>
    <row r="252" spans="1:8">
      <c r="A252" s="1">
        <v>23</v>
      </c>
      <c r="B252" s="1" t="s">
        <v>502</v>
      </c>
      <c r="C252" s="1">
        <v>63.27</v>
      </c>
      <c r="D252" s="1" t="e">
        <f t="shared" si="22"/>
        <v>#NAME?</v>
      </c>
      <c r="E252" s="1">
        <v>0.13558100000000001</v>
      </c>
      <c r="F252" s="1">
        <f t="shared" si="23"/>
        <v>0</v>
      </c>
      <c r="G252" s="1">
        <v>22</v>
      </c>
      <c r="H252" s="1">
        <v>13.2</v>
      </c>
    </row>
    <row r="253" spans="1:8">
      <c r="A253" s="1">
        <v>24</v>
      </c>
      <c r="B253" s="1" t="s">
        <v>503</v>
      </c>
      <c r="C253" s="1">
        <v>53.46</v>
      </c>
      <c r="D253" s="1" t="e">
        <f t="shared" si="22"/>
        <v>#NAME?</v>
      </c>
      <c r="E253" s="1">
        <v>0.21631600000000001</v>
      </c>
      <c r="F253" s="1">
        <f t="shared" si="23"/>
        <v>0</v>
      </c>
      <c r="G253" s="1">
        <v>10</v>
      </c>
      <c r="H253" s="1">
        <v>10.28</v>
      </c>
    </row>
    <row r="254" spans="1:8">
      <c r="A254" s="1">
        <v>25</v>
      </c>
      <c r="B254" s="1" t="s">
        <v>504</v>
      </c>
      <c r="C254" s="1">
        <v>47.68</v>
      </c>
      <c r="D254" s="1">
        <v>206.34</v>
      </c>
      <c r="E254" s="1">
        <v>0.20515600000000001</v>
      </c>
      <c r="F254" s="1">
        <f>38400*(10^-6)</f>
        <v>3.8399999999999997E-2</v>
      </c>
      <c r="G254" s="1">
        <v>14</v>
      </c>
      <c r="H254" s="1">
        <v>9.2799999999999994</v>
      </c>
    </row>
    <row r="255" spans="1:8">
      <c r="A255" s="1">
        <v>26</v>
      </c>
      <c r="B255" s="1" t="s">
        <v>505</v>
      </c>
      <c r="C255" s="1">
        <v>46.64</v>
      </c>
      <c r="D255" s="1">
        <v>202.96</v>
      </c>
      <c r="E255" s="1">
        <v>0.21546999999999999</v>
      </c>
      <c r="F255" s="1">
        <f>38400*(10^-6)</f>
        <v>3.8399999999999997E-2</v>
      </c>
      <c r="G255" s="1">
        <v>10</v>
      </c>
      <c r="H255" s="1">
        <v>9.27</v>
      </c>
    </row>
    <row r="256" spans="1:8">
      <c r="A256" s="1">
        <v>27</v>
      </c>
      <c r="B256" s="1" t="s">
        <v>506</v>
      </c>
      <c r="C256" s="1">
        <v>44.27</v>
      </c>
      <c r="D256" s="1" t="e">
        <f t="shared" ref="D256:D279" si="24">-inf</f>
        <v>#NAME?</v>
      </c>
      <c r="E256" s="1">
        <v>0.233707</v>
      </c>
      <c r="F256" s="1">
        <f t="shared" ref="F256:F279" si="25">0*(10^-6)</f>
        <v>0</v>
      </c>
      <c r="G256" s="1">
        <v>14</v>
      </c>
      <c r="H256" s="1">
        <v>8.5399999999999991</v>
      </c>
    </row>
    <row r="257" spans="1:8">
      <c r="A257" s="1">
        <v>28</v>
      </c>
      <c r="B257" s="1" t="s">
        <v>507</v>
      </c>
      <c r="C257" s="1">
        <v>58.54</v>
      </c>
      <c r="D257" s="1" t="e">
        <f t="shared" si="24"/>
        <v>#NAME?</v>
      </c>
      <c r="E257" s="1">
        <v>0.14380999999999999</v>
      </c>
      <c r="F257" s="1">
        <f t="shared" si="25"/>
        <v>0</v>
      </c>
      <c r="G257" s="1">
        <v>14</v>
      </c>
      <c r="H257" s="1">
        <v>11.24</v>
      </c>
    </row>
    <row r="258" spans="1:8">
      <c r="A258" s="1">
        <v>29</v>
      </c>
      <c r="B258" s="1" t="s">
        <v>508</v>
      </c>
      <c r="C258" s="1">
        <v>54.03</v>
      </c>
      <c r="D258" s="1" t="e">
        <f t="shared" si="24"/>
        <v>#NAME?</v>
      </c>
      <c r="E258" s="1">
        <v>0.16672699999999999</v>
      </c>
      <c r="F258" s="1">
        <f t="shared" si="25"/>
        <v>0</v>
      </c>
      <c r="G258" s="1">
        <v>0</v>
      </c>
      <c r="H258" s="1">
        <v>10.6</v>
      </c>
    </row>
    <row r="259" spans="1:8">
      <c r="A259" s="1">
        <v>30</v>
      </c>
      <c r="B259" s="1" t="s">
        <v>509</v>
      </c>
      <c r="C259" s="1">
        <v>50.9</v>
      </c>
      <c r="D259" s="1" t="e">
        <f t="shared" si="24"/>
        <v>#NAME?</v>
      </c>
      <c r="E259" s="1">
        <v>0.15536800000000001</v>
      </c>
      <c r="F259" s="1">
        <f t="shared" si="25"/>
        <v>0</v>
      </c>
      <c r="G259" s="1">
        <v>2</v>
      </c>
      <c r="H259" s="1">
        <v>9.76</v>
      </c>
    </row>
    <row r="260" spans="1:8">
      <c r="A260" s="1">
        <v>31</v>
      </c>
      <c r="B260" s="1" t="s">
        <v>510</v>
      </c>
      <c r="C260" s="1">
        <v>57.34</v>
      </c>
      <c r="D260" s="1" t="e">
        <f t="shared" si="24"/>
        <v>#NAME?</v>
      </c>
      <c r="E260" s="1">
        <v>0.13184699999999999</v>
      </c>
      <c r="F260" s="1">
        <f t="shared" si="25"/>
        <v>0</v>
      </c>
      <c r="G260" s="1">
        <v>12</v>
      </c>
      <c r="H260" s="1">
        <v>11.41</v>
      </c>
    </row>
    <row r="261" spans="1:8">
      <c r="A261" s="1">
        <v>32</v>
      </c>
      <c r="B261" s="1" t="s">
        <v>511</v>
      </c>
      <c r="C261" s="1">
        <v>50.52</v>
      </c>
      <c r="D261" s="1" t="e">
        <f t="shared" si="24"/>
        <v>#NAME?</v>
      </c>
      <c r="E261" s="1">
        <v>0.182</v>
      </c>
      <c r="F261" s="1">
        <f t="shared" si="25"/>
        <v>0</v>
      </c>
      <c r="G261" s="1">
        <v>0</v>
      </c>
      <c r="H261" s="1">
        <v>9.59</v>
      </c>
    </row>
    <row r="262" spans="1:8">
      <c r="A262" s="1">
        <v>33</v>
      </c>
      <c r="B262" s="1" t="s">
        <v>512</v>
      </c>
      <c r="C262" s="1">
        <v>51.31</v>
      </c>
      <c r="D262" s="1" t="e">
        <f t="shared" si="24"/>
        <v>#NAME?</v>
      </c>
      <c r="E262" s="1">
        <v>0.18994</v>
      </c>
      <c r="F262" s="1">
        <f t="shared" si="25"/>
        <v>0</v>
      </c>
      <c r="G262" s="1">
        <v>0</v>
      </c>
      <c r="H262" s="1">
        <v>10.050000000000001</v>
      </c>
    </row>
    <row r="263" spans="1:8">
      <c r="A263" s="1">
        <v>34</v>
      </c>
      <c r="B263" s="1" t="s">
        <v>513</v>
      </c>
      <c r="C263" s="1">
        <v>54.18</v>
      </c>
      <c r="D263" s="1" t="e">
        <f t="shared" si="24"/>
        <v>#NAME?</v>
      </c>
      <c r="E263" s="1">
        <v>0.19139400000000001</v>
      </c>
      <c r="F263" s="1">
        <f t="shared" si="25"/>
        <v>0</v>
      </c>
      <c r="G263" s="1">
        <v>0</v>
      </c>
      <c r="H263" s="1">
        <v>10.39</v>
      </c>
    </row>
    <row r="264" spans="1:8">
      <c r="A264" s="1">
        <v>35</v>
      </c>
      <c r="B264" s="1" t="s">
        <v>514</v>
      </c>
      <c r="C264" s="1">
        <v>63.13</v>
      </c>
      <c r="D264" s="1" t="e">
        <f t="shared" si="24"/>
        <v>#NAME?</v>
      </c>
      <c r="E264" s="1">
        <v>0.191742</v>
      </c>
      <c r="F264" s="1">
        <f t="shared" si="25"/>
        <v>0</v>
      </c>
      <c r="G264" s="1">
        <v>4</v>
      </c>
      <c r="H264" s="1">
        <v>12.39</v>
      </c>
    </row>
    <row r="265" spans="1:8">
      <c r="A265" s="1">
        <v>36</v>
      </c>
      <c r="B265" s="1" t="s">
        <v>515</v>
      </c>
      <c r="C265" s="1">
        <v>54.58</v>
      </c>
      <c r="D265" s="1" t="e">
        <f t="shared" si="24"/>
        <v>#NAME?</v>
      </c>
      <c r="E265" s="1">
        <v>0.227857</v>
      </c>
      <c r="F265" s="1">
        <f t="shared" si="25"/>
        <v>0</v>
      </c>
      <c r="G265" s="1">
        <v>0</v>
      </c>
      <c r="H265" s="1">
        <v>10.48</v>
      </c>
    </row>
    <row r="266" spans="1:8">
      <c r="A266" s="1">
        <v>37</v>
      </c>
      <c r="B266" s="1" t="s">
        <v>516</v>
      </c>
      <c r="C266" s="1">
        <v>61.41</v>
      </c>
      <c r="D266" s="1" t="e">
        <f t="shared" si="24"/>
        <v>#NAME?</v>
      </c>
      <c r="E266" s="1">
        <v>0.189194</v>
      </c>
      <c r="F266" s="1">
        <f t="shared" si="25"/>
        <v>0</v>
      </c>
      <c r="G266" s="1">
        <v>2</v>
      </c>
      <c r="H266" s="1">
        <v>11.71</v>
      </c>
    </row>
    <row r="267" spans="1:8">
      <c r="A267" s="1">
        <v>38</v>
      </c>
      <c r="B267" s="1" t="s">
        <v>517</v>
      </c>
      <c r="C267" s="1">
        <v>57.86</v>
      </c>
      <c r="D267" s="1" t="e">
        <f t="shared" si="24"/>
        <v>#NAME?</v>
      </c>
      <c r="E267" s="1">
        <v>0.24196000000000001</v>
      </c>
      <c r="F267" s="1">
        <f t="shared" si="25"/>
        <v>0</v>
      </c>
      <c r="G267" s="1">
        <v>28</v>
      </c>
      <c r="H267" s="1">
        <v>11.08</v>
      </c>
    </row>
    <row r="268" spans="1:8">
      <c r="A268" s="1">
        <v>39</v>
      </c>
      <c r="B268" s="1" t="s">
        <v>518</v>
      </c>
      <c r="C268" s="1">
        <v>52.75</v>
      </c>
      <c r="D268" s="1" t="e">
        <f t="shared" si="24"/>
        <v>#NAME?</v>
      </c>
      <c r="E268" s="1">
        <v>0.197683</v>
      </c>
      <c r="F268" s="1">
        <f t="shared" si="25"/>
        <v>0</v>
      </c>
      <c r="G268" s="1">
        <v>0</v>
      </c>
      <c r="H268" s="1">
        <v>10.119999999999999</v>
      </c>
    </row>
    <row r="269" spans="1:8">
      <c r="A269" s="1">
        <v>40</v>
      </c>
      <c r="B269" s="1" t="s">
        <v>519</v>
      </c>
      <c r="C269" s="1">
        <v>41.23</v>
      </c>
      <c r="D269" s="1" t="e">
        <f t="shared" si="24"/>
        <v>#NAME?</v>
      </c>
      <c r="E269" s="1">
        <v>0.174988</v>
      </c>
      <c r="F269" s="1">
        <f t="shared" si="25"/>
        <v>0</v>
      </c>
      <c r="G269" s="1">
        <v>0</v>
      </c>
      <c r="H269" s="1">
        <v>7.96</v>
      </c>
    </row>
    <row r="270" spans="1:8">
      <c r="A270" s="1">
        <v>41</v>
      </c>
      <c r="B270" s="1" t="s">
        <v>520</v>
      </c>
      <c r="C270" s="1">
        <v>43.09</v>
      </c>
      <c r="D270" s="1" t="e">
        <f t="shared" si="24"/>
        <v>#NAME?</v>
      </c>
      <c r="E270" s="1">
        <v>0.19102</v>
      </c>
      <c r="F270" s="1">
        <f t="shared" si="25"/>
        <v>0</v>
      </c>
      <c r="G270" s="1">
        <v>4</v>
      </c>
      <c r="H270" s="1">
        <v>8.57</v>
      </c>
    </row>
    <row r="271" spans="1:8">
      <c r="A271" s="1">
        <v>42</v>
      </c>
      <c r="B271" s="1" t="s">
        <v>521</v>
      </c>
      <c r="C271" s="1">
        <v>47.34</v>
      </c>
      <c r="D271" s="1" t="e">
        <f t="shared" si="24"/>
        <v>#NAME?</v>
      </c>
      <c r="E271" s="1">
        <v>0.13823199999999999</v>
      </c>
      <c r="F271" s="1">
        <f t="shared" si="25"/>
        <v>0</v>
      </c>
      <c r="G271" s="1">
        <v>16</v>
      </c>
      <c r="H271" s="1">
        <v>9.07</v>
      </c>
    </row>
    <row r="272" spans="1:8">
      <c r="A272" s="1">
        <v>43</v>
      </c>
      <c r="B272" s="1" t="s">
        <v>522</v>
      </c>
      <c r="C272" s="1">
        <v>57.59</v>
      </c>
      <c r="D272" s="1" t="e">
        <f t="shared" si="24"/>
        <v>#NAME?</v>
      </c>
      <c r="E272" s="1">
        <v>0.24086199999999999</v>
      </c>
      <c r="F272" s="1">
        <f t="shared" si="25"/>
        <v>0</v>
      </c>
      <c r="G272" s="1">
        <v>2</v>
      </c>
      <c r="H272" s="1">
        <v>11.12</v>
      </c>
    </row>
    <row r="273" spans="1:8">
      <c r="A273" s="1">
        <v>44</v>
      </c>
      <c r="B273" s="1" t="s">
        <v>523</v>
      </c>
      <c r="C273" s="1">
        <v>45.84</v>
      </c>
      <c r="D273" s="1" t="e">
        <f t="shared" si="24"/>
        <v>#NAME?</v>
      </c>
      <c r="E273" s="1">
        <v>0.25874900000000001</v>
      </c>
      <c r="F273" s="1">
        <f t="shared" si="25"/>
        <v>0</v>
      </c>
      <c r="G273" s="1">
        <v>16</v>
      </c>
      <c r="H273" s="1">
        <v>8.86</v>
      </c>
    </row>
    <row r="274" spans="1:8">
      <c r="A274" s="1">
        <v>45</v>
      </c>
      <c r="B274" s="1" t="s">
        <v>524</v>
      </c>
      <c r="C274" s="1">
        <v>48.83</v>
      </c>
      <c r="D274" s="1" t="e">
        <f t="shared" si="24"/>
        <v>#NAME?</v>
      </c>
      <c r="E274" s="1">
        <v>0.206035</v>
      </c>
      <c r="F274" s="1">
        <f t="shared" si="25"/>
        <v>0</v>
      </c>
      <c r="G274" s="1">
        <v>2</v>
      </c>
      <c r="H274" s="1">
        <v>9.3699999999999992</v>
      </c>
    </row>
    <row r="275" spans="1:8">
      <c r="A275" s="1">
        <v>46</v>
      </c>
      <c r="B275" s="1" t="s">
        <v>525</v>
      </c>
      <c r="C275" s="1">
        <v>35.369999999999997</v>
      </c>
      <c r="D275" s="1" t="e">
        <f t="shared" si="24"/>
        <v>#NAME?</v>
      </c>
      <c r="E275" s="1">
        <v>0.19483900000000001</v>
      </c>
      <c r="F275" s="1">
        <f t="shared" si="25"/>
        <v>0</v>
      </c>
      <c r="G275" s="1">
        <v>10</v>
      </c>
      <c r="H275" s="1">
        <v>6.84</v>
      </c>
    </row>
    <row r="276" spans="1:8">
      <c r="A276" s="1">
        <v>47</v>
      </c>
      <c r="B276" s="1" t="s">
        <v>526</v>
      </c>
      <c r="C276" s="1">
        <v>46.58</v>
      </c>
      <c r="D276" s="1" t="e">
        <f t="shared" si="24"/>
        <v>#NAME?</v>
      </c>
      <c r="E276" s="1">
        <v>0.265073</v>
      </c>
      <c r="F276" s="1">
        <f t="shared" si="25"/>
        <v>0</v>
      </c>
      <c r="G276" s="1">
        <v>8</v>
      </c>
      <c r="H276" s="1">
        <v>8.99</v>
      </c>
    </row>
    <row r="277" spans="1:8">
      <c r="A277" s="1">
        <v>48</v>
      </c>
      <c r="B277" s="1" t="s">
        <v>527</v>
      </c>
      <c r="C277" s="1">
        <v>57.55</v>
      </c>
      <c r="D277" s="1" t="e">
        <f t="shared" si="24"/>
        <v>#NAME?</v>
      </c>
      <c r="E277" s="1">
        <v>0.24199699999999999</v>
      </c>
      <c r="F277" s="1">
        <f t="shared" si="25"/>
        <v>0</v>
      </c>
      <c r="G277" s="1">
        <v>2</v>
      </c>
      <c r="H277" s="1">
        <v>11.13</v>
      </c>
    </row>
    <row r="278" spans="1:8">
      <c r="A278" s="1">
        <v>49</v>
      </c>
      <c r="B278" s="1" t="s">
        <v>528</v>
      </c>
      <c r="C278" s="1">
        <v>36.97</v>
      </c>
      <c r="D278" s="1" t="e">
        <f t="shared" si="24"/>
        <v>#NAME?</v>
      </c>
      <c r="E278" s="1">
        <v>0.18570600000000001</v>
      </c>
      <c r="F278" s="1">
        <f t="shared" si="25"/>
        <v>0</v>
      </c>
      <c r="G278" s="1">
        <v>2</v>
      </c>
      <c r="H278" s="1">
        <v>7.11</v>
      </c>
    </row>
    <row r="279" spans="1:8">
      <c r="A279" s="1">
        <v>50</v>
      </c>
      <c r="B279" s="1" t="s">
        <v>529</v>
      </c>
      <c r="C279" s="1">
        <v>53.29</v>
      </c>
      <c r="D279" s="1" t="e">
        <f t="shared" si="24"/>
        <v>#NAME?</v>
      </c>
      <c r="E279" s="1">
        <v>0.16417399999999999</v>
      </c>
      <c r="F279" s="1">
        <f t="shared" si="25"/>
        <v>0</v>
      </c>
      <c r="G279" s="1">
        <v>0</v>
      </c>
      <c r="H279" s="1">
        <v>10.48</v>
      </c>
    </row>
    <row r="280" spans="1:8">
      <c r="B280" s="1" t="s">
        <v>19</v>
      </c>
      <c r="C280" s="1">
        <f>AVERAGE(C230:C279)</f>
        <v>53.050200000000011</v>
      </c>
      <c r="D280" s="1" t="e">
        <f t="shared" ref="D280:F280" si="26">AVERAGE(D230:D279)</f>
        <v>#NAME?</v>
      </c>
      <c r="E280" s="1">
        <f t="shared" si="26"/>
        <v>0.19123117999999995</v>
      </c>
      <c r="F280" s="1">
        <f t="shared" si="26"/>
        <v>1.5359999999999998E-3</v>
      </c>
      <c r="H280" s="1">
        <f t="shared" ref="H280" si="27">AVERAGE(H230:H279)</f>
        <v>10.317399999999997</v>
      </c>
    </row>
    <row r="281" spans="1:8">
      <c r="B281" s="1" t="s">
        <v>20</v>
      </c>
      <c r="C281" s="1">
        <f>MIN(C229:C279)</f>
        <v>35.369999999999997</v>
      </c>
      <c r="D281" s="1" t="e">
        <f t="shared" ref="D281:F281" si="28">MIN(D229:D279)</f>
        <v>#NAME?</v>
      </c>
      <c r="E281" s="1">
        <f t="shared" si="28"/>
        <v>0.110124</v>
      </c>
      <c r="F281" s="1">
        <f t="shared" si="28"/>
        <v>0</v>
      </c>
      <c r="H281" s="1">
        <f t="shared" ref="H281" si="29">MIN(H229:H279)</f>
        <v>6.84</v>
      </c>
    </row>
    <row r="282" spans="1:8">
      <c r="B282" s="1" t="s">
        <v>3</v>
      </c>
      <c r="C282" s="1">
        <f>STDEV(C230:C279)</f>
        <v>7.6495392658375634</v>
      </c>
      <c r="D282" s="1" t="e">
        <f t="shared" ref="D282:E282" si="30">STDEV(D230:D279)</f>
        <v>#NAME?</v>
      </c>
      <c r="E282" s="1">
        <f t="shared" si="30"/>
        <v>3.5102621011327675E-2</v>
      </c>
      <c r="F282" s="1">
        <f>STDEV(F230:F279)</f>
        <v>7.6012286869308436E-3</v>
      </c>
      <c r="H282" s="1">
        <f>STDEV(H230:H279)</f>
        <v>1.4899360484837867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530</v>
      </c>
      <c r="C286" s="1">
        <v>40.880000000000003</v>
      </c>
      <c r="D286" s="1" t="e">
        <f t="shared" ref="D286:D317" si="31">-inf</f>
        <v>#NAME?</v>
      </c>
      <c r="E286" s="1">
        <v>0.17197899999999999</v>
      </c>
      <c r="F286" s="1">
        <f t="shared" ref="F286:F317" si="32">0*(10^-6)</f>
        <v>0</v>
      </c>
      <c r="G286" s="1">
        <v>0</v>
      </c>
      <c r="H286" s="1">
        <v>7.8</v>
      </c>
    </row>
    <row r="287" spans="1:8">
      <c r="A287" s="1">
        <v>2</v>
      </c>
      <c r="B287" s="1" t="s">
        <v>531</v>
      </c>
      <c r="C287" s="1">
        <v>39.57</v>
      </c>
      <c r="D287" s="1" t="e">
        <f t="shared" si="31"/>
        <v>#NAME?</v>
      </c>
      <c r="E287" s="1">
        <v>0.15660299999999999</v>
      </c>
      <c r="F287" s="1">
        <f t="shared" si="32"/>
        <v>0</v>
      </c>
      <c r="G287" s="1">
        <v>22</v>
      </c>
      <c r="H287" s="1">
        <v>7.54</v>
      </c>
    </row>
    <row r="288" spans="1:8">
      <c r="A288" s="1">
        <v>3</v>
      </c>
      <c r="B288" s="1" t="s">
        <v>532</v>
      </c>
      <c r="C288" s="1">
        <v>52.49</v>
      </c>
      <c r="D288" s="1" t="e">
        <f t="shared" si="31"/>
        <v>#NAME?</v>
      </c>
      <c r="E288" s="1">
        <v>0.15523200000000001</v>
      </c>
      <c r="F288" s="1">
        <f t="shared" si="32"/>
        <v>0</v>
      </c>
      <c r="G288" s="1">
        <v>4</v>
      </c>
      <c r="H288" s="1">
        <v>10.01</v>
      </c>
    </row>
    <row r="289" spans="1:8">
      <c r="A289" s="1">
        <v>4</v>
      </c>
      <c r="B289" s="1" t="s">
        <v>533</v>
      </c>
      <c r="C289" s="1">
        <v>42.13</v>
      </c>
      <c r="D289" s="1" t="e">
        <f t="shared" si="31"/>
        <v>#NAME?</v>
      </c>
      <c r="E289" s="1">
        <v>0.186111</v>
      </c>
      <c r="F289" s="1">
        <f t="shared" si="32"/>
        <v>0</v>
      </c>
      <c r="G289" s="1">
        <v>10</v>
      </c>
      <c r="H289" s="1">
        <v>8.07</v>
      </c>
    </row>
    <row r="290" spans="1:8">
      <c r="A290" s="1">
        <v>5</v>
      </c>
      <c r="B290" s="1" t="s">
        <v>534</v>
      </c>
      <c r="C290" s="1">
        <v>46.27</v>
      </c>
      <c r="D290" s="1" t="e">
        <f t="shared" si="31"/>
        <v>#NAME?</v>
      </c>
      <c r="E290" s="1">
        <v>0.14688599999999999</v>
      </c>
      <c r="F290" s="1">
        <f t="shared" si="32"/>
        <v>0</v>
      </c>
      <c r="G290" s="1">
        <v>4</v>
      </c>
      <c r="H290" s="1">
        <v>8.94</v>
      </c>
    </row>
    <row r="291" spans="1:8">
      <c r="A291" s="1">
        <v>6</v>
      </c>
      <c r="B291" s="1" t="s">
        <v>535</v>
      </c>
      <c r="C291" s="1">
        <v>52.31</v>
      </c>
      <c r="D291" s="1" t="e">
        <f t="shared" si="31"/>
        <v>#NAME?</v>
      </c>
      <c r="E291" s="1">
        <v>0.21673300000000001</v>
      </c>
      <c r="F291" s="1">
        <f t="shared" si="32"/>
        <v>0</v>
      </c>
      <c r="G291" s="1">
        <v>4</v>
      </c>
      <c r="H291" s="1">
        <v>9.9700000000000006</v>
      </c>
    </row>
    <row r="292" spans="1:8">
      <c r="A292" s="1">
        <v>7</v>
      </c>
      <c r="B292" s="1" t="s">
        <v>536</v>
      </c>
      <c r="C292" s="1">
        <v>42.52</v>
      </c>
      <c r="D292" s="1" t="e">
        <f t="shared" si="31"/>
        <v>#NAME?</v>
      </c>
      <c r="E292" s="1">
        <v>0.15160699999999999</v>
      </c>
      <c r="F292" s="1">
        <f t="shared" si="32"/>
        <v>0</v>
      </c>
      <c r="G292" s="1">
        <v>8</v>
      </c>
      <c r="H292" s="1">
        <v>8.1199999999999992</v>
      </c>
    </row>
    <row r="293" spans="1:8">
      <c r="A293" s="1">
        <v>8</v>
      </c>
      <c r="B293" s="1" t="s">
        <v>537</v>
      </c>
      <c r="C293" s="1">
        <v>35.39</v>
      </c>
      <c r="D293" s="1" t="e">
        <f t="shared" si="31"/>
        <v>#NAME?</v>
      </c>
      <c r="E293" s="1">
        <v>0.227409</v>
      </c>
      <c r="F293" s="1">
        <f t="shared" si="32"/>
        <v>0</v>
      </c>
      <c r="G293" s="1">
        <v>0</v>
      </c>
      <c r="H293" s="1">
        <v>6.79</v>
      </c>
    </row>
    <row r="294" spans="1:8">
      <c r="A294" s="1">
        <v>9</v>
      </c>
      <c r="B294" s="1" t="s">
        <v>538</v>
      </c>
      <c r="C294" s="1">
        <v>42.57</v>
      </c>
      <c r="D294" s="1" t="e">
        <f t="shared" si="31"/>
        <v>#NAME?</v>
      </c>
      <c r="E294" s="1">
        <v>0.174146</v>
      </c>
      <c r="F294" s="1">
        <f t="shared" si="32"/>
        <v>0</v>
      </c>
      <c r="G294" s="1">
        <v>4</v>
      </c>
      <c r="H294" s="1">
        <v>8.23</v>
      </c>
    </row>
    <row r="295" spans="1:8">
      <c r="A295" s="1">
        <v>10</v>
      </c>
      <c r="B295" s="1" t="s">
        <v>539</v>
      </c>
      <c r="C295" s="1">
        <v>39.72</v>
      </c>
      <c r="D295" s="1" t="e">
        <f t="shared" si="31"/>
        <v>#NAME?</v>
      </c>
      <c r="E295" s="1">
        <v>0.20680499999999999</v>
      </c>
      <c r="F295" s="1">
        <f t="shared" si="32"/>
        <v>0</v>
      </c>
      <c r="G295" s="1">
        <v>2</v>
      </c>
      <c r="H295" s="1">
        <v>7.61</v>
      </c>
    </row>
    <row r="296" spans="1:8">
      <c r="A296" s="1">
        <v>11</v>
      </c>
      <c r="B296" s="1" t="s">
        <v>540</v>
      </c>
      <c r="C296" s="1">
        <v>35.11</v>
      </c>
      <c r="D296" s="1" t="e">
        <f t="shared" si="31"/>
        <v>#NAME?</v>
      </c>
      <c r="E296" s="1">
        <v>0.16092100000000001</v>
      </c>
      <c r="F296" s="1">
        <f t="shared" si="32"/>
        <v>0</v>
      </c>
      <c r="G296" s="1">
        <v>0</v>
      </c>
      <c r="H296" s="1">
        <v>6.72</v>
      </c>
    </row>
    <row r="297" spans="1:8">
      <c r="A297" s="1">
        <v>12</v>
      </c>
      <c r="B297" s="1" t="s">
        <v>541</v>
      </c>
      <c r="C297" s="1">
        <v>37.590000000000003</v>
      </c>
      <c r="D297" s="1" t="e">
        <f t="shared" si="31"/>
        <v>#NAME?</v>
      </c>
      <c r="E297" s="1">
        <v>0.17154</v>
      </c>
      <c r="F297" s="1">
        <f t="shared" si="32"/>
        <v>0</v>
      </c>
      <c r="G297" s="1">
        <v>0</v>
      </c>
      <c r="H297" s="1">
        <v>7.15</v>
      </c>
    </row>
    <row r="298" spans="1:8">
      <c r="A298" s="1">
        <v>13</v>
      </c>
      <c r="B298" s="1" t="s">
        <v>542</v>
      </c>
      <c r="C298" s="1">
        <v>56.81</v>
      </c>
      <c r="D298" s="1" t="e">
        <f t="shared" si="31"/>
        <v>#NAME?</v>
      </c>
      <c r="E298" s="1">
        <v>0.123501</v>
      </c>
      <c r="F298" s="1">
        <f t="shared" si="32"/>
        <v>0</v>
      </c>
      <c r="G298" s="1">
        <v>2</v>
      </c>
      <c r="H298" s="1">
        <v>10.82</v>
      </c>
    </row>
    <row r="299" spans="1:8">
      <c r="A299" s="1">
        <v>14</v>
      </c>
      <c r="B299" s="1" t="s">
        <v>543</v>
      </c>
      <c r="C299" s="1">
        <v>53.57</v>
      </c>
      <c r="D299" s="1" t="e">
        <f t="shared" si="31"/>
        <v>#NAME?</v>
      </c>
      <c r="E299" s="1">
        <v>0.16196199999999999</v>
      </c>
      <c r="F299" s="1">
        <f t="shared" si="32"/>
        <v>0</v>
      </c>
      <c r="G299" s="1">
        <v>2</v>
      </c>
      <c r="H299" s="1">
        <v>10.39</v>
      </c>
    </row>
    <row r="300" spans="1:8">
      <c r="A300" s="1">
        <v>15</v>
      </c>
      <c r="B300" s="1" t="s">
        <v>544</v>
      </c>
      <c r="C300" s="1">
        <v>45.75</v>
      </c>
      <c r="D300" s="1" t="e">
        <f t="shared" si="31"/>
        <v>#NAME?</v>
      </c>
      <c r="E300" s="1">
        <v>0.135542</v>
      </c>
      <c r="F300" s="1">
        <f t="shared" si="32"/>
        <v>0</v>
      </c>
      <c r="G300" s="1">
        <v>2</v>
      </c>
      <c r="H300" s="1">
        <v>8.8800000000000008</v>
      </c>
    </row>
    <row r="301" spans="1:8">
      <c r="A301" s="1">
        <v>16</v>
      </c>
      <c r="B301" s="1" t="s">
        <v>545</v>
      </c>
      <c r="C301" s="1">
        <v>41.57</v>
      </c>
      <c r="D301" s="1" t="e">
        <f t="shared" si="31"/>
        <v>#NAME?</v>
      </c>
      <c r="E301" s="1">
        <v>0.16759499999999999</v>
      </c>
      <c r="F301" s="1">
        <f t="shared" si="32"/>
        <v>0</v>
      </c>
      <c r="G301" s="1">
        <v>2</v>
      </c>
      <c r="H301" s="1">
        <v>7.94</v>
      </c>
    </row>
    <row r="302" spans="1:8">
      <c r="A302" s="1">
        <v>17</v>
      </c>
      <c r="B302" s="1" t="s">
        <v>546</v>
      </c>
      <c r="C302" s="1">
        <v>41.7</v>
      </c>
      <c r="D302" s="1" t="e">
        <f t="shared" si="31"/>
        <v>#NAME?</v>
      </c>
      <c r="E302" s="1">
        <v>0.12120300000000001</v>
      </c>
      <c r="F302" s="1">
        <f t="shared" si="32"/>
        <v>0</v>
      </c>
      <c r="G302" s="1">
        <v>6</v>
      </c>
      <c r="H302" s="1">
        <v>7.95</v>
      </c>
    </row>
    <row r="303" spans="1:8">
      <c r="A303" s="1">
        <v>18</v>
      </c>
      <c r="B303" s="1" t="s">
        <v>547</v>
      </c>
      <c r="C303" s="1">
        <v>55.02</v>
      </c>
      <c r="D303" s="1" t="e">
        <f t="shared" si="31"/>
        <v>#NAME?</v>
      </c>
      <c r="E303" s="1">
        <v>0.13653100000000001</v>
      </c>
      <c r="F303" s="1">
        <f t="shared" si="32"/>
        <v>0</v>
      </c>
      <c r="G303" s="1">
        <v>0</v>
      </c>
      <c r="H303" s="1">
        <v>11.15</v>
      </c>
    </row>
    <row r="304" spans="1:8">
      <c r="A304" s="1">
        <v>19</v>
      </c>
      <c r="B304" s="1" t="s">
        <v>548</v>
      </c>
      <c r="C304" s="1">
        <v>63.72</v>
      </c>
      <c r="D304" s="1" t="e">
        <f t="shared" si="31"/>
        <v>#NAME?</v>
      </c>
      <c r="E304" s="1">
        <v>0.18834300000000001</v>
      </c>
      <c r="F304" s="1">
        <f t="shared" si="32"/>
        <v>0</v>
      </c>
      <c r="G304" s="1">
        <v>2</v>
      </c>
      <c r="H304" s="1">
        <v>12.15</v>
      </c>
    </row>
    <row r="305" spans="1:8">
      <c r="A305" s="1">
        <v>20</v>
      </c>
      <c r="B305" s="1" t="s">
        <v>549</v>
      </c>
      <c r="C305" s="1">
        <v>43.57</v>
      </c>
      <c r="D305" s="1" t="e">
        <f t="shared" si="31"/>
        <v>#NAME?</v>
      </c>
      <c r="E305" s="1">
        <v>0.193466</v>
      </c>
      <c r="F305" s="1">
        <f t="shared" si="32"/>
        <v>0</v>
      </c>
      <c r="G305" s="1">
        <v>4</v>
      </c>
      <c r="H305" s="1">
        <v>8.4600000000000009</v>
      </c>
    </row>
    <row r="306" spans="1:8">
      <c r="A306" s="1">
        <v>21</v>
      </c>
      <c r="B306" s="1" t="s">
        <v>550</v>
      </c>
      <c r="C306" s="1">
        <v>39.840000000000003</v>
      </c>
      <c r="D306" s="1" t="e">
        <f t="shared" si="31"/>
        <v>#NAME?</v>
      </c>
      <c r="E306" s="1">
        <v>0.23092599999999999</v>
      </c>
      <c r="F306" s="1">
        <f t="shared" si="32"/>
        <v>0</v>
      </c>
      <c r="G306" s="1">
        <v>0</v>
      </c>
      <c r="H306" s="1">
        <v>7.53</v>
      </c>
    </row>
    <row r="307" spans="1:8">
      <c r="A307" s="1">
        <v>22</v>
      </c>
      <c r="B307" s="1" t="s">
        <v>551</v>
      </c>
      <c r="C307" s="1">
        <v>53.02</v>
      </c>
      <c r="D307" s="1" t="e">
        <f t="shared" si="31"/>
        <v>#NAME?</v>
      </c>
      <c r="E307" s="1">
        <v>0.195882</v>
      </c>
      <c r="F307" s="1">
        <f t="shared" si="32"/>
        <v>0</v>
      </c>
      <c r="G307" s="1">
        <v>28</v>
      </c>
      <c r="H307" s="1">
        <v>10.220000000000001</v>
      </c>
    </row>
    <row r="308" spans="1:8">
      <c r="A308" s="1">
        <v>23</v>
      </c>
      <c r="B308" s="1" t="s">
        <v>552</v>
      </c>
      <c r="C308" s="1">
        <v>50.84</v>
      </c>
      <c r="D308" s="1" t="e">
        <f t="shared" si="31"/>
        <v>#NAME?</v>
      </c>
      <c r="E308" s="1">
        <v>0.149039</v>
      </c>
      <c r="F308" s="1">
        <f t="shared" si="32"/>
        <v>0</v>
      </c>
      <c r="G308" s="1">
        <v>0</v>
      </c>
      <c r="H308" s="1">
        <v>9.9499999999999993</v>
      </c>
    </row>
    <row r="309" spans="1:8">
      <c r="A309" s="1">
        <v>24</v>
      </c>
      <c r="B309" s="1" t="s">
        <v>553</v>
      </c>
      <c r="C309" s="1">
        <v>45.22</v>
      </c>
      <c r="D309" s="1" t="e">
        <f t="shared" si="31"/>
        <v>#NAME?</v>
      </c>
      <c r="E309" s="1">
        <v>0.17910499999999999</v>
      </c>
      <c r="F309" s="1">
        <f t="shared" si="32"/>
        <v>0</v>
      </c>
      <c r="G309" s="1">
        <v>2</v>
      </c>
      <c r="H309" s="1">
        <v>8.7200000000000006</v>
      </c>
    </row>
    <row r="310" spans="1:8">
      <c r="A310" s="1">
        <v>25</v>
      </c>
      <c r="B310" s="1" t="s">
        <v>554</v>
      </c>
      <c r="C310" s="1">
        <v>41.17</v>
      </c>
      <c r="D310" s="1" t="e">
        <f t="shared" si="31"/>
        <v>#NAME?</v>
      </c>
      <c r="E310" s="1">
        <v>0.17644599999999999</v>
      </c>
      <c r="F310" s="1">
        <f t="shared" si="32"/>
        <v>0</v>
      </c>
      <c r="G310" s="1">
        <v>4</v>
      </c>
      <c r="H310" s="1">
        <v>7.91</v>
      </c>
    </row>
    <row r="311" spans="1:8">
      <c r="A311" s="1">
        <v>26</v>
      </c>
      <c r="B311" s="1" t="s">
        <v>555</v>
      </c>
      <c r="C311" s="1">
        <v>42.44</v>
      </c>
      <c r="D311" s="1" t="e">
        <f t="shared" si="31"/>
        <v>#NAME?</v>
      </c>
      <c r="E311" s="1">
        <v>0.202047</v>
      </c>
      <c r="F311" s="1">
        <f t="shared" si="32"/>
        <v>0</v>
      </c>
      <c r="G311" s="1">
        <v>2</v>
      </c>
      <c r="H311" s="1">
        <v>8.16</v>
      </c>
    </row>
    <row r="312" spans="1:8">
      <c r="A312" s="1">
        <v>27</v>
      </c>
      <c r="B312" s="1" t="s">
        <v>556</v>
      </c>
      <c r="C312" s="1">
        <v>39.479999999999997</v>
      </c>
      <c r="D312" s="1" t="e">
        <f t="shared" si="31"/>
        <v>#NAME?</v>
      </c>
      <c r="E312" s="1">
        <v>0.15440799999999999</v>
      </c>
      <c r="F312" s="1">
        <f t="shared" si="32"/>
        <v>0</v>
      </c>
      <c r="G312" s="1">
        <v>4</v>
      </c>
      <c r="H312" s="1">
        <v>7.68</v>
      </c>
    </row>
    <row r="313" spans="1:8">
      <c r="A313" s="1">
        <v>28</v>
      </c>
      <c r="B313" s="1" t="s">
        <v>557</v>
      </c>
      <c r="C313" s="1">
        <v>41.06</v>
      </c>
      <c r="D313" s="1" t="e">
        <f t="shared" si="31"/>
        <v>#NAME?</v>
      </c>
      <c r="E313" s="1">
        <v>0.193054</v>
      </c>
      <c r="F313" s="1">
        <f t="shared" si="32"/>
        <v>0</v>
      </c>
      <c r="G313" s="1">
        <v>4</v>
      </c>
      <c r="H313" s="1">
        <v>7.9</v>
      </c>
    </row>
    <row r="314" spans="1:8">
      <c r="A314" s="1">
        <v>29</v>
      </c>
      <c r="B314" s="1" t="s">
        <v>558</v>
      </c>
      <c r="C314" s="1">
        <v>41.53</v>
      </c>
      <c r="D314" s="1" t="e">
        <f t="shared" si="31"/>
        <v>#NAME?</v>
      </c>
      <c r="E314" s="1">
        <v>0.172787</v>
      </c>
      <c r="F314" s="1">
        <f t="shared" si="32"/>
        <v>0</v>
      </c>
      <c r="G314" s="1">
        <v>4</v>
      </c>
      <c r="H314" s="1">
        <v>8.01</v>
      </c>
    </row>
    <row r="315" spans="1:8">
      <c r="A315" s="1">
        <v>30</v>
      </c>
      <c r="B315" s="1" t="s">
        <v>559</v>
      </c>
      <c r="C315" s="1">
        <v>46.19</v>
      </c>
      <c r="D315" s="1" t="e">
        <f t="shared" si="31"/>
        <v>#NAME?</v>
      </c>
      <c r="E315" s="1">
        <v>0.21005399999999999</v>
      </c>
      <c r="F315" s="1">
        <f t="shared" si="32"/>
        <v>0</v>
      </c>
      <c r="G315" s="1">
        <v>24</v>
      </c>
      <c r="H315" s="1">
        <v>8.8000000000000007</v>
      </c>
    </row>
    <row r="316" spans="1:8">
      <c r="A316" s="1">
        <v>31</v>
      </c>
      <c r="B316" s="1" t="s">
        <v>560</v>
      </c>
      <c r="C316" s="1">
        <v>46.16</v>
      </c>
      <c r="D316" s="1" t="e">
        <f t="shared" si="31"/>
        <v>#NAME?</v>
      </c>
      <c r="E316" s="1">
        <v>0.14086399999999999</v>
      </c>
      <c r="F316" s="1">
        <f t="shared" si="32"/>
        <v>0</v>
      </c>
      <c r="G316" s="1">
        <v>2</v>
      </c>
      <c r="H316" s="1">
        <v>9.5</v>
      </c>
    </row>
    <row r="317" spans="1:8">
      <c r="A317" s="1">
        <v>32</v>
      </c>
      <c r="B317" s="1" t="s">
        <v>561</v>
      </c>
      <c r="C317" s="1">
        <v>45.01</v>
      </c>
      <c r="D317" s="1" t="e">
        <f t="shared" si="31"/>
        <v>#NAME?</v>
      </c>
      <c r="E317" s="1">
        <v>0.15479799999999999</v>
      </c>
      <c r="F317" s="1">
        <f t="shared" si="32"/>
        <v>0</v>
      </c>
      <c r="G317" s="1">
        <v>2</v>
      </c>
      <c r="H317" s="1">
        <v>8.6</v>
      </c>
    </row>
    <row r="318" spans="1:8">
      <c r="A318" s="1">
        <v>33</v>
      </c>
      <c r="B318" s="1" t="s">
        <v>562</v>
      </c>
      <c r="C318" s="1">
        <v>40.54</v>
      </c>
      <c r="D318" s="1" t="e">
        <f t="shared" ref="D318:D335" si="33">-inf</f>
        <v>#NAME?</v>
      </c>
      <c r="E318" s="1">
        <v>0.16408800000000001</v>
      </c>
      <c r="F318" s="1">
        <f t="shared" ref="F318:F335" si="34">0*(10^-6)</f>
        <v>0</v>
      </c>
      <c r="G318" s="1">
        <v>0</v>
      </c>
      <c r="H318" s="1">
        <v>7.73</v>
      </c>
    </row>
    <row r="319" spans="1:8">
      <c r="A319" s="1">
        <v>34</v>
      </c>
      <c r="B319" s="1" t="s">
        <v>563</v>
      </c>
      <c r="C319" s="1">
        <v>35.299999999999997</v>
      </c>
      <c r="D319" s="1" t="e">
        <f t="shared" si="33"/>
        <v>#NAME?</v>
      </c>
      <c r="E319" s="1">
        <v>0.152286</v>
      </c>
      <c r="F319" s="1">
        <f t="shared" si="34"/>
        <v>0</v>
      </c>
      <c r="G319" s="1">
        <v>2</v>
      </c>
      <c r="H319" s="1">
        <v>6.74</v>
      </c>
    </row>
    <row r="320" spans="1:8">
      <c r="A320" s="1">
        <v>35</v>
      </c>
      <c r="B320" s="1" t="s">
        <v>564</v>
      </c>
      <c r="C320" s="1">
        <v>41.5</v>
      </c>
      <c r="D320" s="1" t="e">
        <f t="shared" si="33"/>
        <v>#NAME?</v>
      </c>
      <c r="E320" s="1">
        <v>9.8426E-2</v>
      </c>
      <c r="F320" s="1">
        <f t="shared" si="34"/>
        <v>0</v>
      </c>
      <c r="G320" s="1">
        <v>0</v>
      </c>
      <c r="H320" s="1">
        <v>7.92</v>
      </c>
    </row>
    <row r="321" spans="1:8">
      <c r="A321" s="1">
        <v>36</v>
      </c>
      <c r="B321" s="1" t="s">
        <v>565</v>
      </c>
      <c r="C321" s="1">
        <v>45.4</v>
      </c>
      <c r="D321" s="1" t="e">
        <f t="shared" si="33"/>
        <v>#NAME?</v>
      </c>
      <c r="E321" s="1">
        <v>0.195802</v>
      </c>
      <c r="F321" s="1">
        <f t="shared" si="34"/>
        <v>0</v>
      </c>
      <c r="G321" s="1">
        <v>8</v>
      </c>
      <c r="H321" s="1">
        <v>8.92</v>
      </c>
    </row>
    <row r="322" spans="1:8">
      <c r="A322" s="1">
        <v>37</v>
      </c>
      <c r="B322" s="1" t="s">
        <v>566</v>
      </c>
      <c r="C322" s="1">
        <v>37.43</v>
      </c>
      <c r="D322" s="1" t="e">
        <f t="shared" si="33"/>
        <v>#NAME?</v>
      </c>
      <c r="E322" s="1">
        <v>0.155524</v>
      </c>
      <c r="F322" s="1">
        <f t="shared" si="34"/>
        <v>0</v>
      </c>
      <c r="G322" s="1">
        <v>30</v>
      </c>
      <c r="H322" s="1">
        <v>7.3</v>
      </c>
    </row>
    <row r="323" spans="1:8">
      <c r="A323" s="1">
        <v>38</v>
      </c>
      <c r="B323" s="1" t="s">
        <v>567</v>
      </c>
      <c r="C323" s="1">
        <v>47.89</v>
      </c>
      <c r="D323" s="1" t="e">
        <f t="shared" si="33"/>
        <v>#NAME?</v>
      </c>
      <c r="E323" s="1">
        <v>0.19778599999999999</v>
      </c>
      <c r="F323" s="1">
        <f t="shared" si="34"/>
        <v>0</v>
      </c>
      <c r="G323" s="1">
        <v>0</v>
      </c>
      <c r="H323" s="1">
        <v>9.14</v>
      </c>
    </row>
    <row r="324" spans="1:8">
      <c r="A324" s="1">
        <v>39</v>
      </c>
      <c r="B324" s="1" t="s">
        <v>568</v>
      </c>
      <c r="C324" s="1">
        <v>41.25</v>
      </c>
      <c r="D324" s="1" t="e">
        <f t="shared" si="33"/>
        <v>#NAME?</v>
      </c>
      <c r="E324" s="1">
        <v>0.17673800000000001</v>
      </c>
      <c r="F324" s="1">
        <f t="shared" si="34"/>
        <v>0</v>
      </c>
      <c r="G324" s="1">
        <v>10</v>
      </c>
      <c r="H324" s="1">
        <v>7.87</v>
      </c>
    </row>
    <row r="325" spans="1:8">
      <c r="A325" s="1">
        <v>40</v>
      </c>
      <c r="B325" s="1" t="s">
        <v>569</v>
      </c>
      <c r="C325" s="1">
        <v>43.87</v>
      </c>
      <c r="D325" s="1" t="e">
        <f t="shared" si="33"/>
        <v>#NAME?</v>
      </c>
      <c r="E325" s="1">
        <v>0.20882200000000001</v>
      </c>
      <c r="F325" s="1">
        <f t="shared" si="34"/>
        <v>0</v>
      </c>
      <c r="G325" s="1">
        <v>2</v>
      </c>
      <c r="H325" s="1">
        <v>8.41</v>
      </c>
    </row>
    <row r="326" spans="1:8">
      <c r="A326" s="1">
        <v>41</v>
      </c>
      <c r="B326" s="1" t="s">
        <v>570</v>
      </c>
      <c r="C326" s="1">
        <v>46.89</v>
      </c>
      <c r="D326" s="1" t="e">
        <f t="shared" si="33"/>
        <v>#NAME?</v>
      </c>
      <c r="E326" s="1">
        <v>0.19556699999999999</v>
      </c>
      <c r="F326" s="1">
        <f t="shared" si="34"/>
        <v>0</v>
      </c>
      <c r="G326" s="1">
        <v>0</v>
      </c>
      <c r="H326" s="1">
        <v>8.9600000000000009</v>
      </c>
    </row>
    <row r="327" spans="1:8">
      <c r="A327" s="1">
        <v>42</v>
      </c>
      <c r="B327" s="1" t="s">
        <v>571</v>
      </c>
      <c r="C327" s="1">
        <v>46.55</v>
      </c>
      <c r="D327" s="1" t="e">
        <f t="shared" si="33"/>
        <v>#NAME?</v>
      </c>
      <c r="E327" s="1">
        <v>0.17627499999999999</v>
      </c>
      <c r="F327" s="1">
        <f t="shared" si="34"/>
        <v>0</v>
      </c>
      <c r="G327" s="1">
        <v>22</v>
      </c>
      <c r="H327" s="1">
        <v>9.1300000000000008</v>
      </c>
    </row>
    <row r="328" spans="1:8">
      <c r="A328" s="1">
        <v>43</v>
      </c>
      <c r="B328" s="1" t="s">
        <v>572</v>
      </c>
      <c r="C328" s="1">
        <v>38.229999999999997</v>
      </c>
      <c r="D328" s="1" t="e">
        <f t="shared" si="33"/>
        <v>#NAME?</v>
      </c>
      <c r="E328" s="1">
        <v>0.21231800000000001</v>
      </c>
      <c r="F328" s="1">
        <f t="shared" si="34"/>
        <v>0</v>
      </c>
      <c r="G328" s="1">
        <v>0</v>
      </c>
      <c r="H328" s="1">
        <v>7.36</v>
      </c>
    </row>
    <row r="329" spans="1:8">
      <c r="A329" s="1">
        <v>44</v>
      </c>
      <c r="B329" s="1" t="s">
        <v>573</v>
      </c>
      <c r="C329" s="1">
        <v>51.72</v>
      </c>
      <c r="D329" s="1" t="e">
        <f t="shared" si="33"/>
        <v>#NAME?</v>
      </c>
      <c r="E329" s="1">
        <v>0.16794400000000001</v>
      </c>
      <c r="F329" s="1">
        <f t="shared" si="34"/>
        <v>0</v>
      </c>
      <c r="G329" s="1">
        <v>8</v>
      </c>
      <c r="H329" s="1">
        <v>9.86</v>
      </c>
    </row>
    <row r="330" spans="1:8">
      <c r="A330" s="1">
        <v>45</v>
      </c>
      <c r="B330" s="1" t="s">
        <v>574</v>
      </c>
      <c r="C330" s="1">
        <v>35.24</v>
      </c>
      <c r="D330" s="1" t="e">
        <f t="shared" si="33"/>
        <v>#NAME?</v>
      </c>
      <c r="E330" s="1">
        <v>0.20354800000000001</v>
      </c>
      <c r="F330" s="1">
        <f t="shared" si="34"/>
        <v>0</v>
      </c>
      <c r="G330" s="1">
        <v>2</v>
      </c>
      <c r="H330" s="1">
        <v>6.76</v>
      </c>
    </row>
    <row r="331" spans="1:8">
      <c r="A331" s="1">
        <v>46</v>
      </c>
      <c r="B331" s="1" t="s">
        <v>575</v>
      </c>
      <c r="C331" s="1">
        <v>42.82</v>
      </c>
      <c r="D331" s="1" t="e">
        <f t="shared" si="33"/>
        <v>#NAME?</v>
      </c>
      <c r="E331" s="1">
        <v>0.194745</v>
      </c>
      <c r="F331" s="1">
        <f t="shared" si="34"/>
        <v>0</v>
      </c>
      <c r="G331" s="1">
        <v>0</v>
      </c>
      <c r="H331" s="1">
        <v>8.18</v>
      </c>
    </row>
    <row r="332" spans="1:8">
      <c r="A332" s="1">
        <v>47</v>
      </c>
      <c r="B332" s="1" t="s">
        <v>576</v>
      </c>
      <c r="C332" s="1">
        <v>34.520000000000003</v>
      </c>
      <c r="D332" s="1" t="e">
        <f t="shared" si="33"/>
        <v>#NAME?</v>
      </c>
      <c r="E332" s="1">
        <v>0.19717899999999999</v>
      </c>
      <c r="F332" s="1">
        <f t="shared" si="34"/>
        <v>0</v>
      </c>
      <c r="G332" s="1">
        <v>4</v>
      </c>
      <c r="H332" s="1">
        <v>6.69</v>
      </c>
    </row>
    <row r="333" spans="1:8">
      <c r="A333" s="1">
        <v>48</v>
      </c>
      <c r="B333" s="1" t="s">
        <v>577</v>
      </c>
      <c r="C333" s="1">
        <v>49.04</v>
      </c>
      <c r="D333" s="1" t="e">
        <f t="shared" si="33"/>
        <v>#NAME?</v>
      </c>
      <c r="E333" s="1">
        <v>0.144207</v>
      </c>
      <c r="F333" s="1">
        <f t="shared" si="34"/>
        <v>0</v>
      </c>
      <c r="G333" s="1">
        <v>18</v>
      </c>
      <c r="H333" s="1">
        <v>10.16</v>
      </c>
    </row>
    <row r="334" spans="1:8">
      <c r="A334" s="1">
        <v>49</v>
      </c>
      <c r="B334" s="1" t="s">
        <v>578</v>
      </c>
      <c r="C334" s="1">
        <v>47.49</v>
      </c>
      <c r="D334" s="1" t="e">
        <f t="shared" si="33"/>
        <v>#NAME?</v>
      </c>
      <c r="E334" s="1">
        <v>0.14977699999999999</v>
      </c>
      <c r="F334" s="1">
        <f t="shared" si="34"/>
        <v>0</v>
      </c>
      <c r="G334" s="1">
        <v>4</v>
      </c>
      <c r="H334" s="1">
        <v>9.31</v>
      </c>
    </row>
    <row r="335" spans="1:8">
      <c r="A335" s="1">
        <v>50</v>
      </c>
      <c r="B335" s="1" t="s">
        <v>579</v>
      </c>
      <c r="C335" s="1">
        <v>35.04</v>
      </c>
      <c r="D335" s="1" t="e">
        <f t="shared" si="33"/>
        <v>#NAME?</v>
      </c>
      <c r="E335" s="1">
        <v>0.154945</v>
      </c>
      <c r="F335" s="1">
        <f t="shared" si="34"/>
        <v>0</v>
      </c>
      <c r="G335" s="1">
        <v>16</v>
      </c>
      <c r="H335" s="1">
        <v>6.69</v>
      </c>
    </row>
    <row r="336" spans="1:8">
      <c r="B336" s="1" t="s">
        <v>19</v>
      </c>
      <c r="C336" s="1">
        <f>AVERAGE(C286:C335)</f>
        <v>44.018799999999999</v>
      </c>
      <c r="D336" s="1" t="e">
        <f t="shared" ref="D336:F336" si="35">AVERAGE(D286:D335)</f>
        <v>#NAME?</v>
      </c>
      <c r="E336" s="1">
        <f t="shared" si="35"/>
        <v>0.17319003999999999</v>
      </c>
      <c r="F336" s="1">
        <f t="shared" si="35"/>
        <v>0</v>
      </c>
      <c r="H336" s="1">
        <f t="shared" ref="H336" si="36">AVERAGE(H286:H335)</f>
        <v>8.4960000000000022</v>
      </c>
    </row>
    <row r="337" spans="1:8">
      <c r="B337" s="1" t="s">
        <v>20</v>
      </c>
      <c r="C337" s="1">
        <f>MIN(C285:C335)</f>
        <v>34.520000000000003</v>
      </c>
      <c r="D337" s="1" t="e">
        <f t="shared" ref="D337:F337" si="37">MIN(D285:D335)</f>
        <v>#NAME?</v>
      </c>
      <c r="E337" s="1">
        <f t="shared" si="37"/>
        <v>9.8426E-2</v>
      </c>
      <c r="F337" s="1">
        <f t="shared" si="37"/>
        <v>0</v>
      </c>
      <c r="H337" s="1">
        <f t="shared" ref="H337" si="38">MIN(H285:H335)</f>
        <v>6.69</v>
      </c>
    </row>
    <row r="338" spans="1:8">
      <c r="B338" s="1" t="s">
        <v>3</v>
      </c>
      <c r="C338" s="1">
        <f>STDEV(C286:C335)</f>
        <v>6.2837213204162214</v>
      </c>
      <c r="D338" s="1" t="e">
        <f t="shared" ref="D338:E338" si="39">STDEV(D286:D335)</f>
        <v>#NAME?</v>
      </c>
      <c r="E338" s="1">
        <f t="shared" si="39"/>
        <v>2.8623464451789482E-2</v>
      </c>
      <c r="F338" s="1">
        <f>STDEV(F286:F335)</f>
        <v>0</v>
      </c>
      <c r="H338" s="1">
        <f>STDEV(H286:H335)</f>
        <v>1.2569171875372291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1284</v>
      </c>
      <c r="C342" s="1">
        <v>43.11</v>
      </c>
      <c r="D342" s="1" t="e">
        <f t="shared" ref="D342:D373" si="40">-inf</f>
        <v>#NAME?</v>
      </c>
      <c r="E342" s="1">
        <v>0.14402100000000001</v>
      </c>
      <c r="F342" s="1">
        <v>0</v>
      </c>
      <c r="G342" s="1">
        <v>0</v>
      </c>
      <c r="H342" s="1">
        <v>8.5500000000000007</v>
      </c>
    </row>
    <row r="343" spans="1:8">
      <c r="A343" s="1">
        <v>2</v>
      </c>
      <c r="B343" s="1" t="s">
        <v>1285</v>
      </c>
      <c r="C343" s="1">
        <v>45.08</v>
      </c>
      <c r="D343" s="1" t="e">
        <f t="shared" si="40"/>
        <v>#NAME?</v>
      </c>
      <c r="E343" s="1">
        <v>0.15143499999999999</v>
      </c>
      <c r="F343" s="1">
        <v>0</v>
      </c>
      <c r="G343" s="1">
        <v>8</v>
      </c>
      <c r="H343" s="1">
        <v>8.91</v>
      </c>
    </row>
    <row r="344" spans="1:8">
      <c r="A344" s="1">
        <v>3</v>
      </c>
      <c r="B344" s="1" t="s">
        <v>1286</v>
      </c>
      <c r="C344" s="1">
        <v>49.48</v>
      </c>
      <c r="D344" s="1" t="e">
        <f t="shared" si="40"/>
        <v>#NAME?</v>
      </c>
      <c r="E344" s="1">
        <v>0.17629500000000001</v>
      </c>
      <c r="F344" s="1">
        <v>0</v>
      </c>
      <c r="G344" s="1">
        <v>2</v>
      </c>
      <c r="H344" s="1">
        <v>9.51</v>
      </c>
    </row>
    <row r="345" spans="1:8">
      <c r="A345" s="1">
        <v>4</v>
      </c>
      <c r="B345" s="1" t="s">
        <v>1287</v>
      </c>
      <c r="C345" s="1">
        <v>40.99</v>
      </c>
      <c r="D345" s="1" t="e">
        <f t="shared" si="40"/>
        <v>#NAME?</v>
      </c>
      <c r="E345" s="1">
        <v>0.138269</v>
      </c>
      <c r="F345" s="1">
        <v>0</v>
      </c>
      <c r="G345" s="1">
        <v>4</v>
      </c>
      <c r="H345" s="1">
        <v>7.87</v>
      </c>
    </row>
    <row r="346" spans="1:8">
      <c r="A346" s="1">
        <v>5</v>
      </c>
      <c r="B346" s="1" t="s">
        <v>1288</v>
      </c>
      <c r="C346" s="1">
        <v>54.26</v>
      </c>
      <c r="D346" s="1" t="e">
        <f t="shared" si="40"/>
        <v>#NAME?</v>
      </c>
      <c r="E346" s="1">
        <v>0.14934600000000001</v>
      </c>
      <c r="F346" s="1">
        <v>0</v>
      </c>
      <c r="G346" s="1">
        <v>12</v>
      </c>
      <c r="H346" s="1">
        <v>10.4</v>
      </c>
    </row>
    <row r="347" spans="1:8">
      <c r="A347" s="1">
        <v>6</v>
      </c>
      <c r="B347" s="1" t="s">
        <v>1289</v>
      </c>
      <c r="C347" s="1">
        <v>48.58</v>
      </c>
      <c r="D347" s="1" t="e">
        <f t="shared" si="40"/>
        <v>#NAME?</v>
      </c>
      <c r="E347" s="1">
        <v>0.14718600000000001</v>
      </c>
      <c r="F347" s="1">
        <v>0</v>
      </c>
      <c r="G347" s="1">
        <v>8</v>
      </c>
      <c r="H347" s="1">
        <v>9.2899999999999991</v>
      </c>
    </row>
    <row r="348" spans="1:8">
      <c r="A348" s="1">
        <v>7</v>
      </c>
      <c r="B348" s="1" t="s">
        <v>1290</v>
      </c>
      <c r="C348" s="1">
        <v>34.020000000000003</v>
      </c>
      <c r="D348" s="1" t="e">
        <f t="shared" si="40"/>
        <v>#NAME?</v>
      </c>
      <c r="E348" s="1">
        <v>0.140876</v>
      </c>
      <c r="F348" s="1">
        <v>0</v>
      </c>
      <c r="G348" s="1">
        <v>0</v>
      </c>
      <c r="H348" s="1">
        <v>6.49</v>
      </c>
    </row>
    <row r="349" spans="1:8">
      <c r="A349" s="1">
        <v>8</v>
      </c>
      <c r="B349" s="1" t="s">
        <v>1291</v>
      </c>
      <c r="C349" s="1">
        <v>38.54</v>
      </c>
      <c r="D349" s="1" t="e">
        <f t="shared" si="40"/>
        <v>#NAME?</v>
      </c>
      <c r="E349" s="1">
        <v>0.19114900000000001</v>
      </c>
      <c r="F349" s="1">
        <v>0</v>
      </c>
      <c r="G349" s="1">
        <v>4</v>
      </c>
      <c r="H349" s="1">
        <v>7.36</v>
      </c>
    </row>
    <row r="350" spans="1:8">
      <c r="A350" s="1">
        <v>9</v>
      </c>
      <c r="B350" s="1" t="s">
        <v>1292</v>
      </c>
      <c r="C350" s="1">
        <v>35.630000000000003</v>
      </c>
      <c r="D350" s="1" t="e">
        <f t="shared" si="40"/>
        <v>#NAME?</v>
      </c>
      <c r="E350" s="1">
        <v>0.100996</v>
      </c>
      <c r="F350" s="1">
        <v>0</v>
      </c>
      <c r="G350" s="1">
        <v>4</v>
      </c>
      <c r="H350" s="1">
        <v>6.79</v>
      </c>
    </row>
    <row r="351" spans="1:8">
      <c r="A351" s="1">
        <v>10</v>
      </c>
      <c r="B351" s="1" t="s">
        <v>1293</v>
      </c>
      <c r="C351" s="1">
        <v>29.83</v>
      </c>
      <c r="D351" s="1" t="e">
        <f t="shared" si="40"/>
        <v>#NAME?</v>
      </c>
      <c r="E351" s="1">
        <v>0.137487</v>
      </c>
      <c r="F351" s="1">
        <v>0</v>
      </c>
      <c r="G351" s="1">
        <v>4</v>
      </c>
      <c r="H351" s="1">
        <v>5.82</v>
      </c>
    </row>
    <row r="352" spans="1:8">
      <c r="A352" s="1">
        <v>11</v>
      </c>
      <c r="B352" s="1" t="s">
        <v>1294</v>
      </c>
      <c r="C352" s="1">
        <v>36.56</v>
      </c>
      <c r="D352" s="1" t="e">
        <f t="shared" si="40"/>
        <v>#NAME?</v>
      </c>
      <c r="E352" s="1">
        <v>0.13359499999999999</v>
      </c>
      <c r="F352" s="1">
        <v>0</v>
      </c>
      <c r="G352" s="1">
        <v>2</v>
      </c>
      <c r="H352" s="1">
        <v>6.97</v>
      </c>
    </row>
    <row r="353" spans="1:8">
      <c r="A353" s="1">
        <v>12</v>
      </c>
      <c r="B353" s="1" t="s">
        <v>1295</v>
      </c>
      <c r="C353" s="1">
        <v>35.21</v>
      </c>
      <c r="D353" s="1" t="e">
        <f t="shared" si="40"/>
        <v>#NAME?</v>
      </c>
      <c r="E353" s="1">
        <v>0.17247899999999999</v>
      </c>
      <c r="F353" s="1">
        <v>0</v>
      </c>
      <c r="G353" s="1">
        <v>30</v>
      </c>
      <c r="H353" s="1">
        <v>6.8</v>
      </c>
    </row>
    <row r="354" spans="1:8">
      <c r="A354" s="1">
        <v>13</v>
      </c>
      <c r="B354" s="1" t="s">
        <v>1296</v>
      </c>
      <c r="C354" s="1">
        <v>41.79</v>
      </c>
      <c r="D354" s="1" t="e">
        <f t="shared" si="40"/>
        <v>#NAME?</v>
      </c>
      <c r="E354" s="1">
        <v>0.204573</v>
      </c>
      <c r="F354" s="1">
        <v>0</v>
      </c>
      <c r="G354" s="1">
        <v>16</v>
      </c>
      <c r="H354" s="1">
        <v>7.99</v>
      </c>
    </row>
    <row r="355" spans="1:8">
      <c r="A355" s="1">
        <v>14</v>
      </c>
      <c r="B355" s="1" t="s">
        <v>1297</v>
      </c>
      <c r="C355" s="1">
        <v>57.91</v>
      </c>
      <c r="D355" s="1" t="e">
        <f t="shared" si="40"/>
        <v>#NAME?</v>
      </c>
      <c r="E355" s="1">
        <v>0.168494</v>
      </c>
      <c r="F355" s="1">
        <v>0</v>
      </c>
      <c r="G355" s="1">
        <v>0</v>
      </c>
      <c r="H355" s="1">
        <v>11.2</v>
      </c>
    </row>
    <row r="356" spans="1:8">
      <c r="A356" s="1">
        <v>15</v>
      </c>
      <c r="B356" s="1" t="s">
        <v>1298</v>
      </c>
      <c r="C356" s="1">
        <v>37.78</v>
      </c>
      <c r="D356" s="1" t="e">
        <f t="shared" si="40"/>
        <v>#NAME?</v>
      </c>
      <c r="E356" s="1">
        <v>0.15240999999999999</v>
      </c>
      <c r="F356" s="1">
        <v>0</v>
      </c>
      <c r="G356" s="1">
        <v>12</v>
      </c>
      <c r="H356" s="1">
        <v>7.36</v>
      </c>
    </row>
    <row r="357" spans="1:8">
      <c r="A357" s="1">
        <v>16</v>
      </c>
      <c r="B357" s="1" t="s">
        <v>1299</v>
      </c>
      <c r="C357" s="1">
        <v>34.94</v>
      </c>
      <c r="D357" s="1" t="e">
        <f t="shared" si="40"/>
        <v>#NAME?</v>
      </c>
      <c r="E357" s="1">
        <v>0.17463000000000001</v>
      </c>
      <c r="F357" s="1">
        <v>0</v>
      </c>
      <c r="G357" s="1">
        <v>0</v>
      </c>
      <c r="H357" s="1">
        <v>6.85</v>
      </c>
    </row>
    <row r="358" spans="1:8">
      <c r="A358" s="1">
        <v>17</v>
      </c>
      <c r="B358" s="1" t="s">
        <v>1300</v>
      </c>
      <c r="C358" s="1">
        <v>39.28</v>
      </c>
      <c r="D358" s="1" t="e">
        <f t="shared" si="40"/>
        <v>#NAME?</v>
      </c>
      <c r="E358" s="1">
        <v>0.124306</v>
      </c>
      <c r="F358" s="1">
        <v>0</v>
      </c>
      <c r="G358" s="1">
        <v>2</v>
      </c>
      <c r="H358" s="1">
        <v>7.49</v>
      </c>
    </row>
    <row r="359" spans="1:8">
      <c r="A359" s="1">
        <v>18</v>
      </c>
      <c r="B359" s="1" t="s">
        <v>1301</v>
      </c>
      <c r="C359" s="1">
        <v>36.19</v>
      </c>
      <c r="D359" s="1" t="e">
        <f t="shared" si="40"/>
        <v>#NAME?</v>
      </c>
      <c r="E359" s="1">
        <v>0.19736400000000001</v>
      </c>
      <c r="F359" s="1">
        <v>0</v>
      </c>
      <c r="G359" s="1">
        <v>2</v>
      </c>
      <c r="H359" s="1">
        <v>6.93</v>
      </c>
    </row>
    <row r="360" spans="1:8">
      <c r="A360" s="1">
        <v>19</v>
      </c>
      <c r="B360" s="1" t="s">
        <v>1302</v>
      </c>
      <c r="C360" s="1">
        <v>28.42</v>
      </c>
      <c r="D360" s="1" t="e">
        <f t="shared" si="40"/>
        <v>#NAME?</v>
      </c>
      <c r="E360" s="1">
        <v>0.190863</v>
      </c>
      <c r="F360" s="1">
        <v>0</v>
      </c>
      <c r="G360" s="1">
        <v>0</v>
      </c>
      <c r="H360" s="1">
        <v>5.41</v>
      </c>
    </row>
    <row r="361" spans="1:8">
      <c r="A361" s="1">
        <v>20</v>
      </c>
      <c r="B361" s="1" t="s">
        <v>1303</v>
      </c>
      <c r="C361" s="1">
        <v>45.32</v>
      </c>
      <c r="D361" s="1" t="e">
        <f t="shared" si="40"/>
        <v>#NAME?</v>
      </c>
      <c r="E361" s="1">
        <v>0.150644</v>
      </c>
      <c r="F361" s="1">
        <v>0</v>
      </c>
      <c r="G361" s="1">
        <v>16</v>
      </c>
      <c r="H361" s="1">
        <v>8.8699999999999992</v>
      </c>
    </row>
    <row r="362" spans="1:8">
      <c r="A362" s="1">
        <v>21</v>
      </c>
      <c r="B362" s="1" t="s">
        <v>1304</v>
      </c>
      <c r="C362" s="1">
        <v>38.07</v>
      </c>
      <c r="D362" s="1" t="e">
        <f t="shared" si="40"/>
        <v>#NAME?</v>
      </c>
      <c r="E362" s="1">
        <v>0.127609</v>
      </c>
      <c r="F362" s="1">
        <v>0</v>
      </c>
      <c r="G362" s="1">
        <v>4</v>
      </c>
      <c r="H362" s="1">
        <v>7.42</v>
      </c>
    </row>
    <row r="363" spans="1:8">
      <c r="A363" s="1">
        <v>22</v>
      </c>
      <c r="B363" s="1" t="s">
        <v>1305</v>
      </c>
      <c r="C363" s="1">
        <v>34.94</v>
      </c>
      <c r="D363" s="1" t="e">
        <f t="shared" si="40"/>
        <v>#NAME?</v>
      </c>
      <c r="E363" s="1">
        <v>0.107724</v>
      </c>
      <c r="F363" s="1">
        <v>0</v>
      </c>
      <c r="G363" s="1">
        <v>0</v>
      </c>
      <c r="H363" s="1">
        <v>6.67</v>
      </c>
    </row>
    <row r="364" spans="1:8">
      <c r="A364" s="1">
        <v>23</v>
      </c>
      <c r="B364" s="1" t="s">
        <v>1306</v>
      </c>
      <c r="C364" s="1">
        <v>42.35</v>
      </c>
      <c r="D364" s="1" t="e">
        <f t="shared" si="40"/>
        <v>#NAME?</v>
      </c>
      <c r="E364" s="1">
        <v>0.170822</v>
      </c>
      <c r="F364" s="1">
        <v>0</v>
      </c>
      <c r="G364" s="1">
        <v>0</v>
      </c>
      <c r="H364" s="1">
        <v>8.06</v>
      </c>
    </row>
    <row r="365" spans="1:8">
      <c r="A365" s="1">
        <v>24</v>
      </c>
      <c r="B365" s="1" t="s">
        <v>1307</v>
      </c>
      <c r="C365" s="1">
        <v>46.75</v>
      </c>
      <c r="D365" s="1" t="e">
        <f t="shared" si="40"/>
        <v>#NAME?</v>
      </c>
      <c r="E365" s="1">
        <v>0.15987299999999999</v>
      </c>
      <c r="F365" s="1">
        <v>0</v>
      </c>
      <c r="G365" s="1">
        <v>2</v>
      </c>
      <c r="H365" s="1">
        <v>9.19</v>
      </c>
    </row>
    <row r="366" spans="1:8">
      <c r="A366" s="1">
        <v>25</v>
      </c>
      <c r="B366" s="1" t="s">
        <v>1308</v>
      </c>
      <c r="C366" s="1">
        <v>30.37</v>
      </c>
      <c r="D366" s="1" t="e">
        <f t="shared" si="40"/>
        <v>#NAME?</v>
      </c>
      <c r="E366" s="1">
        <v>0.161331</v>
      </c>
      <c r="F366" s="1">
        <v>0</v>
      </c>
      <c r="G366" s="1">
        <v>2</v>
      </c>
      <c r="H366" s="1">
        <v>5.79</v>
      </c>
    </row>
    <row r="367" spans="1:8">
      <c r="A367" s="1">
        <v>26</v>
      </c>
      <c r="B367" s="1" t="s">
        <v>1309</v>
      </c>
      <c r="C367" s="1">
        <v>39.51</v>
      </c>
      <c r="D367" s="1" t="e">
        <f t="shared" si="40"/>
        <v>#NAME?</v>
      </c>
      <c r="E367" s="1">
        <v>0.20852799999999999</v>
      </c>
      <c r="F367" s="1">
        <v>0</v>
      </c>
      <c r="G367" s="1">
        <v>0</v>
      </c>
      <c r="H367" s="1">
        <v>7.55</v>
      </c>
    </row>
    <row r="368" spans="1:8">
      <c r="A368" s="1">
        <v>27</v>
      </c>
      <c r="B368" s="1" t="s">
        <v>1310</v>
      </c>
      <c r="C368" s="1">
        <v>38.69</v>
      </c>
      <c r="D368" s="1" t="e">
        <f t="shared" si="40"/>
        <v>#NAME?</v>
      </c>
      <c r="E368" s="1">
        <v>0.14053499999999999</v>
      </c>
      <c r="F368" s="1">
        <v>0</v>
      </c>
      <c r="G368" s="1">
        <v>2</v>
      </c>
      <c r="H368" s="1">
        <v>7.4</v>
      </c>
    </row>
    <row r="369" spans="1:8">
      <c r="A369" s="1">
        <v>28</v>
      </c>
      <c r="B369" s="1" t="s">
        <v>1311</v>
      </c>
      <c r="C369" s="1">
        <v>33.340000000000003</v>
      </c>
      <c r="D369" s="1" t="e">
        <f t="shared" si="40"/>
        <v>#NAME?</v>
      </c>
      <c r="E369" s="1">
        <v>0.182864</v>
      </c>
      <c r="F369" s="1">
        <v>0</v>
      </c>
      <c r="G369" s="1">
        <v>4</v>
      </c>
      <c r="H369" s="1">
        <v>6.36</v>
      </c>
    </row>
    <row r="370" spans="1:8">
      <c r="A370" s="1">
        <v>29</v>
      </c>
      <c r="B370" s="1" t="s">
        <v>1312</v>
      </c>
      <c r="C370" s="1">
        <v>48.35</v>
      </c>
      <c r="D370" s="1" t="e">
        <f t="shared" si="40"/>
        <v>#NAME?</v>
      </c>
      <c r="E370" s="1">
        <v>0.15476100000000001</v>
      </c>
      <c r="F370" s="1">
        <v>0</v>
      </c>
      <c r="G370" s="1">
        <v>8</v>
      </c>
      <c r="H370" s="1">
        <v>9.3699999999999992</v>
      </c>
    </row>
    <row r="371" spans="1:8">
      <c r="A371" s="1">
        <v>30</v>
      </c>
      <c r="B371" s="1" t="s">
        <v>1313</v>
      </c>
      <c r="C371" s="1">
        <v>32.25</v>
      </c>
      <c r="D371" s="1" t="e">
        <f t="shared" si="40"/>
        <v>#NAME?</v>
      </c>
      <c r="E371" s="1">
        <v>0.202595</v>
      </c>
      <c r="F371" s="1">
        <v>0</v>
      </c>
      <c r="G371" s="1">
        <v>24</v>
      </c>
      <c r="H371" s="1">
        <v>6.16</v>
      </c>
    </row>
    <row r="372" spans="1:8">
      <c r="A372" s="1">
        <v>31</v>
      </c>
      <c r="B372" s="1" t="s">
        <v>1314</v>
      </c>
      <c r="C372" s="1">
        <v>42.59</v>
      </c>
      <c r="D372" s="1" t="e">
        <f t="shared" si="40"/>
        <v>#NAME?</v>
      </c>
      <c r="E372" s="1">
        <v>0.14401</v>
      </c>
      <c r="F372" s="1">
        <v>0</v>
      </c>
      <c r="G372" s="1">
        <v>0</v>
      </c>
      <c r="H372" s="1">
        <v>8.18</v>
      </c>
    </row>
    <row r="373" spans="1:8">
      <c r="A373" s="1">
        <v>32</v>
      </c>
      <c r="B373" s="1" t="s">
        <v>1315</v>
      </c>
      <c r="C373" s="1">
        <v>37.4</v>
      </c>
      <c r="D373" s="1" t="e">
        <f t="shared" si="40"/>
        <v>#NAME?</v>
      </c>
      <c r="E373" s="1">
        <v>0.19455600000000001</v>
      </c>
      <c r="F373" s="1">
        <v>0</v>
      </c>
      <c r="G373" s="1">
        <v>4</v>
      </c>
      <c r="H373" s="1">
        <v>7.15</v>
      </c>
    </row>
    <row r="374" spans="1:8">
      <c r="A374" s="1">
        <v>33</v>
      </c>
      <c r="B374" s="1" t="s">
        <v>1316</v>
      </c>
      <c r="C374" s="1">
        <v>45.62</v>
      </c>
      <c r="D374" s="1" t="e">
        <f t="shared" ref="D374:D391" si="41">-inf</f>
        <v>#NAME?</v>
      </c>
      <c r="E374" s="1">
        <v>0.17943600000000001</v>
      </c>
      <c r="F374" s="1">
        <v>0</v>
      </c>
      <c r="G374" s="1">
        <v>2</v>
      </c>
      <c r="H374" s="1">
        <v>8.6999999999999993</v>
      </c>
    </row>
    <row r="375" spans="1:8">
      <c r="A375" s="1">
        <v>34</v>
      </c>
      <c r="B375" s="1" t="s">
        <v>1317</v>
      </c>
      <c r="C375" s="1">
        <v>38</v>
      </c>
      <c r="D375" s="1" t="e">
        <f t="shared" si="41"/>
        <v>#NAME?</v>
      </c>
      <c r="E375" s="1">
        <v>0.157111</v>
      </c>
      <c r="F375" s="1">
        <v>0</v>
      </c>
      <c r="G375" s="1">
        <v>8</v>
      </c>
      <c r="H375" s="1">
        <v>7.25</v>
      </c>
    </row>
    <row r="376" spans="1:8">
      <c r="A376" s="1">
        <v>35</v>
      </c>
      <c r="B376" s="1" t="s">
        <v>1318</v>
      </c>
      <c r="C376" s="1">
        <v>38.770000000000003</v>
      </c>
      <c r="D376" s="1" t="e">
        <f t="shared" si="41"/>
        <v>#NAME?</v>
      </c>
      <c r="E376" s="1">
        <v>0.15500700000000001</v>
      </c>
      <c r="F376" s="1">
        <v>0</v>
      </c>
      <c r="G376" s="1">
        <v>4</v>
      </c>
      <c r="H376" s="1">
        <v>7.46</v>
      </c>
    </row>
    <row r="377" spans="1:8">
      <c r="A377" s="1">
        <v>36</v>
      </c>
      <c r="B377" s="1" t="s">
        <v>1319</v>
      </c>
      <c r="C377" s="1">
        <v>43.97</v>
      </c>
      <c r="D377" s="1" t="e">
        <f t="shared" si="41"/>
        <v>#NAME?</v>
      </c>
      <c r="E377" s="1">
        <v>0.192912</v>
      </c>
      <c r="F377" s="1">
        <v>0</v>
      </c>
      <c r="G377" s="1">
        <v>8</v>
      </c>
      <c r="H377" s="1">
        <v>8.43</v>
      </c>
    </row>
    <row r="378" spans="1:8">
      <c r="A378" s="1">
        <v>37</v>
      </c>
      <c r="B378" s="1" t="s">
        <v>1320</v>
      </c>
      <c r="C378" s="1">
        <v>35.89</v>
      </c>
      <c r="D378" s="1" t="e">
        <f t="shared" si="41"/>
        <v>#NAME?</v>
      </c>
      <c r="E378" s="1">
        <v>0.19304499999999999</v>
      </c>
      <c r="F378" s="1">
        <v>0</v>
      </c>
      <c r="G378" s="1">
        <v>0</v>
      </c>
      <c r="H378" s="1">
        <v>6.89</v>
      </c>
    </row>
    <row r="379" spans="1:8">
      <c r="A379" s="1">
        <v>38</v>
      </c>
      <c r="B379" s="1" t="s">
        <v>1321</v>
      </c>
      <c r="C379" s="1">
        <v>37.31</v>
      </c>
      <c r="D379" s="1" t="e">
        <f t="shared" si="41"/>
        <v>#NAME?</v>
      </c>
      <c r="E379" s="1">
        <v>0.12861</v>
      </c>
      <c r="F379" s="1">
        <v>0</v>
      </c>
      <c r="G379" s="1">
        <v>0</v>
      </c>
      <c r="H379" s="1">
        <v>7.15</v>
      </c>
    </row>
    <row r="380" spans="1:8">
      <c r="A380" s="1">
        <v>39</v>
      </c>
      <c r="B380" s="1" t="s">
        <v>1322</v>
      </c>
      <c r="C380" s="1">
        <v>44.43</v>
      </c>
      <c r="D380" s="1" t="e">
        <f t="shared" si="41"/>
        <v>#NAME?</v>
      </c>
      <c r="E380" s="1">
        <v>0.12781400000000001</v>
      </c>
      <c r="F380" s="1">
        <v>0</v>
      </c>
      <c r="G380" s="1">
        <v>8</v>
      </c>
      <c r="H380" s="1">
        <v>9.15</v>
      </c>
    </row>
    <row r="381" spans="1:8">
      <c r="A381" s="1">
        <v>40</v>
      </c>
      <c r="B381" s="1" t="s">
        <v>1323</v>
      </c>
      <c r="C381" s="1">
        <v>40.06</v>
      </c>
      <c r="D381" s="1" t="e">
        <f t="shared" si="41"/>
        <v>#NAME?</v>
      </c>
      <c r="E381" s="1">
        <v>0.13631099999999999</v>
      </c>
      <c r="F381" s="1">
        <v>0</v>
      </c>
      <c r="G381" s="1">
        <v>12</v>
      </c>
      <c r="H381" s="1">
        <v>7.62</v>
      </c>
    </row>
    <row r="382" spans="1:8">
      <c r="A382" s="1">
        <v>41</v>
      </c>
      <c r="B382" s="1" t="s">
        <v>1324</v>
      </c>
      <c r="C382" s="1">
        <v>31.4</v>
      </c>
      <c r="D382" s="1" t="e">
        <f t="shared" si="41"/>
        <v>#NAME?</v>
      </c>
      <c r="E382" s="1">
        <v>0.15690799999999999</v>
      </c>
      <c r="F382" s="1">
        <v>0</v>
      </c>
      <c r="G382" s="1">
        <v>0</v>
      </c>
      <c r="H382" s="1">
        <v>6.02</v>
      </c>
    </row>
    <row r="383" spans="1:8">
      <c r="A383" s="1">
        <v>42</v>
      </c>
      <c r="B383" s="1" t="s">
        <v>1325</v>
      </c>
      <c r="C383" s="1">
        <v>38.86</v>
      </c>
      <c r="D383" s="1" t="e">
        <f t="shared" si="41"/>
        <v>#NAME?</v>
      </c>
      <c r="E383" s="1">
        <v>0.14030300000000001</v>
      </c>
      <c r="F383" s="1">
        <v>0</v>
      </c>
      <c r="G383" s="1">
        <v>2</v>
      </c>
      <c r="H383" s="1">
        <v>7.39</v>
      </c>
    </row>
    <row r="384" spans="1:8">
      <c r="A384" s="1">
        <v>43</v>
      </c>
      <c r="B384" s="1" t="s">
        <v>1326</v>
      </c>
      <c r="C384" s="1">
        <v>45.42</v>
      </c>
      <c r="D384" s="1" t="e">
        <f t="shared" si="41"/>
        <v>#NAME?</v>
      </c>
      <c r="E384" s="1">
        <v>0.13488</v>
      </c>
      <c r="F384" s="1">
        <v>0</v>
      </c>
      <c r="G384" s="1">
        <v>4</v>
      </c>
      <c r="H384" s="1">
        <v>8.7899999999999991</v>
      </c>
    </row>
    <row r="385" spans="1:8">
      <c r="A385" s="1">
        <v>44</v>
      </c>
      <c r="B385" s="1" t="s">
        <v>1327</v>
      </c>
      <c r="C385" s="1">
        <v>44.8</v>
      </c>
      <c r="D385" s="1" t="e">
        <f t="shared" si="41"/>
        <v>#NAME?</v>
      </c>
      <c r="E385" s="1">
        <v>0.15468899999999999</v>
      </c>
      <c r="F385" s="1">
        <v>0</v>
      </c>
      <c r="G385" s="1">
        <v>0</v>
      </c>
      <c r="H385" s="1">
        <v>8.6300000000000008</v>
      </c>
    </row>
    <row r="386" spans="1:8">
      <c r="A386" s="1">
        <v>45</v>
      </c>
      <c r="B386" s="1" t="s">
        <v>1328</v>
      </c>
      <c r="C386" s="1">
        <v>41.96</v>
      </c>
      <c r="D386" s="1" t="e">
        <f t="shared" si="41"/>
        <v>#NAME?</v>
      </c>
      <c r="E386" s="1">
        <v>0.16522800000000001</v>
      </c>
      <c r="F386" s="1">
        <v>0</v>
      </c>
      <c r="G386" s="1">
        <v>10</v>
      </c>
      <c r="H386" s="1">
        <v>8.0399999999999991</v>
      </c>
    </row>
    <row r="387" spans="1:8">
      <c r="A387" s="1">
        <v>46</v>
      </c>
      <c r="B387" s="1" t="s">
        <v>1329</v>
      </c>
      <c r="C387" s="1">
        <v>33.1</v>
      </c>
      <c r="D387" s="1" t="e">
        <f t="shared" si="41"/>
        <v>#NAME?</v>
      </c>
      <c r="E387" s="1">
        <v>0.139705</v>
      </c>
      <c r="F387" s="1">
        <v>0</v>
      </c>
      <c r="G387" s="1">
        <v>2</v>
      </c>
      <c r="H387" s="1">
        <v>6.38</v>
      </c>
    </row>
    <row r="388" spans="1:8">
      <c r="A388" s="1">
        <v>47</v>
      </c>
      <c r="B388" s="1" t="s">
        <v>1330</v>
      </c>
      <c r="C388" s="1">
        <v>35.880000000000003</v>
      </c>
      <c r="D388" s="1" t="e">
        <f t="shared" si="41"/>
        <v>#NAME?</v>
      </c>
      <c r="E388" s="1">
        <v>0.16303100000000001</v>
      </c>
      <c r="F388" s="1">
        <v>0</v>
      </c>
      <c r="G388" s="1">
        <v>2</v>
      </c>
      <c r="H388" s="1">
        <v>6.83</v>
      </c>
    </row>
    <row r="389" spans="1:8">
      <c r="A389" s="1">
        <v>48</v>
      </c>
      <c r="B389" s="1" t="s">
        <v>1331</v>
      </c>
      <c r="C389" s="1">
        <v>41.28</v>
      </c>
      <c r="D389" s="1" t="e">
        <f t="shared" si="41"/>
        <v>#NAME?</v>
      </c>
      <c r="E389" s="1">
        <v>0.17605299999999999</v>
      </c>
      <c r="F389" s="1">
        <v>0</v>
      </c>
      <c r="G389" s="1">
        <v>2</v>
      </c>
      <c r="H389" s="1">
        <v>7.84</v>
      </c>
    </row>
    <row r="390" spans="1:8">
      <c r="A390" s="1">
        <v>49</v>
      </c>
      <c r="B390" s="1" t="s">
        <v>1332</v>
      </c>
      <c r="C390" s="1">
        <v>35.909999999999997</v>
      </c>
      <c r="D390" s="1" t="e">
        <f t="shared" si="41"/>
        <v>#NAME?</v>
      </c>
      <c r="E390" s="1">
        <v>0.16206000000000001</v>
      </c>
      <c r="F390" s="1">
        <v>0</v>
      </c>
      <c r="G390" s="1">
        <v>2</v>
      </c>
      <c r="H390" s="1">
        <v>6.84</v>
      </c>
    </row>
    <row r="391" spans="1:8">
      <c r="A391" s="1">
        <v>50</v>
      </c>
      <c r="B391" s="1" t="s">
        <v>1333</v>
      </c>
      <c r="C391" s="1">
        <v>42.43</v>
      </c>
      <c r="D391" s="1" t="e">
        <f t="shared" si="41"/>
        <v>#NAME?</v>
      </c>
      <c r="E391" s="1">
        <v>0.172651</v>
      </c>
      <c r="F391" s="1">
        <v>0</v>
      </c>
      <c r="G391" s="1">
        <v>0</v>
      </c>
      <c r="H391" s="1">
        <v>8.15</v>
      </c>
    </row>
    <row r="392" spans="1:8">
      <c r="B392" s="1" t="s">
        <v>19</v>
      </c>
      <c r="C392" s="1">
        <f>AVERAGE(C342:C391)</f>
        <v>39.852399999999996</v>
      </c>
      <c r="D392" s="1" t="e">
        <f t="shared" ref="D392:F392" si="42">AVERAGE(D342:D391)</f>
        <v>#NAME?</v>
      </c>
      <c r="E392" s="1">
        <f t="shared" si="42"/>
        <v>0.15874759999999999</v>
      </c>
      <c r="F392" s="1">
        <f t="shared" si="42"/>
        <v>0</v>
      </c>
      <c r="H392" s="1">
        <f t="shared" ref="H392" si="43">AVERAGE(H342:H391)</f>
        <v>7.6743999999999968</v>
      </c>
    </row>
    <row r="393" spans="1:8">
      <c r="B393" s="1" t="s">
        <v>20</v>
      </c>
      <c r="C393" s="1">
        <f>MIN(C341:C391)</f>
        <v>28.42</v>
      </c>
      <c r="D393" s="1" t="e">
        <f t="shared" ref="D393:F393" si="44">MIN(D341:D391)</f>
        <v>#NAME?</v>
      </c>
      <c r="E393" s="1">
        <f t="shared" si="44"/>
        <v>0.100996</v>
      </c>
      <c r="F393" s="1">
        <f t="shared" si="44"/>
        <v>0</v>
      </c>
      <c r="H393" s="1">
        <f t="shared" ref="H393" si="45">MIN(H341:H391)</f>
        <v>5.41</v>
      </c>
    </row>
    <row r="394" spans="1:8">
      <c r="B394" s="1" t="s">
        <v>3</v>
      </c>
      <c r="C394" s="1">
        <f>STDEV(C342:C391)</f>
        <v>6.0761163616916161</v>
      </c>
      <c r="D394" s="1" t="e">
        <f t="shared" ref="D394:E394" si="46">STDEV(D342:D391)</f>
        <v>#NAME?</v>
      </c>
      <c r="E394" s="1">
        <f t="shared" si="46"/>
        <v>2.5164179615363717E-2</v>
      </c>
      <c r="F394" s="1">
        <f>STDEV(F342:F391)</f>
        <v>0</v>
      </c>
      <c r="H394" s="1">
        <f>STDEV(H342:H391)</f>
        <v>1.2048493173634038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5"/>
  <sheetViews>
    <sheetView topLeftCell="A178" zoomScale="54" zoomScaleNormal="54" workbookViewId="0">
      <selection activeCell="L342" sqref="L342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" style="1" bestFit="1" customWidth="1"/>
    <col min="9" max="9" width="3.5546875" style="1" customWidth="1"/>
    <col min="10" max="11" width="8.88671875" style="1" hidden="1" customWidth="1"/>
    <col min="12" max="12" width="10.33203125" style="1" bestFit="1" customWidth="1"/>
    <col min="13" max="13" width="8.88671875" style="1"/>
    <col min="14" max="14" width="9.88671875" style="1" customWidth="1"/>
    <col min="15" max="15" width="12.6640625" style="1" customWidth="1"/>
    <col min="16" max="16384" width="8.88671875" style="1"/>
  </cols>
  <sheetData>
    <row r="1" spans="1:8" ht="14.4" customHeight="1">
      <c r="B1" s="25" t="s">
        <v>15</v>
      </c>
      <c r="C1" s="25"/>
      <c r="D1" s="25"/>
    </row>
    <row r="2" spans="1:8" ht="14.4" customHeight="1">
      <c r="B2" s="25"/>
      <c r="C2" s="25"/>
      <c r="D2" s="25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730</v>
      </c>
      <c r="C6" s="1">
        <v>102.16</v>
      </c>
      <c r="D6" s="1">
        <v>16.02</v>
      </c>
      <c r="E6" s="1">
        <v>0.49999399999999999</v>
      </c>
      <c r="F6" s="1">
        <f>101798400*(10^-6)</f>
        <v>101.7984</v>
      </c>
      <c r="G6" s="1">
        <v>2</v>
      </c>
      <c r="H6" s="1">
        <v>19.309999999999999</v>
      </c>
    </row>
    <row r="7" spans="1:8">
      <c r="A7" s="1">
        <v>2</v>
      </c>
      <c r="B7" s="1" t="s">
        <v>731</v>
      </c>
      <c r="C7" s="1">
        <v>235.24</v>
      </c>
      <c r="D7" s="1">
        <v>16.57</v>
      </c>
      <c r="E7" s="1">
        <v>0.37790699999999999</v>
      </c>
      <c r="F7" s="1">
        <f>101529600*(10^-6)</f>
        <v>101.5296</v>
      </c>
      <c r="G7" s="1">
        <v>0</v>
      </c>
      <c r="H7" s="1">
        <v>44.63</v>
      </c>
    </row>
    <row r="8" spans="1:8">
      <c r="A8" s="1">
        <v>3</v>
      </c>
      <c r="B8" s="1" t="s">
        <v>732</v>
      </c>
      <c r="C8" s="1">
        <v>281.26</v>
      </c>
      <c r="D8" s="1">
        <v>16.850000000000001</v>
      </c>
      <c r="E8" s="1">
        <v>0.45403500000000002</v>
      </c>
      <c r="F8" s="1">
        <f>191769600*(10^-6)</f>
        <v>191.7696</v>
      </c>
      <c r="G8" s="1">
        <v>0</v>
      </c>
      <c r="H8" s="1">
        <v>53.64</v>
      </c>
    </row>
    <row r="9" spans="1:8">
      <c r="A9" s="1">
        <v>4</v>
      </c>
      <c r="B9" s="1" t="s">
        <v>733</v>
      </c>
      <c r="C9" s="1">
        <v>368.6</v>
      </c>
      <c r="D9" s="1">
        <v>17.13</v>
      </c>
      <c r="E9" s="1">
        <v>0.49999500000000002</v>
      </c>
      <c r="F9" s="1">
        <f>367411200*(10^-6)</f>
        <v>367.41120000000001</v>
      </c>
      <c r="G9" s="1">
        <v>0</v>
      </c>
      <c r="H9" s="1">
        <v>69.900000000000006</v>
      </c>
    </row>
    <row r="10" spans="1:8">
      <c r="A10" s="1">
        <v>5</v>
      </c>
      <c r="B10" s="1" t="s">
        <v>734</v>
      </c>
      <c r="C10" s="1">
        <v>102.26</v>
      </c>
      <c r="D10" s="1">
        <v>16.02</v>
      </c>
      <c r="E10" s="1">
        <v>0.49998599999999999</v>
      </c>
      <c r="F10" s="1">
        <f>101721600*(10^-6)</f>
        <v>101.7216</v>
      </c>
      <c r="G10" s="1">
        <v>2</v>
      </c>
      <c r="H10" s="1">
        <v>19.309999999999999</v>
      </c>
    </row>
    <row r="11" spans="1:8">
      <c r="A11" s="1">
        <v>6</v>
      </c>
      <c r="B11" s="1" t="s">
        <v>735</v>
      </c>
      <c r="C11" s="1">
        <v>386.86</v>
      </c>
      <c r="D11" s="1">
        <v>17.05</v>
      </c>
      <c r="E11" s="1">
        <v>0.400754</v>
      </c>
      <c r="F11" s="1">
        <f>194342400*(10^-6)</f>
        <v>194.3424</v>
      </c>
      <c r="G11" s="1">
        <v>2</v>
      </c>
      <c r="H11" s="1">
        <v>82.75</v>
      </c>
    </row>
    <row r="12" spans="1:8">
      <c r="A12" s="1">
        <v>7</v>
      </c>
      <c r="B12" s="1" t="s">
        <v>736</v>
      </c>
      <c r="C12" s="1">
        <v>234.05</v>
      </c>
      <c r="D12" s="1">
        <v>16.57</v>
      </c>
      <c r="E12" s="1">
        <v>0.37739499999999998</v>
      </c>
      <c r="F12" s="1">
        <f>100646400*(10^-6)</f>
        <v>100.6464</v>
      </c>
      <c r="G12" s="1">
        <v>0</v>
      </c>
      <c r="H12" s="1">
        <v>44.63</v>
      </c>
    </row>
    <row r="13" spans="1:8">
      <c r="A13" s="1">
        <v>8</v>
      </c>
      <c r="B13" s="1" t="s">
        <v>737</v>
      </c>
      <c r="C13" s="1">
        <v>149.88999999999999</v>
      </c>
      <c r="D13" s="1">
        <v>16.350000000000001</v>
      </c>
      <c r="E13" s="1">
        <v>0.49857800000000002</v>
      </c>
      <c r="F13" s="1">
        <f>141888000*(10^-6)</f>
        <v>141.88800000000001</v>
      </c>
      <c r="G13" s="1">
        <v>2</v>
      </c>
      <c r="H13" s="1">
        <v>30.31</v>
      </c>
    </row>
    <row r="14" spans="1:8">
      <c r="A14" s="1">
        <v>9</v>
      </c>
      <c r="B14" s="1" t="s">
        <v>738</v>
      </c>
      <c r="C14" s="1">
        <v>148.16999999999999</v>
      </c>
      <c r="D14" s="1">
        <v>16.3</v>
      </c>
      <c r="E14" s="1">
        <v>0.45425100000000002</v>
      </c>
      <c r="F14" s="1">
        <f>101145600*(10^-6)</f>
        <v>101.1456</v>
      </c>
      <c r="G14" s="1">
        <v>0</v>
      </c>
      <c r="H14" s="1">
        <v>28.34</v>
      </c>
    </row>
    <row r="15" spans="1:8">
      <c r="A15" s="1">
        <v>10</v>
      </c>
      <c r="B15" s="1" t="s">
        <v>739</v>
      </c>
      <c r="C15" s="1">
        <v>102.89</v>
      </c>
      <c r="D15" s="1">
        <v>16.02</v>
      </c>
      <c r="E15" s="1">
        <v>0.49999900000000003</v>
      </c>
      <c r="F15" s="1">
        <f>102720000*(10^-6)</f>
        <v>102.72</v>
      </c>
      <c r="G15" s="1">
        <v>0</v>
      </c>
      <c r="H15" s="1">
        <v>19.38</v>
      </c>
    </row>
    <row r="16" spans="1:8">
      <c r="A16" s="1">
        <v>11</v>
      </c>
      <c r="B16" s="1" t="s">
        <v>740</v>
      </c>
      <c r="C16" s="1">
        <v>147.99</v>
      </c>
      <c r="D16" s="1">
        <v>16.29</v>
      </c>
      <c r="E16" s="1">
        <v>0.45432400000000001</v>
      </c>
      <c r="F16" s="1">
        <f>101068800*(10^-6)</f>
        <v>101.0688</v>
      </c>
      <c r="G16" s="1">
        <v>0</v>
      </c>
      <c r="H16" s="1">
        <v>28.33</v>
      </c>
    </row>
    <row r="17" spans="1:8">
      <c r="A17" s="1">
        <v>12</v>
      </c>
      <c r="B17" s="1" t="s">
        <v>741</v>
      </c>
      <c r="C17" s="1">
        <v>147.99</v>
      </c>
      <c r="D17" s="1">
        <v>16.29</v>
      </c>
      <c r="E17" s="1">
        <v>0.45432400000000001</v>
      </c>
      <c r="F17" s="1">
        <f>101068800*(10^-6)</f>
        <v>101.0688</v>
      </c>
      <c r="G17" s="1">
        <v>0</v>
      </c>
      <c r="H17" s="1">
        <v>28.33</v>
      </c>
    </row>
    <row r="18" spans="1:8">
      <c r="A18" s="1">
        <v>13</v>
      </c>
      <c r="B18" s="1" t="s">
        <v>742</v>
      </c>
      <c r="C18" s="1">
        <v>362.19</v>
      </c>
      <c r="D18" s="1">
        <v>16.8</v>
      </c>
      <c r="E18" s="1">
        <v>0.32902999999999999</v>
      </c>
      <c r="F18" s="1">
        <f>101107200*(10^-6)</f>
        <v>101.10719999999999</v>
      </c>
      <c r="G18" s="1">
        <v>2</v>
      </c>
      <c r="H18" s="1">
        <v>72.650000000000006</v>
      </c>
    </row>
    <row r="19" spans="1:8">
      <c r="A19" s="1">
        <v>14</v>
      </c>
      <c r="B19" s="1" t="s">
        <v>743</v>
      </c>
      <c r="C19" s="1">
        <v>447.65</v>
      </c>
      <c r="D19" s="1">
        <v>17.29</v>
      </c>
      <c r="E19" s="1">
        <v>0.48472399999999999</v>
      </c>
      <c r="F19" s="1">
        <f>368179200*(10^-6)</f>
        <v>368.17919999999998</v>
      </c>
      <c r="G19" s="1">
        <v>0</v>
      </c>
      <c r="H19" s="1">
        <v>99.97</v>
      </c>
    </row>
    <row r="20" spans="1:8">
      <c r="A20" s="1">
        <v>15</v>
      </c>
      <c r="B20" s="1" t="s">
        <v>744</v>
      </c>
      <c r="C20" s="1">
        <v>315.45999999999998</v>
      </c>
      <c r="D20" s="1">
        <v>16.73</v>
      </c>
      <c r="E20" s="1">
        <v>0.34303499999999998</v>
      </c>
      <c r="F20" s="1">
        <f>102067200*(10^-6)</f>
        <v>102.0672</v>
      </c>
      <c r="G20" s="1">
        <v>2</v>
      </c>
      <c r="H20" s="1">
        <v>75.08</v>
      </c>
    </row>
    <row r="21" spans="1:8">
      <c r="A21" s="1">
        <v>16</v>
      </c>
      <c r="B21" s="1" t="s">
        <v>745</v>
      </c>
      <c r="C21" s="1">
        <v>265.57</v>
      </c>
      <c r="D21" s="1">
        <v>16.809999999999999</v>
      </c>
      <c r="E21" s="1">
        <v>0.46116400000000002</v>
      </c>
      <c r="F21" s="1">
        <f>188505600*(10^-6)</f>
        <v>188.50559999999999</v>
      </c>
      <c r="G21" s="1">
        <v>2</v>
      </c>
      <c r="H21" s="1">
        <v>54.39</v>
      </c>
    </row>
    <row r="22" spans="1:8">
      <c r="A22" s="1">
        <v>17</v>
      </c>
      <c r="B22" s="1" t="s">
        <v>746</v>
      </c>
      <c r="C22" s="1">
        <v>147.61000000000001</v>
      </c>
      <c r="D22" s="1">
        <v>16.29</v>
      </c>
      <c r="E22" s="1">
        <v>0.45376699999999998</v>
      </c>
      <c r="F22" s="1">
        <f>100492800*(10^-6)</f>
        <v>100.49279999999999</v>
      </c>
      <c r="G22" s="1">
        <v>2</v>
      </c>
      <c r="H22" s="1">
        <v>28.32</v>
      </c>
    </row>
    <row r="23" spans="1:8">
      <c r="A23" s="1">
        <v>18</v>
      </c>
      <c r="B23" s="1" t="s">
        <v>747</v>
      </c>
      <c r="C23" s="1">
        <v>147.91999999999999</v>
      </c>
      <c r="D23" s="1">
        <v>16.29</v>
      </c>
      <c r="E23" s="1">
        <v>0.45414500000000002</v>
      </c>
      <c r="F23" s="1">
        <f>100915200*(10^-6)</f>
        <v>100.9152</v>
      </c>
      <c r="G23" s="1">
        <v>2</v>
      </c>
      <c r="H23" s="1">
        <v>28.33</v>
      </c>
    </row>
    <row r="24" spans="1:8">
      <c r="A24" s="1">
        <v>19</v>
      </c>
      <c r="B24" s="1" t="s">
        <v>748</v>
      </c>
      <c r="C24" s="1">
        <v>219.71</v>
      </c>
      <c r="D24" s="1">
        <v>16.53</v>
      </c>
      <c r="E24" s="1">
        <v>0.38480199999999998</v>
      </c>
      <c r="F24" s="1">
        <f>99494400*(10^-6)</f>
        <v>99.494399999999999</v>
      </c>
      <c r="G24" s="1">
        <v>0</v>
      </c>
      <c r="H24" s="1">
        <v>45.36</v>
      </c>
    </row>
    <row r="25" spans="1:8">
      <c r="A25" s="1">
        <v>20</v>
      </c>
      <c r="B25" s="1" t="s">
        <v>749</v>
      </c>
      <c r="C25" s="1">
        <v>234.05</v>
      </c>
      <c r="D25" s="1">
        <v>16.57</v>
      </c>
      <c r="E25" s="1">
        <v>0.37739499999999998</v>
      </c>
      <c r="F25" s="1">
        <f>100646400*(10^-6)</f>
        <v>100.6464</v>
      </c>
      <c r="G25" s="1">
        <v>0</v>
      </c>
      <c r="H25" s="1">
        <v>44.63</v>
      </c>
    </row>
    <row r="26" spans="1:8">
      <c r="A26" s="1">
        <v>21</v>
      </c>
      <c r="B26" s="1" t="s">
        <v>750</v>
      </c>
      <c r="C26" s="1">
        <v>302.32</v>
      </c>
      <c r="D26" s="1">
        <v>16.96</v>
      </c>
      <c r="E26" s="1">
        <v>0.499969</v>
      </c>
      <c r="F26" s="1">
        <f>299942400*(10^-6)</f>
        <v>299.94239999999996</v>
      </c>
      <c r="G26" s="1">
        <v>2</v>
      </c>
      <c r="H26" s="1">
        <v>70.510000000000005</v>
      </c>
    </row>
    <row r="27" spans="1:8">
      <c r="A27" s="1">
        <v>22</v>
      </c>
      <c r="B27" s="1" t="s">
        <v>751</v>
      </c>
      <c r="C27" s="1">
        <v>102.16</v>
      </c>
      <c r="D27" s="1">
        <v>16.02</v>
      </c>
      <c r="E27" s="1">
        <v>0.49999399999999999</v>
      </c>
      <c r="F27" s="1">
        <f>101798400*(10^-6)</f>
        <v>101.7984</v>
      </c>
      <c r="G27" s="1">
        <v>2</v>
      </c>
      <c r="H27" s="1">
        <v>19.309999999999999</v>
      </c>
    </row>
    <row r="28" spans="1:8">
      <c r="A28" s="1">
        <v>23</v>
      </c>
      <c r="B28" s="1" t="s">
        <v>752</v>
      </c>
      <c r="C28" s="1">
        <v>363.01</v>
      </c>
      <c r="D28" s="1">
        <v>17.010000000000002</v>
      </c>
      <c r="E28" s="1">
        <v>0.41152</v>
      </c>
      <c r="F28" s="1">
        <f>194688000*(10^-6)</f>
        <v>194.68799999999999</v>
      </c>
      <c r="G28" s="1">
        <v>0</v>
      </c>
      <c r="H28" s="1">
        <v>84.13</v>
      </c>
    </row>
    <row r="29" spans="1:8">
      <c r="A29" s="1">
        <v>24</v>
      </c>
      <c r="B29" s="1" t="s">
        <v>753</v>
      </c>
      <c r="C29" s="1">
        <v>234.05</v>
      </c>
      <c r="D29" s="1">
        <v>16.57</v>
      </c>
      <c r="E29" s="1">
        <v>0.37739499999999998</v>
      </c>
      <c r="F29" s="1">
        <f>100646400*(10^-6)</f>
        <v>100.6464</v>
      </c>
      <c r="G29" s="1">
        <v>0</v>
      </c>
      <c r="H29" s="1">
        <v>44.63</v>
      </c>
    </row>
    <row r="30" spans="1:8">
      <c r="A30" s="1">
        <v>25</v>
      </c>
      <c r="B30" s="1" t="s">
        <v>754</v>
      </c>
      <c r="C30" s="1">
        <v>281.26</v>
      </c>
      <c r="D30" s="1">
        <v>16.850000000000001</v>
      </c>
      <c r="E30" s="1">
        <v>0.45403500000000002</v>
      </c>
      <c r="F30" s="1">
        <f>191769600*(10^-6)</f>
        <v>191.7696</v>
      </c>
      <c r="G30" s="1">
        <v>0</v>
      </c>
      <c r="H30" s="1">
        <v>53.64</v>
      </c>
    </row>
    <row r="31" spans="1:8">
      <c r="A31" s="1">
        <v>26</v>
      </c>
      <c r="B31" s="1" t="s">
        <v>755</v>
      </c>
      <c r="C31" s="1">
        <v>361.54</v>
      </c>
      <c r="D31" s="1">
        <v>17.010000000000002</v>
      </c>
      <c r="E31" s="1">
        <v>0.41067300000000001</v>
      </c>
      <c r="F31" s="1">
        <f>192921600*(10^-6)</f>
        <v>192.92159999999998</v>
      </c>
      <c r="G31" s="1">
        <v>2</v>
      </c>
      <c r="H31" s="1">
        <v>84.12</v>
      </c>
    </row>
    <row r="32" spans="1:8">
      <c r="A32" s="1">
        <v>27</v>
      </c>
      <c r="B32" s="1" t="s">
        <v>756</v>
      </c>
      <c r="C32" s="1">
        <v>351.09</v>
      </c>
      <c r="D32" s="1">
        <v>17.09</v>
      </c>
      <c r="E32" s="1">
        <v>0.49895200000000001</v>
      </c>
      <c r="F32" s="1">
        <f>335001600*(10^-6)</f>
        <v>335.0016</v>
      </c>
      <c r="G32" s="1">
        <v>2</v>
      </c>
      <c r="H32" s="1">
        <v>70.33</v>
      </c>
    </row>
    <row r="33" spans="1:8">
      <c r="A33" s="1">
        <v>28</v>
      </c>
      <c r="B33" s="1" t="s">
        <v>757</v>
      </c>
      <c r="C33" s="1">
        <v>235.81</v>
      </c>
      <c r="D33" s="1">
        <v>16.57</v>
      </c>
      <c r="E33" s="1">
        <v>0.37534400000000001</v>
      </c>
      <c r="F33" s="1">
        <f>99916800*(10^-6)</f>
        <v>99.916799999999995</v>
      </c>
      <c r="G33" s="1">
        <v>0</v>
      </c>
      <c r="H33" s="1">
        <v>44.95</v>
      </c>
    </row>
    <row r="34" spans="1:8">
      <c r="A34" s="1">
        <v>29</v>
      </c>
      <c r="B34" s="1" t="s">
        <v>758</v>
      </c>
      <c r="C34" s="1">
        <v>363.05</v>
      </c>
      <c r="D34" s="1">
        <v>17.010000000000002</v>
      </c>
      <c r="E34" s="1">
        <v>0.41100300000000001</v>
      </c>
      <c r="F34" s="1">
        <f>194112000*(10^-6)</f>
        <v>194.11199999999999</v>
      </c>
      <c r="G34" s="1">
        <v>0</v>
      </c>
      <c r="H34" s="1">
        <v>84.15</v>
      </c>
    </row>
    <row r="35" spans="1:8">
      <c r="A35" s="1">
        <v>30</v>
      </c>
      <c r="B35" s="1" t="s">
        <v>759</v>
      </c>
      <c r="C35" s="1">
        <v>357.68</v>
      </c>
      <c r="D35" s="1">
        <v>16.79</v>
      </c>
      <c r="E35" s="1">
        <v>0.33006400000000002</v>
      </c>
      <c r="F35" s="1">
        <f>101030400*(10^-6)</f>
        <v>101.0304</v>
      </c>
      <c r="G35" s="1">
        <v>2</v>
      </c>
      <c r="H35" s="1">
        <v>71.89</v>
      </c>
    </row>
    <row r="36" spans="1:8">
      <c r="A36" s="1">
        <v>31</v>
      </c>
      <c r="B36" s="1" t="s">
        <v>760</v>
      </c>
      <c r="C36" s="1">
        <v>351.49</v>
      </c>
      <c r="D36" s="1">
        <v>17.09</v>
      </c>
      <c r="E36" s="1">
        <v>0.49508000000000002</v>
      </c>
      <c r="F36" s="1">
        <f>316454400*(10^-6)</f>
        <v>316.45439999999996</v>
      </c>
      <c r="G36" s="1">
        <v>0</v>
      </c>
      <c r="H36" s="1">
        <v>70</v>
      </c>
    </row>
    <row r="37" spans="1:8">
      <c r="A37" s="1">
        <v>32</v>
      </c>
      <c r="B37" s="1" t="s">
        <v>761</v>
      </c>
      <c r="C37" s="1">
        <v>147.91999999999999</v>
      </c>
      <c r="D37" s="1">
        <v>16.29</v>
      </c>
      <c r="E37" s="1">
        <v>0.45414500000000002</v>
      </c>
      <c r="F37" s="1">
        <f>100915200*(10^-6)</f>
        <v>100.9152</v>
      </c>
      <c r="G37" s="1">
        <v>2</v>
      </c>
      <c r="H37" s="1">
        <v>28.33</v>
      </c>
    </row>
    <row r="38" spans="1:8">
      <c r="A38" s="1">
        <v>33</v>
      </c>
      <c r="B38" s="1" t="s">
        <v>762</v>
      </c>
      <c r="C38" s="1">
        <v>476.03</v>
      </c>
      <c r="D38" s="1">
        <v>17.329999999999998</v>
      </c>
      <c r="E38" s="1">
        <v>0.47557300000000002</v>
      </c>
      <c r="F38" s="1">
        <f>368140800*(10^-6)</f>
        <v>368.14079999999996</v>
      </c>
      <c r="G38" s="1">
        <v>2</v>
      </c>
      <c r="H38" s="1">
        <v>99.01</v>
      </c>
    </row>
    <row r="39" spans="1:8">
      <c r="A39" s="1">
        <v>34</v>
      </c>
      <c r="B39" s="1" t="s">
        <v>763</v>
      </c>
      <c r="C39" s="1">
        <v>102.16</v>
      </c>
      <c r="D39" s="1">
        <v>16.02</v>
      </c>
      <c r="E39" s="1">
        <v>0.49999399999999999</v>
      </c>
      <c r="F39" s="1">
        <f>101798400*(10^-6)</f>
        <v>101.7984</v>
      </c>
      <c r="G39" s="1">
        <v>2</v>
      </c>
      <c r="H39" s="1">
        <v>19.309999999999999</v>
      </c>
    </row>
    <row r="40" spans="1:8">
      <c r="A40" s="1">
        <v>35</v>
      </c>
      <c r="B40" s="1" t="s">
        <v>764</v>
      </c>
      <c r="C40" s="1">
        <v>281.26</v>
      </c>
      <c r="D40" s="1">
        <v>16.850000000000001</v>
      </c>
      <c r="E40" s="1">
        <v>0.45403500000000002</v>
      </c>
      <c r="F40" s="1">
        <f>191769600*(10^-6)</f>
        <v>191.7696</v>
      </c>
      <c r="G40" s="1">
        <v>0</v>
      </c>
      <c r="H40" s="1">
        <v>53.64</v>
      </c>
    </row>
    <row r="41" spans="1:8">
      <c r="A41" s="1">
        <v>36</v>
      </c>
      <c r="B41" s="1" t="s">
        <v>765</v>
      </c>
      <c r="C41" s="1">
        <v>529.71</v>
      </c>
      <c r="D41" s="1">
        <v>17.45</v>
      </c>
      <c r="E41" s="1">
        <v>0.49998999999999999</v>
      </c>
      <c r="F41" s="1">
        <f>527385600*(10^-6)</f>
        <v>527.38559999999995</v>
      </c>
      <c r="G41" s="1">
        <v>0</v>
      </c>
      <c r="H41" s="1">
        <v>130.80000000000001</v>
      </c>
    </row>
    <row r="42" spans="1:8">
      <c r="A42" s="1">
        <v>37</v>
      </c>
      <c r="B42" s="1" t="s">
        <v>766</v>
      </c>
      <c r="C42" s="1">
        <v>280.74</v>
      </c>
      <c r="D42" s="1">
        <v>16.850000000000001</v>
      </c>
      <c r="E42" s="1">
        <v>0.45663500000000001</v>
      </c>
      <c r="F42" s="1">
        <f>194227200*(10^-6)</f>
        <v>194.22719999999998</v>
      </c>
      <c r="G42" s="1">
        <v>0</v>
      </c>
      <c r="H42" s="1">
        <v>53.61</v>
      </c>
    </row>
    <row r="43" spans="1:8">
      <c r="A43" s="1">
        <v>38</v>
      </c>
      <c r="B43" s="1" t="s">
        <v>767</v>
      </c>
      <c r="C43" s="1">
        <v>280.67</v>
      </c>
      <c r="D43" s="1">
        <v>16.850000000000001</v>
      </c>
      <c r="E43" s="1">
        <v>0.45583699999999999</v>
      </c>
      <c r="F43" s="1">
        <f>193305600*(10^-6)</f>
        <v>193.3056</v>
      </c>
      <c r="G43" s="1">
        <v>0</v>
      </c>
      <c r="H43" s="1">
        <v>53.61</v>
      </c>
    </row>
    <row r="44" spans="1:8">
      <c r="A44" s="1">
        <v>39</v>
      </c>
      <c r="B44" s="1" t="s">
        <v>768</v>
      </c>
      <c r="C44" s="1">
        <v>450.22</v>
      </c>
      <c r="D44" s="1">
        <v>17.29</v>
      </c>
      <c r="E44" s="1">
        <v>0.48436499999999999</v>
      </c>
      <c r="F44" s="1">
        <f>369331200*(10^-6)</f>
        <v>369.33119999999997</v>
      </c>
      <c r="G44" s="1">
        <v>0</v>
      </c>
      <c r="H44" s="1">
        <v>100.38</v>
      </c>
    </row>
    <row r="45" spans="1:8">
      <c r="A45" s="1">
        <v>40</v>
      </c>
      <c r="B45" s="1" t="s">
        <v>769</v>
      </c>
      <c r="C45" s="1">
        <v>478.89</v>
      </c>
      <c r="D45" s="1">
        <v>17.32</v>
      </c>
      <c r="E45" s="1">
        <v>0.45898499999999998</v>
      </c>
      <c r="F45" s="1">
        <f>335731200*(10^-6)</f>
        <v>335.7312</v>
      </c>
      <c r="G45" s="1">
        <v>0</v>
      </c>
      <c r="H45" s="1">
        <v>98.27</v>
      </c>
    </row>
    <row r="46" spans="1:8">
      <c r="A46" s="1">
        <v>41</v>
      </c>
      <c r="B46" s="1" t="s">
        <v>770</v>
      </c>
      <c r="C46" s="1">
        <v>315.58999999999997</v>
      </c>
      <c r="D46" s="1">
        <v>16.73</v>
      </c>
      <c r="E46" s="1">
        <v>0.34167500000000001</v>
      </c>
      <c r="F46" s="1">
        <f>100761600*(10^-6)</f>
        <v>100.7616</v>
      </c>
      <c r="G46" s="1">
        <v>0</v>
      </c>
      <c r="H46" s="1">
        <v>75.150000000000006</v>
      </c>
    </row>
    <row r="47" spans="1:8">
      <c r="A47" s="1">
        <v>42</v>
      </c>
      <c r="B47" s="1" t="s">
        <v>771</v>
      </c>
      <c r="C47" s="1">
        <v>234.05</v>
      </c>
      <c r="D47" s="1">
        <v>16.57</v>
      </c>
      <c r="E47" s="1">
        <v>0.37739499999999998</v>
      </c>
      <c r="F47" s="1">
        <f>100646400*(10^-6)</f>
        <v>100.6464</v>
      </c>
      <c r="G47" s="1">
        <v>0</v>
      </c>
      <c r="H47" s="1">
        <v>44.63</v>
      </c>
    </row>
    <row r="48" spans="1:8">
      <c r="A48" s="1">
        <v>43</v>
      </c>
      <c r="B48" s="1" t="s">
        <v>772</v>
      </c>
      <c r="C48" s="1">
        <v>234.28</v>
      </c>
      <c r="D48" s="1">
        <v>16.57</v>
      </c>
      <c r="E48" s="1">
        <v>0.378162</v>
      </c>
      <c r="F48" s="1">
        <f>101299200*(10^-6)</f>
        <v>101.2992</v>
      </c>
      <c r="G48" s="1">
        <v>2</v>
      </c>
      <c r="H48" s="1">
        <v>44.63</v>
      </c>
    </row>
    <row r="49" spans="1:8">
      <c r="A49" s="1">
        <v>44</v>
      </c>
      <c r="B49" s="1" t="s">
        <v>773</v>
      </c>
      <c r="C49" s="1">
        <v>342.03</v>
      </c>
      <c r="D49" s="1">
        <v>16.78</v>
      </c>
      <c r="E49" s="1">
        <v>0.33592100000000003</v>
      </c>
      <c r="F49" s="1">
        <f>102988800*(10^-6)</f>
        <v>102.9888</v>
      </c>
      <c r="G49" s="1">
        <v>0</v>
      </c>
      <c r="H49" s="1">
        <v>73.760000000000005</v>
      </c>
    </row>
    <row r="50" spans="1:8">
      <c r="A50" s="1">
        <v>45</v>
      </c>
      <c r="B50" s="1" t="s">
        <v>774</v>
      </c>
      <c r="C50" s="1">
        <v>450.03</v>
      </c>
      <c r="D50" s="1">
        <v>17.29</v>
      </c>
      <c r="E50" s="1">
        <v>0.48442400000000002</v>
      </c>
      <c r="F50" s="1">
        <f>369331200*(10^-6)</f>
        <v>369.33119999999997</v>
      </c>
      <c r="G50" s="1">
        <v>2</v>
      </c>
      <c r="H50" s="1">
        <v>100.4</v>
      </c>
    </row>
    <row r="51" spans="1:8">
      <c r="A51" s="1">
        <v>46</v>
      </c>
      <c r="B51" s="1" t="s">
        <v>775</v>
      </c>
      <c r="C51" s="1">
        <v>482.13</v>
      </c>
      <c r="D51" s="1">
        <v>17.329999999999998</v>
      </c>
      <c r="E51" s="1">
        <v>0.459978</v>
      </c>
      <c r="F51" s="1">
        <f>339916800*(10^-6)</f>
        <v>339.91679999999997</v>
      </c>
      <c r="G51" s="1">
        <v>0</v>
      </c>
      <c r="H51" s="1">
        <v>98.29</v>
      </c>
    </row>
    <row r="52" spans="1:8">
      <c r="A52" s="1">
        <v>47</v>
      </c>
      <c r="B52" s="1" t="s">
        <v>776</v>
      </c>
      <c r="C52" s="1">
        <v>219.03</v>
      </c>
      <c r="D52" s="1">
        <v>16.54</v>
      </c>
      <c r="E52" s="1">
        <v>0.38922400000000001</v>
      </c>
      <c r="F52" s="1">
        <f>102182400*(10^-6)</f>
        <v>102.1824</v>
      </c>
      <c r="G52" s="1">
        <v>0</v>
      </c>
      <c r="H52" s="1">
        <v>45.05</v>
      </c>
    </row>
    <row r="53" spans="1:8">
      <c r="A53" s="1">
        <v>48</v>
      </c>
      <c r="B53" s="1" t="s">
        <v>777</v>
      </c>
      <c r="C53" s="1">
        <v>194.13</v>
      </c>
      <c r="D53" s="1">
        <v>16.579999999999998</v>
      </c>
      <c r="E53" s="1">
        <v>0.49999399999999999</v>
      </c>
      <c r="F53" s="1">
        <f>193459200*(10^-6)</f>
        <v>193.45919999999998</v>
      </c>
      <c r="G53" s="1">
        <v>2</v>
      </c>
      <c r="H53" s="1">
        <v>37.35</v>
      </c>
    </row>
    <row r="54" spans="1:8">
      <c r="A54" s="1">
        <v>49</v>
      </c>
      <c r="B54" s="1" t="s">
        <v>778</v>
      </c>
      <c r="C54" s="1">
        <v>378.99</v>
      </c>
      <c r="D54" s="1">
        <v>17.16</v>
      </c>
      <c r="E54" s="1">
        <v>0.49999900000000003</v>
      </c>
      <c r="F54" s="1">
        <f>378547200*(10^-6)</f>
        <v>378.54719999999998</v>
      </c>
      <c r="G54" s="1">
        <v>0</v>
      </c>
      <c r="H54" s="1">
        <v>83.76</v>
      </c>
    </row>
    <row r="55" spans="1:8">
      <c r="A55" s="1">
        <v>50</v>
      </c>
      <c r="B55" s="1" t="s">
        <v>779</v>
      </c>
      <c r="C55" s="1">
        <v>368.95</v>
      </c>
      <c r="D55" s="1">
        <v>17.13</v>
      </c>
      <c r="E55" s="1">
        <v>0.5</v>
      </c>
      <c r="F55" s="1">
        <f>368947200*(10^-6)</f>
        <v>368.94720000000001</v>
      </c>
      <c r="G55" s="1">
        <v>0</v>
      </c>
      <c r="H55" s="1">
        <v>69.91</v>
      </c>
    </row>
    <row r="56" spans="1:8">
      <c r="B56" s="1" t="s">
        <v>19</v>
      </c>
      <c r="C56" s="1">
        <f>AVERAGE(C6:C55)</f>
        <v>281.95580000000001</v>
      </c>
      <c r="D56" s="1">
        <f t="shared" ref="D56:F56" si="0">AVERAGE(D6:D55)</f>
        <v>16.733400000000003</v>
      </c>
      <c r="E56" s="1">
        <f t="shared" si="0"/>
        <v>0.44059927999999976</v>
      </c>
      <c r="F56" s="1">
        <f t="shared" si="0"/>
        <v>190.74969599999994</v>
      </c>
      <c r="H56" s="1">
        <f t="shared" ref="H56" si="1">AVERAGE(H6:H55)</f>
        <v>58.502800000000022</v>
      </c>
    </row>
    <row r="57" spans="1:8">
      <c r="B57" s="1" t="s">
        <v>20</v>
      </c>
      <c r="C57" s="1">
        <f>MIN(C5:C55)</f>
        <v>102.16</v>
      </c>
      <c r="D57" s="1">
        <f t="shared" ref="D57:F57" si="2">MIN(D5:D55)</f>
        <v>16.02</v>
      </c>
      <c r="E57" s="1">
        <f t="shared" si="2"/>
        <v>0.32902999999999999</v>
      </c>
      <c r="F57" s="1">
        <f t="shared" si="2"/>
        <v>99.494399999999999</v>
      </c>
      <c r="H57" s="1">
        <f t="shared" ref="H57" si="3">MIN(H5:H55)</f>
        <v>19.309999999999999</v>
      </c>
    </row>
    <row r="58" spans="1:8">
      <c r="B58" s="1" t="s">
        <v>3</v>
      </c>
      <c r="C58" s="1">
        <f>STDEV(C6:C55)</f>
        <v>116.32895168601544</v>
      </c>
      <c r="D58" s="1">
        <f t="shared" ref="D58:E58" si="4">STDEV(D6:D55)</f>
        <v>0.40067091692997076</v>
      </c>
      <c r="E58" s="1">
        <f t="shared" si="4"/>
        <v>5.5653111454189955E-2</v>
      </c>
      <c r="F58" s="1">
        <f>STDEV(F6:F55)</f>
        <v>113.65701639704413</v>
      </c>
      <c r="H58" s="1">
        <f>STDEV(H6:H55)</f>
        <v>27.294742787517372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880</v>
      </c>
      <c r="C62" s="1">
        <v>150.94</v>
      </c>
      <c r="D62" s="1">
        <v>40.78</v>
      </c>
      <c r="E62" s="1">
        <v>0.451239</v>
      </c>
      <c r="F62" s="1">
        <f>100876800*(10^-6)</f>
        <v>100.87679999999999</v>
      </c>
      <c r="G62" s="1">
        <v>8</v>
      </c>
      <c r="H62" s="1">
        <v>31.31</v>
      </c>
    </row>
    <row r="63" spans="1:8">
      <c r="A63" s="1">
        <v>2</v>
      </c>
      <c r="B63" s="1" t="s">
        <v>881</v>
      </c>
      <c r="C63" s="1">
        <v>139.24</v>
      </c>
      <c r="D63" s="1">
        <v>40.6</v>
      </c>
      <c r="E63" s="1">
        <v>0.45003599999999999</v>
      </c>
      <c r="F63" s="1">
        <f>99417600*(10^-6)</f>
        <v>99.417599999999993</v>
      </c>
      <c r="G63" s="1">
        <v>2</v>
      </c>
      <c r="H63" s="1">
        <v>26.55</v>
      </c>
    </row>
    <row r="64" spans="1:8">
      <c r="A64" s="1">
        <v>3</v>
      </c>
      <c r="B64" s="1" t="s">
        <v>882</v>
      </c>
      <c r="C64" s="1">
        <v>321.95</v>
      </c>
      <c r="D64" s="1">
        <v>42.51</v>
      </c>
      <c r="E64" s="1">
        <v>0.48979899999999998</v>
      </c>
      <c r="F64" s="1">
        <f>246489600*(10^-6)</f>
        <v>246.4896</v>
      </c>
      <c r="G64" s="1">
        <v>2</v>
      </c>
      <c r="H64" s="1">
        <v>66.13</v>
      </c>
    </row>
    <row r="65" spans="1:8">
      <c r="A65" s="1">
        <v>4</v>
      </c>
      <c r="B65" s="1" t="s">
        <v>883</v>
      </c>
      <c r="C65" s="1">
        <v>143.12</v>
      </c>
      <c r="D65" s="1">
        <v>40.729999999999997</v>
      </c>
      <c r="E65" s="1">
        <v>0.48042499999999999</v>
      </c>
      <c r="F65" s="1">
        <f>100723200*(10^-6)</f>
        <v>100.72319999999999</v>
      </c>
      <c r="G65" s="1">
        <v>8</v>
      </c>
      <c r="H65" s="1">
        <v>27.37</v>
      </c>
    </row>
    <row r="66" spans="1:8">
      <c r="A66" s="1">
        <v>5</v>
      </c>
      <c r="B66" s="1" t="s">
        <v>884</v>
      </c>
      <c r="C66" s="1">
        <v>138.75</v>
      </c>
      <c r="D66" s="1">
        <v>40.6</v>
      </c>
      <c r="E66" s="1">
        <v>0.45212599999999997</v>
      </c>
      <c r="F66" s="1">
        <f>101030400*(10^-6)</f>
        <v>101.0304</v>
      </c>
      <c r="G66" s="1">
        <v>6</v>
      </c>
      <c r="H66" s="1">
        <v>26.53</v>
      </c>
    </row>
    <row r="67" spans="1:8">
      <c r="A67" s="1">
        <v>6</v>
      </c>
      <c r="B67" s="1" t="s">
        <v>885</v>
      </c>
      <c r="C67" s="1">
        <v>318.3</v>
      </c>
      <c r="D67" s="1">
        <v>42.16</v>
      </c>
      <c r="E67" s="1">
        <v>0.391239</v>
      </c>
      <c r="F67" s="1">
        <f>101529600*(10^-6)</f>
        <v>101.5296</v>
      </c>
      <c r="G67" s="1">
        <v>8</v>
      </c>
      <c r="H67" s="1">
        <v>63.28</v>
      </c>
    </row>
    <row r="68" spans="1:8">
      <c r="A68" s="1">
        <v>7</v>
      </c>
      <c r="B68" s="1" t="s">
        <v>886</v>
      </c>
      <c r="C68" s="1">
        <v>120.39</v>
      </c>
      <c r="D68" s="1">
        <v>40.32</v>
      </c>
      <c r="E68" s="1">
        <v>0.45619799999999999</v>
      </c>
      <c r="F68" s="1">
        <f>101107200*(10^-6)</f>
        <v>101.10719999999999</v>
      </c>
      <c r="G68" s="1">
        <v>8</v>
      </c>
      <c r="H68" s="1">
        <v>22.91</v>
      </c>
    </row>
    <row r="69" spans="1:8">
      <c r="A69" s="1">
        <v>8</v>
      </c>
      <c r="B69" s="1" t="s">
        <v>887</v>
      </c>
      <c r="C69" s="1">
        <v>211.57</v>
      </c>
      <c r="D69" s="1">
        <v>41.45</v>
      </c>
      <c r="E69" s="1">
        <v>0.42854599999999998</v>
      </c>
      <c r="F69" s="1">
        <f>101606400*(10^-6)</f>
        <v>101.60639999999999</v>
      </c>
      <c r="G69" s="1">
        <v>8</v>
      </c>
      <c r="H69" s="1">
        <v>40.369999999999997</v>
      </c>
    </row>
    <row r="70" spans="1:8">
      <c r="A70" s="1">
        <v>9</v>
      </c>
      <c r="B70" s="1" t="s">
        <v>888</v>
      </c>
      <c r="C70" s="1">
        <v>139.37</v>
      </c>
      <c r="D70" s="1">
        <v>40.61</v>
      </c>
      <c r="E70" s="1">
        <v>0.45044299999999998</v>
      </c>
      <c r="F70" s="1">
        <f>101145600*(10^-6)</f>
        <v>101.1456</v>
      </c>
      <c r="G70" s="1">
        <v>4</v>
      </c>
      <c r="H70" s="1">
        <v>26.55</v>
      </c>
    </row>
    <row r="71" spans="1:8">
      <c r="A71" s="1">
        <v>10</v>
      </c>
      <c r="B71" s="1" t="s">
        <v>889</v>
      </c>
      <c r="C71" s="1">
        <v>154.83000000000001</v>
      </c>
      <c r="D71" s="1">
        <v>40.33</v>
      </c>
      <c r="E71" s="1">
        <v>0.31554599999999999</v>
      </c>
      <c r="F71" s="1">
        <f>53606400*(10^-6)</f>
        <v>53.606400000000001</v>
      </c>
      <c r="G71" s="1">
        <v>4</v>
      </c>
      <c r="H71" s="1">
        <v>29.42</v>
      </c>
    </row>
    <row r="72" spans="1:8">
      <c r="A72" s="1">
        <v>11</v>
      </c>
      <c r="B72" s="1" t="s">
        <v>890</v>
      </c>
      <c r="C72" s="1">
        <v>209.86</v>
      </c>
      <c r="D72" s="1">
        <v>41.43</v>
      </c>
      <c r="E72" s="1">
        <v>0.426396</v>
      </c>
      <c r="F72" s="1">
        <f>101414400*(10^-6)</f>
        <v>101.4144</v>
      </c>
      <c r="G72" s="1">
        <v>6</v>
      </c>
      <c r="H72" s="1">
        <v>40.22</v>
      </c>
    </row>
    <row r="73" spans="1:8">
      <c r="A73" s="1">
        <v>12</v>
      </c>
      <c r="B73" s="1" t="s">
        <v>891</v>
      </c>
      <c r="C73" s="1">
        <v>209.95</v>
      </c>
      <c r="D73" s="1">
        <v>41.03</v>
      </c>
      <c r="E73" s="1">
        <v>0.28187499999999999</v>
      </c>
      <c r="F73" s="1">
        <f>101606400*(10^-6)</f>
        <v>101.60639999999999</v>
      </c>
      <c r="G73" s="1">
        <v>4</v>
      </c>
      <c r="H73" s="1">
        <v>43.52</v>
      </c>
    </row>
    <row r="74" spans="1:8">
      <c r="A74" s="1">
        <v>13</v>
      </c>
      <c r="B74" s="1" t="s">
        <v>892</v>
      </c>
      <c r="C74" s="1">
        <v>245.68</v>
      </c>
      <c r="D74" s="1">
        <v>41.72</v>
      </c>
      <c r="E74" s="1">
        <v>0.42147699999999999</v>
      </c>
      <c r="F74" s="1">
        <f>102412800*(10^-6)</f>
        <v>102.41279999999999</v>
      </c>
      <c r="G74" s="1">
        <v>4</v>
      </c>
      <c r="H74" s="1">
        <v>46.71</v>
      </c>
    </row>
    <row r="75" spans="1:8">
      <c r="A75" s="1">
        <v>14</v>
      </c>
      <c r="B75" s="1" t="s">
        <v>893</v>
      </c>
      <c r="C75" s="1">
        <v>187.08</v>
      </c>
      <c r="D75" s="1">
        <v>40.479999999999997</v>
      </c>
      <c r="E75" s="1">
        <v>0.25957000000000002</v>
      </c>
      <c r="F75" s="1">
        <f>53337600*(10^-6)</f>
        <v>53.337599999999995</v>
      </c>
      <c r="G75" s="1">
        <v>4</v>
      </c>
      <c r="H75" s="1">
        <v>41.6</v>
      </c>
    </row>
    <row r="76" spans="1:8">
      <c r="A76" s="1">
        <v>15</v>
      </c>
      <c r="B76" s="1" t="s">
        <v>894</v>
      </c>
      <c r="C76" s="1">
        <v>145.46</v>
      </c>
      <c r="D76" s="1">
        <v>40.56</v>
      </c>
      <c r="E76" s="1">
        <v>0.42036000000000001</v>
      </c>
      <c r="F76" s="1">
        <f>63974400*(10^-6)</f>
        <v>63.974399999999996</v>
      </c>
      <c r="G76" s="1">
        <v>2</v>
      </c>
      <c r="H76" s="1">
        <v>27.94</v>
      </c>
    </row>
    <row r="77" spans="1:8">
      <c r="A77" s="1">
        <v>16</v>
      </c>
      <c r="B77" s="1" t="s">
        <v>895</v>
      </c>
      <c r="C77" s="1">
        <v>263.33999999999997</v>
      </c>
      <c r="D77" s="1">
        <v>41.27</v>
      </c>
      <c r="E77" s="1">
        <v>0.30327599999999999</v>
      </c>
      <c r="F77" s="1">
        <f>57792000*(10^-6)</f>
        <v>57.791999999999994</v>
      </c>
      <c r="G77" s="1">
        <v>2</v>
      </c>
      <c r="H77" s="1">
        <v>51.52</v>
      </c>
    </row>
    <row r="78" spans="1:8">
      <c r="A78" s="1">
        <v>17</v>
      </c>
      <c r="B78" s="1" t="s">
        <v>896</v>
      </c>
      <c r="C78" s="1">
        <v>185.2</v>
      </c>
      <c r="D78" s="1">
        <v>41.11</v>
      </c>
      <c r="E78" s="1">
        <v>0.41039500000000001</v>
      </c>
      <c r="F78" s="1">
        <f>101452800*(10^-6)</f>
        <v>101.4528</v>
      </c>
      <c r="G78" s="1">
        <v>0</v>
      </c>
      <c r="H78" s="1">
        <v>36.79</v>
      </c>
    </row>
    <row r="79" spans="1:8">
      <c r="A79" s="1">
        <v>18</v>
      </c>
      <c r="B79" s="1" t="s">
        <v>897</v>
      </c>
      <c r="C79" s="1">
        <v>190.07</v>
      </c>
      <c r="D79" s="1">
        <v>40.64</v>
      </c>
      <c r="E79" s="1">
        <v>0.245451</v>
      </c>
      <c r="F79" s="1">
        <f>90009600*(10^-6)</f>
        <v>90.009599999999992</v>
      </c>
      <c r="G79" s="1">
        <v>4</v>
      </c>
      <c r="H79" s="1">
        <v>40.049999999999997</v>
      </c>
    </row>
    <row r="80" spans="1:8">
      <c r="A80" s="1">
        <v>19</v>
      </c>
      <c r="B80" s="1" t="s">
        <v>898</v>
      </c>
      <c r="C80" s="1">
        <v>263.79000000000002</v>
      </c>
      <c r="D80" s="1">
        <v>42</v>
      </c>
      <c r="E80" s="1">
        <v>0.45329700000000001</v>
      </c>
      <c r="F80" s="1">
        <f>193612800*(10^-6)</f>
        <v>193.61279999999999</v>
      </c>
      <c r="G80" s="1">
        <v>0</v>
      </c>
      <c r="H80" s="1">
        <v>50.33</v>
      </c>
    </row>
    <row r="81" spans="1:8">
      <c r="A81" s="1">
        <v>20</v>
      </c>
      <c r="B81" s="1" t="s">
        <v>899</v>
      </c>
      <c r="C81" s="1">
        <v>257.52</v>
      </c>
      <c r="D81" s="1">
        <v>41.99</v>
      </c>
      <c r="E81" s="1">
        <v>0.46956500000000001</v>
      </c>
      <c r="F81" s="1">
        <f>190272000*(10^-6)</f>
        <v>190.27199999999999</v>
      </c>
      <c r="G81" s="1">
        <v>8</v>
      </c>
      <c r="H81" s="1">
        <v>50.64</v>
      </c>
    </row>
    <row r="82" spans="1:8">
      <c r="A82" s="1">
        <v>21</v>
      </c>
      <c r="B82" s="1" t="s">
        <v>900</v>
      </c>
      <c r="C82" s="1">
        <v>182.35</v>
      </c>
      <c r="D82" s="1">
        <v>41.22</v>
      </c>
      <c r="E82" s="1">
        <v>0.472742</v>
      </c>
      <c r="F82" s="1">
        <f>96307200*(10^-6)</f>
        <v>96.307199999999995</v>
      </c>
      <c r="G82" s="1">
        <v>0</v>
      </c>
      <c r="H82" s="1">
        <v>34.840000000000003</v>
      </c>
    </row>
    <row r="83" spans="1:8">
      <c r="A83" s="1">
        <v>22</v>
      </c>
      <c r="B83" s="1" t="s">
        <v>901</v>
      </c>
      <c r="C83" s="1">
        <v>369.35</v>
      </c>
      <c r="D83" s="1">
        <v>42.71</v>
      </c>
      <c r="E83" s="1">
        <v>0.449934</v>
      </c>
      <c r="F83" s="1">
        <f>193804800*(10^-6)</f>
        <v>193.8048</v>
      </c>
      <c r="G83" s="1">
        <v>6</v>
      </c>
      <c r="H83" s="1">
        <v>75.040000000000006</v>
      </c>
    </row>
    <row r="84" spans="1:8">
      <c r="A84" s="1">
        <v>23</v>
      </c>
      <c r="B84" s="1" t="s">
        <v>902</v>
      </c>
      <c r="C84" s="1">
        <v>259.18</v>
      </c>
      <c r="D84" s="1">
        <v>41.59</v>
      </c>
      <c r="E84" s="1">
        <v>0.35298499999999999</v>
      </c>
      <c r="F84" s="1">
        <f>101145600*(10^-6)</f>
        <v>101.1456</v>
      </c>
      <c r="G84" s="1">
        <v>0</v>
      </c>
      <c r="H84" s="1">
        <v>55.26</v>
      </c>
    </row>
    <row r="85" spans="1:8">
      <c r="A85" s="1">
        <v>24</v>
      </c>
      <c r="B85" s="1" t="s">
        <v>903</v>
      </c>
      <c r="C85" s="1">
        <v>135.51</v>
      </c>
      <c r="D85" s="1">
        <v>40.57</v>
      </c>
      <c r="E85" s="1">
        <v>0.46034799999999998</v>
      </c>
      <c r="F85" s="1">
        <f>102873600*(10^-6)</f>
        <v>102.8736</v>
      </c>
      <c r="G85" s="1">
        <v>6</v>
      </c>
      <c r="H85" s="1">
        <v>25.85</v>
      </c>
    </row>
    <row r="86" spans="1:8">
      <c r="A86" s="1">
        <v>25</v>
      </c>
      <c r="B86" s="1" t="s">
        <v>904</v>
      </c>
      <c r="C86" s="1">
        <v>160.44</v>
      </c>
      <c r="D86" s="1">
        <v>40.93</v>
      </c>
      <c r="E86" s="1">
        <v>0.46430399999999999</v>
      </c>
      <c r="F86" s="1">
        <f>100838400*(10^-6)</f>
        <v>100.83839999999999</v>
      </c>
      <c r="G86" s="1">
        <v>6</v>
      </c>
      <c r="H86" s="1">
        <v>30.76</v>
      </c>
    </row>
    <row r="87" spans="1:8">
      <c r="A87" s="1">
        <v>26</v>
      </c>
      <c r="B87" s="1" t="s">
        <v>905</v>
      </c>
      <c r="C87" s="1">
        <v>190.03</v>
      </c>
      <c r="D87" s="1">
        <v>41.31</v>
      </c>
      <c r="E87" s="1">
        <v>0.47161999999999998</v>
      </c>
      <c r="F87" s="1">
        <f>102259200*(10^-6)</f>
        <v>102.25919999999999</v>
      </c>
      <c r="G87" s="1">
        <v>6</v>
      </c>
      <c r="H87" s="1">
        <v>38.869999999999997</v>
      </c>
    </row>
    <row r="88" spans="1:8">
      <c r="A88" s="1">
        <v>27</v>
      </c>
      <c r="B88" s="1" t="s">
        <v>906</v>
      </c>
      <c r="C88" s="1">
        <v>168.67</v>
      </c>
      <c r="D88" s="1">
        <v>39.590000000000003</v>
      </c>
      <c r="E88" s="1">
        <v>0.232124</v>
      </c>
      <c r="F88" s="1">
        <f>8985600*(10^-6)</f>
        <v>8.9855999999999998</v>
      </c>
      <c r="G88" s="1">
        <v>2</v>
      </c>
      <c r="H88" s="1">
        <v>37.380000000000003</v>
      </c>
    </row>
    <row r="89" spans="1:8">
      <c r="A89" s="1">
        <v>28</v>
      </c>
      <c r="B89" s="1" t="s">
        <v>907</v>
      </c>
      <c r="C89" s="1">
        <v>261.81</v>
      </c>
      <c r="D89" s="1">
        <v>41.71</v>
      </c>
      <c r="E89" s="1">
        <v>0.40013500000000002</v>
      </c>
      <c r="F89" s="1">
        <f>101644800*(10^-6)</f>
        <v>101.64479999999999</v>
      </c>
      <c r="G89" s="1">
        <v>2</v>
      </c>
      <c r="H89" s="1">
        <v>49.71</v>
      </c>
    </row>
    <row r="90" spans="1:8">
      <c r="A90" s="1">
        <v>29</v>
      </c>
      <c r="B90" s="1" t="s">
        <v>908</v>
      </c>
      <c r="C90" s="1">
        <v>128.34</v>
      </c>
      <c r="D90" s="1">
        <v>40.299999999999997</v>
      </c>
      <c r="E90" s="1">
        <v>0.41022799999999998</v>
      </c>
      <c r="F90" s="1">
        <f>68851200*(10^-6)</f>
        <v>68.851199999999992</v>
      </c>
      <c r="G90" s="1">
        <v>2</v>
      </c>
      <c r="H90" s="1">
        <v>24.34</v>
      </c>
    </row>
    <row r="91" spans="1:8">
      <c r="A91" s="1">
        <v>30</v>
      </c>
      <c r="B91" s="1" t="s">
        <v>909</v>
      </c>
      <c r="C91" s="1">
        <v>241.18</v>
      </c>
      <c r="D91" s="1">
        <v>41.85</v>
      </c>
      <c r="E91" s="1">
        <v>0.47287200000000001</v>
      </c>
      <c r="F91" s="1">
        <f>192921600*(10^-6)</f>
        <v>192.92159999999998</v>
      </c>
      <c r="G91" s="1">
        <v>0</v>
      </c>
      <c r="H91" s="1">
        <v>50.22</v>
      </c>
    </row>
    <row r="92" spans="1:8">
      <c r="A92" s="1">
        <v>31</v>
      </c>
      <c r="B92" s="1" t="s">
        <v>910</v>
      </c>
      <c r="C92" s="1">
        <v>214.46</v>
      </c>
      <c r="D92" s="1">
        <v>41.27</v>
      </c>
      <c r="E92" s="1">
        <v>0.38342700000000002</v>
      </c>
      <c r="F92" s="1">
        <f>87283200*(10^-6)</f>
        <v>87.283199999999994</v>
      </c>
      <c r="G92" s="1">
        <v>4</v>
      </c>
      <c r="H92" s="1">
        <v>42.89</v>
      </c>
    </row>
    <row r="93" spans="1:8">
      <c r="A93" s="1">
        <v>32</v>
      </c>
      <c r="B93" s="1" t="s">
        <v>911</v>
      </c>
      <c r="C93" s="1">
        <v>227.24</v>
      </c>
      <c r="D93" s="1">
        <v>40.74</v>
      </c>
      <c r="E93" s="1">
        <v>0.35941400000000001</v>
      </c>
      <c r="F93" s="1">
        <f>13785600*(10^-6)</f>
        <v>13.785599999999999</v>
      </c>
      <c r="G93" s="1">
        <v>2</v>
      </c>
      <c r="H93" s="1">
        <v>44.57</v>
      </c>
    </row>
    <row r="94" spans="1:8">
      <c r="A94" s="1">
        <v>33</v>
      </c>
      <c r="B94" s="1" t="s">
        <v>912</v>
      </c>
      <c r="C94" s="1">
        <v>157.04</v>
      </c>
      <c r="D94" s="1">
        <v>40.880000000000003</v>
      </c>
      <c r="E94" s="1">
        <v>0.46157199999999998</v>
      </c>
      <c r="F94" s="1">
        <f>100876800*(10^-6)</f>
        <v>100.87679999999999</v>
      </c>
      <c r="G94" s="1">
        <v>2</v>
      </c>
      <c r="H94" s="1">
        <v>30.16</v>
      </c>
    </row>
    <row r="95" spans="1:8">
      <c r="A95" s="1">
        <v>34</v>
      </c>
      <c r="B95" s="1" t="s">
        <v>913</v>
      </c>
      <c r="C95" s="1">
        <v>138.27000000000001</v>
      </c>
      <c r="D95" s="1">
        <v>40.590000000000003</v>
      </c>
      <c r="E95" s="1">
        <v>0.45074900000000001</v>
      </c>
      <c r="F95" s="1">
        <f>99878400*(10^-6)</f>
        <v>99.878399999999999</v>
      </c>
      <c r="G95" s="1">
        <v>4</v>
      </c>
      <c r="H95" s="1">
        <v>26.56</v>
      </c>
    </row>
    <row r="96" spans="1:8">
      <c r="A96" s="1">
        <v>35</v>
      </c>
      <c r="B96" s="1" t="s">
        <v>914</v>
      </c>
      <c r="C96" s="1">
        <v>176.39</v>
      </c>
      <c r="D96" s="1">
        <v>40.9</v>
      </c>
      <c r="E96" s="1">
        <v>0.38847700000000002</v>
      </c>
      <c r="F96" s="1">
        <f>79603200*(10^-6)</f>
        <v>79.603200000000001</v>
      </c>
      <c r="G96" s="1">
        <v>4</v>
      </c>
      <c r="H96" s="1">
        <v>35.090000000000003</v>
      </c>
    </row>
    <row r="97" spans="1:8">
      <c r="A97" s="1">
        <v>36</v>
      </c>
      <c r="B97" s="1" t="s">
        <v>915</v>
      </c>
      <c r="C97" s="1">
        <v>203.09</v>
      </c>
      <c r="D97" s="1">
        <v>41.52</v>
      </c>
      <c r="E97" s="1">
        <v>0.49316199999999999</v>
      </c>
      <c r="F97" s="1">
        <f>187660800*(10^-6)</f>
        <v>187.66079999999999</v>
      </c>
      <c r="G97" s="1">
        <v>2</v>
      </c>
      <c r="H97" s="1">
        <v>39.630000000000003</v>
      </c>
    </row>
    <row r="98" spans="1:8">
      <c r="A98" s="1">
        <v>37</v>
      </c>
      <c r="B98" s="1" t="s">
        <v>916</v>
      </c>
      <c r="C98" s="1">
        <v>161.05000000000001</v>
      </c>
      <c r="D98" s="1">
        <v>40.549999999999997</v>
      </c>
      <c r="E98" s="1">
        <v>0.331343</v>
      </c>
      <c r="F98" s="1">
        <f>69849600*(10^-6)</f>
        <v>69.849599999999995</v>
      </c>
      <c r="G98" s="1">
        <v>0</v>
      </c>
      <c r="H98" s="1">
        <v>30.78</v>
      </c>
    </row>
    <row r="99" spans="1:8">
      <c r="A99" s="1">
        <v>38</v>
      </c>
      <c r="B99" s="1" t="s">
        <v>917</v>
      </c>
      <c r="C99" s="1">
        <v>101.03</v>
      </c>
      <c r="D99" s="1">
        <v>39.770000000000003</v>
      </c>
      <c r="E99" s="1">
        <v>0.39886500000000003</v>
      </c>
      <c r="F99" s="1">
        <f>52992000*(10^-6)</f>
        <v>52.991999999999997</v>
      </c>
      <c r="G99" s="1">
        <v>0</v>
      </c>
      <c r="H99" s="1">
        <v>19.309999999999999</v>
      </c>
    </row>
    <row r="100" spans="1:8">
      <c r="A100" s="1">
        <v>39</v>
      </c>
      <c r="B100" s="1" t="s">
        <v>918</v>
      </c>
      <c r="C100" s="1">
        <v>220.68</v>
      </c>
      <c r="D100" s="1">
        <v>40.729999999999997</v>
      </c>
      <c r="E100" s="1">
        <v>0.37589800000000001</v>
      </c>
      <c r="F100" s="1">
        <f>11481600*(10^-6)</f>
        <v>11.4816</v>
      </c>
      <c r="G100" s="1">
        <v>2</v>
      </c>
      <c r="H100" s="1">
        <v>42.16</v>
      </c>
    </row>
    <row r="101" spans="1:8">
      <c r="A101" s="1">
        <v>40</v>
      </c>
      <c r="B101" s="1" t="s">
        <v>919</v>
      </c>
      <c r="C101" s="1">
        <v>122.23</v>
      </c>
      <c r="D101" s="1">
        <v>40.369999999999997</v>
      </c>
      <c r="E101" s="1">
        <v>0.46720200000000001</v>
      </c>
      <c r="F101" s="1">
        <f>89280000*(10^-6)</f>
        <v>89.28</v>
      </c>
      <c r="G101" s="1">
        <v>4</v>
      </c>
      <c r="H101" s="1">
        <v>23.33</v>
      </c>
    </row>
    <row r="102" spans="1:8">
      <c r="A102" s="1">
        <v>41</v>
      </c>
      <c r="B102" s="1" t="s">
        <v>920</v>
      </c>
      <c r="C102" s="1">
        <v>156.56</v>
      </c>
      <c r="D102" s="1">
        <v>40.869999999999997</v>
      </c>
      <c r="E102" s="1">
        <v>0.46132800000000002</v>
      </c>
      <c r="F102" s="1">
        <f>100876800*(10^-6)</f>
        <v>100.87679999999999</v>
      </c>
      <c r="G102" s="1">
        <v>2</v>
      </c>
      <c r="H102" s="1">
        <v>30.13</v>
      </c>
    </row>
    <row r="103" spans="1:8">
      <c r="A103" s="1">
        <v>42</v>
      </c>
      <c r="B103" s="1" t="s">
        <v>921</v>
      </c>
      <c r="C103" s="1">
        <v>132.1</v>
      </c>
      <c r="D103" s="1">
        <v>40.54</v>
      </c>
      <c r="E103" s="1">
        <v>0.46869300000000003</v>
      </c>
      <c r="F103" s="1">
        <f>101299200*(10^-6)</f>
        <v>101.2992</v>
      </c>
      <c r="G103" s="1">
        <v>4</v>
      </c>
      <c r="H103" s="1">
        <v>25.67</v>
      </c>
    </row>
    <row r="104" spans="1:8">
      <c r="A104" s="1">
        <v>43</v>
      </c>
      <c r="B104" s="1" t="s">
        <v>922</v>
      </c>
      <c r="C104" s="1">
        <v>194.57</v>
      </c>
      <c r="D104" s="1">
        <v>41.19</v>
      </c>
      <c r="E104" s="1">
        <v>0.39993499999999998</v>
      </c>
      <c r="F104" s="1">
        <f>102720000*(10^-6)</f>
        <v>102.72</v>
      </c>
      <c r="G104" s="1">
        <v>0</v>
      </c>
      <c r="H104" s="1">
        <v>37.11</v>
      </c>
    </row>
    <row r="105" spans="1:8">
      <c r="A105" s="1">
        <v>44</v>
      </c>
      <c r="B105" s="1" t="s">
        <v>923</v>
      </c>
      <c r="C105" s="1">
        <v>162.97999999999999</v>
      </c>
      <c r="D105" s="1">
        <v>40.909999999999997</v>
      </c>
      <c r="E105" s="1">
        <v>0.441245</v>
      </c>
      <c r="F105" s="1">
        <f>100838400*(10^-6)</f>
        <v>100.83839999999999</v>
      </c>
      <c r="G105" s="1">
        <v>8</v>
      </c>
      <c r="H105" s="1">
        <v>31.49</v>
      </c>
    </row>
    <row r="106" spans="1:8">
      <c r="A106" s="1">
        <v>45</v>
      </c>
      <c r="B106" s="1" t="s">
        <v>924</v>
      </c>
      <c r="C106" s="1">
        <v>211.17</v>
      </c>
      <c r="D106" s="1">
        <v>41.44</v>
      </c>
      <c r="E106" s="1">
        <v>0.42696899999999999</v>
      </c>
      <c r="F106" s="1">
        <f>101568000*(10^-6)</f>
        <v>101.568</v>
      </c>
      <c r="G106" s="1">
        <v>8</v>
      </c>
      <c r="H106" s="1">
        <v>40.22</v>
      </c>
    </row>
    <row r="107" spans="1:8">
      <c r="A107" s="1">
        <v>46</v>
      </c>
      <c r="B107" s="1" t="s">
        <v>925</v>
      </c>
      <c r="C107" s="1">
        <v>172.82</v>
      </c>
      <c r="D107" s="1">
        <v>40.03</v>
      </c>
      <c r="E107" s="1">
        <v>0.33034200000000002</v>
      </c>
      <c r="F107" s="1">
        <f>8179200*(10^-6)</f>
        <v>8.1791999999999998</v>
      </c>
      <c r="G107" s="1">
        <v>0</v>
      </c>
      <c r="H107" s="1">
        <v>32.97</v>
      </c>
    </row>
    <row r="108" spans="1:8">
      <c r="A108" s="1">
        <v>47</v>
      </c>
      <c r="B108" s="1" t="s">
        <v>926</v>
      </c>
      <c r="C108" s="1">
        <v>234.32</v>
      </c>
      <c r="D108" s="1">
        <v>41.29</v>
      </c>
      <c r="E108" s="1">
        <v>0.29396099999999997</v>
      </c>
      <c r="F108" s="1">
        <f>101414400*(10^-6)</f>
        <v>101.4144</v>
      </c>
      <c r="G108" s="1">
        <v>4</v>
      </c>
      <c r="H108" s="1">
        <v>46.85</v>
      </c>
    </row>
    <row r="109" spans="1:8">
      <c r="A109" s="1">
        <v>48</v>
      </c>
      <c r="B109" s="1" t="s">
        <v>927</v>
      </c>
      <c r="C109" s="1">
        <v>249.56</v>
      </c>
      <c r="D109" s="1">
        <v>41.19</v>
      </c>
      <c r="E109" s="1">
        <v>0.39355200000000001</v>
      </c>
      <c r="F109" s="1">
        <f>19545600*(10^-6)</f>
        <v>19.5456</v>
      </c>
      <c r="G109" s="1">
        <v>0</v>
      </c>
      <c r="H109" s="1">
        <v>47.43</v>
      </c>
    </row>
    <row r="110" spans="1:8">
      <c r="A110" s="1">
        <v>49</v>
      </c>
      <c r="B110" s="1" t="s">
        <v>928</v>
      </c>
      <c r="C110" s="1">
        <v>178.82</v>
      </c>
      <c r="D110" s="1">
        <v>40.56</v>
      </c>
      <c r="E110" s="1">
        <v>0.30019499999999999</v>
      </c>
      <c r="F110" s="1">
        <f>39206400*(10^-6)</f>
        <v>39.206399999999995</v>
      </c>
      <c r="G110" s="1">
        <v>8</v>
      </c>
      <c r="H110" s="1">
        <v>36.46</v>
      </c>
    </row>
    <row r="111" spans="1:8">
      <c r="A111" s="1">
        <v>50</v>
      </c>
      <c r="B111" s="1" t="s">
        <v>929</v>
      </c>
      <c r="C111" s="1">
        <v>245.44</v>
      </c>
      <c r="D111" s="1">
        <v>41.41</v>
      </c>
      <c r="E111" s="1">
        <v>0.30868699999999999</v>
      </c>
      <c r="F111" s="1">
        <f>99340800*(10^-6)</f>
        <v>99.340800000000002</v>
      </c>
      <c r="G111" s="1">
        <v>2</v>
      </c>
      <c r="H111" s="1">
        <v>48.6</v>
      </c>
    </row>
    <row r="112" spans="1:8">
      <c r="B112" s="1" t="s">
        <v>19</v>
      </c>
      <c r="C112" s="1">
        <f>AVERAGE(C62:C111)</f>
        <v>195.06180000000003</v>
      </c>
      <c r="D112" s="1">
        <f t="shared" ref="D112:F112" si="5">AVERAGE(D62:D111)</f>
        <v>41.016999999999996</v>
      </c>
      <c r="E112" s="1">
        <f t="shared" si="5"/>
        <v>0.40359134000000002</v>
      </c>
      <c r="F112" s="1">
        <f t="shared" si="5"/>
        <v>96.014592000000007</v>
      </c>
      <c r="H112" s="1">
        <f t="shared" ref="H112" si="6">AVERAGE(H62:H111)</f>
        <v>38.468400000000003</v>
      </c>
    </row>
    <row r="113" spans="1:8">
      <c r="B113" s="1" t="s">
        <v>20</v>
      </c>
      <c r="C113" s="1">
        <f>MIN(C61:C111)</f>
        <v>101.03</v>
      </c>
      <c r="D113" s="1">
        <f t="shared" ref="D113:F113" si="7">MIN(D61:D111)</f>
        <v>39.590000000000003</v>
      </c>
      <c r="E113" s="1">
        <f t="shared" si="7"/>
        <v>0.232124</v>
      </c>
      <c r="F113" s="1">
        <f t="shared" si="7"/>
        <v>8.1791999999999998</v>
      </c>
      <c r="H113" s="1">
        <f t="shared" ref="H113" si="8">MIN(H61:H111)</f>
        <v>19.309999999999999</v>
      </c>
    </row>
    <row r="114" spans="1:8">
      <c r="B114" s="1" t="s">
        <v>3</v>
      </c>
      <c r="C114" s="1">
        <f>STDEV(C62:C111)</f>
        <v>57.12014186692759</v>
      </c>
      <c r="D114" s="1">
        <f t="shared" ref="D114:E114" si="9">STDEV(D62:D111)</f>
        <v>0.64949352324322729</v>
      </c>
      <c r="E114" s="1">
        <f t="shared" si="9"/>
        <v>7.0057184733618966E-2</v>
      </c>
      <c r="F114" s="1">
        <f>STDEV(F62:F111)</f>
        <v>48.908228291036025</v>
      </c>
      <c r="H114" s="1">
        <f>STDEV(H62:H111)</f>
        <v>11.807536915038684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630</v>
      </c>
      <c r="C118" s="1">
        <v>134.47</v>
      </c>
      <c r="D118" s="1">
        <v>80.67</v>
      </c>
      <c r="E118" s="1">
        <v>0.402196</v>
      </c>
      <c r="F118" s="1">
        <f>47923200*(10^-6)</f>
        <v>47.923200000000001</v>
      </c>
      <c r="G118" s="1">
        <v>6</v>
      </c>
      <c r="H118" s="1">
        <v>27.02</v>
      </c>
    </row>
    <row r="119" spans="1:8">
      <c r="A119" s="1">
        <v>2</v>
      </c>
      <c r="B119" s="1" t="s">
        <v>631</v>
      </c>
      <c r="C119" s="1">
        <v>159.44</v>
      </c>
      <c r="D119" s="1">
        <v>79.73</v>
      </c>
      <c r="E119" s="1">
        <v>0.32922600000000002</v>
      </c>
      <c r="F119" s="1">
        <f>7027200*(10^-6)</f>
        <v>7.0271999999999997</v>
      </c>
      <c r="G119" s="1">
        <v>6</v>
      </c>
      <c r="H119" s="1">
        <v>31.21</v>
      </c>
    </row>
    <row r="120" spans="1:8">
      <c r="A120" s="1">
        <v>3</v>
      </c>
      <c r="B120" s="1" t="s">
        <v>632</v>
      </c>
      <c r="C120" s="1">
        <v>157.06</v>
      </c>
      <c r="D120" s="1">
        <v>81.75</v>
      </c>
      <c r="E120" s="1">
        <v>0.46115699999999998</v>
      </c>
      <c r="F120" s="1">
        <f>101068800*(10^-6)</f>
        <v>101.0688</v>
      </c>
      <c r="G120" s="1">
        <v>4</v>
      </c>
      <c r="H120" s="1">
        <v>30.14</v>
      </c>
    </row>
    <row r="121" spans="1:8">
      <c r="A121" s="1">
        <v>4</v>
      </c>
      <c r="B121" s="1" t="s">
        <v>633</v>
      </c>
      <c r="C121" s="1">
        <v>155.16</v>
      </c>
      <c r="D121" s="1">
        <v>78.84</v>
      </c>
      <c r="E121" s="1">
        <v>0.26214399999999999</v>
      </c>
      <c r="F121" s="1">
        <f>460800*(10^-6)</f>
        <v>0.46079999999999999</v>
      </c>
      <c r="G121" s="1">
        <v>6</v>
      </c>
      <c r="H121" s="1">
        <v>33.200000000000003</v>
      </c>
    </row>
    <row r="122" spans="1:8">
      <c r="A122" s="1">
        <v>5</v>
      </c>
      <c r="B122" s="1" t="s">
        <v>634</v>
      </c>
      <c r="C122" s="1">
        <v>189.58</v>
      </c>
      <c r="D122" s="1">
        <v>80.87</v>
      </c>
      <c r="E122" s="1">
        <v>0.34940399999999999</v>
      </c>
      <c r="F122" s="1">
        <f>4377600*(10^-6)</f>
        <v>4.3776000000000002</v>
      </c>
      <c r="G122" s="1">
        <v>14</v>
      </c>
      <c r="H122" s="1">
        <v>36.799999999999997</v>
      </c>
    </row>
    <row r="123" spans="1:8">
      <c r="A123" s="1">
        <v>6</v>
      </c>
      <c r="B123" s="1" t="s">
        <v>635</v>
      </c>
      <c r="C123" s="1">
        <v>144.69999999999999</v>
      </c>
      <c r="D123" s="1">
        <v>81.17</v>
      </c>
      <c r="E123" s="1">
        <v>0.38211699999999998</v>
      </c>
      <c r="F123" s="1">
        <f>97920000*(10^-6)</f>
        <v>97.92</v>
      </c>
      <c r="G123" s="1">
        <v>12</v>
      </c>
      <c r="H123" s="1">
        <v>27.59</v>
      </c>
    </row>
    <row r="124" spans="1:8">
      <c r="A124" s="1">
        <v>7</v>
      </c>
      <c r="B124" s="1" t="s">
        <v>636</v>
      </c>
      <c r="C124" s="1">
        <v>167.83</v>
      </c>
      <c r="D124" s="1">
        <v>80.75</v>
      </c>
      <c r="E124" s="1">
        <v>0.28393600000000002</v>
      </c>
      <c r="F124" s="1">
        <f>32716800*(10^-6)</f>
        <v>32.716799999999999</v>
      </c>
      <c r="G124" s="1">
        <v>2</v>
      </c>
      <c r="H124" s="1">
        <v>34.76</v>
      </c>
    </row>
    <row r="125" spans="1:8">
      <c r="A125" s="1">
        <v>8</v>
      </c>
      <c r="B125" s="1" t="s">
        <v>637</v>
      </c>
      <c r="C125" s="1">
        <v>124.82</v>
      </c>
      <c r="D125" s="1">
        <v>80.08</v>
      </c>
      <c r="E125" s="1">
        <v>0.33630700000000002</v>
      </c>
      <c r="F125" s="1">
        <f>53836800*(10^-6)</f>
        <v>53.836799999999997</v>
      </c>
      <c r="G125" s="1">
        <v>12</v>
      </c>
      <c r="H125" s="1">
        <v>24.37</v>
      </c>
    </row>
    <row r="126" spans="1:8">
      <c r="A126" s="1">
        <v>9</v>
      </c>
      <c r="B126" s="1" t="s">
        <v>638</v>
      </c>
      <c r="C126" s="1">
        <v>139.47999999999999</v>
      </c>
      <c r="D126" s="1">
        <v>81.150000000000006</v>
      </c>
      <c r="E126" s="1">
        <v>0.44517099999999998</v>
      </c>
      <c r="F126" s="1">
        <f>72729600*(10^-6)</f>
        <v>72.729599999999991</v>
      </c>
      <c r="G126" s="1">
        <v>6</v>
      </c>
      <c r="H126" s="1">
        <v>26.99</v>
      </c>
    </row>
    <row r="127" spans="1:8">
      <c r="A127" s="1">
        <v>10</v>
      </c>
      <c r="B127" s="1" t="s">
        <v>639</v>
      </c>
      <c r="C127" s="1">
        <v>112.62</v>
      </c>
      <c r="D127" s="1">
        <v>78.930000000000007</v>
      </c>
      <c r="E127" s="1">
        <v>0.39075300000000002</v>
      </c>
      <c r="F127" s="1">
        <f>2265600*(10^-6)</f>
        <v>2.2656000000000001</v>
      </c>
      <c r="G127" s="1">
        <v>16</v>
      </c>
      <c r="H127" s="1">
        <v>21.52</v>
      </c>
    </row>
    <row r="128" spans="1:8">
      <c r="A128" s="1">
        <v>11</v>
      </c>
      <c r="B128" s="1" t="s">
        <v>640</v>
      </c>
      <c r="C128" s="1">
        <v>166.07</v>
      </c>
      <c r="D128" s="1">
        <v>81.3</v>
      </c>
      <c r="E128" s="1">
        <v>0.37845499999999999</v>
      </c>
      <c r="F128" s="1">
        <f>28953600*(10^-6)</f>
        <v>28.953599999999998</v>
      </c>
      <c r="G128" s="1">
        <v>6</v>
      </c>
      <c r="H128" s="1">
        <v>33.43</v>
      </c>
    </row>
    <row r="129" spans="1:8">
      <c r="A129" s="1">
        <v>12</v>
      </c>
      <c r="B129" s="1" t="s">
        <v>641</v>
      </c>
      <c r="C129" s="1">
        <v>155.99</v>
      </c>
      <c r="D129" s="1">
        <v>81.48</v>
      </c>
      <c r="E129" s="1">
        <v>0.39483099999999999</v>
      </c>
      <c r="F129" s="1">
        <f>99686400*(10^-6)</f>
        <v>99.686399999999992</v>
      </c>
      <c r="G129" s="1">
        <v>14</v>
      </c>
      <c r="H129" s="1">
        <v>29.78</v>
      </c>
    </row>
    <row r="130" spans="1:8">
      <c r="A130" s="1">
        <v>13</v>
      </c>
      <c r="B130" s="1" t="s">
        <v>642</v>
      </c>
      <c r="C130" s="1">
        <v>113.52</v>
      </c>
      <c r="D130" s="1">
        <v>80.290000000000006</v>
      </c>
      <c r="E130" s="1">
        <v>0.44415100000000002</v>
      </c>
      <c r="F130" s="1">
        <f>65702400*(10^-6)</f>
        <v>65.702399999999997</v>
      </c>
      <c r="G130" s="1">
        <v>2</v>
      </c>
      <c r="H130" s="1">
        <v>22.82</v>
      </c>
    </row>
    <row r="131" spans="1:8">
      <c r="A131" s="1">
        <v>14</v>
      </c>
      <c r="B131" s="1" t="s">
        <v>643</v>
      </c>
      <c r="C131" s="1">
        <v>155.82</v>
      </c>
      <c r="D131" s="1">
        <v>79.39</v>
      </c>
      <c r="E131" s="1">
        <v>0.36747299999999999</v>
      </c>
      <c r="F131" s="1">
        <f>422400*(10^-6)</f>
        <v>0.4224</v>
      </c>
      <c r="G131" s="1">
        <v>4</v>
      </c>
      <c r="H131" s="1">
        <v>29.62</v>
      </c>
    </row>
    <row r="132" spans="1:8">
      <c r="A132" s="1">
        <v>15</v>
      </c>
      <c r="B132" s="1" t="s">
        <v>644</v>
      </c>
      <c r="C132" s="1">
        <v>117.59</v>
      </c>
      <c r="D132" s="1">
        <v>80.260000000000005</v>
      </c>
      <c r="E132" s="1">
        <v>0.41753600000000002</v>
      </c>
      <c r="F132" s="1">
        <f>54144000*(10^-6)</f>
        <v>54.143999999999998</v>
      </c>
      <c r="G132" s="1">
        <v>10</v>
      </c>
      <c r="H132" s="1">
        <v>22.96</v>
      </c>
    </row>
    <row r="133" spans="1:8">
      <c r="A133" s="1">
        <v>16</v>
      </c>
      <c r="B133" s="1" t="s">
        <v>645</v>
      </c>
      <c r="C133" s="1">
        <v>113.47</v>
      </c>
      <c r="D133" s="1">
        <v>80.02</v>
      </c>
      <c r="E133" s="1">
        <v>0.40255600000000002</v>
      </c>
      <c r="F133" s="1">
        <f>52761600*(10^-6)</f>
        <v>52.761599999999994</v>
      </c>
      <c r="G133" s="1">
        <v>2</v>
      </c>
      <c r="H133" s="1">
        <v>21.69</v>
      </c>
    </row>
    <row r="134" spans="1:8">
      <c r="A134" s="1">
        <v>17</v>
      </c>
      <c r="B134" s="1" t="s">
        <v>646</v>
      </c>
      <c r="C134" s="1">
        <v>121.42</v>
      </c>
      <c r="D134" s="1">
        <v>79.53</v>
      </c>
      <c r="E134" s="1">
        <v>0.39146500000000001</v>
      </c>
      <c r="F134" s="1">
        <f>5145600*(10^-6)</f>
        <v>5.1456</v>
      </c>
      <c r="G134" s="1">
        <v>2</v>
      </c>
      <c r="H134" s="1">
        <v>23.28</v>
      </c>
    </row>
    <row r="135" spans="1:8">
      <c r="A135" s="1">
        <v>18</v>
      </c>
      <c r="B135" s="1" t="s">
        <v>647</v>
      </c>
      <c r="C135" s="1">
        <v>186.38</v>
      </c>
      <c r="D135" s="1">
        <v>81.52</v>
      </c>
      <c r="E135" s="1">
        <v>0.35256999999999999</v>
      </c>
      <c r="F135" s="1">
        <f>25113600*(10^-6)</f>
        <v>25.113599999999998</v>
      </c>
      <c r="G135" s="1">
        <v>8</v>
      </c>
      <c r="H135" s="1">
        <v>36.08</v>
      </c>
    </row>
    <row r="136" spans="1:8">
      <c r="A136" s="1">
        <v>19</v>
      </c>
      <c r="B136" s="1" t="s">
        <v>648</v>
      </c>
      <c r="C136" s="1">
        <v>184.57</v>
      </c>
      <c r="D136" s="1">
        <v>81.61</v>
      </c>
      <c r="E136" s="1">
        <v>0.37852999999999998</v>
      </c>
      <c r="F136" s="1">
        <f>16588800*(10^-6)</f>
        <v>16.588799999999999</v>
      </c>
      <c r="G136" s="1">
        <v>4</v>
      </c>
      <c r="H136" s="1">
        <v>36.67</v>
      </c>
    </row>
    <row r="137" spans="1:8">
      <c r="A137" s="1">
        <v>20</v>
      </c>
      <c r="B137" s="1" t="s">
        <v>649</v>
      </c>
      <c r="C137" s="1">
        <v>119.99</v>
      </c>
      <c r="D137" s="1">
        <v>80.03</v>
      </c>
      <c r="E137" s="1">
        <v>0.32684200000000002</v>
      </c>
      <c r="F137" s="1">
        <f>52992000*(10^-6)</f>
        <v>52.991999999999997</v>
      </c>
      <c r="G137" s="1">
        <v>10</v>
      </c>
      <c r="H137" s="1">
        <v>23.08</v>
      </c>
    </row>
    <row r="138" spans="1:8">
      <c r="A138" s="1">
        <v>21</v>
      </c>
      <c r="B138" s="1" t="s">
        <v>650</v>
      </c>
      <c r="C138" s="1">
        <v>138.85</v>
      </c>
      <c r="D138" s="1">
        <v>80.44</v>
      </c>
      <c r="E138" s="1">
        <v>0.42280600000000002</v>
      </c>
      <c r="F138" s="1">
        <f>9024000*(10^-6)</f>
        <v>9.0239999999999991</v>
      </c>
      <c r="G138" s="1">
        <v>6</v>
      </c>
      <c r="H138" s="1">
        <v>26.53</v>
      </c>
    </row>
    <row r="139" spans="1:8">
      <c r="A139" s="1">
        <v>22</v>
      </c>
      <c r="B139" s="1" t="s">
        <v>651</v>
      </c>
      <c r="C139" s="1">
        <v>126.63</v>
      </c>
      <c r="D139" s="1">
        <v>79.56</v>
      </c>
      <c r="E139" s="1">
        <v>0.26993699999999998</v>
      </c>
      <c r="F139" s="1">
        <f>23232000*(10^-6)</f>
        <v>23.231999999999999</v>
      </c>
      <c r="G139" s="1">
        <v>16</v>
      </c>
      <c r="H139" s="1">
        <v>26.3</v>
      </c>
    </row>
    <row r="140" spans="1:8">
      <c r="A140" s="1">
        <v>23</v>
      </c>
      <c r="B140" s="1" t="s">
        <v>652</v>
      </c>
      <c r="C140" s="1">
        <v>144.66</v>
      </c>
      <c r="D140" s="1">
        <v>79.39</v>
      </c>
      <c r="E140" s="1">
        <v>0.22750100000000001</v>
      </c>
      <c r="F140" s="1">
        <f>19776000*(10^-6)</f>
        <v>19.776</v>
      </c>
      <c r="G140" s="1">
        <v>0</v>
      </c>
      <c r="H140" s="1">
        <v>29.36</v>
      </c>
    </row>
    <row r="141" spans="1:8">
      <c r="A141" s="1">
        <v>24</v>
      </c>
      <c r="B141" s="1" t="s">
        <v>653</v>
      </c>
      <c r="C141" s="1">
        <v>128.43</v>
      </c>
      <c r="D141" s="1">
        <v>80.86</v>
      </c>
      <c r="E141" s="1">
        <v>0.44822800000000002</v>
      </c>
      <c r="F141" s="1">
        <f>85747200*(10^-6)</f>
        <v>85.747199999999992</v>
      </c>
      <c r="G141" s="1">
        <v>2</v>
      </c>
      <c r="H141" s="1">
        <v>24.73</v>
      </c>
    </row>
    <row r="142" spans="1:8">
      <c r="A142" s="1">
        <v>25</v>
      </c>
      <c r="B142" s="1" t="s">
        <v>654</v>
      </c>
      <c r="C142" s="1">
        <v>152.66</v>
      </c>
      <c r="D142" s="1">
        <v>81.25</v>
      </c>
      <c r="E142" s="1">
        <v>0.37908999999999998</v>
      </c>
      <c r="F142" s="1">
        <f>69158400*(10^-6)</f>
        <v>69.1584</v>
      </c>
      <c r="G142" s="1">
        <v>2</v>
      </c>
      <c r="H142" s="1">
        <v>29.23</v>
      </c>
    </row>
    <row r="143" spans="1:8">
      <c r="A143" s="1">
        <v>26</v>
      </c>
      <c r="B143" s="1" t="s">
        <v>655</v>
      </c>
      <c r="C143" s="1">
        <v>145.05000000000001</v>
      </c>
      <c r="D143" s="1">
        <v>80.69</v>
      </c>
      <c r="E143" s="1">
        <v>0.35891400000000001</v>
      </c>
      <c r="F143" s="1">
        <f>21696000*(10^-6)</f>
        <v>21.695999999999998</v>
      </c>
      <c r="G143" s="1">
        <v>2</v>
      </c>
      <c r="H143" s="1">
        <v>27.61</v>
      </c>
    </row>
    <row r="144" spans="1:8">
      <c r="A144" s="1">
        <v>27</v>
      </c>
      <c r="B144" s="1" t="s">
        <v>656</v>
      </c>
      <c r="C144" s="1">
        <v>134.68</v>
      </c>
      <c r="D144" s="1">
        <v>79.55</v>
      </c>
      <c r="E144" s="1">
        <v>0.28507100000000002</v>
      </c>
      <c r="F144" s="1">
        <f>14131200*(10^-6)</f>
        <v>14.1312</v>
      </c>
      <c r="G144" s="1">
        <v>0</v>
      </c>
      <c r="H144" s="1">
        <v>26.15</v>
      </c>
    </row>
    <row r="145" spans="1:8">
      <c r="A145" s="1">
        <v>28</v>
      </c>
      <c r="B145" s="1" t="s">
        <v>657</v>
      </c>
      <c r="C145" s="1">
        <v>115.53</v>
      </c>
      <c r="D145" s="1">
        <v>80.2</v>
      </c>
      <c r="E145" s="1">
        <v>0.41267399999999999</v>
      </c>
      <c r="F145" s="1">
        <f>64473600*(10^-6)</f>
        <v>64.47359999999999</v>
      </c>
      <c r="G145" s="1">
        <v>16</v>
      </c>
      <c r="H145" s="1">
        <v>22.03</v>
      </c>
    </row>
    <row r="146" spans="1:8">
      <c r="A146" s="1">
        <v>29</v>
      </c>
      <c r="B146" s="1" t="s">
        <v>658</v>
      </c>
      <c r="C146" s="1">
        <v>160.04</v>
      </c>
      <c r="D146" s="1">
        <v>80.150000000000006</v>
      </c>
      <c r="E146" s="1">
        <v>0.31245800000000001</v>
      </c>
      <c r="F146" s="1">
        <f>5260800*(10^-6)</f>
        <v>5.2607999999999997</v>
      </c>
      <c r="G146" s="1">
        <v>4</v>
      </c>
      <c r="H146" s="1">
        <v>31.87</v>
      </c>
    </row>
    <row r="147" spans="1:8">
      <c r="A147" s="1">
        <v>30</v>
      </c>
      <c r="B147" s="1" t="s">
        <v>659</v>
      </c>
      <c r="C147" s="1">
        <v>135.25</v>
      </c>
      <c r="D147" s="1">
        <v>79.23</v>
      </c>
      <c r="E147" s="1">
        <v>0.33158100000000001</v>
      </c>
      <c r="F147" s="1">
        <f>3801600*(10^-6)</f>
        <v>3.8015999999999996</v>
      </c>
      <c r="G147" s="1">
        <v>4</v>
      </c>
      <c r="H147" s="1">
        <v>25.86</v>
      </c>
    </row>
    <row r="148" spans="1:8">
      <c r="A148" s="1">
        <v>31</v>
      </c>
      <c r="B148" s="1" t="s">
        <v>660</v>
      </c>
      <c r="C148" s="1">
        <v>178.45</v>
      </c>
      <c r="D148" s="1">
        <v>82.01</v>
      </c>
      <c r="E148" s="1">
        <v>0.40654099999999999</v>
      </c>
      <c r="F148" s="1">
        <f>83827200*(10^-6)</f>
        <v>83.827199999999991</v>
      </c>
      <c r="G148" s="1">
        <v>4</v>
      </c>
      <c r="H148" s="1">
        <v>35.07</v>
      </c>
    </row>
    <row r="149" spans="1:8">
      <c r="A149" s="1">
        <v>32</v>
      </c>
      <c r="B149" s="1" t="s">
        <v>661</v>
      </c>
      <c r="C149" s="1">
        <v>165.73</v>
      </c>
      <c r="D149" s="1">
        <v>81.790000000000006</v>
      </c>
      <c r="E149" s="1">
        <v>0.41358499999999998</v>
      </c>
      <c r="F149" s="1">
        <f>99955200*(10^-6)</f>
        <v>99.955199999999991</v>
      </c>
      <c r="G149" s="1">
        <v>18</v>
      </c>
      <c r="H149" s="1">
        <v>31.71</v>
      </c>
    </row>
    <row r="150" spans="1:8">
      <c r="A150" s="1">
        <v>33</v>
      </c>
      <c r="B150" s="1" t="s">
        <v>662</v>
      </c>
      <c r="C150" s="1">
        <v>135.19999999999999</v>
      </c>
      <c r="D150" s="1">
        <v>79.430000000000007</v>
      </c>
      <c r="E150" s="1">
        <v>0.26712999999999998</v>
      </c>
      <c r="F150" s="1">
        <f>14092800*(10^-6)</f>
        <v>14.092799999999999</v>
      </c>
      <c r="G150" s="1">
        <v>18</v>
      </c>
      <c r="H150" s="1">
        <v>28.19</v>
      </c>
    </row>
    <row r="151" spans="1:8">
      <c r="A151" s="1">
        <v>34</v>
      </c>
      <c r="B151" s="1" t="s">
        <v>663</v>
      </c>
      <c r="C151" s="1">
        <v>170.29</v>
      </c>
      <c r="D151" s="1">
        <v>79.66</v>
      </c>
      <c r="E151" s="1">
        <v>0.26739000000000002</v>
      </c>
      <c r="F151" s="1">
        <f>7296000*(10^-6)</f>
        <v>7.2959999999999994</v>
      </c>
      <c r="G151" s="1">
        <v>16</v>
      </c>
      <c r="H151" s="1">
        <v>33.43</v>
      </c>
    </row>
    <row r="152" spans="1:8">
      <c r="A152" s="1">
        <v>35</v>
      </c>
      <c r="B152" s="1" t="s">
        <v>664</v>
      </c>
      <c r="C152" s="1">
        <v>168.97</v>
      </c>
      <c r="D152" s="1">
        <v>81.5</v>
      </c>
      <c r="E152" s="1">
        <v>0.357659</v>
      </c>
      <c r="F152" s="1">
        <f>69004800*(10^-6)</f>
        <v>69.004800000000003</v>
      </c>
      <c r="G152" s="1">
        <v>0</v>
      </c>
      <c r="H152" s="1">
        <v>32.31</v>
      </c>
    </row>
    <row r="153" spans="1:8">
      <c r="A153" s="1">
        <v>36</v>
      </c>
      <c r="B153" s="1" t="s">
        <v>665</v>
      </c>
      <c r="C153" s="1">
        <v>119.04</v>
      </c>
      <c r="D153" s="1">
        <v>80.09</v>
      </c>
      <c r="E153" s="1">
        <v>0.32943800000000001</v>
      </c>
      <c r="F153" s="1">
        <f>54451200*(10^-6)</f>
        <v>54.4512</v>
      </c>
      <c r="G153" s="1">
        <v>6</v>
      </c>
      <c r="H153" s="1">
        <v>22.64</v>
      </c>
    </row>
    <row r="154" spans="1:8">
      <c r="A154" s="1">
        <v>37</v>
      </c>
      <c r="B154" s="1" t="s">
        <v>666</v>
      </c>
      <c r="C154" s="1">
        <v>163.19999999999999</v>
      </c>
      <c r="D154" s="1">
        <v>79.760000000000005</v>
      </c>
      <c r="E154" s="1">
        <v>0.30157800000000001</v>
      </c>
      <c r="F154" s="1">
        <f>6758400*(10^-6)</f>
        <v>6.7584</v>
      </c>
      <c r="G154" s="1">
        <v>16</v>
      </c>
      <c r="H154" s="1">
        <v>31.43</v>
      </c>
    </row>
    <row r="155" spans="1:8">
      <c r="A155" s="1">
        <v>38</v>
      </c>
      <c r="B155" s="1" t="s">
        <v>667</v>
      </c>
      <c r="C155" s="1">
        <v>183.71</v>
      </c>
      <c r="D155" s="1">
        <v>82.16</v>
      </c>
      <c r="E155" s="1">
        <v>0.40007199999999998</v>
      </c>
      <c r="F155" s="1">
        <f>99187200*(10^-6)</f>
        <v>99.18719999999999</v>
      </c>
      <c r="G155" s="1">
        <v>0</v>
      </c>
      <c r="H155" s="1">
        <v>36.04</v>
      </c>
    </row>
    <row r="156" spans="1:8">
      <c r="A156" s="1">
        <v>39</v>
      </c>
      <c r="B156" s="1" t="s">
        <v>668</v>
      </c>
      <c r="C156" s="1">
        <v>125.14</v>
      </c>
      <c r="D156" s="1">
        <v>80.349999999999994</v>
      </c>
      <c r="E156" s="1">
        <v>0.36216900000000002</v>
      </c>
      <c r="F156" s="1">
        <f>53376000*(10^-6)</f>
        <v>53.375999999999998</v>
      </c>
      <c r="G156" s="1">
        <v>4</v>
      </c>
      <c r="H156" s="1">
        <v>24.5</v>
      </c>
    </row>
    <row r="157" spans="1:8">
      <c r="A157" s="1">
        <v>40</v>
      </c>
      <c r="B157" s="1" t="s">
        <v>669</v>
      </c>
      <c r="C157" s="1">
        <v>162.75</v>
      </c>
      <c r="D157" s="1">
        <v>80.88</v>
      </c>
      <c r="E157" s="1">
        <v>0.36281400000000003</v>
      </c>
      <c r="F157" s="1">
        <f>18892800*(10^-6)</f>
        <v>18.892799999999998</v>
      </c>
      <c r="G157" s="1">
        <v>6</v>
      </c>
      <c r="H157" s="1">
        <v>32.44</v>
      </c>
    </row>
    <row r="158" spans="1:8">
      <c r="A158" s="1">
        <v>41</v>
      </c>
      <c r="B158" s="1" t="s">
        <v>670</v>
      </c>
      <c r="C158" s="1">
        <v>127.27</v>
      </c>
      <c r="D158" s="1">
        <v>80.739999999999995</v>
      </c>
      <c r="E158" s="1">
        <v>0.44005</v>
      </c>
      <c r="F158" s="1">
        <f>66278400*(10^-6)</f>
        <v>66.278399999999991</v>
      </c>
      <c r="G158" s="1">
        <v>16</v>
      </c>
      <c r="H158" s="1">
        <v>24.94</v>
      </c>
    </row>
    <row r="159" spans="1:8">
      <c r="A159" s="1">
        <v>42</v>
      </c>
      <c r="B159" s="1" t="s">
        <v>671</v>
      </c>
      <c r="C159" s="1">
        <v>232.12</v>
      </c>
      <c r="D159" s="1">
        <v>82.15</v>
      </c>
      <c r="E159" s="1">
        <v>0.31752200000000003</v>
      </c>
      <c r="F159" s="1">
        <f>31104000*(10^-6)</f>
        <v>31.103999999999999</v>
      </c>
      <c r="G159" s="1">
        <v>8</v>
      </c>
      <c r="H159" s="1">
        <v>50.5</v>
      </c>
    </row>
    <row r="160" spans="1:8">
      <c r="A160" s="1">
        <v>43</v>
      </c>
      <c r="B160" s="1" t="s">
        <v>672</v>
      </c>
      <c r="C160" s="1">
        <v>148.82</v>
      </c>
      <c r="D160" s="1">
        <v>79.28</v>
      </c>
      <c r="E160" s="1">
        <v>0.31970199999999999</v>
      </c>
      <c r="F160" s="1">
        <f>2803200*(10^-6)</f>
        <v>2.8031999999999999</v>
      </c>
      <c r="G160" s="1">
        <v>10</v>
      </c>
      <c r="H160" s="1">
        <v>28.44</v>
      </c>
    </row>
    <row r="161" spans="1:8">
      <c r="A161" s="1">
        <v>44</v>
      </c>
      <c r="B161" s="1" t="s">
        <v>673</v>
      </c>
      <c r="C161" s="1">
        <v>111.55</v>
      </c>
      <c r="D161" s="1">
        <v>78.489999999999995</v>
      </c>
      <c r="E161" s="1">
        <v>0.21119399999999999</v>
      </c>
      <c r="F161" s="1">
        <f>7411200*(10^-6)</f>
        <v>7.4112</v>
      </c>
      <c r="G161" s="1">
        <v>16</v>
      </c>
      <c r="H161" s="1">
        <v>23.98</v>
      </c>
    </row>
    <row r="162" spans="1:8">
      <c r="A162" s="1">
        <v>45</v>
      </c>
      <c r="B162" s="1" t="s">
        <v>674</v>
      </c>
      <c r="C162" s="1">
        <v>188.44</v>
      </c>
      <c r="D162" s="1">
        <v>81.52</v>
      </c>
      <c r="E162" s="1">
        <v>0.33548899999999998</v>
      </c>
      <c r="F162" s="1">
        <f>17433600*(10^-6)</f>
        <v>17.433599999999998</v>
      </c>
      <c r="G162" s="1">
        <v>14</v>
      </c>
      <c r="H162" s="1">
        <v>36.950000000000003</v>
      </c>
    </row>
    <row r="163" spans="1:8">
      <c r="A163" s="1">
        <v>46</v>
      </c>
      <c r="B163" s="1" t="s">
        <v>675</v>
      </c>
      <c r="C163" s="1">
        <v>157.41</v>
      </c>
      <c r="D163" s="1">
        <v>81.760000000000005</v>
      </c>
      <c r="E163" s="1">
        <v>0.46055600000000002</v>
      </c>
      <c r="F163" s="1">
        <f>100032000*(10^-6)</f>
        <v>100.032</v>
      </c>
      <c r="G163" s="1">
        <v>8</v>
      </c>
      <c r="H163" s="1">
        <v>30.07</v>
      </c>
    </row>
    <row r="164" spans="1:8">
      <c r="A164" s="1">
        <v>47</v>
      </c>
      <c r="B164" s="1" t="s">
        <v>676</v>
      </c>
      <c r="C164" s="1">
        <v>139.69999999999999</v>
      </c>
      <c r="D164" s="1">
        <v>81.08</v>
      </c>
      <c r="E164" s="1">
        <v>0.43593700000000002</v>
      </c>
      <c r="F164" s="1">
        <f>61209600*(10^-6)</f>
        <v>61.209599999999995</v>
      </c>
      <c r="G164" s="1">
        <v>4</v>
      </c>
      <c r="H164" s="1">
        <v>27.01</v>
      </c>
    </row>
    <row r="165" spans="1:8">
      <c r="A165" s="1">
        <v>48</v>
      </c>
      <c r="B165" s="1" t="s">
        <v>677</v>
      </c>
      <c r="C165" s="1">
        <v>170.37</v>
      </c>
      <c r="D165" s="1">
        <v>81.12</v>
      </c>
      <c r="E165" s="1">
        <v>0.35498299999999999</v>
      </c>
      <c r="F165" s="1">
        <f>14668800*(10^-6)</f>
        <v>14.668799999999999</v>
      </c>
      <c r="G165" s="1">
        <v>16</v>
      </c>
      <c r="H165" s="1">
        <v>32.450000000000003</v>
      </c>
    </row>
    <row r="166" spans="1:8">
      <c r="A166" s="1">
        <v>49</v>
      </c>
      <c r="B166" s="1" t="s">
        <v>678</v>
      </c>
      <c r="C166" s="1">
        <v>115.43</v>
      </c>
      <c r="D166" s="1">
        <v>79.94</v>
      </c>
      <c r="E166" s="1">
        <v>0.404057</v>
      </c>
      <c r="F166" s="1">
        <f>29798400*(10^-6)</f>
        <v>29.798399999999997</v>
      </c>
      <c r="G166" s="1">
        <v>16</v>
      </c>
      <c r="H166" s="1">
        <v>22.61</v>
      </c>
    </row>
    <row r="167" spans="1:8">
      <c r="A167" s="1">
        <v>50</v>
      </c>
      <c r="B167" s="1" t="s">
        <v>679</v>
      </c>
      <c r="C167" s="1">
        <v>186.35</v>
      </c>
      <c r="D167" s="1">
        <v>80.88</v>
      </c>
      <c r="E167" s="1">
        <v>0.34549999999999997</v>
      </c>
      <c r="F167" s="1">
        <f>14208000*(10^-6)</f>
        <v>14.208</v>
      </c>
      <c r="G167" s="1">
        <v>8</v>
      </c>
      <c r="H167" s="1">
        <v>36.07</v>
      </c>
    </row>
    <row r="168" spans="1:8">
      <c r="B168" s="1" t="s">
        <v>19</v>
      </c>
      <c r="C168" s="1">
        <f>AVERAGE(C118:C167)</f>
        <v>149.03399999999999</v>
      </c>
      <c r="D168" s="1">
        <f t="shared" ref="D168:F168" si="10">AVERAGE(D118:D167)</f>
        <v>80.505600000000001</v>
      </c>
      <c r="E168" s="1">
        <f t="shared" si="10"/>
        <v>0.3607689200000001</v>
      </c>
      <c r="F168" s="1">
        <f t="shared" si="10"/>
        <v>39.798527999999997</v>
      </c>
      <c r="H168" s="1">
        <f>AVERAGE(H118:H167)</f>
        <v>29.269200000000005</v>
      </c>
    </row>
    <row r="169" spans="1:8">
      <c r="B169" s="1" t="s">
        <v>20</v>
      </c>
      <c r="C169" s="1">
        <f>MIN(C117:C167)</f>
        <v>111.55</v>
      </c>
      <c r="D169" s="1">
        <f t="shared" ref="D169:F169" si="11">MIN(D117:D167)</f>
        <v>78.489999999999995</v>
      </c>
      <c r="E169" s="1">
        <f t="shared" si="11"/>
        <v>0.21119399999999999</v>
      </c>
      <c r="F169" s="1">
        <f t="shared" si="11"/>
        <v>0.4224</v>
      </c>
      <c r="H169" s="1">
        <f>MIN(H117:H167)</f>
        <v>21.52</v>
      </c>
    </row>
    <row r="170" spans="1:8">
      <c r="B170" s="1" t="s">
        <v>3</v>
      </c>
      <c r="C170" s="1">
        <f>STDEV(C118:C167)</f>
        <v>26.356512884457363</v>
      </c>
      <c r="D170" s="1">
        <f t="shared" ref="D170:E170" si="12">STDEV(D118:D167)</f>
        <v>0.94083150370659741</v>
      </c>
      <c r="E170" s="1">
        <f t="shared" si="12"/>
        <v>6.0948034136095473E-2</v>
      </c>
      <c r="F170" s="1">
        <f>STDEV(F118:F167)</f>
        <v>33.096279559127716</v>
      </c>
      <c r="H170" s="1">
        <f>STDEV(H118:H167)</f>
        <v>5.5590345072737772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680</v>
      </c>
      <c r="C174" s="1">
        <v>108.2</v>
      </c>
      <c r="D174" s="1">
        <v>156.77000000000001</v>
      </c>
      <c r="E174" s="1">
        <v>0.31626199999999999</v>
      </c>
      <c r="F174" s="1">
        <f>806400*(10^-6)</f>
        <v>0.80640000000000001</v>
      </c>
      <c r="G174" s="1">
        <v>16</v>
      </c>
      <c r="H174" s="1">
        <v>20.62</v>
      </c>
    </row>
    <row r="175" spans="1:8">
      <c r="A175" s="1">
        <v>2</v>
      </c>
      <c r="B175" s="1" t="s">
        <v>681</v>
      </c>
      <c r="C175" s="1">
        <v>90.14</v>
      </c>
      <c r="D175" s="1">
        <v>154.69999999999999</v>
      </c>
      <c r="E175" s="1">
        <v>0.24743599999999999</v>
      </c>
      <c r="F175" s="1">
        <f>7296000*(10^-6)</f>
        <v>7.2959999999999994</v>
      </c>
      <c r="G175" s="1">
        <v>10</v>
      </c>
      <c r="H175" s="1">
        <v>17.32</v>
      </c>
    </row>
    <row r="176" spans="1:8">
      <c r="A176" s="1">
        <v>3</v>
      </c>
      <c r="B176" s="1" t="s">
        <v>682</v>
      </c>
      <c r="C176" s="1">
        <v>119.55</v>
      </c>
      <c r="D176" s="1">
        <v>156.32</v>
      </c>
      <c r="E176" s="1">
        <v>0.28492099999999998</v>
      </c>
      <c r="F176" s="1">
        <f>2956800*(10^-6)</f>
        <v>2.9567999999999999</v>
      </c>
      <c r="G176" s="1">
        <v>0</v>
      </c>
      <c r="H176" s="1">
        <v>23.54</v>
      </c>
    </row>
    <row r="177" spans="1:8">
      <c r="A177" s="1">
        <v>4</v>
      </c>
      <c r="B177" s="1" t="s">
        <v>683</v>
      </c>
      <c r="C177" s="1">
        <v>105.56</v>
      </c>
      <c r="D177" s="1">
        <v>156.61000000000001</v>
      </c>
      <c r="E177" s="1">
        <v>0.34592699999999998</v>
      </c>
      <c r="F177" s="1">
        <f>3686400*(10^-6)</f>
        <v>3.6863999999999999</v>
      </c>
      <c r="G177" s="1">
        <v>20</v>
      </c>
      <c r="H177" s="1">
        <v>20.399999999999999</v>
      </c>
    </row>
    <row r="178" spans="1:8">
      <c r="A178" s="1">
        <v>5</v>
      </c>
      <c r="B178" s="1" t="s">
        <v>684</v>
      </c>
      <c r="C178" s="1">
        <v>91.78</v>
      </c>
      <c r="D178" s="1">
        <v>154.72</v>
      </c>
      <c r="E178" s="1">
        <v>0.33667399999999997</v>
      </c>
      <c r="F178" s="1">
        <f>3648000*(10^-6)</f>
        <v>3.6479999999999997</v>
      </c>
      <c r="G178" s="1">
        <v>14</v>
      </c>
      <c r="H178" s="1">
        <v>17.600000000000001</v>
      </c>
    </row>
    <row r="179" spans="1:8">
      <c r="A179" s="1">
        <v>6</v>
      </c>
      <c r="B179" s="1" t="s">
        <v>685</v>
      </c>
      <c r="C179" s="1">
        <v>111.8</v>
      </c>
      <c r="D179" s="1">
        <v>159.74</v>
      </c>
      <c r="E179" s="1">
        <v>0.36551800000000001</v>
      </c>
      <c r="F179" s="1">
        <f>25228800*(10^-6)</f>
        <v>25.2288</v>
      </c>
      <c r="G179" s="1">
        <v>8</v>
      </c>
      <c r="H179" s="1">
        <v>21.39</v>
      </c>
    </row>
    <row r="180" spans="1:8">
      <c r="A180" s="1">
        <v>7</v>
      </c>
      <c r="B180" s="1" t="s">
        <v>686</v>
      </c>
      <c r="C180" s="1">
        <v>102.91</v>
      </c>
      <c r="D180" s="1">
        <v>157.56</v>
      </c>
      <c r="E180" s="1">
        <v>0.38136799999999998</v>
      </c>
      <c r="F180" s="1">
        <f>998400*(10^-6)</f>
        <v>0.99839999999999995</v>
      </c>
      <c r="G180" s="1">
        <v>26</v>
      </c>
      <c r="H180" s="1">
        <v>19.670000000000002</v>
      </c>
    </row>
    <row r="181" spans="1:8">
      <c r="A181" s="1">
        <v>8</v>
      </c>
      <c r="B181" s="1" t="s">
        <v>687</v>
      </c>
      <c r="C181" s="1">
        <v>78.94</v>
      </c>
      <c r="D181" s="1">
        <v>155.43</v>
      </c>
      <c r="E181" s="1">
        <v>0.33755000000000002</v>
      </c>
      <c r="F181" s="1">
        <f>4492800*(10^-6)</f>
        <v>4.4927999999999999</v>
      </c>
      <c r="G181" s="1">
        <v>26</v>
      </c>
      <c r="H181" s="1">
        <v>15.13</v>
      </c>
    </row>
    <row r="182" spans="1:8">
      <c r="A182" s="1">
        <v>9</v>
      </c>
      <c r="B182" s="1" t="s">
        <v>688</v>
      </c>
      <c r="C182" s="1">
        <v>95.31</v>
      </c>
      <c r="D182" s="1" t="e">
        <f>-inf</f>
        <v>#NAME?</v>
      </c>
      <c r="E182" s="1">
        <v>0.283966</v>
      </c>
      <c r="F182" s="1">
        <f>0*(10^-6)</f>
        <v>0</v>
      </c>
      <c r="G182" s="1">
        <v>2</v>
      </c>
      <c r="H182" s="1">
        <v>18.2</v>
      </c>
    </row>
    <row r="183" spans="1:8">
      <c r="A183" s="1">
        <v>10</v>
      </c>
      <c r="B183" s="1" t="s">
        <v>689</v>
      </c>
      <c r="C183" s="1">
        <v>104.67</v>
      </c>
      <c r="D183" s="1">
        <v>158.94</v>
      </c>
      <c r="E183" s="1">
        <v>0.394121</v>
      </c>
      <c r="F183" s="1">
        <f>21081600*(10^-6)</f>
        <v>21.081599999999998</v>
      </c>
      <c r="G183" s="1">
        <v>36</v>
      </c>
      <c r="H183" s="1">
        <v>19.98</v>
      </c>
    </row>
    <row r="184" spans="1:8">
      <c r="A184" s="1">
        <v>11</v>
      </c>
      <c r="B184" s="1" t="s">
        <v>690</v>
      </c>
      <c r="C184" s="1">
        <v>98.33</v>
      </c>
      <c r="D184" s="1">
        <v>157.66</v>
      </c>
      <c r="E184" s="1">
        <v>0.29996099999999998</v>
      </c>
      <c r="F184" s="1">
        <f>26572800*(10^-6)</f>
        <v>26.572799999999997</v>
      </c>
      <c r="G184" s="1">
        <v>18</v>
      </c>
      <c r="H184" s="1">
        <v>18.690000000000001</v>
      </c>
    </row>
    <row r="185" spans="1:8">
      <c r="A185" s="1">
        <v>12</v>
      </c>
      <c r="B185" s="1" t="s">
        <v>691</v>
      </c>
      <c r="C185" s="1">
        <v>109.18</v>
      </c>
      <c r="D185" s="1">
        <v>158.1</v>
      </c>
      <c r="E185" s="1">
        <v>0.35982599999999998</v>
      </c>
      <c r="F185" s="1">
        <f>2150400*(10^-6)</f>
        <v>2.1503999999999999</v>
      </c>
      <c r="G185" s="1">
        <v>30</v>
      </c>
      <c r="H185" s="1">
        <v>21.17</v>
      </c>
    </row>
    <row r="186" spans="1:8">
      <c r="A186" s="1">
        <v>13</v>
      </c>
      <c r="B186" s="1" t="s">
        <v>692</v>
      </c>
      <c r="C186" s="1">
        <v>83.1</v>
      </c>
      <c r="D186" s="1">
        <v>154.07</v>
      </c>
      <c r="E186" s="1">
        <v>0.38166099999999997</v>
      </c>
      <c r="F186" s="1">
        <f>268800*(10^-6)</f>
        <v>0.26879999999999998</v>
      </c>
      <c r="G186" s="1">
        <v>0</v>
      </c>
      <c r="H186" s="1">
        <v>15.83</v>
      </c>
    </row>
    <row r="187" spans="1:8">
      <c r="A187" s="1">
        <v>14</v>
      </c>
      <c r="B187" s="1" t="s">
        <v>693</v>
      </c>
      <c r="C187" s="1">
        <v>93.87</v>
      </c>
      <c r="D187" s="1">
        <v>155.19</v>
      </c>
      <c r="E187" s="1">
        <v>0.32776100000000002</v>
      </c>
      <c r="F187" s="1">
        <f>1420800*(10^-6)</f>
        <v>1.4207999999999998</v>
      </c>
      <c r="G187" s="1">
        <v>22</v>
      </c>
      <c r="H187" s="1">
        <v>18.2</v>
      </c>
    </row>
    <row r="188" spans="1:8">
      <c r="A188" s="1">
        <v>15</v>
      </c>
      <c r="B188" s="1" t="s">
        <v>694</v>
      </c>
      <c r="C188" s="1">
        <v>92.67</v>
      </c>
      <c r="D188" s="1">
        <v>155.43</v>
      </c>
      <c r="E188" s="1">
        <v>0.29687599999999997</v>
      </c>
      <c r="F188" s="1">
        <f>3110400*(10^-6)</f>
        <v>3.1103999999999998</v>
      </c>
      <c r="G188" s="1">
        <v>26</v>
      </c>
      <c r="H188" s="1">
        <v>17.78</v>
      </c>
    </row>
    <row r="189" spans="1:8">
      <c r="A189" s="1">
        <v>16</v>
      </c>
      <c r="B189" s="1" t="s">
        <v>695</v>
      </c>
      <c r="C189" s="1">
        <v>74.930000000000007</v>
      </c>
      <c r="D189" s="1">
        <v>156.01</v>
      </c>
      <c r="E189" s="1">
        <v>0.386905</v>
      </c>
      <c r="F189" s="1">
        <f>17856000*(10^-6)</f>
        <v>17.855999999999998</v>
      </c>
      <c r="G189" s="1">
        <v>18</v>
      </c>
      <c r="H189" s="1">
        <v>14.24</v>
      </c>
    </row>
    <row r="190" spans="1:8">
      <c r="A190" s="1">
        <v>17</v>
      </c>
      <c r="B190" s="1" t="s">
        <v>696</v>
      </c>
      <c r="C190" s="1">
        <v>96.7</v>
      </c>
      <c r="D190" s="1">
        <v>155.69999999999999</v>
      </c>
      <c r="E190" s="1">
        <v>0.30782900000000002</v>
      </c>
      <c r="F190" s="1">
        <f>3072000*(10^-6)</f>
        <v>3.0720000000000001</v>
      </c>
      <c r="G190" s="1">
        <v>26</v>
      </c>
      <c r="H190" s="1">
        <v>18.61</v>
      </c>
    </row>
    <row r="191" spans="1:8">
      <c r="A191" s="1">
        <v>18</v>
      </c>
      <c r="B191" s="1" t="s">
        <v>697</v>
      </c>
      <c r="C191" s="1">
        <v>87.63</v>
      </c>
      <c r="D191" s="1">
        <v>155.84</v>
      </c>
      <c r="E191" s="1">
        <v>0.39308599999999999</v>
      </c>
      <c r="F191" s="1">
        <f>345600*(10^-6)</f>
        <v>0.34559999999999996</v>
      </c>
      <c r="G191" s="1">
        <v>10</v>
      </c>
      <c r="H191" s="1">
        <v>16.77</v>
      </c>
    </row>
    <row r="192" spans="1:8">
      <c r="A192" s="1">
        <v>19</v>
      </c>
      <c r="B192" s="1" t="s">
        <v>698</v>
      </c>
      <c r="C192" s="1">
        <v>71.709999999999994</v>
      </c>
      <c r="D192" s="1">
        <v>152</v>
      </c>
      <c r="E192" s="1">
        <v>0.33941700000000002</v>
      </c>
      <c r="F192" s="1">
        <f>691200*(10^-6)</f>
        <v>0.69119999999999993</v>
      </c>
      <c r="G192" s="1">
        <v>14</v>
      </c>
      <c r="H192" s="1">
        <v>13.69</v>
      </c>
    </row>
    <row r="193" spans="1:8">
      <c r="A193" s="1">
        <v>20</v>
      </c>
      <c r="B193" s="1" t="s">
        <v>699</v>
      </c>
      <c r="C193" s="1">
        <v>101.22</v>
      </c>
      <c r="D193" s="1">
        <v>157.37</v>
      </c>
      <c r="E193" s="1">
        <v>0.35268699999999997</v>
      </c>
      <c r="F193" s="1">
        <f>6374400*(10^-6)</f>
        <v>6.3743999999999996</v>
      </c>
      <c r="G193" s="1">
        <v>24</v>
      </c>
      <c r="H193" s="1">
        <v>19.420000000000002</v>
      </c>
    </row>
    <row r="194" spans="1:8">
      <c r="A194" s="1">
        <v>21</v>
      </c>
      <c r="B194" s="1" t="s">
        <v>700</v>
      </c>
      <c r="C194" s="1">
        <v>102.47</v>
      </c>
      <c r="D194" s="1">
        <v>156.9</v>
      </c>
      <c r="E194" s="1">
        <v>0.33263399999999999</v>
      </c>
      <c r="F194" s="1">
        <f>2956800*(10^-6)</f>
        <v>2.9567999999999999</v>
      </c>
      <c r="G194" s="1">
        <v>34</v>
      </c>
      <c r="H194" s="1">
        <v>19.93</v>
      </c>
    </row>
    <row r="195" spans="1:8">
      <c r="A195" s="1">
        <v>22</v>
      </c>
      <c r="B195" s="1" t="s">
        <v>701</v>
      </c>
      <c r="C195" s="1">
        <v>98.26</v>
      </c>
      <c r="D195" s="1">
        <v>158.25</v>
      </c>
      <c r="E195" s="1">
        <v>0.38228000000000001</v>
      </c>
      <c r="F195" s="1">
        <f>19584000*(10^-6)</f>
        <v>19.584</v>
      </c>
      <c r="G195" s="1">
        <v>36</v>
      </c>
      <c r="H195" s="1">
        <v>18.850000000000001</v>
      </c>
    </row>
    <row r="196" spans="1:8">
      <c r="A196" s="1">
        <v>23</v>
      </c>
      <c r="B196" s="1" t="s">
        <v>702</v>
      </c>
      <c r="C196" s="1">
        <v>100.88</v>
      </c>
      <c r="D196" s="1">
        <v>155.9</v>
      </c>
      <c r="E196" s="1">
        <v>0.32423800000000003</v>
      </c>
      <c r="F196" s="1">
        <f>2841600*(10^-6)</f>
        <v>2.8415999999999997</v>
      </c>
      <c r="G196" s="1">
        <v>14</v>
      </c>
      <c r="H196" s="1">
        <v>19.27</v>
      </c>
    </row>
    <row r="197" spans="1:8">
      <c r="A197" s="1">
        <v>24</v>
      </c>
      <c r="B197" s="1" t="s">
        <v>703</v>
      </c>
      <c r="C197" s="1">
        <v>97.61</v>
      </c>
      <c r="D197" s="1">
        <v>158.83000000000001</v>
      </c>
      <c r="E197" s="1">
        <v>0.39394000000000001</v>
      </c>
      <c r="F197" s="1">
        <f>41472000*(10^-6)</f>
        <v>41.472000000000001</v>
      </c>
      <c r="G197" s="1">
        <v>22</v>
      </c>
      <c r="H197" s="1">
        <v>18.670000000000002</v>
      </c>
    </row>
    <row r="198" spans="1:8">
      <c r="A198" s="1">
        <v>25</v>
      </c>
      <c r="B198" s="1" t="s">
        <v>704</v>
      </c>
      <c r="C198" s="1">
        <v>112.39</v>
      </c>
      <c r="D198" s="1">
        <v>154.1</v>
      </c>
      <c r="E198" s="1">
        <v>0.31012699999999999</v>
      </c>
      <c r="F198" s="1">
        <f>960000*(10^-6)</f>
        <v>0.96</v>
      </c>
      <c r="G198" s="1">
        <v>24</v>
      </c>
      <c r="H198" s="1">
        <v>21.78</v>
      </c>
    </row>
    <row r="199" spans="1:8">
      <c r="A199" s="1">
        <v>26</v>
      </c>
      <c r="B199" s="1" t="s">
        <v>705</v>
      </c>
      <c r="C199" s="1">
        <v>112.47</v>
      </c>
      <c r="D199" s="1">
        <v>158.84</v>
      </c>
      <c r="E199" s="1">
        <v>0.34461000000000003</v>
      </c>
      <c r="F199" s="1">
        <f>13478400*(10^-6)</f>
        <v>13.478399999999999</v>
      </c>
      <c r="G199" s="1">
        <v>34</v>
      </c>
      <c r="H199" s="1">
        <v>21.5</v>
      </c>
    </row>
    <row r="200" spans="1:8">
      <c r="A200" s="1">
        <v>27</v>
      </c>
      <c r="B200" s="1" t="s">
        <v>706</v>
      </c>
      <c r="C200" s="1">
        <v>80.73</v>
      </c>
      <c r="D200" s="1" t="e">
        <f>-inf</f>
        <v>#NAME?</v>
      </c>
      <c r="E200" s="1">
        <v>0.35355199999999998</v>
      </c>
      <c r="F200" s="1">
        <f>0*(10^-6)</f>
        <v>0</v>
      </c>
      <c r="G200" s="1">
        <v>38</v>
      </c>
      <c r="H200" s="1">
        <v>15.46</v>
      </c>
    </row>
    <row r="201" spans="1:8">
      <c r="A201" s="1">
        <v>28</v>
      </c>
      <c r="B201" s="1" t="s">
        <v>707</v>
      </c>
      <c r="C201" s="1">
        <v>125.27</v>
      </c>
      <c r="D201" s="1">
        <v>155.96</v>
      </c>
      <c r="E201" s="1">
        <v>0.32256200000000002</v>
      </c>
      <c r="F201" s="1">
        <f>652800*(10^-6)</f>
        <v>0.65279999999999994</v>
      </c>
      <c r="G201" s="1">
        <v>22</v>
      </c>
      <c r="H201" s="1">
        <v>24.24</v>
      </c>
    </row>
    <row r="202" spans="1:8">
      <c r="A202" s="1">
        <v>29</v>
      </c>
      <c r="B202" s="1" t="s">
        <v>708</v>
      </c>
      <c r="C202" s="1">
        <v>101.46</v>
      </c>
      <c r="D202" s="1">
        <v>156.94999999999999</v>
      </c>
      <c r="E202" s="1">
        <v>0.29608600000000002</v>
      </c>
      <c r="F202" s="1">
        <f>2841600*(10^-6)</f>
        <v>2.8415999999999997</v>
      </c>
      <c r="G202" s="1">
        <v>30</v>
      </c>
      <c r="H202" s="1">
        <v>20.58</v>
      </c>
    </row>
    <row r="203" spans="1:8">
      <c r="A203" s="1">
        <v>30</v>
      </c>
      <c r="B203" s="1" t="s">
        <v>709</v>
      </c>
      <c r="C203" s="1">
        <v>118.11</v>
      </c>
      <c r="D203" s="1">
        <v>155.59</v>
      </c>
      <c r="E203" s="1">
        <v>0.243059</v>
      </c>
      <c r="F203" s="1">
        <f>5184000*(10^-6)</f>
        <v>5.1840000000000002</v>
      </c>
      <c r="G203" s="1">
        <v>30</v>
      </c>
      <c r="H203" s="1">
        <v>23.78</v>
      </c>
    </row>
    <row r="204" spans="1:8">
      <c r="A204" s="1">
        <v>31</v>
      </c>
      <c r="B204" s="1" t="s">
        <v>710</v>
      </c>
      <c r="C204" s="1">
        <v>105.55</v>
      </c>
      <c r="D204" s="1">
        <v>156.47999999999999</v>
      </c>
      <c r="E204" s="1">
        <v>0.30521999999999999</v>
      </c>
      <c r="F204" s="1">
        <f>2841600*(10^-6)</f>
        <v>2.8415999999999997</v>
      </c>
      <c r="G204" s="1">
        <v>12</v>
      </c>
      <c r="H204" s="1">
        <v>20.18</v>
      </c>
    </row>
    <row r="205" spans="1:8">
      <c r="A205" s="1">
        <v>32</v>
      </c>
      <c r="B205" s="1" t="s">
        <v>711</v>
      </c>
      <c r="C205" s="1">
        <v>97.74</v>
      </c>
      <c r="D205" s="1">
        <v>156.26</v>
      </c>
      <c r="E205" s="1">
        <v>0.40298800000000001</v>
      </c>
      <c r="F205" s="1">
        <f>2572800*(10^-6)</f>
        <v>2.5728</v>
      </c>
      <c r="G205" s="1">
        <v>36</v>
      </c>
      <c r="H205" s="1">
        <v>18.66</v>
      </c>
    </row>
    <row r="206" spans="1:8">
      <c r="A206" s="1">
        <v>33</v>
      </c>
      <c r="B206" s="1" t="s">
        <v>712</v>
      </c>
      <c r="C206" s="1">
        <v>101.61</v>
      </c>
      <c r="D206" s="1">
        <v>156.63999999999999</v>
      </c>
      <c r="E206" s="1">
        <v>0.35108299999999998</v>
      </c>
      <c r="F206" s="1">
        <f>2304000*(10^-6)</f>
        <v>2.3039999999999998</v>
      </c>
      <c r="G206" s="1">
        <v>14</v>
      </c>
      <c r="H206" s="1">
        <v>19.45</v>
      </c>
    </row>
    <row r="207" spans="1:8">
      <c r="A207" s="1">
        <v>34</v>
      </c>
      <c r="B207" s="1" t="s">
        <v>713</v>
      </c>
      <c r="C207" s="1">
        <v>107.13</v>
      </c>
      <c r="D207" s="1">
        <v>158.06</v>
      </c>
      <c r="E207" s="1">
        <v>0.329094</v>
      </c>
      <c r="F207" s="1">
        <f>14630400*(10^-6)</f>
        <v>14.6304</v>
      </c>
      <c r="G207" s="1">
        <v>36</v>
      </c>
      <c r="H207" s="1">
        <v>20.57</v>
      </c>
    </row>
    <row r="208" spans="1:8">
      <c r="A208" s="1">
        <v>35</v>
      </c>
      <c r="B208" s="1" t="s">
        <v>714</v>
      </c>
      <c r="C208" s="1">
        <v>106.69</v>
      </c>
      <c r="D208" s="1">
        <v>155.02000000000001</v>
      </c>
      <c r="E208" s="1">
        <v>0.28087800000000002</v>
      </c>
      <c r="F208" s="1">
        <f>1881600*(10^-6)</f>
        <v>1.8815999999999999</v>
      </c>
      <c r="G208" s="1">
        <v>34</v>
      </c>
      <c r="H208" s="1">
        <v>20.51</v>
      </c>
    </row>
    <row r="209" spans="1:8">
      <c r="A209" s="1">
        <v>36</v>
      </c>
      <c r="B209" s="1" t="s">
        <v>715</v>
      </c>
      <c r="C209" s="1">
        <v>118.29</v>
      </c>
      <c r="D209" s="1">
        <v>156.97999999999999</v>
      </c>
      <c r="E209" s="1">
        <v>0.32678000000000001</v>
      </c>
      <c r="F209" s="1">
        <f>4569600*(10^-6)</f>
        <v>4.5695999999999994</v>
      </c>
      <c r="G209" s="1">
        <v>38</v>
      </c>
      <c r="H209" s="1">
        <v>22.92</v>
      </c>
    </row>
    <row r="210" spans="1:8">
      <c r="A210" s="1">
        <v>37</v>
      </c>
      <c r="B210" s="1" t="s">
        <v>716</v>
      </c>
      <c r="C210" s="1">
        <v>108.49</v>
      </c>
      <c r="D210" s="1">
        <v>158.38</v>
      </c>
      <c r="E210" s="1">
        <v>0.36330800000000002</v>
      </c>
      <c r="F210" s="1">
        <f>6220800*(10^-6)</f>
        <v>6.2207999999999997</v>
      </c>
      <c r="G210" s="1">
        <v>20</v>
      </c>
      <c r="H210" s="1">
        <v>21.09</v>
      </c>
    </row>
    <row r="211" spans="1:8">
      <c r="A211" s="1">
        <v>38</v>
      </c>
      <c r="B211" s="1" t="s">
        <v>717</v>
      </c>
      <c r="C211" s="1">
        <v>87.68</v>
      </c>
      <c r="D211" s="1">
        <v>156.19</v>
      </c>
      <c r="E211" s="1">
        <v>0.31936999999999999</v>
      </c>
      <c r="F211" s="1">
        <f>7872000*(10^-6)</f>
        <v>7.8719999999999999</v>
      </c>
      <c r="G211" s="1">
        <v>8</v>
      </c>
      <c r="H211" s="1">
        <v>16.690000000000001</v>
      </c>
    </row>
    <row r="212" spans="1:8">
      <c r="A212" s="1">
        <v>39</v>
      </c>
      <c r="B212" s="1" t="s">
        <v>718</v>
      </c>
      <c r="C212" s="1">
        <v>103.56</v>
      </c>
      <c r="D212" s="1">
        <v>158.91</v>
      </c>
      <c r="E212" s="1">
        <v>0.40121099999999998</v>
      </c>
      <c r="F212" s="1">
        <f>19584000*(10^-6)</f>
        <v>19.584</v>
      </c>
      <c r="G212" s="1">
        <v>16</v>
      </c>
      <c r="H212" s="1">
        <v>19.89</v>
      </c>
    </row>
    <row r="213" spans="1:8">
      <c r="A213" s="1">
        <v>40</v>
      </c>
      <c r="B213" s="1" t="s">
        <v>719</v>
      </c>
      <c r="C213" s="1">
        <v>112.1</v>
      </c>
      <c r="D213" s="1">
        <v>154.85</v>
      </c>
      <c r="E213" s="1">
        <v>0.24903400000000001</v>
      </c>
      <c r="F213" s="1">
        <f>921600*(10^-6)</f>
        <v>0.92159999999999997</v>
      </c>
      <c r="G213" s="1">
        <v>20</v>
      </c>
      <c r="H213" s="1">
        <v>22.05</v>
      </c>
    </row>
    <row r="214" spans="1:8">
      <c r="A214" s="1">
        <v>41</v>
      </c>
      <c r="B214" s="1" t="s">
        <v>720</v>
      </c>
      <c r="C214" s="1">
        <v>87.76</v>
      </c>
      <c r="D214" s="1">
        <v>156.49</v>
      </c>
      <c r="E214" s="1">
        <v>0.36848900000000001</v>
      </c>
      <c r="F214" s="1">
        <f>4723200*(10^-6)</f>
        <v>4.7231999999999994</v>
      </c>
      <c r="G214" s="1">
        <v>14</v>
      </c>
      <c r="H214" s="1">
        <v>16.829999999999998</v>
      </c>
    </row>
    <row r="215" spans="1:8">
      <c r="A215" s="1">
        <v>42</v>
      </c>
      <c r="B215" s="1" t="s">
        <v>721</v>
      </c>
      <c r="C215" s="1">
        <v>106.4</v>
      </c>
      <c r="D215" s="1">
        <v>157.30000000000001</v>
      </c>
      <c r="E215" s="1">
        <v>0.29935499999999998</v>
      </c>
      <c r="F215" s="1">
        <f>6374400*(10^-6)</f>
        <v>6.3743999999999996</v>
      </c>
      <c r="G215" s="1">
        <v>14</v>
      </c>
      <c r="H215" s="1">
        <v>20.47</v>
      </c>
    </row>
    <row r="216" spans="1:8">
      <c r="A216" s="1">
        <v>43</v>
      </c>
      <c r="B216" s="1" t="s">
        <v>722</v>
      </c>
      <c r="C216" s="1">
        <v>76.41</v>
      </c>
      <c r="D216" s="1">
        <v>155.58000000000001</v>
      </c>
      <c r="E216" s="1">
        <v>0.36242000000000002</v>
      </c>
      <c r="F216" s="1">
        <f>9523200*(10^-6)</f>
        <v>9.5231999999999992</v>
      </c>
      <c r="G216" s="1">
        <v>2</v>
      </c>
      <c r="H216" s="1">
        <v>14.55</v>
      </c>
    </row>
    <row r="217" spans="1:8">
      <c r="A217" s="1">
        <v>44</v>
      </c>
      <c r="B217" s="1" t="s">
        <v>723</v>
      </c>
      <c r="C217" s="1">
        <v>109.5</v>
      </c>
      <c r="D217" s="1">
        <v>156.1</v>
      </c>
      <c r="E217" s="1">
        <v>0.347555</v>
      </c>
      <c r="F217" s="1">
        <f>1881600*(10^-6)</f>
        <v>1.8815999999999999</v>
      </c>
      <c r="G217" s="1">
        <v>30</v>
      </c>
      <c r="H217" s="1">
        <v>20.95</v>
      </c>
    </row>
    <row r="218" spans="1:8">
      <c r="A218" s="1">
        <v>45</v>
      </c>
      <c r="B218" s="1" t="s">
        <v>724</v>
      </c>
      <c r="C218" s="1">
        <v>122.78</v>
      </c>
      <c r="D218" s="1">
        <v>155.19</v>
      </c>
      <c r="E218" s="1">
        <v>0.28715499999999999</v>
      </c>
      <c r="F218" s="1">
        <f>960000*(10^-6)</f>
        <v>0.96</v>
      </c>
      <c r="G218" s="1">
        <v>32</v>
      </c>
      <c r="H218" s="1">
        <v>23.38</v>
      </c>
    </row>
    <row r="219" spans="1:8">
      <c r="A219" s="1">
        <v>46</v>
      </c>
      <c r="B219" s="1" t="s">
        <v>725</v>
      </c>
      <c r="C219" s="1">
        <v>88.75</v>
      </c>
      <c r="D219" s="1">
        <v>156.63</v>
      </c>
      <c r="E219" s="1">
        <v>0.35134700000000002</v>
      </c>
      <c r="F219" s="1">
        <f>9984000*(10^-6)</f>
        <v>9.984</v>
      </c>
      <c r="G219" s="1">
        <v>16</v>
      </c>
      <c r="H219" s="1">
        <v>16.96</v>
      </c>
    </row>
    <row r="220" spans="1:8">
      <c r="A220" s="1">
        <v>47</v>
      </c>
      <c r="B220" s="1" t="s">
        <v>726</v>
      </c>
      <c r="C220" s="1">
        <v>100.38</v>
      </c>
      <c r="D220" s="1">
        <v>157.57</v>
      </c>
      <c r="E220" s="1">
        <v>0.38900899999999999</v>
      </c>
      <c r="F220" s="1">
        <f>3916800*(10^-6)</f>
        <v>3.9167999999999998</v>
      </c>
      <c r="G220" s="1">
        <v>22</v>
      </c>
      <c r="H220" s="1">
        <v>19.329999999999998</v>
      </c>
    </row>
    <row r="221" spans="1:8">
      <c r="A221" s="1">
        <v>48</v>
      </c>
      <c r="B221" s="1" t="s">
        <v>727</v>
      </c>
      <c r="C221" s="1">
        <v>69.17</v>
      </c>
      <c r="D221" s="1">
        <v>151.88999999999999</v>
      </c>
      <c r="E221" s="1">
        <v>0.36373699999999998</v>
      </c>
      <c r="F221" s="1">
        <f>576000*(10^-6)</f>
        <v>0.57599999999999996</v>
      </c>
      <c r="G221" s="1">
        <v>36</v>
      </c>
      <c r="H221" s="1">
        <v>13.38</v>
      </c>
    </row>
    <row r="222" spans="1:8">
      <c r="A222" s="1">
        <v>49</v>
      </c>
      <c r="B222" s="1" t="s">
        <v>728</v>
      </c>
      <c r="C222" s="1">
        <v>93.86</v>
      </c>
      <c r="D222" s="1">
        <v>156.68</v>
      </c>
      <c r="E222" s="1">
        <v>0.338893</v>
      </c>
      <c r="F222" s="1">
        <f>5606400*(10^-6)</f>
        <v>5.6063999999999998</v>
      </c>
      <c r="G222" s="1">
        <v>8</v>
      </c>
      <c r="H222" s="1">
        <v>17.97</v>
      </c>
    </row>
    <row r="223" spans="1:8">
      <c r="A223" s="1">
        <v>50</v>
      </c>
      <c r="B223" s="1" t="s">
        <v>729</v>
      </c>
      <c r="C223" s="1">
        <v>85.67</v>
      </c>
      <c r="D223" s="1">
        <v>154.18</v>
      </c>
      <c r="E223" s="1">
        <v>0.35535299999999997</v>
      </c>
      <c r="F223" s="1">
        <f>1804800*(10^-6)</f>
        <v>1.8048</v>
      </c>
      <c r="G223" s="1">
        <v>2</v>
      </c>
      <c r="H223" s="1">
        <v>16.48</v>
      </c>
    </row>
    <row r="224" spans="1:8">
      <c r="B224" s="1" t="s">
        <v>19</v>
      </c>
      <c r="C224" s="1">
        <f>AVERAGE(C174:C223)</f>
        <v>99.147399999999976</v>
      </c>
      <c r="D224" s="1" t="e">
        <f t="shared" ref="D224:F224" si="13">AVERAGE(D174:D223)</f>
        <v>#NAME?</v>
      </c>
      <c r="E224" s="1">
        <f t="shared" si="13"/>
        <v>0.33670237999999997</v>
      </c>
      <c r="F224" s="1">
        <f t="shared" si="13"/>
        <v>6.615552000000001</v>
      </c>
      <c r="H224" s="1">
        <f t="shared" ref="H224" si="14">AVERAGE(H174:H223)</f>
        <v>19.092400000000001</v>
      </c>
    </row>
    <row r="225" spans="1:8">
      <c r="B225" s="1" t="s">
        <v>20</v>
      </c>
      <c r="C225" s="1">
        <f>MIN(C173:C223)</f>
        <v>69.17</v>
      </c>
      <c r="D225" s="1" t="e">
        <f t="shared" ref="D225:F225" si="15">MIN(D173:D223)</f>
        <v>#NAME?</v>
      </c>
      <c r="E225" s="1">
        <f t="shared" si="15"/>
        <v>0.243059</v>
      </c>
      <c r="F225" s="1">
        <f t="shared" si="15"/>
        <v>0</v>
      </c>
      <c r="H225" s="1">
        <f t="shared" ref="H225" si="16">MIN(H173:H223)</f>
        <v>13.38</v>
      </c>
    </row>
    <row r="226" spans="1:8">
      <c r="B226" s="1" t="s">
        <v>3</v>
      </c>
      <c r="C226" s="1">
        <f>STDEV(C174:C223)</f>
        <v>13.166847020034171</v>
      </c>
      <c r="D226" s="1" t="e">
        <f t="shared" ref="D226:E226" si="17">STDEV(D174:D223)</f>
        <v>#NAME?</v>
      </c>
      <c r="E226" s="1">
        <f t="shared" si="17"/>
        <v>4.0661534007366322E-2</v>
      </c>
      <c r="F226" s="1">
        <f>STDEV(F174:F223)</f>
        <v>8.4337287933204017</v>
      </c>
      <c r="H226" s="1">
        <f>STDEV(H174:H223)</f>
        <v>2.6355300438896161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780</v>
      </c>
      <c r="C230" s="1">
        <v>77.41</v>
      </c>
      <c r="D230" s="1">
        <v>232.07</v>
      </c>
      <c r="E230" s="1">
        <v>0.37264700000000001</v>
      </c>
      <c r="F230" s="1">
        <f>806400*(10^-6)</f>
        <v>0.80640000000000001</v>
      </c>
      <c r="G230" s="1">
        <v>50</v>
      </c>
      <c r="H230" s="1">
        <v>14.78</v>
      </c>
    </row>
    <row r="231" spans="1:8">
      <c r="A231" s="1">
        <v>2</v>
      </c>
      <c r="B231" s="1" t="s">
        <v>781</v>
      </c>
      <c r="C231" s="1">
        <v>85.84</v>
      </c>
      <c r="D231" s="1">
        <v>229</v>
      </c>
      <c r="E231" s="1">
        <v>0.31842900000000002</v>
      </c>
      <c r="F231" s="1">
        <f>345600*(10^-6)</f>
        <v>0.34559999999999996</v>
      </c>
      <c r="G231" s="1">
        <v>18</v>
      </c>
      <c r="H231" s="1">
        <v>16.350000000000001</v>
      </c>
    </row>
    <row r="232" spans="1:8">
      <c r="A232" s="1">
        <v>3</v>
      </c>
      <c r="B232" s="1" t="s">
        <v>782</v>
      </c>
      <c r="C232" s="1">
        <v>79.510000000000005</v>
      </c>
      <c r="D232" s="1">
        <v>231.7</v>
      </c>
      <c r="E232" s="1">
        <v>0.315104</v>
      </c>
      <c r="F232" s="1">
        <f>2227200*(10^-6)</f>
        <v>2.2271999999999998</v>
      </c>
      <c r="G232" s="1">
        <v>32</v>
      </c>
      <c r="H232" s="1">
        <v>15.22</v>
      </c>
    </row>
    <row r="233" spans="1:8">
      <c r="A233" s="1">
        <v>4</v>
      </c>
      <c r="B233" s="1" t="s">
        <v>783</v>
      </c>
      <c r="C233" s="1">
        <v>79.27</v>
      </c>
      <c r="D233" s="1">
        <v>231.56</v>
      </c>
      <c r="E233" s="1">
        <v>0.35959799999999997</v>
      </c>
      <c r="F233" s="1">
        <f>3801600*(10^-6)</f>
        <v>3.8015999999999996</v>
      </c>
      <c r="G233" s="1">
        <v>30</v>
      </c>
      <c r="H233" s="1">
        <v>15.18</v>
      </c>
    </row>
    <row r="234" spans="1:8">
      <c r="A234" s="1">
        <v>5</v>
      </c>
      <c r="B234" s="1" t="s">
        <v>784</v>
      </c>
      <c r="C234" s="1">
        <v>74.569999999999993</v>
      </c>
      <c r="D234" s="1">
        <v>227.36</v>
      </c>
      <c r="E234" s="1">
        <v>0.30324000000000001</v>
      </c>
      <c r="F234" s="1">
        <f>1305600*(10^-6)</f>
        <v>1.3055999999999999</v>
      </c>
      <c r="G234" s="1">
        <v>28</v>
      </c>
      <c r="H234" s="1">
        <v>14.27</v>
      </c>
    </row>
    <row r="235" spans="1:8">
      <c r="A235" s="1">
        <v>6</v>
      </c>
      <c r="B235" s="1" t="s">
        <v>785</v>
      </c>
      <c r="C235" s="1">
        <v>65.37</v>
      </c>
      <c r="D235" s="1">
        <v>229.8</v>
      </c>
      <c r="E235" s="1">
        <v>0.30182399999999998</v>
      </c>
      <c r="F235" s="1">
        <f>4300800*(10^-6)</f>
        <v>4.3007999999999997</v>
      </c>
      <c r="G235" s="1">
        <v>28</v>
      </c>
      <c r="H235" s="1">
        <v>12.62</v>
      </c>
    </row>
    <row r="236" spans="1:8">
      <c r="A236" s="1">
        <v>7</v>
      </c>
      <c r="B236" s="1" t="s">
        <v>786</v>
      </c>
      <c r="C236" s="1">
        <v>80.03</v>
      </c>
      <c r="D236" s="1">
        <v>231.87</v>
      </c>
      <c r="E236" s="1">
        <v>0.29464499999999999</v>
      </c>
      <c r="F236" s="1">
        <f>6297600*(10^-6)</f>
        <v>6.2976000000000001</v>
      </c>
      <c r="G236" s="1">
        <v>0</v>
      </c>
      <c r="H236" s="1">
        <v>15.48</v>
      </c>
    </row>
    <row r="237" spans="1:8">
      <c r="A237" s="1">
        <v>8</v>
      </c>
      <c r="B237" s="1" t="s">
        <v>787</v>
      </c>
      <c r="C237" s="1">
        <v>71.180000000000007</v>
      </c>
      <c r="D237" s="1">
        <v>233.19</v>
      </c>
      <c r="E237" s="1">
        <v>0.35702400000000001</v>
      </c>
      <c r="F237" s="1">
        <f>12480000*(10^-6)</f>
        <v>12.479999999999999</v>
      </c>
      <c r="G237" s="1">
        <v>36</v>
      </c>
      <c r="H237" s="1">
        <v>13.57</v>
      </c>
    </row>
    <row r="238" spans="1:8">
      <c r="A238" s="1">
        <v>9</v>
      </c>
      <c r="B238" s="1" t="s">
        <v>788</v>
      </c>
      <c r="C238" s="1">
        <v>71.72</v>
      </c>
      <c r="D238" s="1">
        <v>232.92</v>
      </c>
      <c r="E238" s="1">
        <v>0.34413899999999997</v>
      </c>
      <c r="F238" s="1">
        <f>12864000*(10^-6)</f>
        <v>12.863999999999999</v>
      </c>
      <c r="G238" s="1">
        <v>4</v>
      </c>
      <c r="H238" s="1">
        <v>13.78</v>
      </c>
    </row>
    <row r="239" spans="1:8">
      <c r="A239" s="1">
        <v>10</v>
      </c>
      <c r="B239" s="1" t="s">
        <v>789</v>
      </c>
      <c r="C239" s="1">
        <v>77.400000000000006</v>
      </c>
      <c r="D239" s="1">
        <v>228.39</v>
      </c>
      <c r="E239" s="1">
        <v>0.29962800000000001</v>
      </c>
      <c r="F239" s="1">
        <f>345600*(10^-6)</f>
        <v>0.34559999999999996</v>
      </c>
      <c r="G239" s="1">
        <v>2</v>
      </c>
      <c r="H239" s="1">
        <v>14.86</v>
      </c>
    </row>
    <row r="240" spans="1:8">
      <c r="A240" s="1">
        <v>11</v>
      </c>
      <c r="B240" s="1" t="s">
        <v>790</v>
      </c>
      <c r="C240" s="1">
        <v>75.03</v>
      </c>
      <c r="D240" s="1">
        <v>229.24</v>
      </c>
      <c r="E240" s="1">
        <v>0.37870700000000002</v>
      </c>
      <c r="F240" s="1">
        <f>153600*(10^-6)</f>
        <v>0.15359999999999999</v>
      </c>
      <c r="G240" s="1">
        <v>48</v>
      </c>
      <c r="H240" s="1">
        <v>14.24</v>
      </c>
    </row>
    <row r="241" spans="1:8">
      <c r="A241" s="1">
        <v>12</v>
      </c>
      <c r="B241" s="1" t="s">
        <v>791</v>
      </c>
      <c r="C241" s="1">
        <v>87.09</v>
      </c>
      <c r="D241" s="1">
        <v>228.86</v>
      </c>
      <c r="E241" s="1">
        <v>0.31401200000000001</v>
      </c>
      <c r="F241" s="1">
        <f>153600*(10^-6)</f>
        <v>0.15359999999999999</v>
      </c>
      <c r="G241" s="1">
        <v>58</v>
      </c>
      <c r="H241" s="1">
        <v>16.64</v>
      </c>
    </row>
    <row r="242" spans="1:8">
      <c r="A242" s="1">
        <v>13</v>
      </c>
      <c r="B242" s="1" t="s">
        <v>792</v>
      </c>
      <c r="C242" s="1">
        <v>77.83</v>
      </c>
      <c r="D242" s="1">
        <v>229.91</v>
      </c>
      <c r="E242" s="1">
        <v>0.34899599999999997</v>
      </c>
      <c r="F242" s="1">
        <f>883200*(10^-6)</f>
        <v>0.88319999999999999</v>
      </c>
      <c r="G242" s="1">
        <v>42</v>
      </c>
      <c r="H242" s="1">
        <v>14.88</v>
      </c>
    </row>
    <row r="243" spans="1:8">
      <c r="A243" s="1">
        <v>14</v>
      </c>
      <c r="B243" s="1" t="s">
        <v>793</v>
      </c>
      <c r="C243" s="1">
        <v>80.349999999999994</v>
      </c>
      <c r="D243" s="1">
        <v>230.81</v>
      </c>
      <c r="E243" s="1">
        <v>0.27376099999999998</v>
      </c>
      <c r="F243" s="1">
        <f>2572800*(10^-6)</f>
        <v>2.5728</v>
      </c>
      <c r="G243" s="1">
        <v>34</v>
      </c>
      <c r="H243" s="1">
        <v>15.33</v>
      </c>
    </row>
    <row r="244" spans="1:8">
      <c r="A244" s="1">
        <v>15</v>
      </c>
      <c r="B244" s="1" t="s">
        <v>794</v>
      </c>
      <c r="C244" s="1">
        <v>69.84</v>
      </c>
      <c r="D244" s="1" t="e">
        <f>-inf</f>
        <v>#NAME?</v>
      </c>
      <c r="E244" s="1">
        <v>0.34433399999999997</v>
      </c>
      <c r="F244" s="1">
        <f>0*(10^-6)</f>
        <v>0</v>
      </c>
      <c r="G244" s="1">
        <v>34</v>
      </c>
      <c r="H244" s="1">
        <v>13.3</v>
      </c>
    </row>
    <row r="245" spans="1:8">
      <c r="A245" s="1">
        <v>16</v>
      </c>
      <c r="B245" s="1" t="s">
        <v>795</v>
      </c>
      <c r="C245" s="1">
        <v>77.86</v>
      </c>
      <c r="D245" s="1">
        <v>229.34</v>
      </c>
      <c r="E245" s="1">
        <v>0.282698</v>
      </c>
      <c r="F245" s="1">
        <f>3110400*(10^-6)</f>
        <v>3.1103999999999998</v>
      </c>
      <c r="G245" s="1">
        <v>56</v>
      </c>
      <c r="H245" s="1">
        <v>15.08</v>
      </c>
    </row>
    <row r="246" spans="1:8">
      <c r="A246" s="1">
        <v>17</v>
      </c>
      <c r="B246" s="1" t="s">
        <v>796</v>
      </c>
      <c r="C246" s="1">
        <v>77.69</v>
      </c>
      <c r="D246" s="1" t="e">
        <f>-inf</f>
        <v>#NAME?</v>
      </c>
      <c r="E246" s="1">
        <v>0.330042</v>
      </c>
      <c r="F246" s="1">
        <f>0*(10^-6)</f>
        <v>0</v>
      </c>
      <c r="G246" s="1">
        <v>16</v>
      </c>
      <c r="H246" s="1">
        <v>14.81</v>
      </c>
    </row>
    <row r="247" spans="1:8">
      <c r="A247" s="1">
        <v>18</v>
      </c>
      <c r="B247" s="1" t="s">
        <v>797</v>
      </c>
      <c r="C247" s="1">
        <v>94.48</v>
      </c>
      <c r="D247" s="1">
        <v>230.56</v>
      </c>
      <c r="E247" s="1">
        <v>0.29579100000000003</v>
      </c>
      <c r="F247" s="1">
        <f>268800*(10^-6)</f>
        <v>0.26879999999999998</v>
      </c>
      <c r="G247" s="1">
        <v>56</v>
      </c>
      <c r="H247" s="1">
        <v>18.059999999999999</v>
      </c>
    </row>
    <row r="248" spans="1:8">
      <c r="A248" s="1">
        <v>19</v>
      </c>
      <c r="B248" s="1" t="s">
        <v>798</v>
      </c>
      <c r="C248" s="1">
        <v>85.13</v>
      </c>
      <c r="D248" s="1">
        <v>231.34</v>
      </c>
      <c r="E248" s="1">
        <v>0.32661400000000002</v>
      </c>
      <c r="F248" s="1">
        <f>1228800*(10^-6)</f>
        <v>1.2287999999999999</v>
      </c>
      <c r="G248" s="1">
        <v>10</v>
      </c>
      <c r="H248" s="1">
        <v>16.399999999999999</v>
      </c>
    </row>
    <row r="249" spans="1:8">
      <c r="A249" s="1">
        <v>20</v>
      </c>
      <c r="B249" s="1" t="s">
        <v>799</v>
      </c>
      <c r="C249" s="1">
        <v>71.02</v>
      </c>
      <c r="D249" s="1">
        <v>231.13</v>
      </c>
      <c r="E249" s="1">
        <v>0.35554200000000002</v>
      </c>
      <c r="F249" s="1">
        <f>268800*(10^-6)</f>
        <v>0.26879999999999998</v>
      </c>
      <c r="G249" s="1">
        <v>30</v>
      </c>
      <c r="H249" s="1">
        <v>13.58</v>
      </c>
    </row>
    <row r="250" spans="1:8">
      <c r="A250" s="1">
        <v>21</v>
      </c>
      <c r="B250" s="1" t="s">
        <v>800</v>
      </c>
      <c r="C250" s="1">
        <v>80.069999999999993</v>
      </c>
      <c r="D250" s="1">
        <v>227.25</v>
      </c>
      <c r="E250" s="1">
        <v>0.23880899999999999</v>
      </c>
      <c r="F250" s="1">
        <f>460800*(10^-6)</f>
        <v>0.46079999999999999</v>
      </c>
      <c r="G250" s="1">
        <v>6</v>
      </c>
      <c r="H250" s="1">
        <v>15.25</v>
      </c>
    </row>
    <row r="251" spans="1:8">
      <c r="A251" s="1">
        <v>22</v>
      </c>
      <c r="B251" s="1" t="s">
        <v>801</v>
      </c>
      <c r="C251" s="1">
        <v>74.37</v>
      </c>
      <c r="D251" s="1">
        <v>232.07</v>
      </c>
      <c r="E251" s="1">
        <v>0.30369699999999999</v>
      </c>
      <c r="F251" s="1">
        <f>5644800*(10^-6)</f>
        <v>5.6448</v>
      </c>
      <c r="G251" s="1">
        <v>22</v>
      </c>
      <c r="H251" s="1">
        <v>14.22</v>
      </c>
    </row>
    <row r="252" spans="1:8">
      <c r="A252" s="1">
        <v>23</v>
      </c>
      <c r="B252" s="1" t="s">
        <v>802</v>
      </c>
      <c r="C252" s="1">
        <v>83.8</v>
      </c>
      <c r="D252" s="1">
        <v>230.93</v>
      </c>
      <c r="E252" s="1">
        <v>0.30227599999999999</v>
      </c>
      <c r="F252" s="1">
        <f>2304000*(10^-6)</f>
        <v>2.3039999999999998</v>
      </c>
      <c r="G252" s="1">
        <v>44</v>
      </c>
      <c r="H252" s="1">
        <v>16.16</v>
      </c>
    </row>
    <row r="253" spans="1:8">
      <c r="A253" s="1">
        <v>24</v>
      </c>
      <c r="B253" s="1" t="s">
        <v>803</v>
      </c>
      <c r="C253" s="1">
        <v>72.37</v>
      </c>
      <c r="D253" s="1">
        <v>225.25</v>
      </c>
      <c r="E253" s="1">
        <v>0.31972600000000001</v>
      </c>
      <c r="F253" s="1">
        <f>652800*(10^-6)</f>
        <v>0.65279999999999994</v>
      </c>
      <c r="G253" s="1">
        <v>14</v>
      </c>
      <c r="H253" s="1">
        <v>13.82</v>
      </c>
    </row>
    <row r="254" spans="1:8">
      <c r="A254" s="1">
        <v>25</v>
      </c>
      <c r="B254" s="1" t="s">
        <v>804</v>
      </c>
      <c r="C254" s="1">
        <v>78.22</v>
      </c>
      <c r="D254" s="1">
        <v>231.15</v>
      </c>
      <c r="E254" s="1">
        <v>0.30598700000000001</v>
      </c>
      <c r="F254" s="1">
        <f>1536000*(10^-6)</f>
        <v>1.536</v>
      </c>
      <c r="G254" s="1">
        <v>38</v>
      </c>
      <c r="H254" s="1">
        <v>15.05</v>
      </c>
    </row>
    <row r="255" spans="1:8">
      <c r="A255" s="1">
        <v>26</v>
      </c>
      <c r="B255" s="1" t="s">
        <v>805</v>
      </c>
      <c r="C255" s="1">
        <v>79.03</v>
      </c>
      <c r="D255" s="1">
        <v>232.26</v>
      </c>
      <c r="E255" s="1">
        <v>0.35070800000000002</v>
      </c>
      <c r="F255" s="1">
        <f>1152000*(10^-6)</f>
        <v>1.1519999999999999</v>
      </c>
      <c r="G255" s="1">
        <v>52</v>
      </c>
      <c r="H255" s="1">
        <v>15.05</v>
      </c>
    </row>
    <row r="256" spans="1:8">
      <c r="A256" s="1">
        <v>27</v>
      </c>
      <c r="B256" s="1" t="s">
        <v>806</v>
      </c>
      <c r="C256" s="1">
        <v>74.87</v>
      </c>
      <c r="D256" s="1">
        <v>228.9</v>
      </c>
      <c r="E256" s="1">
        <v>0.33796599999999999</v>
      </c>
      <c r="F256" s="1">
        <f>307200*(10^-6)</f>
        <v>0.30719999999999997</v>
      </c>
      <c r="G256" s="1">
        <v>0</v>
      </c>
      <c r="H256" s="1">
        <v>14.33</v>
      </c>
    </row>
    <row r="257" spans="1:8">
      <c r="A257" s="1">
        <v>28</v>
      </c>
      <c r="B257" s="1" t="s">
        <v>807</v>
      </c>
      <c r="C257" s="1">
        <v>78.19</v>
      </c>
      <c r="D257" s="1">
        <v>225.69</v>
      </c>
      <c r="E257" s="1">
        <v>0.27146700000000001</v>
      </c>
      <c r="F257" s="1">
        <f>192000*(10^-6)</f>
        <v>0.192</v>
      </c>
      <c r="G257" s="1">
        <v>14</v>
      </c>
      <c r="H257" s="1">
        <v>14.94</v>
      </c>
    </row>
    <row r="258" spans="1:8">
      <c r="A258" s="1">
        <v>29</v>
      </c>
      <c r="B258" s="1" t="s">
        <v>808</v>
      </c>
      <c r="C258" s="1">
        <v>79.069999999999993</v>
      </c>
      <c r="D258" s="1">
        <v>230.46</v>
      </c>
      <c r="E258" s="1">
        <v>0.32203399999999999</v>
      </c>
      <c r="F258" s="1">
        <f>844800*(10^-6)</f>
        <v>0.8448</v>
      </c>
      <c r="G258" s="1">
        <v>34</v>
      </c>
      <c r="H258" s="1">
        <v>15.14</v>
      </c>
    </row>
    <row r="259" spans="1:8">
      <c r="A259" s="1">
        <v>30</v>
      </c>
      <c r="B259" s="1" t="s">
        <v>809</v>
      </c>
      <c r="C259" s="1">
        <v>79.569999999999993</v>
      </c>
      <c r="D259" s="1">
        <v>230.06</v>
      </c>
      <c r="E259" s="1">
        <v>0.29696499999999998</v>
      </c>
      <c r="F259" s="1">
        <f>422400*(10^-6)</f>
        <v>0.4224</v>
      </c>
      <c r="G259" s="1">
        <v>2</v>
      </c>
      <c r="H259" s="1">
        <v>15.14</v>
      </c>
    </row>
    <row r="260" spans="1:8">
      <c r="A260" s="1">
        <v>31</v>
      </c>
      <c r="B260" s="1" t="s">
        <v>810</v>
      </c>
      <c r="C260" s="1">
        <v>77.150000000000006</v>
      </c>
      <c r="D260" s="1">
        <v>231.76</v>
      </c>
      <c r="E260" s="1">
        <v>0.34857300000000002</v>
      </c>
      <c r="F260" s="1">
        <f>2457600*(10^-6)</f>
        <v>2.4575999999999998</v>
      </c>
      <c r="G260" s="1">
        <v>8</v>
      </c>
      <c r="H260" s="1">
        <v>14.77</v>
      </c>
    </row>
    <row r="261" spans="1:8">
      <c r="A261" s="1">
        <v>32</v>
      </c>
      <c r="B261" s="1" t="s">
        <v>811</v>
      </c>
      <c r="C261" s="1">
        <v>91.53</v>
      </c>
      <c r="D261" s="1">
        <v>229.96</v>
      </c>
      <c r="E261" s="1">
        <v>0.27388499999999999</v>
      </c>
      <c r="F261" s="1">
        <f>921600*(10^-6)</f>
        <v>0.92159999999999997</v>
      </c>
      <c r="G261" s="1">
        <v>48</v>
      </c>
      <c r="H261" s="1">
        <v>17.54</v>
      </c>
    </row>
    <row r="262" spans="1:8">
      <c r="A262" s="1">
        <v>33</v>
      </c>
      <c r="B262" s="1" t="s">
        <v>812</v>
      </c>
      <c r="C262" s="1">
        <v>75.81</v>
      </c>
      <c r="D262" s="1">
        <v>231.6</v>
      </c>
      <c r="E262" s="1">
        <v>0.313189</v>
      </c>
      <c r="F262" s="1">
        <f>1152000*(10^-6)</f>
        <v>1.1519999999999999</v>
      </c>
      <c r="G262" s="1">
        <v>44</v>
      </c>
      <c r="H262" s="1">
        <v>14.49</v>
      </c>
    </row>
    <row r="263" spans="1:8">
      <c r="A263" s="1">
        <v>34</v>
      </c>
      <c r="B263" s="1" t="s">
        <v>813</v>
      </c>
      <c r="C263" s="1">
        <v>75.099999999999994</v>
      </c>
      <c r="D263" s="1">
        <v>230.65</v>
      </c>
      <c r="E263" s="1">
        <v>0.30675000000000002</v>
      </c>
      <c r="F263" s="1">
        <f>2265600*(10^-6)</f>
        <v>2.2656000000000001</v>
      </c>
      <c r="G263" s="1">
        <v>56</v>
      </c>
      <c r="H263" s="1">
        <v>14.34</v>
      </c>
    </row>
    <row r="264" spans="1:8">
      <c r="A264" s="1">
        <v>35</v>
      </c>
      <c r="B264" s="1" t="s">
        <v>814</v>
      </c>
      <c r="C264" s="1">
        <v>84.83</v>
      </c>
      <c r="D264" s="1">
        <v>230.42</v>
      </c>
      <c r="E264" s="1">
        <v>0.30886999999999998</v>
      </c>
      <c r="F264" s="1">
        <f>384000*(10^-6)</f>
        <v>0.38400000000000001</v>
      </c>
      <c r="G264" s="1">
        <v>40</v>
      </c>
      <c r="H264" s="1">
        <v>16.37</v>
      </c>
    </row>
    <row r="265" spans="1:8">
      <c r="A265" s="1">
        <v>36</v>
      </c>
      <c r="B265" s="1" t="s">
        <v>815</v>
      </c>
      <c r="C265" s="1">
        <v>68.790000000000006</v>
      </c>
      <c r="D265" s="1">
        <v>226.68</v>
      </c>
      <c r="E265" s="1">
        <v>0.36654599999999998</v>
      </c>
      <c r="F265" s="1">
        <f>307200*(10^-6)</f>
        <v>0.30719999999999997</v>
      </c>
      <c r="G265" s="1">
        <v>54</v>
      </c>
      <c r="H265" s="1">
        <v>13.12</v>
      </c>
    </row>
    <row r="266" spans="1:8">
      <c r="A266" s="1">
        <v>37</v>
      </c>
      <c r="B266" s="1" t="s">
        <v>816</v>
      </c>
      <c r="C266" s="1">
        <v>73.02</v>
      </c>
      <c r="D266" s="1">
        <v>233.14</v>
      </c>
      <c r="E266" s="1">
        <v>0.37628899999999998</v>
      </c>
      <c r="F266" s="1">
        <f>3379200*(10^-6)</f>
        <v>3.3792</v>
      </c>
      <c r="G266" s="1">
        <v>32</v>
      </c>
      <c r="H266" s="1">
        <v>13.99</v>
      </c>
    </row>
    <row r="267" spans="1:8">
      <c r="A267" s="1">
        <v>38</v>
      </c>
      <c r="B267" s="1" t="s">
        <v>817</v>
      </c>
      <c r="C267" s="1">
        <v>81.540000000000006</v>
      </c>
      <c r="D267" s="1" t="e">
        <f>-inf</f>
        <v>#NAME?</v>
      </c>
      <c r="E267" s="1">
        <v>0.34760999999999997</v>
      </c>
      <c r="F267" s="1">
        <f>0*(10^-6)</f>
        <v>0</v>
      </c>
      <c r="G267" s="1">
        <v>28</v>
      </c>
      <c r="H267" s="1">
        <v>15.58</v>
      </c>
    </row>
    <row r="268" spans="1:8">
      <c r="A268" s="1">
        <v>39</v>
      </c>
      <c r="B268" s="1" t="s">
        <v>818</v>
      </c>
      <c r="C268" s="1">
        <v>82.59</v>
      </c>
      <c r="D268" s="1">
        <v>231.96</v>
      </c>
      <c r="E268" s="1">
        <v>0.28979300000000002</v>
      </c>
      <c r="F268" s="1">
        <f>2304000*(10^-6)</f>
        <v>2.3039999999999998</v>
      </c>
      <c r="G268" s="1">
        <v>10</v>
      </c>
      <c r="H268" s="1">
        <v>15.96</v>
      </c>
    </row>
    <row r="269" spans="1:8">
      <c r="A269" s="1">
        <v>40</v>
      </c>
      <c r="B269" s="1" t="s">
        <v>819</v>
      </c>
      <c r="C269" s="1">
        <v>71.63</v>
      </c>
      <c r="D269" s="1">
        <v>228.87</v>
      </c>
      <c r="E269" s="1">
        <v>0.31741799999999998</v>
      </c>
      <c r="F269" s="1">
        <f>460800*(10^-6)</f>
        <v>0.46079999999999999</v>
      </c>
      <c r="G269" s="1">
        <v>12</v>
      </c>
      <c r="H269" s="1">
        <v>13.64</v>
      </c>
    </row>
    <row r="270" spans="1:8">
      <c r="A270" s="1">
        <v>41</v>
      </c>
      <c r="B270" s="1" t="s">
        <v>820</v>
      </c>
      <c r="C270" s="1">
        <v>77.849999999999994</v>
      </c>
      <c r="D270" s="1">
        <v>230.7</v>
      </c>
      <c r="E270" s="1">
        <v>0.35248699999999999</v>
      </c>
      <c r="F270" s="1">
        <f>1075200*(10^-6)</f>
        <v>1.0751999999999999</v>
      </c>
      <c r="G270" s="1">
        <v>26</v>
      </c>
      <c r="H270" s="1">
        <v>14.95</v>
      </c>
    </row>
    <row r="271" spans="1:8">
      <c r="A271" s="1">
        <v>42</v>
      </c>
      <c r="B271" s="1" t="s">
        <v>821</v>
      </c>
      <c r="C271" s="1">
        <v>70.28</v>
      </c>
      <c r="D271" s="1">
        <v>231.41</v>
      </c>
      <c r="E271" s="1">
        <v>0.33325900000000003</v>
      </c>
      <c r="F271" s="1">
        <f>1113600*(10^-6)</f>
        <v>1.1135999999999999</v>
      </c>
      <c r="G271" s="1">
        <v>36</v>
      </c>
      <c r="H271" s="1">
        <v>13.42</v>
      </c>
    </row>
    <row r="272" spans="1:8">
      <c r="A272" s="1">
        <v>43</v>
      </c>
      <c r="B272" s="1" t="s">
        <v>822</v>
      </c>
      <c r="C272" s="1">
        <v>74.680000000000007</v>
      </c>
      <c r="D272" s="1">
        <v>226.58</v>
      </c>
      <c r="E272" s="1">
        <v>0.31436500000000001</v>
      </c>
      <c r="F272" s="1">
        <f>76800*(10^-6)</f>
        <v>7.6799999999999993E-2</v>
      </c>
      <c r="G272" s="1">
        <v>20</v>
      </c>
      <c r="H272" s="1">
        <v>14.3</v>
      </c>
    </row>
    <row r="273" spans="1:8">
      <c r="A273" s="1">
        <v>44</v>
      </c>
      <c r="B273" s="1" t="s">
        <v>823</v>
      </c>
      <c r="C273" s="1">
        <v>63.74</v>
      </c>
      <c r="D273" s="1">
        <v>228.93</v>
      </c>
      <c r="E273" s="1">
        <v>0.39327600000000001</v>
      </c>
      <c r="F273" s="1">
        <f>576000*(10^-6)</f>
        <v>0.57599999999999996</v>
      </c>
      <c r="G273" s="1">
        <v>34</v>
      </c>
      <c r="H273" s="1">
        <v>12.11</v>
      </c>
    </row>
    <row r="274" spans="1:8">
      <c r="A274" s="1">
        <v>45</v>
      </c>
      <c r="B274" s="1" t="s">
        <v>824</v>
      </c>
      <c r="C274" s="1">
        <v>77.3</v>
      </c>
      <c r="D274" s="1">
        <v>233.61</v>
      </c>
      <c r="E274" s="1">
        <v>0.35153000000000001</v>
      </c>
      <c r="F274" s="1">
        <f>7142400*(10^-6)</f>
        <v>7.1423999999999994</v>
      </c>
      <c r="G274" s="1">
        <v>44</v>
      </c>
      <c r="H274" s="1">
        <v>14.78</v>
      </c>
    </row>
    <row r="275" spans="1:8">
      <c r="A275" s="1">
        <v>46</v>
      </c>
      <c r="B275" s="1" t="s">
        <v>825</v>
      </c>
      <c r="C275" s="1">
        <v>78.400000000000006</v>
      </c>
      <c r="D275" s="1">
        <v>233.47</v>
      </c>
      <c r="E275" s="1">
        <v>0.37594300000000003</v>
      </c>
      <c r="F275" s="1">
        <f>3840000*(10^-6)</f>
        <v>3.84</v>
      </c>
      <c r="G275" s="1">
        <v>2</v>
      </c>
      <c r="H275" s="1">
        <v>14.91</v>
      </c>
    </row>
    <row r="276" spans="1:8">
      <c r="A276" s="1">
        <v>47</v>
      </c>
      <c r="B276" s="1" t="s">
        <v>826</v>
      </c>
      <c r="C276" s="1">
        <v>90.5</v>
      </c>
      <c r="D276" s="1">
        <v>233.88</v>
      </c>
      <c r="E276" s="1">
        <v>0.32748500000000003</v>
      </c>
      <c r="F276" s="1">
        <f>3187200*(10^-6)</f>
        <v>3.1871999999999998</v>
      </c>
      <c r="G276" s="1">
        <v>18</v>
      </c>
      <c r="H276" s="1">
        <v>17.260000000000002</v>
      </c>
    </row>
    <row r="277" spans="1:8">
      <c r="A277" s="1">
        <v>48</v>
      </c>
      <c r="B277" s="1" t="s">
        <v>827</v>
      </c>
      <c r="C277" s="1">
        <v>76.430000000000007</v>
      </c>
      <c r="D277" s="1">
        <v>233.09</v>
      </c>
      <c r="E277" s="1">
        <v>0.37830200000000003</v>
      </c>
      <c r="F277" s="1">
        <f>1996800*(10^-6)</f>
        <v>1.9967999999999999</v>
      </c>
      <c r="G277" s="1">
        <v>0</v>
      </c>
      <c r="H277" s="1">
        <v>14.57</v>
      </c>
    </row>
    <row r="278" spans="1:8">
      <c r="A278" s="1">
        <v>49</v>
      </c>
      <c r="B278" s="1" t="s">
        <v>828</v>
      </c>
      <c r="C278" s="1">
        <v>62.82</v>
      </c>
      <c r="D278" s="1">
        <v>231.22</v>
      </c>
      <c r="E278" s="1">
        <v>0.40107199999999998</v>
      </c>
      <c r="F278" s="1">
        <f>2035200*(10^-6)</f>
        <v>2.0352000000000001</v>
      </c>
      <c r="G278" s="1">
        <v>36</v>
      </c>
      <c r="H278" s="1">
        <v>12.04</v>
      </c>
    </row>
    <row r="279" spans="1:8">
      <c r="A279" s="1">
        <v>50</v>
      </c>
      <c r="B279" s="1" t="s">
        <v>829</v>
      </c>
      <c r="C279" s="1">
        <v>81.73</v>
      </c>
      <c r="D279" s="1">
        <v>230.87</v>
      </c>
      <c r="E279" s="1">
        <v>0.30678699999999998</v>
      </c>
      <c r="F279" s="1">
        <f>422400*(10^-6)</f>
        <v>0.4224</v>
      </c>
      <c r="G279" s="1">
        <v>16</v>
      </c>
      <c r="H279" s="1">
        <v>15.85</v>
      </c>
    </row>
    <row r="280" spans="1:8">
      <c r="B280" s="1" t="s">
        <v>19</v>
      </c>
      <c r="C280" s="1">
        <f>AVERAGE(C230:C279)</f>
        <v>77.478000000000009</v>
      </c>
      <c r="D280" s="1" t="e">
        <f t="shared" ref="D280:F280" si="18">AVERAGE(D230:D279)</f>
        <v>#NAME?</v>
      </c>
      <c r="E280" s="1">
        <f t="shared" si="18"/>
        <v>0.32699677999999993</v>
      </c>
      <c r="F280" s="1">
        <f t="shared" si="18"/>
        <v>2.0405759999999997</v>
      </c>
      <c r="H280" s="1">
        <f t="shared" ref="H280" si="19">AVERAGE(H230:H279)</f>
        <v>14.830399999999999</v>
      </c>
    </row>
    <row r="281" spans="1:8">
      <c r="B281" s="1" t="s">
        <v>20</v>
      </c>
      <c r="C281" s="1">
        <f>MIN(C229:C279)</f>
        <v>62.82</v>
      </c>
      <c r="D281" s="1" t="e">
        <f t="shared" ref="D281:F281" si="20">MIN(D229:D279)</f>
        <v>#NAME?</v>
      </c>
      <c r="E281" s="1">
        <f t="shared" si="20"/>
        <v>0.23880899999999999</v>
      </c>
      <c r="F281" s="1">
        <f t="shared" si="20"/>
        <v>0</v>
      </c>
      <c r="H281" s="1">
        <f t="shared" ref="H281" si="21">MIN(H229:H279)</f>
        <v>12.04</v>
      </c>
    </row>
    <row r="282" spans="1:8">
      <c r="B282" s="1" t="s">
        <v>3</v>
      </c>
      <c r="C282" s="1">
        <f>STDEV(C230:C279)</f>
        <v>6.4699254009513831</v>
      </c>
      <c r="D282" s="1" t="e">
        <f t="shared" ref="D282:E282" si="22">STDEV(D230:D279)</f>
        <v>#NAME?</v>
      </c>
      <c r="E282" s="1">
        <f t="shared" si="22"/>
        <v>3.4631514165564502E-2</v>
      </c>
      <c r="F282" s="1">
        <f>STDEV(F230:F279)</f>
        <v>2.7552707618019712</v>
      </c>
      <c r="H282" s="1">
        <f>STDEV(H230:H279)</f>
        <v>1.2533708997120387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830</v>
      </c>
      <c r="C286" s="1">
        <v>62.77</v>
      </c>
      <c r="D286" s="1">
        <v>299.77</v>
      </c>
      <c r="E286" s="1">
        <v>0.28627000000000002</v>
      </c>
      <c r="F286" s="1">
        <f>76800*(10^-6)</f>
        <v>7.6799999999999993E-2</v>
      </c>
      <c r="G286" s="1">
        <v>24</v>
      </c>
      <c r="H286" s="1">
        <v>11.98</v>
      </c>
    </row>
    <row r="287" spans="1:8">
      <c r="A287" s="1">
        <v>2</v>
      </c>
      <c r="B287" s="1" t="s">
        <v>831</v>
      </c>
      <c r="C287" s="1">
        <v>62</v>
      </c>
      <c r="D287" s="1">
        <v>307.11</v>
      </c>
      <c r="E287" s="1">
        <v>0.35802600000000001</v>
      </c>
      <c r="F287" s="1">
        <f>5529600*(10^-6)</f>
        <v>5.5295999999999994</v>
      </c>
      <c r="G287" s="1">
        <v>30</v>
      </c>
      <c r="H287" s="1">
        <v>11.82</v>
      </c>
    </row>
    <row r="288" spans="1:8">
      <c r="A288" s="1">
        <v>3</v>
      </c>
      <c r="B288" s="1" t="s">
        <v>832</v>
      </c>
      <c r="C288" s="1">
        <v>74.099999999999994</v>
      </c>
      <c r="D288" s="1">
        <v>301.2</v>
      </c>
      <c r="E288" s="1">
        <v>0.27995399999999998</v>
      </c>
      <c r="F288" s="1">
        <f>576000*(10^-6)</f>
        <v>0.57599999999999996</v>
      </c>
      <c r="G288" s="1">
        <v>76</v>
      </c>
      <c r="H288" s="1">
        <v>14.15</v>
      </c>
    </row>
    <row r="289" spans="1:8">
      <c r="A289" s="1">
        <v>4</v>
      </c>
      <c r="B289" s="1" t="s">
        <v>833</v>
      </c>
      <c r="C289" s="1">
        <v>64.11</v>
      </c>
      <c r="D289" s="1">
        <v>306</v>
      </c>
      <c r="E289" s="1">
        <v>0.34925600000000001</v>
      </c>
      <c r="F289" s="1">
        <f>2496000*(10^-6)</f>
        <v>2.496</v>
      </c>
      <c r="G289" s="1">
        <v>48</v>
      </c>
      <c r="H289" s="1">
        <v>12.19</v>
      </c>
    </row>
    <row r="290" spans="1:8">
      <c r="A290" s="1">
        <v>5</v>
      </c>
      <c r="B290" s="1" t="s">
        <v>834</v>
      </c>
      <c r="C290" s="1">
        <v>63.46</v>
      </c>
      <c r="D290" s="1">
        <v>296.42</v>
      </c>
      <c r="E290" s="1">
        <v>0.28608</v>
      </c>
      <c r="F290" s="1">
        <f>345600*(10^-6)</f>
        <v>0.34559999999999996</v>
      </c>
      <c r="G290" s="1">
        <v>2</v>
      </c>
      <c r="H290" s="1">
        <v>12.06</v>
      </c>
    </row>
    <row r="291" spans="1:8">
      <c r="A291" s="1">
        <v>6</v>
      </c>
      <c r="B291" s="1" t="s">
        <v>835</v>
      </c>
      <c r="C291" s="1">
        <v>68.510000000000005</v>
      </c>
      <c r="D291" s="1">
        <v>295.18</v>
      </c>
      <c r="E291" s="1">
        <v>0.29599399999999998</v>
      </c>
      <c r="F291" s="1">
        <f>38400*(10^-6)</f>
        <v>3.8399999999999997E-2</v>
      </c>
      <c r="G291" s="1">
        <v>24</v>
      </c>
      <c r="H291" s="1">
        <v>13.06</v>
      </c>
    </row>
    <row r="292" spans="1:8">
      <c r="A292" s="1">
        <v>7</v>
      </c>
      <c r="B292" s="1" t="s">
        <v>836</v>
      </c>
      <c r="C292" s="1">
        <v>60.57</v>
      </c>
      <c r="D292" s="1">
        <v>302.95</v>
      </c>
      <c r="E292" s="1">
        <v>0.30422399999999999</v>
      </c>
      <c r="F292" s="1">
        <f>1497600*(10^-6)</f>
        <v>1.4976</v>
      </c>
      <c r="G292" s="1">
        <v>36</v>
      </c>
      <c r="H292" s="1">
        <v>11.55</v>
      </c>
    </row>
    <row r="293" spans="1:8">
      <c r="A293" s="1">
        <v>8</v>
      </c>
      <c r="B293" s="1" t="s">
        <v>837</v>
      </c>
      <c r="C293" s="1">
        <v>66.8</v>
      </c>
      <c r="D293" s="1" t="e">
        <f>-inf</f>
        <v>#NAME?</v>
      </c>
      <c r="E293" s="1">
        <v>0.31669900000000001</v>
      </c>
      <c r="F293" s="1">
        <f>0*(10^-6)</f>
        <v>0</v>
      </c>
      <c r="G293" s="1">
        <v>70</v>
      </c>
      <c r="H293" s="1">
        <v>12.77</v>
      </c>
    </row>
    <row r="294" spans="1:8">
      <c r="A294" s="1">
        <v>9</v>
      </c>
      <c r="B294" s="1" t="s">
        <v>838</v>
      </c>
      <c r="C294" s="1">
        <v>66.569999999999993</v>
      </c>
      <c r="D294" s="1">
        <v>306.97000000000003</v>
      </c>
      <c r="E294" s="1">
        <v>0.305587</v>
      </c>
      <c r="F294" s="1">
        <f>4070400*(10^-6)</f>
        <v>4.0704000000000002</v>
      </c>
      <c r="G294" s="1">
        <v>72</v>
      </c>
      <c r="H294" s="1">
        <v>12.82</v>
      </c>
    </row>
    <row r="295" spans="1:8">
      <c r="A295" s="1">
        <v>10</v>
      </c>
      <c r="B295" s="1" t="s">
        <v>839</v>
      </c>
      <c r="C295" s="1">
        <v>58.34</v>
      </c>
      <c r="D295" s="1">
        <v>305.95999999999998</v>
      </c>
      <c r="E295" s="1">
        <v>0.29524</v>
      </c>
      <c r="F295" s="1">
        <f>2457600*(10^-6)</f>
        <v>2.4575999999999998</v>
      </c>
      <c r="G295" s="1">
        <v>72</v>
      </c>
      <c r="H295" s="1">
        <v>11.15</v>
      </c>
    </row>
    <row r="296" spans="1:8">
      <c r="A296" s="1">
        <v>11</v>
      </c>
      <c r="B296" s="1" t="s">
        <v>840</v>
      </c>
      <c r="C296" s="1">
        <v>66.150000000000006</v>
      </c>
      <c r="D296" s="1">
        <v>306.39</v>
      </c>
      <c r="E296" s="1">
        <v>0.32787899999999998</v>
      </c>
      <c r="F296" s="1">
        <f>1536000*(10^-6)</f>
        <v>1.536</v>
      </c>
      <c r="G296" s="1">
        <v>76</v>
      </c>
      <c r="H296" s="1">
        <v>12.67</v>
      </c>
    </row>
    <row r="297" spans="1:8">
      <c r="A297" s="1">
        <v>12</v>
      </c>
      <c r="B297" s="1" t="s">
        <v>841</v>
      </c>
      <c r="C297" s="1">
        <v>58.45</v>
      </c>
      <c r="D297" s="1">
        <v>302.48</v>
      </c>
      <c r="E297" s="1">
        <v>0.33922600000000003</v>
      </c>
      <c r="F297" s="1">
        <f>76800*(10^-6)</f>
        <v>7.6799999999999993E-2</v>
      </c>
      <c r="G297" s="1">
        <v>22</v>
      </c>
      <c r="H297" s="1">
        <v>11.1</v>
      </c>
    </row>
    <row r="298" spans="1:8">
      <c r="A298" s="1">
        <v>13</v>
      </c>
      <c r="B298" s="1" t="s">
        <v>842</v>
      </c>
      <c r="C298" s="1">
        <v>67.16</v>
      </c>
      <c r="D298" s="1">
        <v>306.52</v>
      </c>
      <c r="E298" s="1">
        <v>0.31786799999999998</v>
      </c>
      <c r="F298" s="1">
        <f>2572800*(10^-6)</f>
        <v>2.5728</v>
      </c>
      <c r="G298" s="1">
        <v>46</v>
      </c>
      <c r="H298" s="1">
        <v>12.83</v>
      </c>
    </row>
    <row r="299" spans="1:8">
      <c r="A299" s="1">
        <v>14</v>
      </c>
      <c r="B299" s="1" t="s">
        <v>843</v>
      </c>
      <c r="C299" s="1">
        <v>68.430000000000007</v>
      </c>
      <c r="D299" s="1">
        <v>306.18</v>
      </c>
      <c r="E299" s="1">
        <v>0.298678</v>
      </c>
      <c r="F299" s="1">
        <f>1305600*(10^-6)</f>
        <v>1.3055999999999999</v>
      </c>
      <c r="G299" s="1">
        <v>26</v>
      </c>
      <c r="H299" s="1">
        <v>13.1</v>
      </c>
    </row>
    <row r="300" spans="1:8">
      <c r="A300" s="1">
        <v>15</v>
      </c>
      <c r="B300" s="1" t="s">
        <v>844</v>
      </c>
      <c r="C300" s="1">
        <v>59.74</v>
      </c>
      <c r="D300" s="1">
        <v>303.17</v>
      </c>
      <c r="E300" s="1">
        <v>0.29396699999999998</v>
      </c>
      <c r="F300" s="1">
        <f>1881600*(10^-6)</f>
        <v>1.8815999999999999</v>
      </c>
      <c r="G300" s="1">
        <v>2</v>
      </c>
      <c r="H300" s="1">
        <v>11.47</v>
      </c>
    </row>
    <row r="301" spans="1:8">
      <c r="A301" s="1">
        <v>16</v>
      </c>
      <c r="B301" s="1" t="s">
        <v>845</v>
      </c>
      <c r="C301" s="1">
        <v>66.92</v>
      </c>
      <c r="D301" s="1">
        <v>305.95</v>
      </c>
      <c r="E301" s="1">
        <v>0.26938800000000002</v>
      </c>
      <c r="F301" s="1">
        <f>3686400*(10^-6)</f>
        <v>3.6863999999999999</v>
      </c>
      <c r="G301" s="1">
        <v>78</v>
      </c>
      <c r="H301" s="1">
        <v>12.77</v>
      </c>
    </row>
    <row r="302" spans="1:8">
      <c r="A302" s="1">
        <v>17</v>
      </c>
      <c r="B302" s="1" t="s">
        <v>846</v>
      </c>
      <c r="C302" s="1">
        <v>64.59</v>
      </c>
      <c r="D302" s="1">
        <v>300.3</v>
      </c>
      <c r="E302" s="1">
        <v>0.28649599999999997</v>
      </c>
      <c r="F302" s="1">
        <f>76800*(10^-6)</f>
        <v>7.6799999999999993E-2</v>
      </c>
      <c r="G302" s="1">
        <v>70</v>
      </c>
      <c r="H302" s="1">
        <v>12.33</v>
      </c>
    </row>
    <row r="303" spans="1:8">
      <c r="A303" s="1">
        <v>18</v>
      </c>
      <c r="B303" s="1" t="s">
        <v>847</v>
      </c>
      <c r="C303" s="1">
        <v>60.46</v>
      </c>
      <c r="D303" s="1">
        <v>304.33</v>
      </c>
      <c r="E303" s="1">
        <v>0.30839699999999998</v>
      </c>
      <c r="F303" s="1">
        <f>768000*(10^-6)</f>
        <v>0.76800000000000002</v>
      </c>
      <c r="G303" s="1">
        <v>4</v>
      </c>
      <c r="H303" s="1">
        <v>11.64</v>
      </c>
    </row>
    <row r="304" spans="1:8">
      <c r="A304" s="1">
        <v>19</v>
      </c>
      <c r="B304" s="1" t="s">
        <v>848</v>
      </c>
      <c r="C304" s="1">
        <v>82.3</v>
      </c>
      <c r="D304" s="1">
        <v>303.43</v>
      </c>
      <c r="E304" s="1">
        <v>0.26450699999999999</v>
      </c>
      <c r="F304" s="1">
        <f>499200*(10^-6)</f>
        <v>0.49919999999999998</v>
      </c>
      <c r="G304" s="1">
        <v>16</v>
      </c>
      <c r="H304" s="1">
        <v>15.72</v>
      </c>
    </row>
    <row r="305" spans="1:8">
      <c r="A305" s="1">
        <v>20</v>
      </c>
      <c r="B305" s="1" t="s">
        <v>849</v>
      </c>
      <c r="C305" s="1">
        <v>56.14</v>
      </c>
      <c r="D305" s="1">
        <v>303.7</v>
      </c>
      <c r="E305" s="1">
        <v>0.309479</v>
      </c>
      <c r="F305" s="1">
        <f>3840000*(10^-6)</f>
        <v>3.84</v>
      </c>
      <c r="G305" s="1">
        <v>38</v>
      </c>
      <c r="H305" s="1">
        <v>10.78</v>
      </c>
    </row>
    <row r="306" spans="1:8">
      <c r="A306" s="1">
        <v>21</v>
      </c>
      <c r="B306" s="1" t="s">
        <v>850</v>
      </c>
      <c r="C306" s="1">
        <v>51.03</v>
      </c>
      <c r="D306" s="1">
        <v>300.45999999999998</v>
      </c>
      <c r="E306" s="1">
        <v>0.35081800000000002</v>
      </c>
      <c r="F306" s="1">
        <f>230400*(10^-6)</f>
        <v>0.23039999999999999</v>
      </c>
      <c r="G306" s="1">
        <v>28</v>
      </c>
      <c r="H306" s="1">
        <v>9.68</v>
      </c>
    </row>
    <row r="307" spans="1:8">
      <c r="A307" s="1">
        <v>22</v>
      </c>
      <c r="B307" s="1" t="s">
        <v>851</v>
      </c>
      <c r="C307" s="1">
        <v>71.31</v>
      </c>
      <c r="D307" s="1">
        <v>299.2</v>
      </c>
      <c r="E307" s="1">
        <v>0.293765</v>
      </c>
      <c r="F307" s="1">
        <f>38400*(10^-6)</f>
        <v>3.8399999999999997E-2</v>
      </c>
      <c r="G307" s="1">
        <v>30</v>
      </c>
      <c r="H307" s="1">
        <v>13.65</v>
      </c>
    </row>
    <row r="308" spans="1:8">
      <c r="A308" s="1">
        <v>23</v>
      </c>
      <c r="B308" s="1" t="s">
        <v>852</v>
      </c>
      <c r="C308" s="1">
        <v>67.45</v>
      </c>
      <c r="D308" s="1">
        <v>300.31</v>
      </c>
      <c r="E308" s="1">
        <v>0.257048</v>
      </c>
      <c r="F308" s="1">
        <f>230400*(10^-6)</f>
        <v>0.23039999999999999</v>
      </c>
      <c r="G308" s="1">
        <v>36</v>
      </c>
      <c r="H308" s="1">
        <v>12.84</v>
      </c>
    </row>
    <row r="309" spans="1:8">
      <c r="A309" s="1">
        <v>24</v>
      </c>
      <c r="B309" s="1" t="s">
        <v>853</v>
      </c>
      <c r="C309" s="1">
        <v>63.06</v>
      </c>
      <c r="D309" s="1">
        <v>298.37</v>
      </c>
      <c r="E309" s="1">
        <v>0.29961500000000002</v>
      </c>
      <c r="F309" s="1">
        <f>1344000*(10^-6)</f>
        <v>1.3439999999999999</v>
      </c>
      <c r="G309" s="1">
        <v>76</v>
      </c>
      <c r="H309" s="1">
        <v>12</v>
      </c>
    </row>
    <row r="310" spans="1:8">
      <c r="A310" s="1">
        <v>25</v>
      </c>
      <c r="B310" s="1" t="s">
        <v>854</v>
      </c>
      <c r="C310" s="1">
        <v>66.38</v>
      </c>
      <c r="D310" s="1">
        <v>300.95</v>
      </c>
      <c r="E310" s="1">
        <v>0.29471900000000001</v>
      </c>
      <c r="F310" s="1">
        <f>230400*(10^-6)</f>
        <v>0.23039999999999999</v>
      </c>
      <c r="G310" s="1">
        <v>76</v>
      </c>
      <c r="H310" s="1">
        <v>12.71</v>
      </c>
    </row>
    <row r="311" spans="1:8">
      <c r="A311" s="1">
        <v>26</v>
      </c>
      <c r="B311" s="1" t="s">
        <v>855</v>
      </c>
      <c r="C311" s="1">
        <v>67.180000000000007</v>
      </c>
      <c r="D311" s="1">
        <v>305.67</v>
      </c>
      <c r="E311" s="1">
        <v>0.35243400000000003</v>
      </c>
      <c r="F311" s="1">
        <f>307200*(10^-6)</f>
        <v>0.30719999999999997</v>
      </c>
      <c r="G311" s="1">
        <v>68</v>
      </c>
      <c r="H311" s="1">
        <v>12.84</v>
      </c>
    </row>
    <row r="312" spans="1:8">
      <c r="A312" s="1">
        <v>27</v>
      </c>
      <c r="B312" s="1" t="s">
        <v>856</v>
      </c>
      <c r="C312" s="1">
        <v>61.19</v>
      </c>
      <c r="D312" s="1">
        <v>307.02</v>
      </c>
      <c r="E312" s="1">
        <v>0.35547299999999998</v>
      </c>
      <c r="F312" s="1">
        <f>4108800*(10^-6)</f>
        <v>4.1087999999999996</v>
      </c>
      <c r="G312" s="1">
        <v>64</v>
      </c>
      <c r="H312" s="1">
        <v>11.7</v>
      </c>
    </row>
    <row r="313" spans="1:8">
      <c r="A313" s="1">
        <v>28</v>
      </c>
      <c r="B313" s="1" t="s">
        <v>857</v>
      </c>
      <c r="C313" s="1">
        <v>70.89</v>
      </c>
      <c r="D313" s="1">
        <v>300.74</v>
      </c>
      <c r="E313" s="1">
        <v>0.29640100000000003</v>
      </c>
      <c r="F313" s="1">
        <f>806400*(10^-6)</f>
        <v>0.80640000000000001</v>
      </c>
      <c r="G313" s="1">
        <v>40</v>
      </c>
      <c r="H313" s="1">
        <v>13.53</v>
      </c>
    </row>
    <row r="314" spans="1:8">
      <c r="A314" s="1">
        <v>29</v>
      </c>
      <c r="B314" s="1" t="s">
        <v>858</v>
      </c>
      <c r="C314" s="1">
        <v>60.09</v>
      </c>
      <c r="D314" s="1">
        <v>306.86</v>
      </c>
      <c r="E314" s="1">
        <v>0.36715500000000001</v>
      </c>
      <c r="F314" s="1">
        <f>2419200*(10^-6)</f>
        <v>2.4192</v>
      </c>
      <c r="G314" s="1">
        <v>24</v>
      </c>
      <c r="H314" s="1">
        <v>11.44</v>
      </c>
    </row>
    <row r="315" spans="1:8">
      <c r="A315" s="1">
        <v>30</v>
      </c>
      <c r="B315" s="1" t="s">
        <v>859</v>
      </c>
      <c r="C315" s="1">
        <v>64.13</v>
      </c>
      <c r="D315" s="1" t="e">
        <f>-inf</f>
        <v>#NAME?</v>
      </c>
      <c r="E315" s="1">
        <v>0.29617399999999999</v>
      </c>
      <c r="F315" s="1">
        <f>0*(10^-6)</f>
        <v>0</v>
      </c>
      <c r="G315" s="1">
        <v>68</v>
      </c>
      <c r="H315" s="1">
        <v>12.21</v>
      </c>
    </row>
    <row r="316" spans="1:8">
      <c r="A316" s="1">
        <v>31</v>
      </c>
      <c r="B316" s="1" t="s">
        <v>860</v>
      </c>
      <c r="C316" s="1">
        <v>65.02</v>
      </c>
      <c r="D316" s="1">
        <v>304.68</v>
      </c>
      <c r="E316" s="1">
        <v>0.30666599999999999</v>
      </c>
      <c r="F316" s="1">
        <f>1152000*(10^-6)</f>
        <v>1.1519999999999999</v>
      </c>
      <c r="G316" s="1">
        <v>62</v>
      </c>
      <c r="H316" s="1">
        <v>12.41</v>
      </c>
    </row>
    <row r="317" spans="1:8">
      <c r="A317" s="1">
        <v>32</v>
      </c>
      <c r="B317" s="1" t="s">
        <v>861</v>
      </c>
      <c r="C317" s="1">
        <v>64.8</v>
      </c>
      <c r="D317" s="1">
        <v>302.82</v>
      </c>
      <c r="E317" s="1">
        <v>0.31946400000000003</v>
      </c>
      <c r="F317" s="1">
        <f>1190400*(10^-6)</f>
        <v>1.1903999999999999</v>
      </c>
      <c r="G317" s="1">
        <v>4</v>
      </c>
      <c r="H317" s="1">
        <v>12.36</v>
      </c>
    </row>
    <row r="318" spans="1:8">
      <c r="A318" s="1">
        <v>33</v>
      </c>
      <c r="B318" s="1" t="s">
        <v>862</v>
      </c>
      <c r="C318" s="1">
        <v>61.86</v>
      </c>
      <c r="D318" s="1">
        <v>305.38</v>
      </c>
      <c r="E318" s="1">
        <v>0.30771900000000002</v>
      </c>
      <c r="F318" s="1">
        <f>5107200*(10^-6)</f>
        <v>5.1071999999999997</v>
      </c>
      <c r="G318" s="1">
        <v>20</v>
      </c>
      <c r="H318" s="1">
        <v>11.83</v>
      </c>
    </row>
    <row r="319" spans="1:8">
      <c r="A319" s="1">
        <v>34</v>
      </c>
      <c r="B319" s="1" t="s">
        <v>863</v>
      </c>
      <c r="C319" s="1">
        <v>61.11</v>
      </c>
      <c r="D319" s="1">
        <v>301.99</v>
      </c>
      <c r="E319" s="1">
        <v>0.28475400000000001</v>
      </c>
      <c r="F319" s="1">
        <f>1766400*(10^-6)</f>
        <v>1.7664</v>
      </c>
      <c r="G319" s="1">
        <v>72</v>
      </c>
      <c r="H319" s="1">
        <v>11.7</v>
      </c>
    </row>
    <row r="320" spans="1:8">
      <c r="A320" s="1">
        <v>35</v>
      </c>
      <c r="B320" s="1" t="s">
        <v>864</v>
      </c>
      <c r="C320" s="1">
        <v>65.19</v>
      </c>
      <c r="D320" s="1">
        <v>298.88</v>
      </c>
      <c r="E320" s="1">
        <v>0.28925699999999999</v>
      </c>
      <c r="F320" s="1">
        <f>230400*(10^-6)</f>
        <v>0.23039999999999999</v>
      </c>
      <c r="G320" s="1">
        <v>20</v>
      </c>
      <c r="H320" s="1">
        <v>12.43</v>
      </c>
    </row>
    <row r="321" spans="1:8">
      <c r="A321" s="1">
        <v>36</v>
      </c>
      <c r="B321" s="1" t="s">
        <v>865</v>
      </c>
      <c r="C321" s="1">
        <v>65.38</v>
      </c>
      <c r="D321" s="1">
        <v>305.74</v>
      </c>
      <c r="E321" s="1">
        <v>0.26328000000000001</v>
      </c>
      <c r="F321" s="1">
        <f>4838400*(10^-6)</f>
        <v>4.8384</v>
      </c>
      <c r="G321" s="1">
        <v>40</v>
      </c>
      <c r="H321" s="1">
        <v>12.53</v>
      </c>
    </row>
    <row r="322" spans="1:8">
      <c r="A322" s="1">
        <v>37</v>
      </c>
      <c r="B322" s="1" t="s">
        <v>866</v>
      </c>
      <c r="C322" s="1">
        <v>68.56</v>
      </c>
      <c r="D322" s="1">
        <v>305.62</v>
      </c>
      <c r="E322" s="1">
        <v>0.30012699999999998</v>
      </c>
      <c r="F322" s="1">
        <f>1689600*(10^-6)</f>
        <v>1.6896</v>
      </c>
      <c r="G322" s="1">
        <v>34</v>
      </c>
      <c r="H322" s="1">
        <v>13.11</v>
      </c>
    </row>
    <row r="323" spans="1:8">
      <c r="A323" s="1">
        <v>38</v>
      </c>
      <c r="B323" s="1" t="s">
        <v>867</v>
      </c>
      <c r="C323" s="1">
        <v>60.26</v>
      </c>
      <c r="D323" s="1">
        <v>303.56</v>
      </c>
      <c r="E323" s="1">
        <v>0.34611900000000001</v>
      </c>
      <c r="F323" s="1">
        <f>76800*(10^-6)</f>
        <v>7.6799999999999993E-2</v>
      </c>
      <c r="G323" s="1">
        <v>64</v>
      </c>
      <c r="H323" s="1">
        <v>11.47</v>
      </c>
    </row>
    <row r="324" spans="1:8">
      <c r="A324" s="1">
        <v>39</v>
      </c>
      <c r="B324" s="1" t="s">
        <v>868</v>
      </c>
      <c r="C324" s="1">
        <v>64.94</v>
      </c>
      <c r="D324" s="1">
        <v>301.7</v>
      </c>
      <c r="E324" s="1">
        <v>0.327961</v>
      </c>
      <c r="F324" s="1">
        <f>384000*(10^-6)</f>
        <v>0.38400000000000001</v>
      </c>
      <c r="G324" s="1">
        <v>50</v>
      </c>
      <c r="H324" s="1">
        <v>12.39</v>
      </c>
    </row>
    <row r="325" spans="1:8">
      <c r="A325" s="1">
        <v>40</v>
      </c>
      <c r="B325" s="1" t="s">
        <v>869</v>
      </c>
      <c r="C325" s="1">
        <v>63.43</v>
      </c>
      <c r="D325" s="1">
        <v>300.56</v>
      </c>
      <c r="E325" s="1">
        <v>0.33499499999999999</v>
      </c>
      <c r="F325" s="1">
        <f>499200*(10^-6)</f>
        <v>0.49919999999999998</v>
      </c>
      <c r="G325" s="1">
        <v>60</v>
      </c>
      <c r="H325" s="1">
        <v>12.06</v>
      </c>
    </row>
    <row r="326" spans="1:8">
      <c r="A326" s="1">
        <v>41</v>
      </c>
      <c r="B326" s="1" t="s">
        <v>870</v>
      </c>
      <c r="C326" s="1">
        <v>71.64</v>
      </c>
      <c r="D326" s="1">
        <v>302.14999999999998</v>
      </c>
      <c r="E326" s="1">
        <v>0.26354100000000003</v>
      </c>
      <c r="F326" s="1">
        <f>192000*(10^-6)</f>
        <v>0.192</v>
      </c>
      <c r="G326" s="1">
        <v>54</v>
      </c>
      <c r="H326" s="1">
        <v>13.64</v>
      </c>
    </row>
    <row r="327" spans="1:8">
      <c r="A327" s="1">
        <v>42</v>
      </c>
      <c r="B327" s="1" t="s">
        <v>871</v>
      </c>
      <c r="C327" s="1">
        <v>61.87</v>
      </c>
      <c r="D327" s="1">
        <v>302.32</v>
      </c>
      <c r="E327" s="1">
        <v>0.28334100000000001</v>
      </c>
      <c r="F327" s="1">
        <f>883200*(10^-6)</f>
        <v>0.88319999999999999</v>
      </c>
      <c r="G327" s="1">
        <v>12</v>
      </c>
      <c r="H327" s="1">
        <v>11.89</v>
      </c>
    </row>
    <row r="328" spans="1:8">
      <c r="A328" s="1">
        <v>43</v>
      </c>
      <c r="B328" s="1" t="s">
        <v>872</v>
      </c>
      <c r="C328" s="1">
        <v>61.32</v>
      </c>
      <c r="D328" s="1">
        <v>304.13</v>
      </c>
      <c r="E328" s="1">
        <v>0.26963599999999999</v>
      </c>
      <c r="F328" s="1">
        <f>6259200*(10^-6)</f>
        <v>6.2591999999999999</v>
      </c>
      <c r="G328" s="1">
        <v>62</v>
      </c>
      <c r="H328" s="1">
        <v>11.87</v>
      </c>
    </row>
    <row r="329" spans="1:8">
      <c r="A329" s="1">
        <v>44</v>
      </c>
      <c r="B329" s="1" t="s">
        <v>873</v>
      </c>
      <c r="C329" s="1">
        <v>57.8</v>
      </c>
      <c r="D329" s="1">
        <v>303.14</v>
      </c>
      <c r="E329" s="1">
        <v>0.33573500000000001</v>
      </c>
      <c r="F329" s="1">
        <f>960000*(10^-6)</f>
        <v>0.96</v>
      </c>
      <c r="G329" s="1">
        <v>10</v>
      </c>
      <c r="H329" s="1">
        <v>11.04</v>
      </c>
    </row>
    <row r="330" spans="1:8">
      <c r="A330" s="1">
        <v>45</v>
      </c>
      <c r="B330" s="1" t="s">
        <v>874</v>
      </c>
      <c r="C330" s="1">
        <v>63.27</v>
      </c>
      <c r="D330" s="1">
        <v>305.33</v>
      </c>
      <c r="E330" s="1">
        <v>0.32872499999999999</v>
      </c>
      <c r="F330" s="1">
        <f>844800*(10^-6)</f>
        <v>0.8448</v>
      </c>
      <c r="G330" s="1">
        <v>58</v>
      </c>
      <c r="H330" s="1">
        <v>12.09</v>
      </c>
    </row>
    <row r="331" spans="1:8">
      <c r="A331" s="1">
        <v>46</v>
      </c>
      <c r="B331" s="1" t="s">
        <v>875</v>
      </c>
      <c r="C331" s="1">
        <v>63.05</v>
      </c>
      <c r="D331" s="1" t="e">
        <f>-inf</f>
        <v>#NAME?</v>
      </c>
      <c r="E331" s="1">
        <v>0.389123</v>
      </c>
      <c r="F331" s="1">
        <f>0*(10^-6)</f>
        <v>0</v>
      </c>
      <c r="G331" s="1">
        <v>60</v>
      </c>
      <c r="H331" s="1">
        <v>11.97</v>
      </c>
    </row>
    <row r="332" spans="1:8">
      <c r="A332" s="1">
        <v>47</v>
      </c>
      <c r="B332" s="1" t="s">
        <v>876</v>
      </c>
      <c r="C332" s="1">
        <v>63.09</v>
      </c>
      <c r="D332" s="1">
        <v>300.98</v>
      </c>
      <c r="E332" s="1">
        <v>0.31598300000000001</v>
      </c>
      <c r="F332" s="1">
        <f>230400*(10^-6)</f>
        <v>0.23039999999999999</v>
      </c>
      <c r="G332" s="1">
        <v>64</v>
      </c>
      <c r="H332" s="1">
        <v>12.08</v>
      </c>
    </row>
    <row r="333" spans="1:8">
      <c r="A333" s="1">
        <v>48</v>
      </c>
      <c r="B333" s="1" t="s">
        <v>877</v>
      </c>
      <c r="C333" s="1">
        <v>71.19</v>
      </c>
      <c r="D333" s="1">
        <v>307.83999999999997</v>
      </c>
      <c r="E333" s="1">
        <v>0.33519700000000002</v>
      </c>
      <c r="F333" s="1">
        <f>2995200*(10^-6)</f>
        <v>2.9952000000000001</v>
      </c>
      <c r="G333" s="1">
        <v>18</v>
      </c>
      <c r="H333" s="1">
        <v>13.61</v>
      </c>
    </row>
    <row r="334" spans="1:8">
      <c r="A334" s="1">
        <v>49</v>
      </c>
      <c r="B334" s="1" t="s">
        <v>878</v>
      </c>
      <c r="C334" s="1">
        <v>74.78</v>
      </c>
      <c r="D334" s="1">
        <v>304.52999999999997</v>
      </c>
      <c r="E334" s="1">
        <v>0.27307999999999999</v>
      </c>
      <c r="F334" s="1">
        <f>1459200*(10^-6)</f>
        <v>1.4591999999999998</v>
      </c>
      <c r="G334" s="1">
        <v>34</v>
      </c>
      <c r="H334" s="1">
        <v>14.46</v>
      </c>
    </row>
    <row r="335" spans="1:8">
      <c r="A335" s="1">
        <v>50</v>
      </c>
      <c r="B335" s="1" t="s">
        <v>879</v>
      </c>
      <c r="C335" s="1">
        <v>62.43</v>
      </c>
      <c r="D335" s="1">
        <v>303.66000000000003</v>
      </c>
      <c r="E335" s="1">
        <v>0.31713400000000003</v>
      </c>
      <c r="F335" s="1">
        <f>768000*(10^-6)</f>
        <v>0.76800000000000002</v>
      </c>
      <c r="G335" s="1">
        <v>66</v>
      </c>
      <c r="H335" s="1">
        <v>11.91</v>
      </c>
    </row>
    <row r="336" spans="1:8">
      <c r="B336" s="1" t="s">
        <v>19</v>
      </c>
      <c r="C336" s="1">
        <f>AVERAGE(C286:C335)</f>
        <v>64.625400000000013</v>
      </c>
      <c r="D336" s="1" t="e">
        <f t="shared" ref="D336:F336" si="23">AVERAGE(D286:D335)</f>
        <v>#NAME?</v>
      </c>
      <c r="E336" s="1">
        <f t="shared" si="23"/>
        <v>0.30897307999999996</v>
      </c>
      <c r="F336" s="1">
        <f t="shared" si="23"/>
        <v>1.4914560000000003</v>
      </c>
      <c r="H336" s="1">
        <f t="shared" ref="H336" si="24">AVERAGE(H286:H335)</f>
        <v>12.348199999999999</v>
      </c>
    </row>
    <row r="337" spans="1:8">
      <c r="B337" s="1" t="s">
        <v>20</v>
      </c>
      <c r="C337" s="1">
        <f>MIN(C285:C335)</f>
        <v>51.03</v>
      </c>
      <c r="D337" s="1" t="e">
        <f t="shared" ref="D337:F337" si="25">MIN(D285:D335)</f>
        <v>#NAME?</v>
      </c>
      <c r="E337" s="1">
        <f t="shared" si="25"/>
        <v>0.257048</v>
      </c>
      <c r="F337" s="1">
        <f t="shared" si="25"/>
        <v>0</v>
      </c>
      <c r="H337" s="1">
        <f t="shared" ref="H337" si="26">MIN(H285:H335)</f>
        <v>9.68</v>
      </c>
    </row>
    <row r="338" spans="1:8">
      <c r="B338" s="1" t="s">
        <v>3</v>
      </c>
      <c r="C338" s="1">
        <f>STDEV(C286:C335)</f>
        <v>5.1982961140929076</v>
      </c>
      <c r="D338" s="1" t="e">
        <f t="shared" ref="D338:E338" si="27">STDEV(D286:D335)</f>
        <v>#NAME?</v>
      </c>
      <c r="E338" s="1">
        <f t="shared" si="27"/>
        <v>3.0097820952951885E-2</v>
      </c>
      <c r="F338" s="1">
        <f>STDEV(F286:F335)</f>
        <v>1.6400058252957761</v>
      </c>
      <c r="H338" s="1">
        <f>STDEV(H286:H335)</f>
        <v>1.0021501170697236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1334</v>
      </c>
      <c r="C342" s="1">
        <v>56.12</v>
      </c>
      <c r="D342" s="1">
        <v>378.1</v>
      </c>
      <c r="E342" s="1">
        <v>0.33604000000000001</v>
      </c>
      <c r="F342" s="1">
        <v>0.19</v>
      </c>
      <c r="G342" s="1">
        <v>38</v>
      </c>
      <c r="H342" s="1">
        <v>10.7</v>
      </c>
    </row>
    <row r="343" spans="1:8">
      <c r="A343" s="1">
        <v>2</v>
      </c>
      <c r="B343" s="1" t="s">
        <v>1335</v>
      </c>
      <c r="C343" s="1">
        <v>52.63</v>
      </c>
      <c r="D343" s="1">
        <v>375.81</v>
      </c>
      <c r="E343" s="1">
        <v>0.34328799999999998</v>
      </c>
      <c r="F343" s="1">
        <v>0.38</v>
      </c>
      <c r="G343" s="1">
        <v>82</v>
      </c>
      <c r="H343" s="1">
        <v>10.01</v>
      </c>
    </row>
    <row r="344" spans="1:8">
      <c r="A344" s="1">
        <v>3</v>
      </c>
      <c r="B344" s="1" t="s">
        <v>1336</v>
      </c>
      <c r="C344" s="1">
        <v>61.31</v>
      </c>
      <c r="D344" s="1">
        <v>375.37</v>
      </c>
      <c r="E344" s="1">
        <v>0.305172</v>
      </c>
      <c r="F344" s="1">
        <v>0.69</v>
      </c>
      <c r="G344" s="1">
        <v>18</v>
      </c>
      <c r="H344" s="1">
        <v>11.68</v>
      </c>
    </row>
    <row r="345" spans="1:8">
      <c r="A345" s="1">
        <v>4</v>
      </c>
      <c r="B345" s="1" t="s">
        <v>1337</v>
      </c>
      <c r="C345" s="1">
        <v>51.23</v>
      </c>
      <c r="D345" s="1">
        <v>370.9</v>
      </c>
      <c r="E345" s="1">
        <v>0.29481200000000002</v>
      </c>
      <c r="F345" s="1">
        <v>0.12</v>
      </c>
      <c r="G345" s="1">
        <v>90</v>
      </c>
      <c r="H345" s="1">
        <v>9.75</v>
      </c>
    </row>
    <row r="346" spans="1:8">
      <c r="A346" s="1">
        <v>5</v>
      </c>
      <c r="B346" s="1" t="s">
        <v>1338</v>
      </c>
      <c r="C346" s="1">
        <v>59.1</v>
      </c>
      <c r="D346" s="1">
        <v>379.48</v>
      </c>
      <c r="E346" s="1">
        <v>0.25613000000000002</v>
      </c>
      <c r="F346" s="1">
        <v>5.34</v>
      </c>
      <c r="G346" s="1">
        <v>62</v>
      </c>
      <c r="H346" s="1">
        <v>11.3</v>
      </c>
    </row>
    <row r="347" spans="1:8">
      <c r="A347" s="1">
        <v>6</v>
      </c>
      <c r="B347" s="1" t="s">
        <v>1339</v>
      </c>
      <c r="C347" s="1">
        <v>53.16</v>
      </c>
      <c r="D347" s="1">
        <v>376.34</v>
      </c>
      <c r="E347" s="1">
        <v>0.29783500000000002</v>
      </c>
      <c r="F347" s="1">
        <v>0.42</v>
      </c>
      <c r="G347" s="1">
        <v>30</v>
      </c>
      <c r="H347" s="1">
        <v>10.14</v>
      </c>
    </row>
    <row r="348" spans="1:8">
      <c r="A348" s="1">
        <v>7</v>
      </c>
      <c r="B348" s="1" t="s">
        <v>1340</v>
      </c>
      <c r="C348" s="1">
        <v>54.5</v>
      </c>
      <c r="D348" s="1">
        <v>377.04</v>
      </c>
      <c r="E348" s="1">
        <v>0.313884</v>
      </c>
      <c r="F348" s="1">
        <v>0.27</v>
      </c>
      <c r="G348" s="1">
        <v>4</v>
      </c>
      <c r="H348" s="1">
        <v>10.37</v>
      </c>
    </row>
    <row r="349" spans="1:8">
      <c r="A349" s="1">
        <v>8</v>
      </c>
      <c r="B349" s="1" t="s">
        <v>1341</v>
      </c>
      <c r="C349" s="1">
        <v>49.08</v>
      </c>
      <c r="D349" s="1">
        <v>376.78</v>
      </c>
      <c r="E349" s="1">
        <v>0.32271499999999997</v>
      </c>
      <c r="F349" s="1">
        <v>1.69</v>
      </c>
      <c r="G349" s="1">
        <v>2</v>
      </c>
      <c r="H349" s="1">
        <v>9.35</v>
      </c>
    </row>
    <row r="350" spans="1:8">
      <c r="A350" s="1">
        <v>9</v>
      </c>
      <c r="B350" s="1" t="s">
        <v>1342</v>
      </c>
      <c r="C350" s="1">
        <v>54.35</v>
      </c>
      <c r="D350" s="1">
        <v>373.65</v>
      </c>
      <c r="E350" s="1">
        <v>0.29233100000000001</v>
      </c>
      <c r="F350" s="1">
        <v>0.15</v>
      </c>
      <c r="G350" s="1">
        <v>70</v>
      </c>
      <c r="H350" s="1">
        <v>10.41</v>
      </c>
    </row>
    <row r="351" spans="1:8">
      <c r="A351" s="1">
        <v>10</v>
      </c>
      <c r="B351" s="1" t="s">
        <v>1343</v>
      </c>
      <c r="C351" s="1">
        <v>57.41</v>
      </c>
      <c r="D351" s="1">
        <v>375.65</v>
      </c>
      <c r="E351" s="1">
        <v>0.286999</v>
      </c>
      <c r="F351" s="1">
        <v>0.73</v>
      </c>
      <c r="G351" s="1">
        <v>34</v>
      </c>
      <c r="H351" s="1">
        <v>10.97</v>
      </c>
    </row>
    <row r="352" spans="1:8">
      <c r="A352" s="1">
        <v>11</v>
      </c>
      <c r="B352" s="1" t="s">
        <v>1344</v>
      </c>
      <c r="C352" s="1">
        <v>54.38</v>
      </c>
      <c r="D352" s="1">
        <v>370.17</v>
      </c>
      <c r="E352" s="1">
        <v>0.28272900000000001</v>
      </c>
      <c r="F352" s="1">
        <v>0.04</v>
      </c>
      <c r="G352" s="1">
        <v>40</v>
      </c>
      <c r="H352" s="1">
        <v>10.37</v>
      </c>
    </row>
    <row r="353" spans="1:8">
      <c r="A353" s="1">
        <v>12</v>
      </c>
      <c r="B353" s="1" t="s">
        <v>1345</v>
      </c>
      <c r="C353" s="1">
        <v>54.82</v>
      </c>
      <c r="D353" s="1">
        <v>377.68</v>
      </c>
      <c r="E353" s="1">
        <v>0.32503700000000002</v>
      </c>
      <c r="F353" s="1">
        <v>1.65</v>
      </c>
      <c r="G353" s="1">
        <v>68</v>
      </c>
      <c r="H353" s="1">
        <v>10.47</v>
      </c>
    </row>
    <row r="354" spans="1:8">
      <c r="A354" s="1">
        <v>13</v>
      </c>
      <c r="B354" s="1" t="s">
        <v>1346</v>
      </c>
      <c r="C354" s="1">
        <v>58.56</v>
      </c>
      <c r="D354" s="1">
        <v>370.65</v>
      </c>
      <c r="E354" s="1">
        <v>0.24370700000000001</v>
      </c>
      <c r="F354" s="1">
        <v>0.27</v>
      </c>
      <c r="G354" s="1">
        <v>8</v>
      </c>
      <c r="H354" s="1">
        <v>11.15</v>
      </c>
    </row>
    <row r="355" spans="1:8">
      <c r="A355" s="1">
        <v>14</v>
      </c>
      <c r="B355" s="1" t="s">
        <v>1347</v>
      </c>
      <c r="C355" s="1">
        <v>63.21</v>
      </c>
      <c r="D355" s="1" t="e">
        <f>-inf</f>
        <v>#NAME?</v>
      </c>
      <c r="E355" s="1">
        <v>0.27984799999999999</v>
      </c>
      <c r="F355" s="1">
        <v>0</v>
      </c>
      <c r="G355" s="1">
        <v>44</v>
      </c>
      <c r="H355" s="1">
        <v>12.09</v>
      </c>
    </row>
    <row r="356" spans="1:8">
      <c r="A356" s="1">
        <v>15</v>
      </c>
      <c r="B356" s="1" t="s">
        <v>1348</v>
      </c>
      <c r="C356" s="1">
        <v>56.25</v>
      </c>
      <c r="D356" s="1">
        <v>376.21</v>
      </c>
      <c r="E356" s="1">
        <v>0.32101299999999999</v>
      </c>
      <c r="F356" s="1">
        <v>0.19</v>
      </c>
      <c r="G356" s="1">
        <v>74</v>
      </c>
      <c r="H356" s="1">
        <v>10.76</v>
      </c>
    </row>
    <row r="357" spans="1:8">
      <c r="A357" s="1">
        <v>16</v>
      </c>
      <c r="B357" s="1" t="s">
        <v>1349</v>
      </c>
      <c r="C357" s="1">
        <v>51.17</v>
      </c>
      <c r="D357" s="1">
        <v>377.93</v>
      </c>
      <c r="E357" s="1">
        <v>0.36362899999999998</v>
      </c>
      <c r="F357" s="1">
        <v>0.46</v>
      </c>
      <c r="G357" s="1">
        <v>44</v>
      </c>
      <c r="H357" s="1">
        <v>9.75</v>
      </c>
    </row>
    <row r="358" spans="1:8">
      <c r="A358" s="1">
        <v>17</v>
      </c>
      <c r="B358" s="1" t="s">
        <v>1350</v>
      </c>
      <c r="C358" s="1">
        <v>52.61</v>
      </c>
      <c r="D358" s="1">
        <v>374.01</v>
      </c>
      <c r="E358" s="1">
        <v>0.29132000000000002</v>
      </c>
      <c r="F358" s="1">
        <v>0.81</v>
      </c>
      <c r="G358" s="1">
        <v>82</v>
      </c>
      <c r="H358" s="1">
        <v>10.1</v>
      </c>
    </row>
    <row r="359" spans="1:8">
      <c r="A359" s="1">
        <v>18</v>
      </c>
      <c r="B359" s="1" t="s">
        <v>1351</v>
      </c>
      <c r="C359" s="1">
        <v>48.93</v>
      </c>
      <c r="D359" s="1">
        <v>375.01</v>
      </c>
      <c r="E359" s="1">
        <v>0.31400099999999997</v>
      </c>
      <c r="F359" s="1">
        <v>2.42</v>
      </c>
      <c r="G359" s="1">
        <v>90</v>
      </c>
      <c r="H359" s="1">
        <v>9.33</v>
      </c>
    </row>
    <row r="360" spans="1:8">
      <c r="A360" s="1">
        <v>19</v>
      </c>
      <c r="B360" s="1" t="s">
        <v>1352</v>
      </c>
      <c r="C360" s="1">
        <v>55.38</v>
      </c>
      <c r="D360" s="1">
        <v>369.31</v>
      </c>
      <c r="E360" s="1">
        <v>0.280115</v>
      </c>
      <c r="F360" s="1">
        <v>0.35</v>
      </c>
      <c r="G360" s="1">
        <v>90</v>
      </c>
      <c r="H360" s="1">
        <v>10.59</v>
      </c>
    </row>
    <row r="361" spans="1:8">
      <c r="A361" s="1">
        <v>20</v>
      </c>
      <c r="B361" s="1" t="s">
        <v>1353</v>
      </c>
      <c r="C361" s="1">
        <v>63.97</v>
      </c>
      <c r="D361" s="1">
        <v>375.42</v>
      </c>
      <c r="E361" s="1">
        <v>0.27165699999999998</v>
      </c>
      <c r="F361" s="1">
        <v>0.84</v>
      </c>
      <c r="G361" s="1">
        <v>46</v>
      </c>
      <c r="H361" s="1">
        <v>12.22</v>
      </c>
    </row>
    <row r="362" spans="1:8">
      <c r="A362" s="1">
        <v>21</v>
      </c>
      <c r="B362" s="1" t="s">
        <v>1354</v>
      </c>
      <c r="C362" s="1">
        <v>54.58</v>
      </c>
      <c r="D362" s="1">
        <v>377.38</v>
      </c>
      <c r="E362" s="1">
        <v>0.304589</v>
      </c>
      <c r="F362" s="1">
        <v>2.73</v>
      </c>
      <c r="G362" s="1">
        <v>64</v>
      </c>
      <c r="H362" s="1">
        <v>10.39</v>
      </c>
    </row>
    <row r="363" spans="1:8">
      <c r="A363" s="1">
        <v>22</v>
      </c>
      <c r="B363" s="1" t="s">
        <v>1355</v>
      </c>
      <c r="C363" s="1">
        <v>51.78</v>
      </c>
      <c r="D363" s="1">
        <v>375.29</v>
      </c>
      <c r="E363" s="1">
        <v>0.27993099999999999</v>
      </c>
      <c r="F363" s="1">
        <v>2.19</v>
      </c>
      <c r="G363" s="1">
        <v>64</v>
      </c>
      <c r="H363" s="1">
        <v>9.8699999999999992</v>
      </c>
    </row>
    <row r="364" spans="1:8">
      <c r="A364" s="1">
        <v>23</v>
      </c>
      <c r="B364" s="1" t="s">
        <v>1356</v>
      </c>
      <c r="C364" s="1">
        <v>48.79</v>
      </c>
      <c r="D364" s="1">
        <v>373.02</v>
      </c>
      <c r="E364" s="1">
        <v>0.31629699999999999</v>
      </c>
      <c r="F364" s="1">
        <v>0.31</v>
      </c>
      <c r="G364" s="1">
        <v>84</v>
      </c>
      <c r="H364" s="1">
        <v>9.3000000000000007</v>
      </c>
    </row>
    <row r="365" spans="1:8">
      <c r="A365" s="1">
        <v>24</v>
      </c>
      <c r="B365" s="1" t="s">
        <v>1357</v>
      </c>
      <c r="C365" s="1">
        <v>61.65</v>
      </c>
      <c r="D365" s="1">
        <v>374.76</v>
      </c>
      <c r="E365" s="1">
        <v>0.28478300000000001</v>
      </c>
      <c r="F365" s="1">
        <v>0.61</v>
      </c>
      <c r="G365" s="1">
        <v>72</v>
      </c>
      <c r="H365" s="1">
        <v>11.84</v>
      </c>
    </row>
    <row r="366" spans="1:8">
      <c r="A366" s="1">
        <v>25</v>
      </c>
      <c r="B366" s="1" t="s">
        <v>1358</v>
      </c>
      <c r="C366" s="1">
        <v>57.91</v>
      </c>
      <c r="D366" s="1">
        <v>381.06</v>
      </c>
      <c r="E366" s="1">
        <v>0.321019</v>
      </c>
      <c r="F366" s="1">
        <v>2.88</v>
      </c>
      <c r="G366" s="1">
        <v>84</v>
      </c>
      <c r="H366" s="1">
        <v>11.04</v>
      </c>
    </row>
    <row r="367" spans="1:8">
      <c r="A367" s="1">
        <v>26</v>
      </c>
      <c r="B367" s="1" t="s">
        <v>1359</v>
      </c>
      <c r="C367" s="1">
        <v>57.59</v>
      </c>
      <c r="D367" s="1">
        <v>379.72</v>
      </c>
      <c r="E367" s="1">
        <v>0.323959</v>
      </c>
      <c r="F367" s="1">
        <v>1.54</v>
      </c>
      <c r="G367" s="1">
        <v>88</v>
      </c>
      <c r="H367" s="1">
        <v>10.96</v>
      </c>
    </row>
    <row r="368" spans="1:8">
      <c r="A368" s="1">
        <v>27</v>
      </c>
      <c r="B368" s="1" t="s">
        <v>1360</v>
      </c>
      <c r="C368" s="1">
        <v>52.75</v>
      </c>
      <c r="D368" s="1">
        <v>366.04</v>
      </c>
      <c r="E368" s="1">
        <v>0.29900700000000002</v>
      </c>
      <c r="F368" s="1">
        <v>0.15</v>
      </c>
      <c r="G368" s="1">
        <v>22</v>
      </c>
      <c r="H368" s="1">
        <v>10.039999999999999</v>
      </c>
    </row>
    <row r="369" spans="1:8">
      <c r="A369" s="1">
        <v>28</v>
      </c>
      <c r="B369" s="1" t="s">
        <v>1361</v>
      </c>
      <c r="C369" s="1">
        <v>52.35</v>
      </c>
      <c r="D369" s="1">
        <v>372.53</v>
      </c>
      <c r="E369" s="1">
        <v>0.24171100000000001</v>
      </c>
      <c r="F369" s="1">
        <v>1.27</v>
      </c>
      <c r="G369" s="1">
        <v>30</v>
      </c>
      <c r="H369" s="1">
        <v>10.09</v>
      </c>
    </row>
    <row r="370" spans="1:8">
      <c r="A370" s="1">
        <v>29</v>
      </c>
      <c r="B370" s="1" t="s">
        <v>1362</v>
      </c>
      <c r="C370" s="1">
        <v>55.74</v>
      </c>
      <c r="D370" s="1">
        <v>379.29</v>
      </c>
      <c r="E370" s="1">
        <v>0.344999</v>
      </c>
      <c r="F370" s="1">
        <v>1.77</v>
      </c>
      <c r="G370" s="1">
        <v>84</v>
      </c>
      <c r="H370" s="1">
        <v>10.66</v>
      </c>
    </row>
    <row r="371" spans="1:8">
      <c r="A371" s="1">
        <v>30</v>
      </c>
      <c r="B371" s="1" t="s">
        <v>1363</v>
      </c>
      <c r="C371" s="1">
        <v>51.54</v>
      </c>
      <c r="D371" s="1">
        <v>377.2</v>
      </c>
      <c r="E371" s="1">
        <v>0.31566499999999997</v>
      </c>
      <c r="F371" s="1">
        <v>0.54</v>
      </c>
      <c r="G371" s="1">
        <v>68</v>
      </c>
      <c r="H371" s="1">
        <v>9.81</v>
      </c>
    </row>
    <row r="372" spans="1:8">
      <c r="A372" s="1">
        <v>31</v>
      </c>
      <c r="B372" s="1" t="s">
        <v>1364</v>
      </c>
      <c r="C372" s="1">
        <v>54.64</v>
      </c>
      <c r="D372" s="1">
        <v>375.51</v>
      </c>
      <c r="E372" s="1">
        <v>0.29904700000000001</v>
      </c>
      <c r="F372" s="1">
        <v>1.61</v>
      </c>
      <c r="G372" s="1">
        <v>88</v>
      </c>
      <c r="H372" s="1">
        <v>10.46</v>
      </c>
    </row>
    <row r="373" spans="1:8">
      <c r="A373" s="1">
        <v>32</v>
      </c>
      <c r="B373" s="1" t="s">
        <v>1365</v>
      </c>
      <c r="C373" s="1">
        <v>60.37</v>
      </c>
      <c r="D373" s="1">
        <v>368.53</v>
      </c>
      <c r="E373" s="1">
        <v>0.28142600000000001</v>
      </c>
      <c r="F373" s="1">
        <v>0.04</v>
      </c>
      <c r="G373" s="1">
        <v>18</v>
      </c>
      <c r="H373" s="1">
        <v>11.51</v>
      </c>
    </row>
    <row r="374" spans="1:8">
      <c r="A374" s="1">
        <v>33</v>
      </c>
      <c r="B374" s="1" t="s">
        <v>1366</v>
      </c>
      <c r="C374" s="1">
        <v>59.24</v>
      </c>
      <c r="D374" s="1">
        <v>380.18</v>
      </c>
      <c r="E374" s="1">
        <v>0.31133499999999997</v>
      </c>
      <c r="F374" s="1">
        <v>2.0699999999999998</v>
      </c>
      <c r="G374" s="1">
        <v>72</v>
      </c>
      <c r="H374" s="1">
        <v>11.3</v>
      </c>
    </row>
    <row r="375" spans="1:8">
      <c r="A375" s="1">
        <v>34</v>
      </c>
      <c r="B375" s="1" t="s">
        <v>1367</v>
      </c>
      <c r="C375" s="1">
        <v>51.86</v>
      </c>
      <c r="D375" s="1">
        <v>374.96</v>
      </c>
      <c r="E375" s="1">
        <v>0.31512800000000002</v>
      </c>
      <c r="F375" s="1">
        <v>0.27</v>
      </c>
      <c r="G375" s="1">
        <v>54</v>
      </c>
      <c r="H375" s="1">
        <v>9.8800000000000008</v>
      </c>
    </row>
    <row r="376" spans="1:8">
      <c r="A376" s="1">
        <v>35</v>
      </c>
      <c r="B376" s="1" t="s">
        <v>1368</v>
      </c>
      <c r="C376" s="1">
        <v>54.31</v>
      </c>
      <c r="D376" s="1">
        <v>373.5</v>
      </c>
      <c r="E376" s="1">
        <v>0.27845300000000001</v>
      </c>
      <c r="F376" s="1">
        <v>0.46</v>
      </c>
      <c r="G376" s="1">
        <v>58</v>
      </c>
      <c r="H376" s="1">
        <v>10.35</v>
      </c>
    </row>
    <row r="377" spans="1:8">
      <c r="A377" s="1">
        <v>36</v>
      </c>
      <c r="B377" s="1" t="s">
        <v>1369</v>
      </c>
      <c r="C377" s="1">
        <v>51.7</v>
      </c>
      <c r="D377" s="1">
        <v>377</v>
      </c>
      <c r="E377" s="1">
        <v>0.32853500000000002</v>
      </c>
      <c r="F377" s="1">
        <v>0.12</v>
      </c>
      <c r="G377" s="1">
        <v>50</v>
      </c>
      <c r="H377" s="1">
        <v>9.86</v>
      </c>
    </row>
    <row r="378" spans="1:8">
      <c r="A378" s="1">
        <v>37</v>
      </c>
      <c r="B378" s="1" t="s">
        <v>1370</v>
      </c>
      <c r="C378" s="1">
        <v>56.31</v>
      </c>
      <c r="D378" s="1">
        <v>381.03</v>
      </c>
      <c r="E378" s="1">
        <v>0.32054300000000002</v>
      </c>
      <c r="F378" s="1">
        <v>0.57999999999999996</v>
      </c>
      <c r="G378" s="1">
        <v>68</v>
      </c>
      <c r="H378" s="1">
        <v>10.73</v>
      </c>
    </row>
    <row r="379" spans="1:8">
      <c r="A379" s="1">
        <v>38</v>
      </c>
      <c r="B379" s="1" t="s">
        <v>1371</v>
      </c>
      <c r="C379" s="1">
        <v>60.34</v>
      </c>
      <c r="D379" s="1">
        <v>377.99</v>
      </c>
      <c r="E379" s="1">
        <v>0.28806300000000001</v>
      </c>
      <c r="F379" s="1">
        <v>1.1499999999999999</v>
      </c>
      <c r="G379" s="1">
        <v>72</v>
      </c>
      <c r="H379" s="1">
        <v>11.53</v>
      </c>
    </row>
    <row r="380" spans="1:8">
      <c r="A380" s="1">
        <v>39</v>
      </c>
      <c r="B380" s="1" t="s">
        <v>1372</v>
      </c>
      <c r="C380" s="1">
        <v>51.02</v>
      </c>
      <c r="D380" s="1">
        <v>376.19</v>
      </c>
      <c r="E380" s="1">
        <v>0.30063000000000001</v>
      </c>
      <c r="F380" s="1">
        <v>0.46</v>
      </c>
      <c r="G380" s="1">
        <v>28</v>
      </c>
      <c r="H380" s="1">
        <v>9.7799999999999994</v>
      </c>
    </row>
    <row r="381" spans="1:8">
      <c r="A381" s="1">
        <v>40</v>
      </c>
      <c r="B381" s="1" t="s">
        <v>1373</v>
      </c>
      <c r="C381" s="1">
        <v>52.08</v>
      </c>
      <c r="D381" s="1">
        <v>376.16</v>
      </c>
      <c r="E381" s="1">
        <v>0.32844099999999998</v>
      </c>
      <c r="F381" s="1">
        <v>0.65</v>
      </c>
      <c r="G381" s="1">
        <v>12</v>
      </c>
      <c r="H381" s="1">
        <v>9.94</v>
      </c>
    </row>
    <row r="382" spans="1:8">
      <c r="A382" s="1">
        <v>41</v>
      </c>
      <c r="B382" s="1" t="s">
        <v>1374</v>
      </c>
      <c r="C382" s="1">
        <v>50.17</v>
      </c>
      <c r="D382" s="1">
        <v>374.97</v>
      </c>
      <c r="E382" s="1">
        <v>0.33010200000000001</v>
      </c>
      <c r="F382" s="1">
        <v>0.15</v>
      </c>
      <c r="G382" s="1">
        <v>62</v>
      </c>
      <c r="H382" s="1">
        <v>9.5399999999999991</v>
      </c>
    </row>
    <row r="383" spans="1:8">
      <c r="A383" s="1">
        <v>42</v>
      </c>
      <c r="B383" s="1" t="s">
        <v>1375</v>
      </c>
      <c r="C383" s="1">
        <v>56.58</v>
      </c>
      <c r="D383" s="1">
        <v>376.49</v>
      </c>
      <c r="E383" s="1">
        <v>0.26522400000000002</v>
      </c>
      <c r="F383" s="1">
        <v>0.54</v>
      </c>
      <c r="G383" s="1">
        <v>68</v>
      </c>
      <c r="H383" s="1">
        <v>10.8</v>
      </c>
    </row>
    <row r="384" spans="1:8">
      <c r="A384" s="1">
        <v>43</v>
      </c>
      <c r="B384" s="1" t="s">
        <v>1376</v>
      </c>
      <c r="C384" s="1">
        <v>54.84</v>
      </c>
      <c r="D384" s="1">
        <v>370.38</v>
      </c>
      <c r="E384" s="1">
        <v>0.33502599999999999</v>
      </c>
      <c r="F384" s="1">
        <v>0.04</v>
      </c>
      <c r="G384" s="1">
        <v>22</v>
      </c>
      <c r="H384" s="1">
        <v>10.43</v>
      </c>
    </row>
    <row r="385" spans="1:8">
      <c r="A385" s="1">
        <v>44</v>
      </c>
      <c r="B385" s="1" t="s">
        <v>1377</v>
      </c>
      <c r="C385" s="1">
        <v>56.79</v>
      </c>
      <c r="D385" s="1">
        <v>379.89</v>
      </c>
      <c r="E385" s="1">
        <v>0.344887</v>
      </c>
      <c r="F385" s="1">
        <v>3.38</v>
      </c>
      <c r="G385" s="1">
        <v>10</v>
      </c>
      <c r="H385" s="1">
        <v>10.88</v>
      </c>
    </row>
    <row r="386" spans="1:8">
      <c r="A386" s="1">
        <v>45</v>
      </c>
      <c r="B386" s="1" t="s">
        <v>1378</v>
      </c>
      <c r="C386" s="1">
        <v>53.24</v>
      </c>
      <c r="D386" s="1">
        <v>379.37</v>
      </c>
      <c r="E386" s="1">
        <v>0.35058699999999998</v>
      </c>
      <c r="F386" s="1">
        <v>1.92</v>
      </c>
      <c r="G386" s="1">
        <v>68</v>
      </c>
      <c r="H386" s="1">
        <v>10.11</v>
      </c>
    </row>
    <row r="387" spans="1:8">
      <c r="A387" s="1">
        <v>46</v>
      </c>
      <c r="B387" s="1" t="s">
        <v>1379</v>
      </c>
      <c r="C387" s="1">
        <v>58.68</v>
      </c>
      <c r="D387" s="1">
        <v>372.06</v>
      </c>
      <c r="E387" s="1">
        <v>0.26869399999999999</v>
      </c>
      <c r="F387" s="1">
        <v>0.19</v>
      </c>
      <c r="G387" s="1">
        <v>46</v>
      </c>
      <c r="H387" s="1">
        <v>11.19</v>
      </c>
    </row>
    <row r="388" spans="1:8">
      <c r="A388" s="1">
        <v>47</v>
      </c>
      <c r="B388" s="1" t="s">
        <v>1380</v>
      </c>
      <c r="C388" s="1">
        <v>57.81</v>
      </c>
      <c r="D388" s="1">
        <v>374.58</v>
      </c>
      <c r="E388" s="1">
        <v>0.295186</v>
      </c>
      <c r="F388" s="1">
        <v>0.12</v>
      </c>
      <c r="G388" s="1">
        <v>0</v>
      </c>
      <c r="H388" s="1">
        <v>11</v>
      </c>
    </row>
    <row r="389" spans="1:8">
      <c r="A389" s="1">
        <v>48</v>
      </c>
      <c r="B389" s="1" t="s">
        <v>1381</v>
      </c>
      <c r="C389" s="1">
        <v>61.43</v>
      </c>
      <c r="D389" s="1">
        <v>374.23</v>
      </c>
      <c r="E389" s="1">
        <v>0.26793699999999998</v>
      </c>
      <c r="F389" s="1">
        <v>0.31</v>
      </c>
      <c r="G389" s="1">
        <v>50</v>
      </c>
      <c r="H389" s="1">
        <v>11.69</v>
      </c>
    </row>
    <row r="390" spans="1:8">
      <c r="A390" s="1">
        <v>49</v>
      </c>
      <c r="B390" s="1" t="s">
        <v>1382</v>
      </c>
      <c r="C390" s="1">
        <v>52.76</v>
      </c>
      <c r="D390" s="1">
        <v>372.59</v>
      </c>
      <c r="E390" s="1">
        <v>0.32100899999999999</v>
      </c>
      <c r="F390" s="1">
        <v>0.19</v>
      </c>
      <c r="G390" s="1">
        <v>64</v>
      </c>
      <c r="H390" s="1">
        <v>10.050000000000001</v>
      </c>
    </row>
    <row r="391" spans="1:8">
      <c r="A391" s="1">
        <v>50</v>
      </c>
      <c r="B391" s="1" t="s">
        <v>1383</v>
      </c>
      <c r="C391" s="1">
        <v>53.63</v>
      </c>
      <c r="D391" s="1">
        <v>373.53</v>
      </c>
      <c r="E391" s="1">
        <v>0.28514</v>
      </c>
      <c r="F391" s="1">
        <v>0.77</v>
      </c>
      <c r="G391" s="1">
        <v>4</v>
      </c>
      <c r="H391" s="1">
        <v>10.27</v>
      </c>
    </row>
    <row r="392" spans="1:8">
      <c r="B392" s="1" t="s">
        <v>19</v>
      </c>
      <c r="C392" s="1">
        <f>AVERAGE(C342:C391)</f>
        <v>55.212999999999994</v>
      </c>
      <c r="D392" s="1" t="e">
        <f t="shared" ref="D392:F392" si="28">AVERAGE(D342:D391)</f>
        <v>#NAME?</v>
      </c>
      <c r="E392" s="1">
        <f t="shared" si="28"/>
        <v>0.30339229999999995</v>
      </c>
      <c r="F392" s="1">
        <f t="shared" si="28"/>
        <v>0.92039999999999988</v>
      </c>
      <c r="H392" s="1">
        <f t="shared" ref="H392" si="29">AVERAGE(H342:H391)</f>
        <v>10.536199999999999</v>
      </c>
    </row>
    <row r="393" spans="1:8">
      <c r="B393" s="1" t="s">
        <v>20</v>
      </c>
      <c r="C393" s="1">
        <f>MIN(C341:C391)</f>
        <v>48.79</v>
      </c>
      <c r="D393" s="1" t="e">
        <f t="shared" ref="D393:F393" si="30">MIN(D341:D391)</f>
        <v>#NAME?</v>
      </c>
      <c r="E393" s="1">
        <f t="shared" si="30"/>
        <v>0.24171100000000001</v>
      </c>
      <c r="F393" s="1">
        <f t="shared" si="30"/>
        <v>0</v>
      </c>
      <c r="H393" s="1">
        <f t="shared" ref="H393" si="31">MIN(H341:H391)</f>
        <v>9.3000000000000007</v>
      </c>
    </row>
    <row r="394" spans="1:8">
      <c r="B394" s="1" t="s">
        <v>3</v>
      </c>
      <c r="C394" s="1">
        <f>STDEV(C342:C391)</f>
        <v>3.7741149793763862</v>
      </c>
      <c r="D394" s="1" t="e">
        <f t="shared" ref="D394:E394" si="32">STDEV(D342:D391)</f>
        <v>#NAME?</v>
      </c>
      <c r="E394" s="1">
        <f t="shared" si="32"/>
        <v>2.7681954242865792E-2</v>
      </c>
      <c r="F394" s="1">
        <f>STDEV(F342:F391)</f>
        <v>1.0593759425978591</v>
      </c>
      <c r="H394" s="1">
        <f>STDEV(H342:H391)</f>
        <v>0.72513444214410872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45"/>
  <sheetViews>
    <sheetView topLeftCell="A317" zoomScale="60" zoomScaleNormal="60" workbookViewId="0">
      <selection activeCell="H325" sqref="H325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2.6640625" style="1" customWidth="1"/>
    <col min="9" max="10" width="10.109375" style="1" bestFit="1" customWidth="1"/>
    <col min="11" max="11" width="8.88671875" style="1"/>
    <col min="12" max="12" width="19.33203125" style="1" customWidth="1"/>
    <col min="13" max="16384" width="8.88671875" style="1"/>
  </cols>
  <sheetData>
    <row r="1" spans="1:8" ht="14.4" customHeight="1">
      <c r="B1" s="25" t="s">
        <v>18</v>
      </c>
      <c r="C1" s="25"/>
      <c r="D1" s="25"/>
    </row>
    <row r="2" spans="1:8" ht="14.4" customHeight="1">
      <c r="B2" s="25"/>
      <c r="C2" s="25"/>
      <c r="D2" s="25"/>
    </row>
    <row r="4" spans="1:8">
      <c r="H4" s="2" t="s">
        <v>1435</v>
      </c>
    </row>
    <row r="5" spans="1:8" ht="18">
      <c r="A5" s="2" t="s">
        <v>7</v>
      </c>
      <c r="B5" s="3" t="s">
        <v>0</v>
      </c>
      <c r="C5" s="2" t="s">
        <v>4</v>
      </c>
      <c r="D5" s="2" t="s">
        <v>322</v>
      </c>
      <c r="E5" s="2" t="s">
        <v>321</v>
      </c>
      <c r="F5" s="2" t="s">
        <v>324</v>
      </c>
      <c r="G5" s="2" t="s">
        <v>323</v>
      </c>
      <c r="H5" s="2" t="s">
        <v>1436</v>
      </c>
    </row>
    <row r="6" spans="1:8">
      <c r="A6" s="1">
        <v>1</v>
      </c>
      <c r="B6" s="1" t="s">
        <v>1032</v>
      </c>
      <c r="C6" s="1">
        <v>102.28</v>
      </c>
      <c r="D6" s="1">
        <v>16.02</v>
      </c>
      <c r="E6" s="1">
        <v>0.49997599999999998</v>
      </c>
      <c r="F6" s="1">
        <f>101568000*(10^-6)</f>
        <v>101.568</v>
      </c>
      <c r="G6" s="1">
        <v>2</v>
      </c>
      <c r="H6" s="1">
        <v>19.309999999999999</v>
      </c>
    </row>
    <row r="7" spans="1:8">
      <c r="A7" s="1">
        <v>2</v>
      </c>
      <c r="B7" s="1" t="s">
        <v>1033</v>
      </c>
      <c r="C7" s="1">
        <v>134.97999999999999</v>
      </c>
      <c r="D7" s="1">
        <v>16.23</v>
      </c>
      <c r="E7" s="1">
        <v>0.47206900000000002</v>
      </c>
      <c r="F7" s="1">
        <f>102144000*(10^-6)</f>
        <v>102.14399999999999</v>
      </c>
      <c r="G7" s="1">
        <v>0</v>
      </c>
      <c r="H7" s="1">
        <v>25.65</v>
      </c>
    </row>
    <row r="8" spans="1:8">
      <c r="A8" s="1">
        <v>3</v>
      </c>
      <c r="B8" s="1" t="s">
        <v>1034</v>
      </c>
      <c r="C8" s="1">
        <v>152.16</v>
      </c>
      <c r="D8" s="1">
        <v>16.36</v>
      </c>
      <c r="E8" s="1">
        <v>0.49199300000000001</v>
      </c>
      <c r="F8" s="1">
        <f>132748800*(10^-6)</f>
        <v>132.74879999999999</v>
      </c>
      <c r="G8" s="1">
        <v>0</v>
      </c>
      <c r="H8" s="1">
        <v>29</v>
      </c>
    </row>
    <row r="9" spans="1:8">
      <c r="A9" s="1">
        <v>4</v>
      </c>
      <c r="B9" s="1" t="s">
        <v>1035</v>
      </c>
      <c r="C9" s="1">
        <v>168.19</v>
      </c>
      <c r="D9" s="1">
        <v>16.45</v>
      </c>
      <c r="E9" s="1">
        <v>0.5</v>
      </c>
      <c r="F9" s="1">
        <f>168038400*(10^-6)</f>
        <v>168.0384</v>
      </c>
      <c r="G9" s="1">
        <v>2</v>
      </c>
      <c r="H9" s="1">
        <v>32.200000000000003</v>
      </c>
    </row>
    <row r="10" spans="1:8">
      <c r="A10" s="1">
        <v>5</v>
      </c>
      <c r="B10" s="1" t="s">
        <v>1036</v>
      </c>
      <c r="C10" s="1">
        <v>101.57</v>
      </c>
      <c r="D10" s="1">
        <v>16.010000000000002</v>
      </c>
      <c r="E10" s="1">
        <v>0.5</v>
      </c>
      <c r="F10" s="1">
        <f>101491200*(10^-6)</f>
        <v>101.49119999999999</v>
      </c>
      <c r="G10" s="1">
        <v>2</v>
      </c>
      <c r="H10" s="1">
        <v>19.309999999999999</v>
      </c>
    </row>
    <row r="11" spans="1:8">
      <c r="A11" s="1">
        <v>6</v>
      </c>
      <c r="B11" s="1" t="s">
        <v>1037</v>
      </c>
      <c r="C11" s="1">
        <v>170.63</v>
      </c>
      <c r="D11" s="1">
        <v>16.440000000000001</v>
      </c>
      <c r="E11" s="1">
        <v>0.47807899999999998</v>
      </c>
      <c r="F11" s="1">
        <f>134092800*(10^-6)</f>
        <v>134.09279999999998</v>
      </c>
      <c r="G11" s="1">
        <v>2</v>
      </c>
      <c r="H11" s="1">
        <v>33.159999999999997</v>
      </c>
    </row>
    <row r="12" spans="1:8">
      <c r="A12" s="1">
        <v>7</v>
      </c>
      <c r="B12" s="1" t="s">
        <v>1038</v>
      </c>
      <c r="C12" s="1">
        <v>135.69</v>
      </c>
      <c r="D12" s="1">
        <v>16.239999999999998</v>
      </c>
      <c r="E12" s="1">
        <v>0.47070600000000001</v>
      </c>
      <c r="F12" s="1">
        <f>101836800*(10^-6)</f>
        <v>101.8368</v>
      </c>
      <c r="G12" s="1">
        <v>0</v>
      </c>
      <c r="H12" s="1">
        <v>25.82</v>
      </c>
    </row>
    <row r="13" spans="1:8">
      <c r="A13" s="1">
        <v>8</v>
      </c>
      <c r="B13" s="1" t="s">
        <v>1039</v>
      </c>
      <c r="C13" s="1">
        <v>102.22</v>
      </c>
      <c r="D13" s="1">
        <v>16.02</v>
      </c>
      <c r="E13" s="1">
        <v>0.49999900000000003</v>
      </c>
      <c r="F13" s="1">
        <f>102105600*(10^-6)</f>
        <v>102.1056</v>
      </c>
      <c r="G13" s="1">
        <v>0</v>
      </c>
      <c r="H13" s="1">
        <v>19.34</v>
      </c>
    </row>
    <row r="14" spans="1:8">
      <c r="A14" s="1">
        <v>9</v>
      </c>
      <c r="B14" s="1" t="s">
        <v>1040</v>
      </c>
      <c r="C14" s="1">
        <v>117.43</v>
      </c>
      <c r="D14" s="1">
        <v>16.13</v>
      </c>
      <c r="E14" s="1">
        <v>0.49121300000000001</v>
      </c>
      <c r="F14" s="1">
        <f>101721600*(10^-6)</f>
        <v>101.7216</v>
      </c>
      <c r="G14" s="1">
        <v>0</v>
      </c>
      <c r="H14" s="1">
        <v>22.37</v>
      </c>
    </row>
    <row r="15" spans="1:8">
      <c r="A15" s="1">
        <v>10</v>
      </c>
      <c r="B15" s="1" t="s">
        <v>1041</v>
      </c>
      <c r="C15" s="1">
        <v>102.16</v>
      </c>
      <c r="D15" s="1">
        <v>16.02</v>
      </c>
      <c r="E15" s="1">
        <v>0.49999399999999999</v>
      </c>
      <c r="F15" s="1">
        <f>101798400*(10^-6)</f>
        <v>101.7984</v>
      </c>
      <c r="G15" s="1">
        <v>0</v>
      </c>
      <c r="H15" s="1">
        <v>19.350000000000001</v>
      </c>
    </row>
    <row r="16" spans="1:8">
      <c r="A16" s="1">
        <v>11</v>
      </c>
      <c r="B16" s="1" t="s">
        <v>1042</v>
      </c>
      <c r="C16" s="1">
        <v>117.35</v>
      </c>
      <c r="D16" s="1">
        <v>16.13</v>
      </c>
      <c r="E16" s="1">
        <v>0.49136999999999997</v>
      </c>
      <c r="F16" s="1">
        <f>101798400*(10^-6)</f>
        <v>101.7984</v>
      </c>
      <c r="G16" s="1">
        <v>0</v>
      </c>
      <c r="H16" s="1">
        <v>22.34</v>
      </c>
    </row>
    <row r="17" spans="1:8">
      <c r="A17" s="1">
        <v>12</v>
      </c>
      <c r="B17" s="1" t="s">
        <v>1043</v>
      </c>
      <c r="C17" s="1">
        <v>117.35</v>
      </c>
      <c r="D17" s="1">
        <v>16.13</v>
      </c>
      <c r="E17" s="1">
        <v>0.49136999999999997</v>
      </c>
      <c r="F17" s="1">
        <f>101798400*(10^-6)</f>
        <v>101.7984</v>
      </c>
      <c r="G17" s="1">
        <v>0</v>
      </c>
      <c r="H17" s="1">
        <v>22.34</v>
      </c>
    </row>
    <row r="18" spans="1:8">
      <c r="A18" s="1">
        <v>13</v>
      </c>
      <c r="B18" s="1" t="s">
        <v>1044</v>
      </c>
      <c r="C18" s="1">
        <v>154.08000000000001</v>
      </c>
      <c r="D18" s="1">
        <v>16.32</v>
      </c>
      <c r="E18" s="1">
        <v>0.44912299999999999</v>
      </c>
      <c r="F18" s="1">
        <f>102220800*(10^-6)</f>
        <v>102.2208</v>
      </c>
      <c r="G18" s="1">
        <v>2</v>
      </c>
      <c r="H18" s="1">
        <v>29.65</v>
      </c>
    </row>
    <row r="19" spans="1:8">
      <c r="A19" s="1">
        <v>14</v>
      </c>
      <c r="B19" s="1" t="s">
        <v>1045</v>
      </c>
      <c r="C19" s="1">
        <v>183.9</v>
      </c>
      <c r="D19" s="1">
        <v>16.53</v>
      </c>
      <c r="E19" s="1">
        <v>0.49732799999999999</v>
      </c>
      <c r="F19" s="1">
        <f>170419200*(10^-6)</f>
        <v>170.41919999999999</v>
      </c>
      <c r="G19" s="1">
        <v>0</v>
      </c>
      <c r="H19" s="1">
        <v>36.93</v>
      </c>
    </row>
    <row r="20" spans="1:8">
      <c r="A20" s="1">
        <v>15</v>
      </c>
      <c r="B20" s="1" t="s">
        <v>1046</v>
      </c>
      <c r="C20" s="1">
        <v>151.13999999999999</v>
      </c>
      <c r="D20" s="1">
        <v>16.309999999999999</v>
      </c>
      <c r="E20" s="1">
        <v>0.45197599999999999</v>
      </c>
      <c r="F20" s="1">
        <f>101875200*(10^-6)</f>
        <v>101.87519999999999</v>
      </c>
      <c r="G20" s="1">
        <v>2</v>
      </c>
      <c r="H20" s="1">
        <v>30.71</v>
      </c>
    </row>
    <row r="21" spans="1:8">
      <c r="A21" s="1">
        <v>16</v>
      </c>
      <c r="B21" s="1" t="s">
        <v>1047</v>
      </c>
      <c r="C21" s="1">
        <v>151.35</v>
      </c>
      <c r="D21" s="1">
        <v>16.350000000000001</v>
      </c>
      <c r="E21" s="1">
        <v>0.49222100000000002</v>
      </c>
      <c r="F21" s="1">
        <f>132326400*(10^-6)</f>
        <v>132.32640000000001</v>
      </c>
      <c r="G21" s="1">
        <v>2</v>
      </c>
      <c r="H21" s="1">
        <v>29.52</v>
      </c>
    </row>
    <row r="22" spans="1:8">
      <c r="A22" s="1">
        <v>17</v>
      </c>
      <c r="B22" s="1" t="s">
        <v>1048</v>
      </c>
      <c r="C22" s="1">
        <v>117.56</v>
      </c>
      <c r="D22" s="1">
        <v>16.13</v>
      </c>
      <c r="E22" s="1">
        <v>0.49043700000000001</v>
      </c>
      <c r="F22" s="1">
        <f>101145600*(10^-6)</f>
        <v>101.1456</v>
      </c>
      <c r="G22" s="1">
        <v>2</v>
      </c>
      <c r="H22" s="1">
        <v>22.35</v>
      </c>
    </row>
    <row r="23" spans="1:8">
      <c r="A23" s="1">
        <v>18</v>
      </c>
      <c r="B23" s="1" t="s">
        <v>1049</v>
      </c>
      <c r="C23" s="1">
        <v>116.76</v>
      </c>
      <c r="D23" s="1">
        <v>16.13</v>
      </c>
      <c r="E23" s="1">
        <v>0.49083399999999999</v>
      </c>
      <c r="F23" s="1">
        <f>100800000*(10^-6)</f>
        <v>100.8</v>
      </c>
      <c r="G23" s="1">
        <v>2</v>
      </c>
      <c r="H23" s="1">
        <v>22.35</v>
      </c>
    </row>
    <row r="24" spans="1:8">
      <c r="A24" s="1">
        <v>19</v>
      </c>
      <c r="B24" s="1" t="s">
        <v>1050</v>
      </c>
      <c r="C24" s="1">
        <v>134.57</v>
      </c>
      <c r="D24" s="1">
        <v>16.23</v>
      </c>
      <c r="E24" s="1">
        <v>0.47012100000000001</v>
      </c>
      <c r="F24" s="1">
        <f>100646400*(10^-6)</f>
        <v>100.6464</v>
      </c>
      <c r="G24" s="1">
        <v>0</v>
      </c>
      <c r="H24" s="1">
        <v>26.19</v>
      </c>
    </row>
    <row r="25" spans="1:8">
      <c r="A25" s="1">
        <v>20</v>
      </c>
      <c r="B25" s="1" t="s">
        <v>1051</v>
      </c>
      <c r="C25" s="1">
        <v>135.09</v>
      </c>
      <c r="D25" s="1">
        <v>16.23</v>
      </c>
      <c r="E25" s="1">
        <v>0.47099600000000003</v>
      </c>
      <c r="F25" s="1">
        <f>101568000*(10^-6)</f>
        <v>101.568</v>
      </c>
      <c r="G25" s="1">
        <v>0</v>
      </c>
      <c r="H25" s="1">
        <v>25.83</v>
      </c>
    </row>
    <row r="26" spans="1:8">
      <c r="A26" s="1">
        <v>21</v>
      </c>
      <c r="B26" s="1" t="s">
        <v>1052</v>
      </c>
      <c r="C26" s="1">
        <v>169.94</v>
      </c>
      <c r="D26" s="1">
        <v>16.46</v>
      </c>
      <c r="E26" s="1">
        <v>0.49993700000000002</v>
      </c>
      <c r="F26" s="1">
        <f>168038400*(10^-6)</f>
        <v>168.0384</v>
      </c>
      <c r="G26" s="1">
        <v>0</v>
      </c>
      <c r="H26" s="1">
        <v>32.94</v>
      </c>
    </row>
    <row r="27" spans="1:8">
      <c r="A27" s="1">
        <v>22</v>
      </c>
      <c r="B27" s="1" t="s">
        <v>1053</v>
      </c>
      <c r="C27" s="1">
        <v>102.28</v>
      </c>
      <c r="D27" s="1">
        <v>16.02</v>
      </c>
      <c r="E27" s="1">
        <v>0.49997599999999998</v>
      </c>
      <c r="F27" s="1">
        <f>101568000*(10^-6)</f>
        <v>101.568</v>
      </c>
      <c r="G27" s="1">
        <v>2</v>
      </c>
      <c r="H27" s="1">
        <v>19.309999999999999</v>
      </c>
    </row>
    <row r="28" spans="1:8">
      <c r="A28" s="1">
        <v>23</v>
      </c>
      <c r="B28" s="1" t="s">
        <v>1054</v>
      </c>
      <c r="C28" s="1">
        <v>166.91</v>
      </c>
      <c r="D28" s="1">
        <v>16.43</v>
      </c>
      <c r="E28" s="1">
        <v>0.48147800000000002</v>
      </c>
      <c r="F28" s="1">
        <f>134169600*(10^-6)</f>
        <v>134.1696</v>
      </c>
      <c r="G28" s="1">
        <v>0</v>
      </c>
      <c r="H28" s="1">
        <v>33.72</v>
      </c>
    </row>
    <row r="29" spans="1:8">
      <c r="A29" s="1">
        <v>24</v>
      </c>
      <c r="B29" s="1" t="s">
        <v>1055</v>
      </c>
      <c r="C29" s="1">
        <v>135.69</v>
      </c>
      <c r="D29" s="1">
        <v>16.239999999999998</v>
      </c>
      <c r="E29" s="1">
        <v>0.47070600000000001</v>
      </c>
      <c r="F29" s="1">
        <f>101836800*(10^-6)</f>
        <v>101.8368</v>
      </c>
      <c r="G29" s="1">
        <v>0</v>
      </c>
      <c r="H29" s="1">
        <v>25.82</v>
      </c>
    </row>
    <row r="30" spans="1:8">
      <c r="A30" s="1">
        <v>25</v>
      </c>
      <c r="B30" s="1" t="s">
        <v>1056</v>
      </c>
      <c r="C30" s="1">
        <v>152.16</v>
      </c>
      <c r="D30" s="1">
        <v>16.36</v>
      </c>
      <c r="E30" s="1">
        <v>0.49199300000000001</v>
      </c>
      <c r="F30" s="1">
        <f>132748800*(10^-6)</f>
        <v>132.74879999999999</v>
      </c>
      <c r="G30" s="1">
        <v>0</v>
      </c>
      <c r="H30" s="1">
        <v>29</v>
      </c>
    </row>
    <row r="31" spans="1:8">
      <c r="A31" s="1">
        <v>26</v>
      </c>
      <c r="B31" s="1" t="s">
        <v>1057</v>
      </c>
      <c r="C31" s="1">
        <v>165.2</v>
      </c>
      <c r="D31" s="1">
        <v>16.420000000000002</v>
      </c>
      <c r="E31" s="1">
        <v>0.48112899999999997</v>
      </c>
      <c r="F31" s="1">
        <f>132480000*(10^-6)</f>
        <v>132.47999999999999</v>
      </c>
      <c r="G31" s="1">
        <v>2</v>
      </c>
      <c r="H31" s="1">
        <v>33.700000000000003</v>
      </c>
    </row>
    <row r="32" spans="1:8">
      <c r="A32" s="1">
        <v>27</v>
      </c>
      <c r="B32" s="1" t="s">
        <v>1058</v>
      </c>
      <c r="C32" s="1">
        <v>168.1</v>
      </c>
      <c r="D32" s="1">
        <v>16.45</v>
      </c>
      <c r="E32" s="1">
        <v>0.49999300000000002</v>
      </c>
      <c r="F32" s="1">
        <f>167462400*(10^-6)</f>
        <v>167.4624</v>
      </c>
      <c r="G32" s="1">
        <v>2</v>
      </c>
      <c r="H32" s="1">
        <v>32.68</v>
      </c>
    </row>
    <row r="33" spans="1:8">
      <c r="A33" s="1">
        <v>28</v>
      </c>
      <c r="B33" s="1" t="s">
        <v>1059</v>
      </c>
      <c r="C33" s="1">
        <v>136.93</v>
      </c>
      <c r="D33" s="1">
        <v>16.239999999999998</v>
      </c>
      <c r="E33" s="1">
        <v>0.46943000000000001</v>
      </c>
      <c r="F33" s="1">
        <f>101990400*(10^-6)</f>
        <v>101.99039999999999</v>
      </c>
      <c r="G33" s="1">
        <v>0</v>
      </c>
      <c r="H33" s="1">
        <v>26.09</v>
      </c>
    </row>
    <row r="34" spans="1:8">
      <c r="A34" s="1">
        <v>29</v>
      </c>
      <c r="B34" s="1" t="s">
        <v>1060</v>
      </c>
      <c r="C34" s="1">
        <v>167.04</v>
      </c>
      <c r="D34" s="1">
        <v>16.43</v>
      </c>
      <c r="E34" s="1">
        <v>0.481402</v>
      </c>
      <c r="F34" s="1">
        <f>134208000*(10^-6)</f>
        <v>134.208</v>
      </c>
      <c r="G34" s="1">
        <v>0</v>
      </c>
      <c r="H34" s="1">
        <v>33.69</v>
      </c>
    </row>
    <row r="35" spans="1:8">
      <c r="A35" s="1">
        <v>30</v>
      </c>
      <c r="B35" s="1" t="s">
        <v>1061</v>
      </c>
      <c r="C35" s="1">
        <v>150.99</v>
      </c>
      <c r="D35" s="1">
        <v>16.309999999999999</v>
      </c>
      <c r="E35" s="1">
        <v>0.45134400000000002</v>
      </c>
      <c r="F35" s="1">
        <f>101414400*(10^-6)</f>
        <v>101.4144</v>
      </c>
      <c r="G35" s="1">
        <v>2</v>
      </c>
      <c r="H35" s="1">
        <v>29.29</v>
      </c>
    </row>
    <row r="36" spans="1:8">
      <c r="A36" s="1">
        <v>31</v>
      </c>
      <c r="B36" s="1" t="s">
        <v>1062</v>
      </c>
      <c r="C36" s="1">
        <v>169.5</v>
      </c>
      <c r="D36" s="1">
        <v>16.46</v>
      </c>
      <c r="E36" s="1">
        <v>0.49991099999999999</v>
      </c>
      <c r="F36" s="1">
        <f>167232000*(10^-6)</f>
        <v>167.232</v>
      </c>
      <c r="G36" s="1">
        <v>0</v>
      </c>
      <c r="H36" s="1">
        <v>32.94</v>
      </c>
    </row>
    <row r="37" spans="1:8">
      <c r="A37" s="1">
        <v>32</v>
      </c>
      <c r="B37" s="1" t="s">
        <v>1063</v>
      </c>
      <c r="C37" s="1">
        <v>116.76</v>
      </c>
      <c r="D37" s="1">
        <v>16.13</v>
      </c>
      <c r="E37" s="1">
        <v>0.49083399999999999</v>
      </c>
      <c r="F37" s="1">
        <f>100800000*(10^-6)</f>
        <v>100.8</v>
      </c>
      <c r="G37" s="1">
        <v>2</v>
      </c>
      <c r="H37" s="1">
        <v>22.35</v>
      </c>
    </row>
    <row r="38" spans="1:8">
      <c r="A38" s="1">
        <v>33</v>
      </c>
      <c r="B38" s="1" t="s">
        <v>1064</v>
      </c>
      <c r="C38" s="1">
        <v>188.26</v>
      </c>
      <c r="D38" s="1">
        <v>16.55</v>
      </c>
      <c r="E38" s="1">
        <v>0.49564599999999998</v>
      </c>
      <c r="F38" s="1">
        <f>170611200*(10^-6)</f>
        <v>170.6112</v>
      </c>
      <c r="G38" s="1">
        <v>2</v>
      </c>
      <c r="H38" s="1">
        <v>36.6</v>
      </c>
    </row>
    <row r="39" spans="1:8">
      <c r="A39" s="1">
        <v>34</v>
      </c>
      <c r="B39" s="1" t="s">
        <v>1065</v>
      </c>
      <c r="C39" s="1">
        <v>102.28</v>
      </c>
      <c r="D39" s="1">
        <v>16.02</v>
      </c>
      <c r="E39" s="1">
        <v>0.49997599999999998</v>
      </c>
      <c r="F39" s="1">
        <f>101568000*(10^-6)</f>
        <v>101.568</v>
      </c>
      <c r="G39" s="1">
        <v>2</v>
      </c>
      <c r="H39" s="1">
        <v>19.309999999999999</v>
      </c>
    </row>
    <row r="40" spans="1:8">
      <c r="A40" s="1">
        <v>35</v>
      </c>
      <c r="B40" s="1" t="s">
        <v>1066</v>
      </c>
      <c r="C40" s="1">
        <v>152.16</v>
      </c>
      <c r="D40" s="1">
        <v>16.36</v>
      </c>
      <c r="E40" s="1">
        <v>0.49199300000000001</v>
      </c>
      <c r="F40" s="1">
        <f>132748800*(10^-6)</f>
        <v>132.74879999999999</v>
      </c>
      <c r="G40" s="1">
        <v>0</v>
      </c>
      <c r="H40" s="1">
        <v>29</v>
      </c>
    </row>
    <row r="41" spans="1:8">
      <c r="A41" s="1">
        <v>36</v>
      </c>
      <c r="B41" s="1" t="s">
        <v>1067</v>
      </c>
      <c r="C41" s="1">
        <v>201.89</v>
      </c>
      <c r="D41" s="1">
        <v>16.61</v>
      </c>
      <c r="E41" s="1">
        <v>0.5</v>
      </c>
      <c r="F41" s="1">
        <f>201868800*(10^-6)</f>
        <v>201.86879999999999</v>
      </c>
      <c r="G41" s="1">
        <v>2</v>
      </c>
      <c r="H41" s="1">
        <v>42.3</v>
      </c>
    </row>
    <row r="42" spans="1:8">
      <c r="A42" s="1">
        <v>37</v>
      </c>
      <c r="B42" s="1" t="s">
        <v>1068</v>
      </c>
      <c r="C42" s="1">
        <v>152.06</v>
      </c>
      <c r="D42" s="1">
        <v>16.36</v>
      </c>
      <c r="E42" s="1">
        <v>0.49284899999999998</v>
      </c>
      <c r="F42" s="1">
        <f>133747200*(10^-6)</f>
        <v>133.74719999999999</v>
      </c>
      <c r="G42" s="1">
        <v>0</v>
      </c>
      <c r="H42" s="1">
        <v>29.1</v>
      </c>
    </row>
    <row r="43" spans="1:8">
      <c r="A43" s="1">
        <v>38</v>
      </c>
      <c r="B43" s="1" t="s">
        <v>1069</v>
      </c>
      <c r="C43" s="1">
        <v>152.06</v>
      </c>
      <c r="D43" s="1">
        <v>16.36</v>
      </c>
      <c r="E43" s="1">
        <v>0.49342799999999998</v>
      </c>
      <c r="F43" s="1">
        <f>134515200*(10^-6)</f>
        <v>134.51519999999999</v>
      </c>
      <c r="G43" s="1">
        <v>0</v>
      </c>
      <c r="H43" s="1">
        <v>28.94</v>
      </c>
    </row>
    <row r="44" spans="1:8">
      <c r="A44" s="1">
        <v>39</v>
      </c>
      <c r="B44" s="1" t="s">
        <v>1070</v>
      </c>
      <c r="C44" s="1">
        <v>186.26</v>
      </c>
      <c r="D44" s="1">
        <v>16.54</v>
      </c>
      <c r="E44" s="1">
        <v>0.49637500000000001</v>
      </c>
      <c r="F44" s="1">
        <f>170342400*(10^-6)</f>
        <v>170.3424</v>
      </c>
      <c r="G44" s="1">
        <v>0</v>
      </c>
      <c r="H44" s="1">
        <v>36.94</v>
      </c>
    </row>
    <row r="45" spans="1:8">
      <c r="A45" s="1">
        <v>40</v>
      </c>
      <c r="B45" s="1" t="s">
        <v>1071</v>
      </c>
      <c r="C45" s="1">
        <v>187.07</v>
      </c>
      <c r="D45" s="1">
        <v>16.54</v>
      </c>
      <c r="E45" s="1">
        <v>0.49435600000000002</v>
      </c>
      <c r="F45" s="1">
        <f>167078400*(10^-6)</f>
        <v>167.07839999999999</v>
      </c>
      <c r="G45" s="1">
        <v>0</v>
      </c>
      <c r="H45" s="1">
        <v>36.68</v>
      </c>
    </row>
    <row r="46" spans="1:8">
      <c r="A46" s="1">
        <v>41</v>
      </c>
      <c r="B46" s="1" t="s">
        <v>1072</v>
      </c>
      <c r="C46" s="1">
        <v>153.6</v>
      </c>
      <c r="D46" s="1">
        <v>16.32</v>
      </c>
      <c r="E46" s="1">
        <v>0.45022499999999999</v>
      </c>
      <c r="F46" s="1">
        <f>102528000*(10^-6)</f>
        <v>102.52799999999999</v>
      </c>
      <c r="G46" s="1">
        <v>0</v>
      </c>
      <c r="H46" s="1">
        <v>30.66</v>
      </c>
    </row>
    <row r="47" spans="1:8">
      <c r="A47" s="1">
        <v>42</v>
      </c>
      <c r="B47" s="1" t="s">
        <v>1073</v>
      </c>
      <c r="C47" s="1">
        <v>135.69</v>
      </c>
      <c r="D47" s="1">
        <v>16.239999999999998</v>
      </c>
      <c r="E47" s="1">
        <v>0.47070600000000001</v>
      </c>
      <c r="F47" s="1">
        <f>101836800*(10^-6)</f>
        <v>101.8368</v>
      </c>
      <c r="G47" s="1">
        <v>0</v>
      </c>
      <c r="H47" s="1">
        <v>25.82</v>
      </c>
    </row>
    <row r="48" spans="1:8">
      <c r="A48" s="1">
        <v>43</v>
      </c>
      <c r="B48" s="1" t="s">
        <v>1074</v>
      </c>
      <c r="C48" s="1">
        <v>136.22</v>
      </c>
      <c r="D48" s="1">
        <v>16.239999999999998</v>
      </c>
      <c r="E48" s="1">
        <v>0.469416</v>
      </c>
      <c r="F48" s="1">
        <f>101452800*(10^-6)</f>
        <v>101.4528</v>
      </c>
      <c r="G48" s="1">
        <v>2</v>
      </c>
      <c r="H48" s="1">
        <v>25.91</v>
      </c>
    </row>
    <row r="49" spans="1:8">
      <c r="A49" s="1">
        <v>44</v>
      </c>
      <c r="B49" s="1" t="s">
        <v>1075</v>
      </c>
      <c r="C49" s="1">
        <v>153.1</v>
      </c>
      <c r="D49" s="1">
        <v>16.32</v>
      </c>
      <c r="E49" s="1">
        <v>0.45054100000000002</v>
      </c>
      <c r="F49" s="1">
        <f>102374400*(10^-6)</f>
        <v>102.37439999999999</v>
      </c>
      <c r="G49" s="1">
        <v>0</v>
      </c>
      <c r="H49" s="1">
        <v>30</v>
      </c>
    </row>
    <row r="50" spans="1:8">
      <c r="A50" s="1">
        <v>45</v>
      </c>
      <c r="B50" s="1" t="s">
        <v>1076</v>
      </c>
      <c r="C50" s="1">
        <v>186.49</v>
      </c>
      <c r="D50" s="1">
        <v>16.54</v>
      </c>
      <c r="E50" s="1">
        <v>0.49613800000000002</v>
      </c>
      <c r="F50" s="1">
        <f>170035200*(10^-6)</f>
        <v>170.0352</v>
      </c>
      <c r="G50" s="1">
        <v>2</v>
      </c>
      <c r="H50" s="1">
        <v>37.619999999999997</v>
      </c>
    </row>
    <row r="51" spans="1:8">
      <c r="A51" s="1">
        <v>46</v>
      </c>
      <c r="B51" s="1" t="s">
        <v>1077</v>
      </c>
      <c r="C51" s="1">
        <v>187.16</v>
      </c>
      <c r="D51" s="1">
        <v>16.54</v>
      </c>
      <c r="E51" s="1">
        <v>0.49424400000000002</v>
      </c>
      <c r="F51" s="1">
        <f>166963200*(10^-6)</f>
        <v>166.9632</v>
      </c>
      <c r="G51" s="1">
        <v>0</v>
      </c>
      <c r="H51" s="1">
        <v>36.54</v>
      </c>
    </row>
    <row r="52" spans="1:8">
      <c r="A52" s="1">
        <v>47</v>
      </c>
      <c r="B52" s="1" t="s">
        <v>1078</v>
      </c>
      <c r="C52" s="1">
        <v>134.09</v>
      </c>
      <c r="D52" s="1">
        <v>16.23</v>
      </c>
      <c r="E52" s="1">
        <v>0.47417100000000001</v>
      </c>
      <c r="F52" s="1">
        <f>102796800*(10^-6)</f>
        <v>102.79679999999999</v>
      </c>
      <c r="G52" s="1">
        <v>0</v>
      </c>
      <c r="H52" s="1">
        <v>26.02</v>
      </c>
    </row>
    <row r="53" spans="1:8">
      <c r="A53" s="1">
        <v>48</v>
      </c>
      <c r="B53" s="1" t="s">
        <v>1079</v>
      </c>
      <c r="C53" s="1">
        <v>133.09</v>
      </c>
      <c r="D53" s="1">
        <v>16.25</v>
      </c>
      <c r="E53" s="1">
        <v>0.499998</v>
      </c>
      <c r="F53" s="1">
        <f>132825600*(10^-6)</f>
        <v>132.82559999999998</v>
      </c>
      <c r="G53" s="1">
        <v>2</v>
      </c>
      <c r="H53" s="1">
        <v>25.52</v>
      </c>
    </row>
    <row r="54" spans="1:8">
      <c r="A54" s="1">
        <v>49</v>
      </c>
      <c r="B54" s="1" t="s">
        <v>1080</v>
      </c>
      <c r="C54" s="1">
        <v>169.17</v>
      </c>
      <c r="D54" s="1">
        <v>16.46</v>
      </c>
      <c r="E54" s="1">
        <v>0.49999700000000002</v>
      </c>
      <c r="F54" s="1">
        <f>168729600*(10^-6)</f>
        <v>168.7296</v>
      </c>
      <c r="G54" s="1">
        <v>0</v>
      </c>
      <c r="H54" s="1">
        <v>32.54</v>
      </c>
    </row>
    <row r="55" spans="1:8">
      <c r="A55" s="1">
        <v>50</v>
      </c>
      <c r="B55" s="1" t="s">
        <v>1081</v>
      </c>
      <c r="C55" s="1">
        <v>171.65</v>
      </c>
      <c r="D55" s="1">
        <v>16.47</v>
      </c>
      <c r="E55" s="1">
        <v>0.49999100000000002</v>
      </c>
      <c r="F55" s="1">
        <f>170918400*(10^-6)</f>
        <v>170.91839999999999</v>
      </c>
      <c r="G55" s="1">
        <v>0</v>
      </c>
      <c r="H55" s="1">
        <v>32.619999999999997</v>
      </c>
    </row>
    <row r="56" spans="1:8">
      <c r="B56" s="1" t="s">
        <v>19</v>
      </c>
      <c r="C56" s="1">
        <f>AVERAGE(C6:C55)</f>
        <v>147.00520000000003</v>
      </c>
      <c r="D56" s="1">
        <f t="shared" ref="D56:F56" si="0">AVERAGE(D6:D55)</f>
        <v>16.3062</v>
      </c>
      <c r="E56" s="1">
        <f t="shared" si="0"/>
        <v>0.48575975999999998</v>
      </c>
      <c r="F56" s="1">
        <f t="shared" si="0"/>
        <v>126.78067200000004</v>
      </c>
      <c r="H56" s="1">
        <f t="shared" ref="H56" si="1">AVERAGE(H6:H55)</f>
        <v>28.547399999999993</v>
      </c>
    </row>
    <row r="57" spans="1:8">
      <c r="B57" s="1" t="s">
        <v>20</v>
      </c>
      <c r="C57" s="1">
        <f>MIN(C5:C55)</f>
        <v>101.57</v>
      </c>
      <c r="D57" s="1">
        <f t="shared" ref="D57:F57" si="2">MIN(D5:D55)</f>
        <v>16.010000000000002</v>
      </c>
      <c r="E57" s="1">
        <f t="shared" si="2"/>
        <v>0.44912299999999999</v>
      </c>
      <c r="F57" s="1">
        <f t="shared" si="2"/>
        <v>100.6464</v>
      </c>
      <c r="H57" s="1">
        <f t="shared" ref="H57" si="3">MIN(H5:H55)</f>
        <v>19.309999999999999</v>
      </c>
    </row>
    <row r="58" spans="1:8">
      <c r="B58" s="1" t="s">
        <v>3</v>
      </c>
      <c r="C58" s="1">
        <f>STDEV(C6:C55)</f>
        <v>27.19303288922131</v>
      </c>
      <c r="D58" s="1">
        <f t="shared" ref="D58:E58" si="4">STDEV(D6:D55)</f>
        <v>0.16720865615695896</v>
      </c>
      <c r="E58" s="1">
        <f t="shared" si="4"/>
        <v>1.5746628624669641E-2</v>
      </c>
      <c r="F58" s="1">
        <f>STDEV(F6:F55)</f>
        <v>29.860137272392603</v>
      </c>
      <c r="H58" s="1">
        <f>STDEV(H6:H55)</f>
        <v>5.7816570642129861</v>
      </c>
    </row>
    <row r="60" spans="1:8">
      <c r="H60" s="2" t="s">
        <v>1435</v>
      </c>
    </row>
    <row r="61" spans="1:8" ht="18">
      <c r="A61" s="2" t="s">
        <v>7</v>
      </c>
      <c r="B61" s="3" t="s">
        <v>8</v>
      </c>
      <c r="C61" s="2" t="s">
        <v>4</v>
      </c>
      <c r="D61" s="2" t="s">
        <v>322</v>
      </c>
      <c r="E61" s="2" t="s">
        <v>321</v>
      </c>
      <c r="F61" s="2" t="s">
        <v>324</v>
      </c>
      <c r="G61" s="2" t="s">
        <v>323</v>
      </c>
      <c r="H61" s="2" t="s">
        <v>1436</v>
      </c>
    </row>
    <row r="62" spans="1:8">
      <c r="A62" s="1">
        <v>1</v>
      </c>
      <c r="B62" s="1" t="s">
        <v>1182</v>
      </c>
      <c r="C62" s="1">
        <v>105.27</v>
      </c>
      <c r="D62" s="1">
        <v>40.07</v>
      </c>
      <c r="E62" s="1">
        <v>0.483149</v>
      </c>
      <c r="F62" s="1">
        <f>73305600*(10^-6)</f>
        <v>73.305599999999998</v>
      </c>
      <c r="G62" s="1">
        <v>4</v>
      </c>
      <c r="H62" s="1">
        <v>20.38</v>
      </c>
    </row>
    <row r="63" spans="1:8">
      <c r="A63" s="1">
        <v>2</v>
      </c>
      <c r="B63" s="1" t="s">
        <v>1183</v>
      </c>
      <c r="C63" s="1">
        <v>115.22</v>
      </c>
      <c r="D63" s="1">
        <v>40.29</v>
      </c>
      <c r="E63" s="1">
        <v>0.49076599999999998</v>
      </c>
      <c r="F63" s="1">
        <f>101798400*(10^-6)</f>
        <v>101.7984</v>
      </c>
      <c r="G63" s="1">
        <v>2</v>
      </c>
      <c r="H63" s="1">
        <v>21.81</v>
      </c>
    </row>
    <row r="64" spans="1:8">
      <c r="A64" s="1">
        <v>3</v>
      </c>
      <c r="B64" s="1" t="s">
        <v>1184</v>
      </c>
      <c r="C64" s="1">
        <v>138.66</v>
      </c>
      <c r="D64" s="1">
        <v>40.65</v>
      </c>
      <c r="E64" s="1">
        <v>0.47600999999999999</v>
      </c>
      <c r="F64" s="1">
        <f>100147200*(10^-6)</f>
        <v>100.1472</v>
      </c>
      <c r="G64" s="1">
        <v>6</v>
      </c>
      <c r="H64" s="1">
        <v>26.59</v>
      </c>
    </row>
    <row r="65" spans="1:8">
      <c r="A65" s="1">
        <v>4</v>
      </c>
      <c r="B65" s="1" t="s">
        <v>1185</v>
      </c>
      <c r="C65" s="1">
        <v>101.51</v>
      </c>
      <c r="D65" s="1">
        <v>39.950000000000003</v>
      </c>
      <c r="E65" s="1">
        <v>0.46522599999999997</v>
      </c>
      <c r="F65" s="1">
        <f>69849600*(10^-6)</f>
        <v>69.849599999999995</v>
      </c>
      <c r="G65" s="1">
        <v>2</v>
      </c>
      <c r="H65" s="1">
        <v>19.420000000000002</v>
      </c>
    </row>
    <row r="66" spans="1:8">
      <c r="A66" s="1">
        <v>5</v>
      </c>
      <c r="B66" s="1" t="s">
        <v>1186</v>
      </c>
      <c r="C66" s="1">
        <v>113.96</v>
      </c>
      <c r="D66" s="1">
        <v>40.26</v>
      </c>
      <c r="E66" s="1">
        <v>0.49100899999999997</v>
      </c>
      <c r="F66" s="1">
        <f>100953600*(10^-6)</f>
        <v>100.95359999999999</v>
      </c>
      <c r="G66" s="1">
        <v>8</v>
      </c>
      <c r="H66" s="1">
        <v>21.78</v>
      </c>
    </row>
    <row r="67" spans="1:8">
      <c r="A67" s="1">
        <v>6</v>
      </c>
      <c r="B67" s="1" t="s">
        <v>1187</v>
      </c>
      <c r="C67" s="1">
        <v>155.93</v>
      </c>
      <c r="D67" s="1">
        <v>40.9</v>
      </c>
      <c r="E67" s="1">
        <v>0.47558400000000001</v>
      </c>
      <c r="F67" s="1">
        <f>100915200*(10^-6)</f>
        <v>100.9152</v>
      </c>
      <c r="G67" s="1">
        <v>8</v>
      </c>
      <c r="H67" s="1">
        <v>30.12</v>
      </c>
    </row>
    <row r="68" spans="1:8">
      <c r="A68" s="1">
        <v>7</v>
      </c>
      <c r="B68" s="1" t="s">
        <v>1188</v>
      </c>
      <c r="C68" s="1">
        <v>108.27</v>
      </c>
      <c r="D68" s="1">
        <v>40.159999999999997</v>
      </c>
      <c r="E68" s="1">
        <v>0.493085</v>
      </c>
      <c r="F68" s="1">
        <f>101068800*(10^-6)</f>
        <v>101.0688</v>
      </c>
      <c r="G68" s="1">
        <v>8</v>
      </c>
      <c r="H68" s="1">
        <v>20.56</v>
      </c>
    </row>
    <row r="69" spans="1:8">
      <c r="A69" s="1">
        <v>8</v>
      </c>
      <c r="B69" s="1" t="s">
        <v>1189</v>
      </c>
      <c r="C69" s="1">
        <v>135.36000000000001</v>
      </c>
      <c r="D69" s="1">
        <v>40.630000000000003</v>
      </c>
      <c r="E69" s="1">
        <v>0.48840899999999998</v>
      </c>
      <c r="F69" s="1">
        <f>102720000*(10^-6)</f>
        <v>102.72</v>
      </c>
      <c r="G69" s="1">
        <v>8</v>
      </c>
      <c r="H69" s="1">
        <v>25.71</v>
      </c>
    </row>
    <row r="70" spans="1:8">
      <c r="A70" s="1">
        <v>9</v>
      </c>
      <c r="B70" s="1" t="s">
        <v>1190</v>
      </c>
      <c r="C70" s="1">
        <v>115.32</v>
      </c>
      <c r="D70" s="1">
        <v>40.29</v>
      </c>
      <c r="E70" s="1">
        <v>0.49060300000000001</v>
      </c>
      <c r="F70" s="1">
        <f>102028800*(10^-6)</f>
        <v>102.02879999999999</v>
      </c>
      <c r="G70" s="1">
        <v>8</v>
      </c>
      <c r="H70" s="1">
        <v>21.85</v>
      </c>
    </row>
    <row r="71" spans="1:8">
      <c r="A71" s="1">
        <v>10</v>
      </c>
      <c r="B71" s="1" t="s">
        <v>1191</v>
      </c>
      <c r="C71" s="1">
        <v>103.38</v>
      </c>
      <c r="D71" s="1">
        <v>39.86</v>
      </c>
      <c r="E71" s="1">
        <v>0.42396800000000001</v>
      </c>
      <c r="F71" s="1">
        <f>48038400*(10^-6)</f>
        <v>48.038399999999996</v>
      </c>
      <c r="G71" s="1">
        <v>4</v>
      </c>
      <c r="H71" s="1">
        <v>19.670000000000002</v>
      </c>
    </row>
    <row r="72" spans="1:8">
      <c r="A72" s="1">
        <v>11</v>
      </c>
      <c r="B72" s="1" t="s">
        <v>1192</v>
      </c>
      <c r="C72" s="1">
        <v>134.36000000000001</v>
      </c>
      <c r="D72" s="1">
        <v>40.61</v>
      </c>
      <c r="E72" s="1">
        <v>0.48703099999999999</v>
      </c>
      <c r="F72" s="1">
        <f>101529600*(10^-6)</f>
        <v>101.5296</v>
      </c>
      <c r="G72" s="1">
        <v>6</v>
      </c>
      <c r="H72" s="1">
        <v>25.67</v>
      </c>
    </row>
    <row r="73" spans="1:8">
      <c r="A73" s="1">
        <v>12</v>
      </c>
      <c r="B73" s="1" t="s">
        <v>1193</v>
      </c>
      <c r="C73" s="1">
        <v>122.21</v>
      </c>
      <c r="D73" s="1">
        <v>40.340000000000003</v>
      </c>
      <c r="E73" s="1">
        <v>0.450046</v>
      </c>
      <c r="F73" s="1">
        <f>101222400*(10^-6)</f>
        <v>101.22239999999999</v>
      </c>
      <c r="G73" s="1">
        <v>4</v>
      </c>
      <c r="H73" s="1">
        <v>23.47</v>
      </c>
    </row>
    <row r="74" spans="1:8">
      <c r="A74" s="1">
        <v>13</v>
      </c>
      <c r="B74" s="1" t="s">
        <v>1194</v>
      </c>
      <c r="C74" s="1">
        <v>141.49</v>
      </c>
      <c r="D74" s="1">
        <v>40.72</v>
      </c>
      <c r="E74" s="1">
        <v>0.484373</v>
      </c>
      <c r="F74" s="1">
        <f>101452800*(10^-6)</f>
        <v>101.4528</v>
      </c>
      <c r="G74" s="1">
        <v>4</v>
      </c>
      <c r="H74" s="1">
        <v>27.06</v>
      </c>
    </row>
    <row r="75" spans="1:8">
      <c r="A75" s="1">
        <v>14</v>
      </c>
      <c r="B75" s="1" t="s">
        <v>1195</v>
      </c>
      <c r="C75" s="1">
        <v>109.07</v>
      </c>
      <c r="D75" s="1">
        <v>39.909999999999997</v>
      </c>
      <c r="E75" s="1">
        <v>0.399285</v>
      </c>
      <c r="F75" s="1">
        <f>52416000*(10^-6)</f>
        <v>52.415999999999997</v>
      </c>
      <c r="G75" s="1">
        <v>0</v>
      </c>
      <c r="H75" s="1">
        <v>21.58</v>
      </c>
    </row>
    <row r="76" spans="1:8">
      <c r="A76" s="1">
        <v>15</v>
      </c>
      <c r="B76" s="1" t="s">
        <v>1196</v>
      </c>
      <c r="C76" s="1">
        <v>89.42</v>
      </c>
      <c r="D76" s="1">
        <v>39.619999999999997</v>
      </c>
      <c r="E76" s="1">
        <v>0.44767200000000001</v>
      </c>
      <c r="F76" s="1">
        <f>54105600*(10^-6)</f>
        <v>54.105599999999995</v>
      </c>
      <c r="G76" s="1">
        <v>2</v>
      </c>
      <c r="H76" s="1">
        <v>16.989999999999998</v>
      </c>
    </row>
    <row r="77" spans="1:8">
      <c r="A77" s="1">
        <v>16</v>
      </c>
      <c r="B77" s="1" t="s">
        <v>1197</v>
      </c>
      <c r="C77" s="1">
        <v>124.52</v>
      </c>
      <c r="D77" s="1">
        <v>40.17</v>
      </c>
      <c r="E77" s="1">
        <v>0.40668799999999999</v>
      </c>
      <c r="F77" s="1">
        <f>47270400*(10^-6)</f>
        <v>47.270399999999995</v>
      </c>
      <c r="G77" s="1">
        <v>2</v>
      </c>
      <c r="H77" s="1">
        <v>23.93</v>
      </c>
    </row>
    <row r="78" spans="1:8">
      <c r="A78" s="1">
        <v>17</v>
      </c>
      <c r="B78" s="1" t="s">
        <v>1198</v>
      </c>
      <c r="C78" s="1">
        <v>127.24</v>
      </c>
      <c r="D78" s="1">
        <v>40.49</v>
      </c>
      <c r="E78" s="1">
        <v>0.48377799999999999</v>
      </c>
      <c r="F78" s="1">
        <f>101260800*(10^-6)</f>
        <v>101.26079999999999</v>
      </c>
      <c r="G78" s="1">
        <v>2</v>
      </c>
      <c r="H78" s="1">
        <v>24.48</v>
      </c>
    </row>
    <row r="79" spans="1:8">
      <c r="A79" s="1">
        <v>18</v>
      </c>
      <c r="B79" s="1" t="s">
        <v>1199</v>
      </c>
      <c r="C79" s="1">
        <v>113.08</v>
      </c>
      <c r="D79" s="1">
        <v>40.130000000000003</v>
      </c>
      <c r="E79" s="1">
        <v>0.43202200000000002</v>
      </c>
      <c r="F79" s="1">
        <f>79872000*(10^-6)</f>
        <v>79.872</v>
      </c>
      <c r="G79" s="1">
        <v>4</v>
      </c>
      <c r="H79" s="1">
        <v>21.83</v>
      </c>
    </row>
    <row r="80" spans="1:8">
      <c r="A80" s="1">
        <v>19</v>
      </c>
      <c r="B80" s="1" t="s">
        <v>1200</v>
      </c>
      <c r="C80" s="1">
        <v>147.68</v>
      </c>
      <c r="D80" s="1">
        <v>40.83</v>
      </c>
      <c r="E80" s="1">
        <v>0.49297099999999999</v>
      </c>
      <c r="F80" s="1">
        <f>131289600*(10^-6)</f>
        <v>131.28960000000001</v>
      </c>
      <c r="G80" s="1">
        <v>0</v>
      </c>
      <c r="H80" s="1">
        <v>28.21</v>
      </c>
    </row>
    <row r="81" spans="1:8">
      <c r="A81" s="1">
        <v>20</v>
      </c>
      <c r="B81" s="1" t="s">
        <v>1201</v>
      </c>
      <c r="C81" s="1">
        <v>152.79</v>
      </c>
      <c r="D81" s="1">
        <v>40.909999999999997</v>
      </c>
      <c r="E81" s="1">
        <v>0.49409199999999998</v>
      </c>
      <c r="F81" s="1">
        <f>132595200*(10^-6)</f>
        <v>132.59520000000001</v>
      </c>
      <c r="G81" s="1">
        <v>8</v>
      </c>
      <c r="H81" s="1">
        <v>29.32</v>
      </c>
    </row>
    <row r="82" spans="1:8">
      <c r="A82" s="1">
        <v>21</v>
      </c>
      <c r="B82" s="1" t="s">
        <v>1202</v>
      </c>
      <c r="C82" s="1">
        <v>109.94</v>
      </c>
      <c r="D82" s="1">
        <v>40.17</v>
      </c>
      <c r="E82" s="1">
        <v>0.48188300000000001</v>
      </c>
      <c r="F82" s="1">
        <f>87974400*(10^-6)</f>
        <v>87.974400000000003</v>
      </c>
      <c r="G82" s="1">
        <v>8</v>
      </c>
      <c r="H82" s="1">
        <v>20.89</v>
      </c>
    </row>
    <row r="83" spans="1:8">
      <c r="A83" s="1">
        <v>22</v>
      </c>
      <c r="B83" s="1" t="s">
        <v>1203</v>
      </c>
      <c r="C83" s="1">
        <v>169.21</v>
      </c>
      <c r="D83" s="1">
        <v>41.12</v>
      </c>
      <c r="E83" s="1">
        <v>0.49043199999999998</v>
      </c>
      <c r="F83" s="1">
        <f>132940800*(10^-6)</f>
        <v>132.9408</v>
      </c>
      <c r="G83" s="1">
        <v>6</v>
      </c>
      <c r="H83" s="1">
        <v>32.79</v>
      </c>
    </row>
    <row r="84" spans="1:8">
      <c r="A84" s="1">
        <v>23</v>
      </c>
      <c r="B84" s="1" t="s">
        <v>1204</v>
      </c>
      <c r="C84" s="1">
        <v>141.91999999999999</v>
      </c>
      <c r="D84" s="1">
        <v>40.67</v>
      </c>
      <c r="E84" s="1">
        <v>0.461698</v>
      </c>
      <c r="F84" s="1">
        <f>100646400*(10^-6)</f>
        <v>100.6464</v>
      </c>
      <c r="G84" s="1">
        <v>0</v>
      </c>
      <c r="H84" s="1">
        <v>27.64</v>
      </c>
    </row>
    <row r="85" spans="1:8">
      <c r="A85" s="1">
        <v>24</v>
      </c>
      <c r="B85" s="1" t="s">
        <v>1205</v>
      </c>
      <c r="C85" s="1">
        <v>101.93</v>
      </c>
      <c r="D85" s="1">
        <v>39.96</v>
      </c>
      <c r="E85" s="1">
        <v>0.46585700000000002</v>
      </c>
      <c r="F85" s="1">
        <f>69657600*(10^-6)</f>
        <v>69.657600000000002</v>
      </c>
      <c r="G85" s="1">
        <v>2</v>
      </c>
      <c r="H85" s="1">
        <v>19.47</v>
      </c>
    </row>
    <row r="86" spans="1:8">
      <c r="A86" s="1">
        <v>25</v>
      </c>
      <c r="B86" s="1" t="s">
        <v>1206</v>
      </c>
      <c r="C86" s="1">
        <v>125.23</v>
      </c>
      <c r="D86" s="1">
        <v>40.479999999999997</v>
      </c>
      <c r="E86" s="1">
        <v>0.49495499999999998</v>
      </c>
      <c r="F86" s="1">
        <f>101760000*(10^-6)</f>
        <v>101.75999999999999</v>
      </c>
      <c r="G86" s="1">
        <v>6</v>
      </c>
      <c r="H86" s="1">
        <v>23.84</v>
      </c>
    </row>
    <row r="87" spans="1:8">
      <c r="A87" s="1">
        <v>26</v>
      </c>
      <c r="B87" s="1" t="s">
        <v>1207</v>
      </c>
      <c r="C87" s="1">
        <v>112.31</v>
      </c>
      <c r="D87" s="1">
        <v>40.229999999999997</v>
      </c>
      <c r="E87" s="1">
        <v>0.48810599999999998</v>
      </c>
      <c r="F87" s="1">
        <f>92928000*(10^-6)</f>
        <v>92.927999999999997</v>
      </c>
      <c r="G87" s="1">
        <v>8</v>
      </c>
      <c r="H87" s="1">
        <v>21.84</v>
      </c>
    </row>
    <row r="88" spans="1:8">
      <c r="A88" s="1">
        <v>27</v>
      </c>
      <c r="B88" s="1" t="s">
        <v>1208</v>
      </c>
      <c r="C88" s="1">
        <v>88.95</v>
      </c>
      <c r="D88" s="1">
        <v>39.229999999999997</v>
      </c>
      <c r="E88" s="1">
        <v>0.338362</v>
      </c>
      <c r="F88" s="1">
        <f>36019200*(10^-6)</f>
        <v>36.019199999999998</v>
      </c>
      <c r="G88" s="1">
        <v>2</v>
      </c>
      <c r="H88" s="1">
        <v>17.38</v>
      </c>
    </row>
    <row r="89" spans="1:8">
      <c r="A89" s="1">
        <v>28</v>
      </c>
      <c r="B89" s="1" t="s">
        <v>1209</v>
      </c>
      <c r="C89" s="1">
        <v>141.94999999999999</v>
      </c>
      <c r="D89" s="1">
        <v>40.700000000000003</v>
      </c>
      <c r="E89" s="1">
        <v>0.47465000000000002</v>
      </c>
      <c r="F89" s="1">
        <f>101683200*(10^-6)</f>
        <v>101.6832</v>
      </c>
      <c r="G89" s="1">
        <v>6</v>
      </c>
      <c r="H89" s="1">
        <v>27.13</v>
      </c>
    </row>
    <row r="90" spans="1:8">
      <c r="A90" s="1">
        <v>29</v>
      </c>
      <c r="B90" s="1" t="s">
        <v>1210</v>
      </c>
      <c r="C90" s="1">
        <v>80.819999999999993</v>
      </c>
      <c r="D90" s="1">
        <v>39.49</v>
      </c>
      <c r="E90" s="1">
        <v>0.478798</v>
      </c>
      <c r="F90" s="1">
        <f>60518400*(10^-6)</f>
        <v>60.5184</v>
      </c>
      <c r="G90" s="1">
        <v>0</v>
      </c>
      <c r="H90" s="1">
        <v>15.32</v>
      </c>
    </row>
    <row r="91" spans="1:8">
      <c r="A91" s="1">
        <v>30</v>
      </c>
      <c r="B91" s="1" t="s">
        <v>1211</v>
      </c>
      <c r="C91" s="1">
        <v>122.88</v>
      </c>
      <c r="D91" s="1">
        <v>40.44</v>
      </c>
      <c r="E91" s="1">
        <v>0.49479299999999998</v>
      </c>
      <c r="F91" s="1">
        <f>103180800*(10^-6)</f>
        <v>103.18079999999999</v>
      </c>
      <c r="G91" s="1">
        <v>8</v>
      </c>
      <c r="H91" s="1">
        <v>23.81</v>
      </c>
    </row>
    <row r="92" spans="1:8">
      <c r="A92" s="1">
        <v>31</v>
      </c>
      <c r="B92" s="1" t="s">
        <v>1212</v>
      </c>
      <c r="C92" s="1">
        <v>121.66</v>
      </c>
      <c r="D92" s="1">
        <v>40.26</v>
      </c>
      <c r="E92" s="1">
        <v>0.44210899999999997</v>
      </c>
      <c r="F92" s="1">
        <f>68236800*(10^-6)</f>
        <v>68.236800000000002</v>
      </c>
      <c r="G92" s="1">
        <v>2</v>
      </c>
      <c r="H92" s="1">
        <v>23.55</v>
      </c>
    </row>
    <row r="93" spans="1:8">
      <c r="A93" s="1">
        <v>32</v>
      </c>
      <c r="B93" s="1" t="s">
        <v>1213</v>
      </c>
      <c r="C93" s="1">
        <v>109.84</v>
      </c>
      <c r="D93" s="1">
        <v>40.01</v>
      </c>
      <c r="E93" s="1">
        <v>0.43584899999999999</v>
      </c>
      <c r="F93" s="1">
        <f>44928000*(10^-6)</f>
        <v>44.927999999999997</v>
      </c>
      <c r="G93" s="1">
        <v>2</v>
      </c>
      <c r="H93" s="1">
        <v>21.13</v>
      </c>
    </row>
    <row r="94" spans="1:8">
      <c r="A94" s="1">
        <v>33</v>
      </c>
      <c r="B94" s="1" t="s">
        <v>1214</v>
      </c>
      <c r="C94" s="1">
        <v>120.74</v>
      </c>
      <c r="D94" s="1">
        <v>40.39</v>
      </c>
      <c r="E94" s="1">
        <v>0.49194199999999999</v>
      </c>
      <c r="F94" s="1">
        <f>101222400*(10^-6)</f>
        <v>101.22239999999999</v>
      </c>
      <c r="G94" s="1">
        <v>6</v>
      </c>
      <c r="H94" s="1">
        <v>22.99</v>
      </c>
    </row>
    <row r="95" spans="1:8">
      <c r="A95" s="1">
        <v>34</v>
      </c>
      <c r="B95" s="1" t="s">
        <v>1215</v>
      </c>
      <c r="C95" s="1">
        <v>114.79</v>
      </c>
      <c r="D95" s="1">
        <v>40.28</v>
      </c>
      <c r="E95" s="1">
        <v>0.49058000000000002</v>
      </c>
      <c r="F95" s="1">
        <f>101683200*(10^-6)</f>
        <v>101.6832</v>
      </c>
      <c r="G95" s="1">
        <v>6</v>
      </c>
      <c r="H95" s="1">
        <v>21.85</v>
      </c>
    </row>
    <row r="96" spans="1:8">
      <c r="A96" s="1">
        <v>35</v>
      </c>
      <c r="B96" s="1" t="s">
        <v>1216</v>
      </c>
      <c r="C96" s="1">
        <v>126.22</v>
      </c>
      <c r="D96" s="1">
        <v>40.46</v>
      </c>
      <c r="E96" s="1">
        <v>0.48147299999999998</v>
      </c>
      <c r="F96" s="1">
        <f>99187200*(10^-6)</f>
        <v>99.18719999999999</v>
      </c>
      <c r="G96" s="1">
        <v>4</v>
      </c>
      <c r="H96" s="1">
        <v>24.22</v>
      </c>
    </row>
    <row r="97" spans="1:8">
      <c r="A97" s="1">
        <v>36</v>
      </c>
      <c r="B97" s="1" t="s">
        <v>1217</v>
      </c>
      <c r="C97" s="1">
        <v>128.44</v>
      </c>
      <c r="D97" s="1">
        <v>40.5</v>
      </c>
      <c r="E97" s="1">
        <v>0.48074899999999998</v>
      </c>
      <c r="F97" s="1">
        <f>101529600*(10^-6)</f>
        <v>101.5296</v>
      </c>
      <c r="G97" s="1">
        <v>0</v>
      </c>
      <c r="H97" s="1">
        <v>24.45</v>
      </c>
    </row>
    <row r="98" spans="1:8">
      <c r="A98" s="1">
        <v>37</v>
      </c>
      <c r="B98" s="1" t="s">
        <v>1218</v>
      </c>
      <c r="C98" s="1">
        <v>104.85</v>
      </c>
      <c r="D98" s="1">
        <v>39.92</v>
      </c>
      <c r="E98" s="1">
        <v>0.430508</v>
      </c>
      <c r="F98" s="1">
        <f>58867200*(10^-6)</f>
        <v>58.867199999999997</v>
      </c>
      <c r="G98" s="1">
        <v>0</v>
      </c>
      <c r="H98" s="1">
        <v>20.010000000000002</v>
      </c>
    </row>
    <row r="99" spans="1:8">
      <c r="A99" s="1">
        <v>38</v>
      </c>
      <c r="B99" s="1" t="s">
        <v>1219</v>
      </c>
      <c r="C99" s="1">
        <v>89.59</v>
      </c>
      <c r="D99" s="1">
        <v>39.619999999999997</v>
      </c>
      <c r="E99" s="1">
        <v>0.44513000000000003</v>
      </c>
      <c r="F99" s="1">
        <f>53376000*(10^-6)</f>
        <v>53.375999999999998</v>
      </c>
      <c r="G99" s="1">
        <v>0</v>
      </c>
      <c r="H99" s="1">
        <v>16.940000000000001</v>
      </c>
    </row>
    <row r="100" spans="1:8">
      <c r="A100" s="1">
        <v>39</v>
      </c>
      <c r="B100" s="1" t="s">
        <v>1220</v>
      </c>
      <c r="C100" s="1">
        <v>115.58</v>
      </c>
      <c r="D100" s="1">
        <v>40.229999999999997</v>
      </c>
      <c r="E100" s="1">
        <v>0.466667</v>
      </c>
      <c r="F100" s="1">
        <f>74227200*(10^-6)</f>
        <v>74.227199999999996</v>
      </c>
      <c r="G100" s="1">
        <v>2</v>
      </c>
      <c r="H100" s="1">
        <v>21.99</v>
      </c>
    </row>
    <row r="101" spans="1:8">
      <c r="A101" s="1">
        <v>40</v>
      </c>
      <c r="B101" s="1" t="s">
        <v>1221</v>
      </c>
      <c r="C101" s="1">
        <v>88.63</v>
      </c>
      <c r="D101" s="1">
        <v>39.6</v>
      </c>
      <c r="E101" s="1">
        <v>0.44876100000000002</v>
      </c>
      <c r="F101" s="1">
        <f>52684800*(10^-6)</f>
        <v>52.684799999999996</v>
      </c>
      <c r="G101" s="1">
        <v>6</v>
      </c>
      <c r="H101" s="1">
        <v>16.899999999999999</v>
      </c>
    </row>
    <row r="102" spans="1:8">
      <c r="A102" s="1">
        <v>41</v>
      </c>
      <c r="B102" s="1" t="s">
        <v>1222</v>
      </c>
      <c r="C102" s="1">
        <v>120.37</v>
      </c>
      <c r="D102" s="1">
        <v>40.380000000000003</v>
      </c>
      <c r="E102" s="1">
        <v>0.49174099999999998</v>
      </c>
      <c r="F102" s="1">
        <f>100761600*(10^-6)</f>
        <v>100.7616</v>
      </c>
      <c r="G102" s="1">
        <v>2</v>
      </c>
      <c r="H102" s="1">
        <v>23.05</v>
      </c>
    </row>
    <row r="103" spans="1:8">
      <c r="A103" s="1">
        <v>42</v>
      </c>
      <c r="B103" s="1" t="s">
        <v>1223</v>
      </c>
      <c r="C103" s="1">
        <v>98.64</v>
      </c>
      <c r="D103" s="1">
        <v>39.92</v>
      </c>
      <c r="E103" s="1">
        <v>0.47753000000000001</v>
      </c>
      <c r="F103" s="1">
        <f>75840000*(10^-6)</f>
        <v>75.84</v>
      </c>
      <c r="G103" s="1">
        <v>6</v>
      </c>
      <c r="H103" s="1">
        <v>18.89</v>
      </c>
    </row>
    <row r="104" spans="1:8">
      <c r="A104" s="1">
        <v>43</v>
      </c>
      <c r="B104" s="1" t="s">
        <v>1224</v>
      </c>
      <c r="C104" s="1">
        <v>132.69999999999999</v>
      </c>
      <c r="D104" s="1">
        <v>40.56</v>
      </c>
      <c r="E104" s="1">
        <v>0.477937</v>
      </c>
      <c r="F104" s="1">
        <f>100953600*(10^-6)</f>
        <v>100.95359999999999</v>
      </c>
      <c r="G104" s="1">
        <v>2</v>
      </c>
      <c r="H104" s="1">
        <v>25.24</v>
      </c>
    </row>
    <row r="105" spans="1:8">
      <c r="A105" s="1">
        <v>44</v>
      </c>
      <c r="B105" s="1" t="s">
        <v>1225</v>
      </c>
      <c r="C105" s="1">
        <v>120.55</v>
      </c>
      <c r="D105" s="1">
        <v>40.39</v>
      </c>
      <c r="E105" s="1">
        <v>0.49180699999999999</v>
      </c>
      <c r="F105" s="1">
        <f>101299200*(10^-6)</f>
        <v>101.2992</v>
      </c>
      <c r="G105" s="1">
        <v>2</v>
      </c>
      <c r="H105" s="1">
        <v>23.02</v>
      </c>
    </row>
    <row r="106" spans="1:8">
      <c r="A106" s="1">
        <v>45</v>
      </c>
      <c r="B106" s="1" t="s">
        <v>1226</v>
      </c>
      <c r="C106" s="1">
        <v>134.69</v>
      </c>
      <c r="D106" s="1">
        <v>40.619999999999997</v>
      </c>
      <c r="E106" s="1">
        <v>0.488043</v>
      </c>
      <c r="F106" s="1">
        <f>102566400*(10^-6)</f>
        <v>102.5664</v>
      </c>
      <c r="G106" s="1">
        <v>8</v>
      </c>
      <c r="H106" s="1">
        <v>25.58</v>
      </c>
    </row>
    <row r="107" spans="1:8">
      <c r="A107" s="1">
        <v>46</v>
      </c>
      <c r="B107" s="1" t="s">
        <v>1227</v>
      </c>
      <c r="C107" s="1">
        <v>105.51</v>
      </c>
      <c r="D107" s="1">
        <v>39.869999999999997</v>
      </c>
      <c r="E107" s="1">
        <v>0.42102499999999998</v>
      </c>
      <c r="F107" s="1">
        <f>44313600*(10^-6)</f>
        <v>44.313600000000001</v>
      </c>
      <c r="G107" s="1">
        <v>0</v>
      </c>
      <c r="H107" s="1">
        <v>20.170000000000002</v>
      </c>
    </row>
    <row r="108" spans="1:8">
      <c r="A108" s="1">
        <v>47</v>
      </c>
      <c r="B108" s="1" t="s">
        <v>1228</v>
      </c>
      <c r="C108" s="1">
        <v>129.68</v>
      </c>
      <c r="D108" s="1">
        <v>40.47</v>
      </c>
      <c r="E108" s="1">
        <v>0.454486</v>
      </c>
      <c r="F108" s="1">
        <f>101491200*(10^-6)</f>
        <v>101.49119999999999</v>
      </c>
      <c r="G108" s="1">
        <v>4</v>
      </c>
      <c r="H108" s="1">
        <v>24.79</v>
      </c>
    </row>
    <row r="109" spans="1:8">
      <c r="A109" s="1">
        <v>48</v>
      </c>
      <c r="B109" s="1" t="s">
        <v>1229</v>
      </c>
      <c r="C109" s="1">
        <v>127.01</v>
      </c>
      <c r="D109" s="1">
        <v>39.44</v>
      </c>
      <c r="E109" s="1">
        <v>0.40229799999999999</v>
      </c>
      <c r="F109" s="1">
        <f>4531200*(10^-6)</f>
        <v>4.5312000000000001</v>
      </c>
      <c r="G109" s="1">
        <v>0</v>
      </c>
      <c r="H109" s="1">
        <v>24.23</v>
      </c>
    </row>
    <row r="110" spans="1:8">
      <c r="A110" s="1">
        <v>49</v>
      </c>
      <c r="B110" s="1" t="s">
        <v>1230</v>
      </c>
      <c r="C110" s="1">
        <v>98.14</v>
      </c>
      <c r="D110" s="1">
        <v>39.78</v>
      </c>
      <c r="E110" s="1">
        <v>0.42711199999999999</v>
      </c>
      <c r="F110" s="1">
        <f>55641600*(10^-6)</f>
        <v>55.641599999999997</v>
      </c>
      <c r="G110" s="1">
        <v>8</v>
      </c>
      <c r="H110" s="1">
        <v>18.63</v>
      </c>
    </row>
    <row r="111" spans="1:8">
      <c r="A111" s="1">
        <v>50</v>
      </c>
      <c r="B111" s="1" t="s">
        <v>1231</v>
      </c>
      <c r="C111" s="1">
        <v>135.88999999999999</v>
      </c>
      <c r="D111" s="1">
        <v>40.590000000000003</v>
      </c>
      <c r="E111" s="1">
        <v>0.46212799999999998</v>
      </c>
      <c r="F111" s="1">
        <f>100761600*(10^-6)</f>
        <v>100.7616</v>
      </c>
      <c r="G111" s="1">
        <v>2</v>
      </c>
      <c r="H111" s="1">
        <v>25.99</v>
      </c>
    </row>
    <row r="112" spans="1:8">
      <c r="B112" s="1" t="s">
        <v>19</v>
      </c>
      <c r="C112" s="1">
        <f>AVERAGE(C62:C111)</f>
        <v>119.46800000000003</v>
      </c>
      <c r="D112" s="1">
        <f t="shared" ref="D112:F112" si="5">AVERAGE(D62:D111)</f>
        <v>40.251399999999997</v>
      </c>
      <c r="E112" s="1">
        <f t="shared" si="5"/>
        <v>0.46466352000000005</v>
      </c>
      <c r="F112" s="1">
        <f t="shared" si="5"/>
        <v>84.705023999999995</v>
      </c>
      <c r="H112" s="1">
        <f t="shared" ref="H112" si="6">AVERAGE(H62:H111)</f>
        <v>22.883200000000002</v>
      </c>
    </row>
    <row r="113" spans="1:8">
      <c r="B113" s="1" t="s">
        <v>20</v>
      </c>
      <c r="C113" s="1">
        <f>MIN(C61:C111)</f>
        <v>80.819999999999993</v>
      </c>
      <c r="D113" s="1">
        <f t="shared" ref="D113:F113" si="7">MIN(D61:D111)</f>
        <v>39.229999999999997</v>
      </c>
      <c r="E113" s="1">
        <f t="shared" si="7"/>
        <v>0.338362</v>
      </c>
      <c r="F113" s="1">
        <f t="shared" si="7"/>
        <v>4.5312000000000001</v>
      </c>
      <c r="H113" s="1">
        <f t="shared" ref="H113" si="8">MIN(H61:H111)</f>
        <v>15.32</v>
      </c>
    </row>
    <row r="114" spans="1:8">
      <c r="B114" s="1" t="s">
        <v>3</v>
      </c>
      <c r="C114" s="1">
        <f>STDEV(C62:C111)</f>
        <v>18.805386549212418</v>
      </c>
      <c r="D114" s="1">
        <f t="shared" ref="D114:E114" si="9">STDEV(D62:D111)</f>
        <v>0.41268661826850367</v>
      </c>
      <c r="E114" s="1">
        <f t="shared" si="9"/>
        <v>3.2626979282044506E-2</v>
      </c>
      <c r="F114" s="1">
        <f>STDEV(F62:F111)</f>
        <v>26.997283967054557</v>
      </c>
      <c r="H114" s="1">
        <f>STDEV(H62:H111)</f>
        <v>3.6456059321112617</v>
      </c>
    </row>
    <row r="116" spans="1:8">
      <c r="H116" s="2" t="s">
        <v>1435</v>
      </c>
    </row>
    <row r="117" spans="1:8" ht="18">
      <c r="A117" s="2" t="s">
        <v>7</v>
      </c>
      <c r="B117" s="3" t="s">
        <v>1</v>
      </c>
      <c r="C117" s="2" t="s">
        <v>4</v>
      </c>
      <c r="D117" s="2" t="s">
        <v>322</v>
      </c>
      <c r="E117" s="2" t="s">
        <v>321</v>
      </c>
      <c r="F117" s="2" t="s">
        <v>324</v>
      </c>
      <c r="G117" s="2" t="s">
        <v>323</v>
      </c>
      <c r="H117" s="2" t="s">
        <v>1436</v>
      </c>
    </row>
    <row r="118" spans="1:8">
      <c r="A118" s="1">
        <v>1</v>
      </c>
      <c r="B118" s="1" t="s">
        <v>932</v>
      </c>
      <c r="C118" s="1">
        <v>92.03</v>
      </c>
      <c r="D118" s="1">
        <v>79.400000000000006</v>
      </c>
      <c r="E118" s="1">
        <v>0.45541300000000001</v>
      </c>
      <c r="F118" s="1">
        <f>43814400*(10^-6)</f>
        <v>43.814399999999999</v>
      </c>
      <c r="G118" s="1">
        <v>6</v>
      </c>
      <c r="H118" s="1">
        <v>17.48</v>
      </c>
    </row>
    <row r="119" spans="1:8">
      <c r="A119" s="1">
        <v>2</v>
      </c>
      <c r="B119" s="1" t="s">
        <v>933</v>
      </c>
      <c r="C119" s="1">
        <v>99.56</v>
      </c>
      <c r="D119" s="1">
        <v>79.62</v>
      </c>
      <c r="E119" s="1">
        <v>0.435587</v>
      </c>
      <c r="F119" s="1">
        <f>48729600*(10^-6)</f>
        <v>48.729599999999998</v>
      </c>
      <c r="G119" s="1">
        <v>0</v>
      </c>
      <c r="H119" s="1">
        <v>19.12</v>
      </c>
    </row>
    <row r="120" spans="1:8">
      <c r="A120" s="1">
        <v>3</v>
      </c>
      <c r="B120" s="1" t="s">
        <v>934</v>
      </c>
      <c r="C120" s="1">
        <v>120.84</v>
      </c>
      <c r="D120" s="1">
        <v>80.78</v>
      </c>
      <c r="E120" s="1">
        <v>0.49172700000000003</v>
      </c>
      <c r="F120" s="1">
        <f>100953600*(10^-6)</f>
        <v>100.95359999999999</v>
      </c>
      <c r="G120" s="1">
        <v>4</v>
      </c>
      <c r="H120" s="1">
        <v>23.04</v>
      </c>
    </row>
    <row r="121" spans="1:8">
      <c r="A121" s="1">
        <v>4</v>
      </c>
      <c r="B121" s="1" t="s">
        <v>935</v>
      </c>
      <c r="C121" s="1">
        <v>103.05</v>
      </c>
      <c r="D121" s="1">
        <v>78.37</v>
      </c>
      <c r="E121" s="1">
        <v>0.39555299999999999</v>
      </c>
      <c r="F121" s="1">
        <f>1267200*(10^-6)</f>
        <v>1.2671999999999999</v>
      </c>
      <c r="G121" s="1">
        <v>6</v>
      </c>
      <c r="H121" s="1">
        <v>20.02</v>
      </c>
    </row>
    <row r="122" spans="1:8">
      <c r="A122" s="1">
        <v>5</v>
      </c>
      <c r="B122" s="1" t="s">
        <v>936</v>
      </c>
      <c r="C122" s="1">
        <v>111.93</v>
      </c>
      <c r="D122" s="1">
        <v>80.069999999999993</v>
      </c>
      <c r="E122" s="1">
        <v>0.43001400000000001</v>
      </c>
      <c r="F122" s="1">
        <f>43238400*(10^-6)</f>
        <v>43.238399999999999</v>
      </c>
      <c r="G122" s="1">
        <v>14</v>
      </c>
      <c r="H122" s="1">
        <v>21.42</v>
      </c>
    </row>
    <row r="123" spans="1:8">
      <c r="A123" s="1">
        <v>6</v>
      </c>
      <c r="B123" s="1" t="s">
        <v>937</v>
      </c>
      <c r="C123" s="1">
        <v>100.92</v>
      </c>
      <c r="D123" s="1">
        <v>79.87</v>
      </c>
      <c r="E123" s="1">
        <v>0.45934799999999998</v>
      </c>
      <c r="F123" s="1">
        <f>62361600*(10^-6)</f>
        <v>62.361599999999996</v>
      </c>
      <c r="G123" s="1">
        <v>8</v>
      </c>
      <c r="H123" s="1">
        <v>19.21</v>
      </c>
    </row>
    <row r="124" spans="1:8">
      <c r="A124" s="1">
        <v>7</v>
      </c>
      <c r="B124" s="1" t="s">
        <v>938</v>
      </c>
      <c r="C124" s="1">
        <v>98.28</v>
      </c>
      <c r="D124" s="1">
        <v>79.5</v>
      </c>
      <c r="E124" s="1">
        <v>0.41176299999999999</v>
      </c>
      <c r="F124" s="1">
        <f>51878400*(10^-6)</f>
        <v>51.878399999999999</v>
      </c>
      <c r="G124" s="1">
        <v>14</v>
      </c>
      <c r="H124" s="1">
        <v>19.010000000000002</v>
      </c>
    </row>
    <row r="125" spans="1:8">
      <c r="A125" s="1">
        <v>8</v>
      </c>
      <c r="B125" s="1" t="s">
        <v>939</v>
      </c>
      <c r="C125" s="1">
        <v>95.78</v>
      </c>
      <c r="D125" s="1">
        <v>79.45</v>
      </c>
      <c r="E125" s="1">
        <v>0.430919</v>
      </c>
      <c r="F125" s="1">
        <f>52761600*(10^-6)</f>
        <v>52.761599999999994</v>
      </c>
      <c r="G125" s="1">
        <v>8</v>
      </c>
      <c r="H125" s="1">
        <v>18.309999999999999</v>
      </c>
    </row>
    <row r="126" spans="1:8">
      <c r="A126" s="1">
        <v>9</v>
      </c>
      <c r="B126" s="1" t="s">
        <v>940</v>
      </c>
      <c r="C126" s="1">
        <v>100.63</v>
      </c>
      <c r="D126" s="1">
        <v>79.8</v>
      </c>
      <c r="E126" s="1">
        <v>0.45789600000000003</v>
      </c>
      <c r="F126" s="1">
        <f>59366400*(10^-6)</f>
        <v>59.366399999999999</v>
      </c>
      <c r="G126" s="1">
        <v>2</v>
      </c>
      <c r="H126" s="1">
        <v>19.2</v>
      </c>
    </row>
    <row r="127" spans="1:8">
      <c r="A127" s="1">
        <v>10</v>
      </c>
      <c r="B127" s="1" t="s">
        <v>941</v>
      </c>
      <c r="C127" s="1">
        <v>90.57</v>
      </c>
      <c r="D127" s="1">
        <v>79.38</v>
      </c>
      <c r="E127" s="1">
        <v>0.462308</v>
      </c>
      <c r="F127" s="1">
        <f>52761600*(10^-6)</f>
        <v>52.761599999999994</v>
      </c>
      <c r="G127" s="1">
        <v>16</v>
      </c>
      <c r="H127" s="1">
        <v>17.190000000000001</v>
      </c>
    </row>
    <row r="128" spans="1:8">
      <c r="A128" s="1">
        <v>11</v>
      </c>
      <c r="B128" s="1" t="s">
        <v>942</v>
      </c>
      <c r="C128" s="1">
        <v>111.08</v>
      </c>
      <c r="D128" s="1">
        <v>80.239999999999995</v>
      </c>
      <c r="E128" s="1">
        <v>0.45962500000000001</v>
      </c>
      <c r="F128" s="1">
        <f>55680000*(10^-6)</f>
        <v>55.68</v>
      </c>
      <c r="G128" s="1">
        <v>6</v>
      </c>
      <c r="H128" s="1">
        <v>21.29</v>
      </c>
    </row>
    <row r="129" spans="1:8">
      <c r="A129" s="1">
        <v>12</v>
      </c>
      <c r="B129" s="1" t="s">
        <v>943</v>
      </c>
      <c r="C129" s="1">
        <v>117.6</v>
      </c>
      <c r="D129" s="1">
        <v>80.64</v>
      </c>
      <c r="E129" s="1">
        <v>0.48343700000000001</v>
      </c>
      <c r="F129" s="1">
        <f>100531200*(10^-6)</f>
        <v>100.5312</v>
      </c>
      <c r="G129" s="1">
        <v>4</v>
      </c>
      <c r="H129" s="1">
        <v>22.4</v>
      </c>
    </row>
    <row r="130" spans="1:8">
      <c r="A130" s="1">
        <v>13</v>
      </c>
      <c r="B130" s="1" t="s">
        <v>944</v>
      </c>
      <c r="C130" s="1">
        <v>96.98</v>
      </c>
      <c r="D130" s="1">
        <v>79.709999999999994</v>
      </c>
      <c r="E130" s="1">
        <v>0.469532</v>
      </c>
      <c r="F130" s="1">
        <f>55334400*(10^-6)</f>
        <v>55.334399999999995</v>
      </c>
      <c r="G130" s="1">
        <v>2</v>
      </c>
      <c r="H130" s="1">
        <v>18.43</v>
      </c>
    </row>
    <row r="131" spans="1:8">
      <c r="A131" s="1">
        <v>14</v>
      </c>
      <c r="B131" s="1" t="s">
        <v>945</v>
      </c>
      <c r="C131" s="1">
        <v>111.33</v>
      </c>
      <c r="D131" s="1">
        <v>78.61</v>
      </c>
      <c r="E131" s="1">
        <v>0.43653900000000001</v>
      </c>
      <c r="F131" s="1">
        <f>691200*(10^-6)</f>
        <v>0.69119999999999993</v>
      </c>
      <c r="G131" s="1">
        <v>4</v>
      </c>
      <c r="H131" s="1">
        <v>21.18</v>
      </c>
    </row>
    <row r="132" spans="1:8">
      <c r="A132" s="1">
        <v>15</v>
      </c>
      <c r="B132" s="1" t="s">
        <v>946</v>
      </c>
      <c r="C132" s="1">
        <v>91.29</v>
      </c>
      <c r="D132" s="1">
        <v>79.38</v>
      </c>
      <c r="E132" s="1">
        <v>0.45534200000000002</v>
      </c>
      <c r="F132" s="1">
        <f>53184000*(10^-6)</f>
        <v>53.183999999999997</v>
      </c>
      <c r="G132" s="1">
        <v>10</v>
      </c>
      <c r="H132" s="1">
        <v>17.45</v>
      </c>
    </row>
    <row r="133" spans="1:8">
      <c r="A133" s="1">
        <v>16</v>
      </c>
      <c r="B133" s="1" t="s">
        <v>947</v>
      </c>
      <c r="C133" s="1">
        <v>93.07</v>
      </c>
      <c r="D133" s="1">
        <v>79.39</v>
      </c>
      <c r="E133" s="1">
        <v>0.44517800000000002</v>
      </c>
      <c r="F133" s="1">
        <f>51916800*(10^-6)</f>
        <v>51.916799999999995</v>
      </c>
      <c r="G133" s="1">
        <v>16</v>
      </c>
      <c r="H133" s="1">
        <v>17.72</v>
      </c>
    </row>
    <row r="134" spans="1:8">
      <c r="A134" s="1">
        <v>17</v>
      </c>
      <c r="B134" s="1" t="s">
        <v>948</v>
      </c>
      <c r="C134" s="1">
        <v>89.88</v>
      </c>
      <c r="D134" s="1">
        <v>79.290000000000006</v>
      </c>
      <c r="E134" s="1">
        <v>0.448212</v>
      </c>
      <c r="F134" s="1">
        <f>56563200*(10^-6)</f>
        <v>56.563199999999995</v>
      </c>
      <c r="G134" s="1">
        <v>14</v>
      </c>
      <c r="H134" s="1">
        <v>17.11</v>
      </c>
    </row>
    <row r="135" spans="1:8">
      <c r="A135" s="1">
        <v>18</v>
      </c>
      <c r="B135" s="1" t="s">
        <v>949</v>
      </c>
      <c r="C135" s="1">
        <v>116.24</v>
      </c>
      <c r="D135" s="1">
        <v>78.290000000000006</v>
      </c>
      <c r="E135" s="1">
        <v>0.43607000000000001</v>
      </c>
      <c r="F135" s="1">
        <f>230400*(10^-6)</f>
        <v>0.23039999999999999</v>
      </c>
      <c r="G135" s="1">
        <v>8</v>
      </c>
      <c r="H135" s="1">
        <v>22.17</v>
      </c>
    </row>
    <row r="136" spans="1:8">
      <c r="A136" s="1">
        <v>19</v>
      </c>
      <c r="B136" s="1" t="s">
        <v>950</v>
      </c>
      <c r="C136" s="1">
        <v>101.21</v>
      </c>
      <c r="D136" s="1">
        <v>79.739999999999995</v>
      </c>
      <c r="E136" s="1">
        <v>0.44325999999999999</v>
      </c>
      <c r="F136" s="1">
        <f>40320000*(10^-6)</f>
        <v>40.32</v>
      </c>
      <c r="G136" s="1">
        <v>4</v>
      </c>
      <c r="H136" s="1">
        <v>19.48</v>
      </c>
    </row>
    <row r="137" spans="1:8">
      <c r="A137" s="1">
        <v>20</v>
      </c>
      <c r="B137" s="1" t="s">
        <v>951</v>
      </c>
      <c r="C137" s="1">
        <v>86.4</v>
      </c>
      <c r="D137" s="1">
        <v>78.97</v>
      </c>
      <c r="E137" s="1">
        <v>0.42403299999999999</v>
      </c>
      <c r="F137" s="1">
        <f>41894400*(10^-6)</f>
        <v>41.894399999999997</v>
      </c>
      <c r="G137" s="1">
        <v>14</v>
      </c>
      <c r="H137" s="1">
        <v>16.510000000000002</v>
      </c>
    </row>
    <row r="138" spans="1:8">
      <c r="A138" s="1">
        <v>21</v>
      </c>
      <c r="B138" s="1" t="s">
        <v>952</v>
      </c>
      <c r="C138" s="1">
        <v>83.06</v>
      </c>
      <c r="D138" s="1">
        <v>78.98</v>
      </c>
      <c r="E138" s="1">
        <v>0.45082699999999998</v>
      </c>
      <c r="F138" s="1">
        <f>45312000*(10^-6)</f>
        <v>45.311999999999998</v>
      </c>
      <c r="G138" s="1">
        <v>6</v>
      </c>
      <c r="H138" s="1">
        <v>15.77</v>
      </c>
    </row>
    <row r="139" spans="1:8">
      <c r="A139" s="1">
        <v>22</v>
      </c>
      <c r="B139" s="1" t="s">
        <v>953</v>
      </c>
      <c r="C139" s="1">
        <v>85.94</v>
      </c>
      <c r="D139" s="1">
        <v>79.209999999999994</v>
      </c>
      <c r="E139" s="1">
        <v>0.47428999999999999</v>
      </c>
      <c r="F139" s="1">
        <f>52723200*(10^-6)</f>
        <v>52.723199999999999</v>
      </c>
      <c r="G139" s="1">
        <v>12</v>
      </c>
      <c r="H139" s="1">
        <v>16.309999999999999</v>
      </c>
    </row>
    <row r="140" spans="1:8">
      <c r="A140" s="1">
        <v>23</v>
      </c>
      <c r="B140" s="1" t="s">
        <v>954</v>
      </c>
      <c r="C140" s="1">
        <v>89.16</v>
      </c>
      <c r="D140" s="1">
        <v>78.430000000000007</v>
      </c>
      <c r="E140" s="1">
        <v>0.35670800000000003</v>
      </c>
      <c r="F140" s="1">
        <f>21657600*(10^-6)</f>
        <v>21.657599999999999</v>
      </c>
      <c r="G140" s="1">
        <v>8</v>
      </c>
      <c r="H140" s="1">
        <v>17.13</v>
      </c>
    </row>
    <row r="141" spans="1:8">
      <c r="A141" s="1">
        <v>24</v>
      </c>
      <c r="B141" s="1" t="s">
        <v>955</v>
      </c>
      <c r="C141" s="1">
        <v>101.59</v>
      </c>
      <c r="D141" s="1">
        <v>79.88</v>
      </c>
      <c r="E141" s="1">
        <v>0.466499</v>
      </c>
      <c r="F141" s="1">
        <f>53875200*(10^-6)</f>
        <v>53.8752</v>
      </c>
      <c r="G141" s="1">
        <v>0</v>
      </c>
      <c r="H141" s="1">
        <v>19.399999999999999</v>
      </c>
    </row>
    <row r="142" spans="1:8">
      <c r="A142" s="1">
        <v>25</v>
      </c>
      <c r="B142" s="1" t="s">
        <v>956</v>
      </c>
      <c r="C142" s="1">
        <v>111.18</v>
      </c>
      <c r="D142" s="1">
        <v>80.260000000000005</v>
      </c>
      <c r="E142" s="1">
        <v>0.46188299999999999</v>
      </c>
      <c r="F142" s="1">
        <f>58982400*(10^-6)</f>
        <v>58.982399999999998</v>
      </c>
      <c r="G142" s="1">
        <v>14</v>
      </c>
      <c r="H142" s="1">
        <v>21.17</v>
      </c>
    </row>
    <row r="143" spans="1:8">
      <c r="A143" s="1">
        <v>26</v>
      </c>
      <c r="B143" s="1" t="s">
        <v>957</v>
      </c>
      <c r="C143" s="1">
        <v>110.44</v>
      </c>
      <c r="D143" s="1">
        <v>80.3</v>
      </c>
      <c r="E143" s="1">
        <v>0.47090900000000002</v>
      </c>
      <c r="F143" s="1">
        <f>71424000*(10^-6)</f>
        <v>71.423999999999992</v>
      </c>
      <c r="G143" s="1">
        <v>16</v>
      </c>
      <c r="H143" s="1">
        <v>21.01</v>
      </c>
    </row>
    <row r="144" spans="1:8">
      <c r="A144" s="1">
        <v>27</v>
      </c>
      <c r="B144" s="1" t="s">
        <v>958</v>
      </c>
      <c r="C144" s="1">
        <v>79.680000000000007</v>
      </c>
      <c r="D144" s="1">
        <v>78.56</v>
      </c>
      <c r="E144" s="1">
        <v>0.41058</v>
      </c>
      <c r="F144" s="1">
        <f>33984000*(10^-6)</f>
        <v>33.984000000000002</v>
      </c>
      <c r="G144" s="1">
        <v>0</v>
      </c>
      <c r="H144" s="1">
        <v>15.16</v>
      </c>
    </row>
    <row r="145" spans="1:8">
      <c r="A145" s="1">
        <v>28</v>
      </c>
      <c r="B145" s="1" t="s">
        <v>959</v>
      </c>
      <c r="C145" s="1">
        <v>93.94</v>
      </c>
      <c r="D145" s="1">
        <v>79.48</v>
      </c>
      <c r="E145" s="1">
        <v>0.45134600000000002</v>
      </c>
      <c r="F145" s="1">
        <f>56256000*(10^-6)</f>
        <v>56.256</v>
      </c>
      <c r="G145" s="1">
        <v>16</v>
      </c>
      <c r="H145" s="1">
        <v>17.91</v>
      </c>
    </row>
    <row r="146" spans="1:8">
      <c r="A146" s="1">
        <v>29</v>
      </c>
      <c r="B146" s="1" t="s">
        <v>960</v>
      </c>
      <c r="C146" s="1">
        <v>101.15</v>
      </c>
      <c r="D146" s="1">
        <v>78.760000000000005</v>
      </c>
      <c r="E146" s="1">
        <v>0.44420799999999999</v>
      </c>
      <c r="F146" s="1">
        <f>2188800*(10^-6)</f>
        <v>2.1888000000000001</v>
      </c>
      <c r="G146" s="1">
        <v>4</v>
      </c>
      <c r="H146" s="1">
        <v>19.27</v>
      </c>
    </row>
    <row r="147" spans="1:8">
      <c r="A147" s="1">
        <v>30</v>
      </c>
      <c r="B147" s="1" t="s">
        <v>961</v>
      </c>
      <c r="C147" s="1">
        <v>97.56</v>
      </c>
      <c r="D147" s="1">
        <v>78.38</v>
      </c>
      <c r="E147" s="1">
        <v>0.42973299999999998</v>
      </c>
      <c r="F147" s="1">
        <f>1497600*(10^-6)</f>
        <v>1.4976</v>
      </c>
      <c r="G147" s="1">
        <v>4</v>
      </c>
      <c r="H147" s="1">
        <v>18.559999999999999</v>
      </c>
    </row>
    <row r="148" spans="1:8">
      <c r="A148" s="1">
        <v>31</v>
      </c>
      <c r="B148" s="1" t="s">
        <v>962</v>
      </c>
      <c r="C148" s="1">
        <v>114.22</v>
      </c>
      <c r="D148" s="1">
        <v>80.41</v>
      </c>
      <c r="E148" s="1">
        <v>0.46793800000000002</v>
      </c>
      <c r="F148" s="1">
        <f>67468800*(10^-6)</f>
        <v>67.468800000000002</v>
      </c>
      <c r="G148" s="1">
        <v>0</v>
      </c>
      <c r="H148" s="1">
        <v>21.88</v>
      </c>
    </row>
    <row r="149" spans="1:8">
      <c r="A149" s="1">
        <v>32</v>
      </c>
      <c r="B149" s="1" t="s">
        <v>963</v>
      </c>
      <c r="C149" s="1">
        <v>121.54</v>
      </c>
      <c r="D149" s="1">
        <v>80.78</v>
      </c>
      <c r="E149" s="1">
        <v>0.48465999999999998</v>
      </c>
      <c r="F149" s="1">
        <f>101721600*(10^-6)</f>
        <v>101.7216</v>
      </c>
      <c r="G149" s="1">
        <v>4</v>
      </c>
      <c r="H149" s="1">
        <v>23.12</v>
      </c>
    </row>
    <row r="150" spans="1:8">
      <c r="A150" s="1">
        <v>33</v>
      </c>
      <c r="B150" s="1" t="s">
        <v>964</v>
      </c>
      <c r="C150" s="1">
        <v>88.23</v>
      </c>
      <c r="D150" s="1">
        <v>79.08</v>
      </c>
      <c r="E150" s="1">
        <v>0.420964</v>
      </c>
      <c r="F150" s="1">
        <f>54566400*(10^-6)</f>
        <v>54.566399999999994</v>
      </c>
      <c r="G150" s="1">
        <v>18</v>
      </c>
      <c r="H150" s="1">
        <v>17.010000000000002</v>
      </c>
    </row>
    <row r="151" spans="1:8">
      <c r="A151" s="1">
        <v>34</v>
      </c>
      <c r="B151" s="1" t="s">
        <v>965</v>
      </c>
      <c r="C151" s="1">
        <v>87.74</v>
      </c>
      <c r="D151" s="1">
        <v>78.489999999999995</v>
      </c>
      <c r="E151" s="1">
        <v>0.35622300000000001</v>
      </c>
      <c r="F151" s="1">
        <f>27379200*(10^-6)</f>
        <v>27.379199999999997</v>
      </c>
      <c r="G151" s="1">
        <v>16</v>
      </c>
      <c r="H151" s="1">
        <v>16.82</v>
      </c>
    </row>
    <row r="152" spans="1:8">
      <c r="A152" s="1">
        <v>35</v>
      </c>
      <c r="B152" s="1" t="s">
        <v>966</v>
      </c>
      <c r="C152" s="1">
        <v>110.28</v>
      </c>
      <c r="D152" s="1">
        <v>80.19</v>
      </c>
      <c r="E152" s="1">
        <v>0.45189099999999999</v>
      </c>
      <c r="F152" s="1">
        <f>59212800*(10^-6)</f>
        <v>59.212799999999994</v>
      </c>
      <c r="G152" s="1">
        <v>0</v>
      </c>
      <c r="H152" s="1">
        <v>20.97</v>
      </c>
    </row>
    <row r="153" spans="1:8">
      <c r="A153" s="1">
        <v>36</v>
      </c>
      <c r="B153" s="1" t="s">
        <v>967</v>
      </c>
      <c r="C153" s="1">
        <v>99.07</v>
      </c>
      <c r="D153" s="1">
        <v>79.75</v>
      </c>
      <c r="E153" s="1">
        <v>0.45706000000000002</v>
      </c>
      <c r="F153" s="1">
        <f>52608000*(10^-6)</f>
        <v>52.607999999999997</v>
      </c>
      <c r="G153" s="1">
        <v>4</v>
      </c>
      <c r="H153" s="1">
        <v>18.84</v>
      </c>
    </row>
    <row r="154" spans="1:8">
      <c r="A154" s="1">
        <v>37</v>
      </c>
      <c r="B154" s="1" t="s">
        <v>968</v>
      </c>
      <c r="C154" s="1">
        <v>99.19</v>
      </c>
      <c r="D154" s="1">
        <v>78.42</v>
      </c>
      <c r="E154" s="1">
        <v>0.39757700000000001</v>
      </c>
      <c r="F154" s="1">
        <f>2342400*(10^-6)</f>
        <v>2.3424</v>
      </c>
      <c r="G154" s="1">
        <v>4</v>
      </c>
      <c r="H154" s="1">
        <v>18.86</v>
      </c>
    </row>
    <row r="155" spans="1:8">
      <c r="A155" s="1">
        <v>38</v>
      </c>
      <c r="B155" s="1" t="s">
        <v>969</v>
      </c>
      <c r="C155" s="1">
        <v>124.39</v>
      </c>
      <c r="D155" s="1">
        <v>80.86</v>
      </c>
      <c r="E155" s="1">
        <v>0.48004400000000003</v>
      </c>
      <c r="F155" s="1">
        <f>100646400*(10^-6)</f>
        <v>100.6464</v>
      </c>
      <c r="G155" s="1">
        <v>0</v>
      </c>
      <c r="H155" s="1">
        <v>23.79</v>
      </c>
    </row>
    <row r="156" spans="1:8">
      <c r="A156" s="1">
        <v>39</v>
      </c>
      <c r="B156" s="1" t="s">
        <v>970</v>
      </c>
      <c r="C156" s="1">
        <v>101.6</v>
      </c>
      <c r="D156" s="1">
        <v>79.84</v>
      </c>
      <c r="E156" s="1">
        <v>0.45642199999999999</v>
      </c>
      <c r="F156" s="1">
        <f>53606400*(10^-6)</f>
        <v>53.606400000000001</v>
      </c>
      <c r="G156" s="1">
        <v>4</v>
      </c>
      <c r="H156" s="1">
        <v>19.48</v>
      </c>
    </row>
    <row r="157" spans="1:8">
      <c r="A157" s="1">
        <v>40</v>
      </c>
      <c r="B157" s="1" t="s">
        <v>971</v>
      </c>
      <c r="C157" s="1">
        <v>106.31</v>
      </c>
      <c r="D157" s="1">
        <v>80.03</v>
      </c>
      <c r="E157" s="1">
        <v>0.46072200000000002</v>
      </c>
      <c r="F157" s="1">
        <f>52646400*(10^-6)</f>
        <v>52.6464</v>
      </c>
      <c r="G157" s="1">
        <v>0</v>
      </c>
      <c r="H157" s="1">
        <v>20.329999999999998</v>
      </c>
    </row>
    <row r="158" spans="1:8">
      <c r="A158" s="1">
        <v>41</v>
      </c>
      <c r="B158" s="1" t="s">
        <v>972</v>
      </c>
      <c r="C158" s="1">
        <v>103.49</v>
      </c>
      <c r="D158" s="1">
        <v>80</v>
      </c>
      <c r="E158" s="1">
        <v>0.47142800000000001</v>
      </c>
      <c r="F158" s="1">
        <f>58483200*(10^-6)</f>
        <v>58.483199999999997</v>
      </c>
      <c r="G158" s="1">
        <v>16</v>
      </c>
      <c r="H158" s="1">
        <v>19.66</v>
      </c>
    </row>
    <row r="159" spans="1:8">
      <c r="A159" s="1">
        <v>42</v>
      </c>
      <c r="B159" s="1" t="s">
        <v>973</v>
      </c>
      <c r="C159" s="1">
        <v>122.71</v>
      </c>
      <c r="D159" s="1">
        <v>80.17</v>
      </c>
      <c r="E159" s="1">
        <v>0.40228999999999998</v>
      </c>
      <c r="F159" s="1">
        <f>39782400*(10^-6)</f>
        <v>39.782399999999996</v>
      </c>
      <c r="G159" s="1">
        <v>2</v>
      </c>
      <c r="H159" s="1">
        <v>24.11</v>
      </c>
    </row>
    <row r="160" spans="1:8">
      <c r="A160" s="1">
        <v>43</v>
      </c>
      <c r="B160" s="1" t="s">
        <v>974</v>
      </c>
      <c r="C160" s="1">
        <v>94.89</v>
      </c>
      <c r="D160" s="1">
        <v>78.31</v>
      </c>
      <c r="E160" s="1">
        <v>0.428647</v>
      </c>
      <c r="F160" s="1">
        <f>1728000*(10^-6)</f>
        <v>1.728</v>
      </c>
      <c r="G160" s="1">
        <v>10</v>
      </c>
      <c r="H160" s="1">
        <v>18.02</v>
      </c>
    </row>
    <row r="161" spans="1:8">
      <c r="A161" s="1">
        <v>44</v>
      </c>
      <c r="B161" s="1" t="s">
        <v>975</v>
      </c>
      <c r="C161" s="1">
        <v>81.87</v>
      </c>
      <c r="D161" s="1">
        <v>77.78</v>
      </c>
      <c r="E161" s="1">
        <v>0.36968200000000001</v>
      </c>
      <c r="F161" s="1">
        <f>3532800*(10^-6)</f>
        <v>3.5327999999999999</v>
      </c>
      <c r="G161" s="1">
        <v>16</v>
      </c>
      <c r="H161" s="1">
        <v>15.9</v>
      </c>
    </row>
    <row r="162" spans="1:8">
      <c r="A162" s="1">
        <v>45</v>
      </c>
      <c r="B162" s="1" t="s">
        <v>976</v>
      </c>
      <c r="C162" s="1">
        <v>103.03</v>
      </c>
      <c r="D162" s="1">
        <v>79.790000000000006</v>
      </c>
      <c r="E162" s="1">
        <v>0.44651200000000002</v>
      </c>
      <c r="F162" s="1">
        <f>43737600*(10^-6)</f>
        <v>43.7376</v>
      </c>
      <c r="G162" s="1">
        <v>0</v>
      </c>
      <c r="H162" s="1">
        <v>19.73</v>
      </c>
    </row>
    <row r="163" spans="1:8">
      <c r="A163" s="1">
        <v>46</v>
      </c>
      <c r="B163" s="1" t="s">
        <v>977</v>
      </c>
      <c r="C163" s="1">
        <v>111.89</v>
      </c>
      <c r="D163" s="1">
        <v>80.430000000000007</v>
      </c>
      <c r="E163" s="1">
        <v>0.486792</v>
      </c>
      <c r="F163" s="1">
        <f>87321600*(10^-6)</f>
        <v>87.321599999999989</v>
      </c>
      <c r="G163" s="1">
        <v>10</v>
      </c>
      <c r="H163" s="1">
        <v>21.32</v>
      </c>
    </row>
    <row r="164" spans="1:8">
      <c r="A164" s="1">
        <v>47</v>
      </c>
      <c r="B164" s="1" t="s">
        <v>978</v>
      </c>
      <c r="C164" s="1">
        <v>102.95</v>
      </c>
      <c r="D164" s="1">
        <v>79.959999999999994</v>
      </c>
      <c r="E164" s="1">
        <v>0.46972199999999997</v>
      </c>
      <c r="F164" s="1">
        <f>55680000*(10^-6)</f>
        <v>55.68</v>
      </c>
      <c r="G164" s="1">
        <v>4</v>
      </c>
      <c r="H164" s="1">
        <v>19.54</v>
      </c>
    </row>
    <row r="165" spans="1:8">
      <c r="A165" s="1">
        <v>48</v>
      </c>
      <c r="B165" s="1" t="s">
        <v>979</v>
      </c>
      <c r="C165" s="1">
        <v>104.6</v>
      </c>
      <c r="D165" s="1">
        <v>79.94</v>
      </c>
      <c r="E165" s="1">
        <v>0.450013</v>
      </c>
      <c r="F165" s="1">
        <f>55065600*(10^-6)</f>
        <v>55.065599999999996</v>
      </c>
      <c r="G165" s="1">
        <v>0</v>
      </c>
      <c r="H165" s="1">
        <v>19.98</v>
      </c>
    </row>
    <row r="166" spans="1:8">
      <c r="A166" s="1">
        <v>49</v>
      </c>
      <c r="B166" s="1" t="s">
        <v>980</v>
      </c>
      <c r="C166" s="1">
        <v>93.2</v>
      </c>
      <c r="D166" s="1">
        <v>79.27</v>
      </c>
      <c r="E166" s="1">
        <v>0.43556800000000001</v>
      </c>
      <c r="F166" s="1">
        <f>36364800*(10^-6)</f>
        <v>36.364799999999995</v>
      </c>
      <c r="G166" s="1">
        <v>16</v>
      </c>
      <c r="H166" s="1">
        <v>17.7</v>
      </c>
    </row>
    <row r="167" spans="1:8">
      <c r="A167" s="1">
        <v>50</v>
      </c>
      <c r="B167" s="1" t="s">
        <v>981</v>
      </c>
      <c r="C167" s="1">
        <v>113.27</v>
      </c>
      <c r="D167" s="1">
        <v>80.319999999999993</v>
      </c>
      <c r="E167" s="1">
        <v>0.45507799999999998</v>
      </c>
      <c r="F167" s="1">
        <f>67584000*(10^-6)</f>
        <v>67.584000000000003</v>
      </c>
      <c r="G167" s="1">
        <v>2</v>
      </c>
      <c r="H167" s="1">
        <v>21.67</v>
      </c>
    </row>
    <row r="168" spans="1:8">
      <c r="B168" s="1" t="s">
        <v>19</v>
      </c>
      <c r="C168" s="1">
        <f>AVERAGE(C118:C167)</f>
        <v>101.3368</v>
      </c>
      <c r="D168" s="1">
        <f t="shared" ref="D168:F168" si="10">AVERAGE(D118:D167)</f>
        <v>79.531200000000013</v>
      </c>
      <c r="E168" s="1">
        <f t="shared" si="10"/>
        <v>0.44395943999999998</v>
      </c>
      <c r="F168" s="1">
        <f t="shared" si="10"/>
        <v>47.857151999999985</v>
      </c>
      <c r="H168" s="1">
        <f>AVERAGE(H118:H167)</f>
        <v>19.363199999999999</v>
      </c>
    </row>
    <row r="169" spans="1:8">
      <c r="B169" s="1" t="s">
        <v>20</v>
      </c>
      <c r="C169" s="1">
        <f>MIN(C117:C167)</f>
        <v>79.680000000000007</v>
      </c>
      <c r="D169" s="1">
        <f t="shared" ref="D169:F169" si="11">MIN(D117:D167)</f>
        <v>77.78</v>
      </c>
      <c r="E169" s="1">
        <f t="shared" si="11"/>
        <v>0.35622300000000001</v>
      </c>
      <c r="F169" s="1">
        <f t="shared" si="11"/>
        <v>0.23039999999999999</v>
      </c>
      <c r="H169" s="1">
        <f>MIN(H117:H167)</f>
        <v>15.16</v>
      </c>
    </row>
    <row r="170" spans="1:8">
      <c r="B170" s="1" t="s">
        <v>3</v>
      </c>
      <c r="C170" s="1">
        <f>STDEV(C118:C167)</f>
        <v>11.246977179378849</v>
      </c>
      <c r="D170" s="1">
        <f t="shared" ref="D170:E170" si="12">STDEV(D118:D167)</f>
        <v>0.76038024858937425</v>
      </c>
      <c r="E170" s="1">
        <f t="shared" si="12"/>
        <v>3.1031195282482268E-2</v>
      </c>
      <c r="F170" s="1">
        <f>STDEV(F118:F167)</f>
        <v>26.441469539653525</v>
      </c>
      <c r="H170" s="1">
        <f>STDEV(H118:H167)</f>
        <v>2.1711836704001262</v>
      </c>
    </row>
    <row r="172" spans="1:8">
      <c r="H172" s="2" t="s">
        <v>1435</v>
      </c>
    </row>
    <row r="173" spans="1:8" ht="18">
      <c r="A173" s="2" t="s">
        <v>7</v>
      </c>
      <c r="B173" s="3" t="s">
        <v>9</v>
      </c>
      <c r="C173" s="2" t="s">
        <v>4</v>
      </c>
      <c r="D173" s="2" t="s">
        <v>322</v>
      </c>
      <c r="E173" s="2" t="s">
        <v>321</v>
      </c>
      <c r="F173" s="2" t="s">
        <v>324</v>
      </c>
      <c r="G173" s="2" t="s">
        <v>323</v>
      </c>
      <c r="H173" s="2" t="s">
        <v>1436</v>
      </c>
    </row>
    <row r="174" spans="1:8">
      <c r="A174" s="1">
        <v>1</v>
      </c>
      <c r="B174" s="1" t="s">
        <v>982</v>
      </c>
      <c r="C174" s="1">
        <v>82.97</v>
      </c>
      <c r="D174" s="1">
        <v>156.41</v>
      </c>
      <c r="E174" s="1">
        <v>0.40200599999999997</v>
      </c>
      <c r="F174" s="1">
        <f>2304000*(10^-6)</f>
        <v>2.3039999999999998</v>
      </c>
      <c r="G174" s="1">
        <v>16</v>
      </c>
      <c r="H174" s="1">
        <v>15.8</v>
      </c>
    </row>
    <row r="175" spans="1:8">
      <c r="A175" s="1">
        <v>2</v>
      </c>
      <c r="B175" s="1" t="s">
        <v>983</v>
      </c>
      <c r="C175" s="1">
        <v>68.349999999999994</v>
      </c>
      <c r="D175" s="1">
        <v>154.47</v>
      </c>
      <c r="E175" s="1">
        <v>0.35305500000000001</v>
      </c>
      <c r="F175" s="1">
        <f>8524800*(10^-6)</f>
        <v>8.524799999999999</v>
      </c>
      <c r="G175" s="1">
        <v>10</v>
      </c>
      <c r="H175" s="1">
        <v>13</v>
      </c>
    </row>
    <row r="176" spans="1:8">
      <c r="A176" s="1">
        <v>3</v>
      </c>
      <c r="B176" s="1" t="s">
        <v>984</v>
      </c>
      <c r="C176" s="1">
        <v>85.6</v>
      </c>
      <c r="D176" s="1">
        <v>154.44</v>
      </c>
      <c r="E176" s="1">
        <v>0.37467800000000001</v>
      </c>
      <c r="F176" s="1">
        <f>1344000*(10^-6)</f>
        <v>1.3439999999999999</v>
      </c>
      <c r="G176" s="1">
        <v>20</v>
      </c>
      <c r="H176" s="1">
        <v>16.37</v>
      </c>
    </row>
    <row r="177" spans="1:8">
      <c r="A177" s="1">
        <v>4</v>
      </c>
      <c r="B177" s="1" t="s">
        <v>985</v>
      </c>
      <c r="C177" s="1">
        <v>80.53</v>
      </c>
      <c r="D177" s="1">
        <v>157.19</v>
      </c>
      <c r="E177" s="1">
        <v>0.42689899999999997</v>
      </c>
      <c r="F177" s="1">
        <f>26073600*(10^-6)</f>
        <v>26.073599999999999</v>
      </c>
      <c r="G177" s="1">
        <v>20</v>
      </c>
      <c r="H177" s="1">
        <v>15.37</v>
      </c>
    </row>
    <row r="178" spans="1:8">
      <c r="A178" s="1">
        <v>5</v>
      </c>
      <c r="B178" s="1" t="s">
        <v>986</v>
      </c>
      <c r="C178" s="1">
        <v>69.349999999999994</v>
      </c>
      <c r="D178" s="1">
        <v>155.41</v>
      </c>
      <c r="E178" s="1">
        <v>0.40906399999999998</v>
      </c>
      <c r="F178" s="1">
        <f>10483200*(10^-6)</f>
        <v>10.4832</v>
      </c>
      <c r="G178" s="1">
        <v>4</v>
      </c>
      <c r="H178" s="1">
        <v>13.21</v>
      </c>
    </row>
    <row r="179" spans="1:8">
      <c r="A179" s="1">
        <v>6</v>
      </c>
      <c r="B179" s="1" t="s">
        <v>987</v>
      </c>
      <c r="C179" s="1">
        <v>91.42</v>
      </c>
      <c r="D179" s="1">
        <v>158.68</v>
      </c>
      <c r="E179" s="1">
        <v>0.44933400000000001</v>
      </c>
      <c r="F179" s="1">
        <f>37401600*(10^-6)</f>
        <v>37.401599999999995</v>
      </c>
      <c r="G179" s="1">
        <v>8</v>
      </c>
      <c r="H179" s="1">
        <v>17.37</v>
      </c>
    </row>
    <row r="180" spans="1:8">
      <c r="A180" s="1">
        <v>7</v>
      </c>
      <c r="B180" s="1" t="s">
        <v>988</v>
      </c>
      <c r="C180" s="1">
        <v>82.26</v>
      </c>
      <c r="D180" s="1">
        <v>156.12</v>
      </c>
      <c r="E180" s="1">
        <v>0.42315799999999998</v>
      </c>
      <c r="F180" s="1">
        <f>960000*(10^-6)</f>
        <v>0.96</v>
      </c>
      <c r="G180" s="1">
        <v>26</v>
      </c>
      <c r="H180" s="1">
        <v>15.67</v>
      </c>
    </row>
    <row r="181" spans="1:8">
      <c r="A181" s="1">
        <v>8</v>
      </c>
      <c r="B181" s="1" t="s">
        <v>989</v>
      </c>
      <c r="C181" s="1">
        <v>67.94</v>
      </c>
      <c r="D181" s="1">
        <v>154.25</v>
      </c>
      <c r="E181" s="1">
        <v>0.39086700000000002</v>
      </c>
      <c r="F181" s="1">
        <f>3763200*(10^-6)</f>
        <v>3.7631999999999999</v>
      </c>
      <c r="G181" s="1">
        <v>26</v>
      </c>
      <c r="H181" s="1">
        <v>12.96</v>
      </c>
    </row>
    <row r="182" spans="1:8">
      <c r="A182" s="1">
        <v>9</v>
      </c>
      <c r="B182" s="1" t="s">
        <v>990</v>
      </c>
      <c r="C182" s="1">
        <v>72.900000000000006</v>
      </c>
      <c r="D182" s="1" t="e">
        <f>-inf</f>
        <v>#NAME?</v>
      </c>
      <c r="E182" s="1">
        <v>0.35711900000000002</v>
      </c>
      <c r="F182" s="1">
        <f>0*(10^-6)</f>
        <v>0</v>
      </c>
      <c r="G182" s="1">
        <v>2</v>
      </c>
      <c r="H182" s="1">
        <v>13.8</v>
      </c>
    </row>
    <row r="183" spans="1:8">
      <c r="A183" s="1">
        <v>10</v>
      </c>
      <c r="B183" s="1" t="s">
        <v>991</v>
      </c>
      <c r="C183" s="1">
        <v>87.07</v>
      </c>
      <c r="D183" s="1">
        <v>158.16</v>
      </c>
      <c r="E183" s="1">
        <v>0.444492</v>
      </c>
      <c r="F183" s="1">
        <f>32448000*(10^-6)</f>
        <v>32.448</v>
      </c>
      <c r="G183" s="1">
        <v>36</v>
      </c>
      <c r="H183" s="1">
        <v>16.53</v>
      </c>
    </row>
    <row r="184" spans="1:8">
      <c r="A184" s="1">
        <v>11</v>
      </c>
      <c r="B184" s="1" t="s">
        <v>992</v>
      </c>
      <c r="C184" s="1">
        <v>78.22</v>
      </c>
      <c r="D184" s="1">
        <v>156.69999999999999</v>
      </c>
      <c r="E184" s="1">
        <v>0.396957</v>
      </c>
      <c r="F184" s="1">
        <f>30297600*(10^-6)</f>
        <v>30.297599999999999</v>
      </c>
      <c r="G184" s="1">
        <v>8</v>
      </c>
      <c r="H184" s="1">
        <v>14.84</v>
      </c>
    </row>
    <row r="185" spans="1:8">
      <c r="A185" s="1">
        <v>12</v>
      </c>
      <c r="B185" s="1" t="s">
        <v>993</v>
      </c>
      <c r="C185" s="1">
        <v>89.86</v>
      </c>
      <c r="D185" s="1">
        <v>155.97999999999999</v>
      </c>
      <c r="E185" s="1">
        <v>0.407661</v>
      </c>
      <c r="F185" s="1">
        <f>1459200*(10^-6)</f>
        <v>1.4591999999999998</v>
      </c>
      <c r="G185" s="1">
        <v>30</v>
      </c>
      <c r="H185" s="1">
        <v>17.13</v>
      </c>
    </row>
    <row r="186" spans="1:8">
      <c r="A186" s="1">
        <v>13</v>
      </c>
      <c r="B186" s="1" t="s">
        <v>994</v>
      </c>
      <c r="C186" s="1">
        <v>79.27</v>
      </c>
      <c r="D186" s="1">
        <v>153.51</v>
      </c>
      <c r="E186" s="1">
        <v>0.39466099999999998</v>
      </c>
      <c r="F186" s="1">
        <f>537600*(10^-6)</f>
        <v>0.53759999999999997</v>
      </c>
      <c r="G186" s="1">
        <v>0</v>
      </c>
      <c r="H186" s="1">
        <v>15.04</v>
      </c>
    </row>
    <row r="187" spans="1:8">
      <c r="A187" s="1">
        <v>14</v>
      </c>
      <c r="B187" s="1" t="s">
        <v>995</v>
      </c>
      <c r="C187" s="1">
        <v>72.56</v>
      </c>
      <c r="D187" s="1">
        <v>153.94</v>
      </c>
      <c r="E187" s="1">
        <v>0.35630600000000001</v>
      </c>
      <c r="F187" s="1">
        <f>4262400*(10^-6)</f>
        <v>4.2623999999999995</v>
      </c>
      <c r="G187" s="1">
        <v>22</v>
      </c>
      <c r="H187" s="1">
        <v>13.84</v>
      </c>
    </row>
    <row r="188" spans="1:8">
      <c r="A188" s="1">
        <v>15</v>
      </c>
      <c r="B188" s="1" t="s">
        <v>996</v>
      </c>
      <c r="C188" s="1">
        <v>65.239999999999995</v>
      </c>
      <c r="D188" s="1">
        <v>153.07</v>
      </c>
      <c r="E188" s="1">
        <v>0.37290800000000002</v>
      </c>
      <c r="F188" s="1">
        <f>806400*(10^-6)</f>
        <v>0.80640000000000001</v>
      </c>
      <c r="G188" s="1">
        <v>26</v>
      </c>
      <c r="H188" s="1">
        <v>12.44</v>
      </c>
    </row>
    <row r="189" spans="1:8">
      <c r="A189" s="1">
        <v>16</v>
      </c>
      <c r="B189" s="1" t="s">
        <v>997</v>
      </c>
      <c r="C189" s="1">
        <v>70.739999999999995</v>
      </c>
      <c r="D189" s="1">
        <v>155.41999999999999</v>
      </c>
      <c r="E189" s="1">
        <v>0.40482800000000002</v>
      </c>
      <c r="F189" s="1">
        <f>14630400*(10^-6)</f>
        <v>14.6304</v>
      </c>
      <c r="G189" s="1">
        <v>36</v>
      </c>
      <c r="H189" s="1">
        <v>13.41</v>
      </c>
    </row>
    <row r="190" spans="1:8">
      <c r="A190" s="1">
        <v>17</v>
      </c>
      <c r="B190" s="1" t="s">
        <v>998</v>
      </c>
      <c r="C190" s="1">
        <v>71.64</v>
      </c>
      <c r="D190" s="1">
        <v>151.69</v>
      </c>
      <c r="E190" s="1">
        <v>0.34898200000000001</v>
      </c>
      <c r="F190" s="1">
        <f>2496000*(10^-6)</f>
        <v>2.496</v>
      </c>
      <c r="G190" s="1">
        <v>4</v>
      </c>
      <c r="H190" s="1">
        <v>13.67</v>
      </c>
    </row>
    <row r="191" spans="1:8">
      <c r="A191" s="1">
        <v>18</v>
      </c>
      <c r="B191" s="1" t="s">
        <v>999</v>
      </c>
      <c r="C191" s="1">
        <v>76.89</v>
      </c>
      <c r="D191" s="1">
        <v>154.88</v>
      </c>
      <c r="E191" s="1">
        <v>0.41478500000000001</v>
      </c>
      <c r="F191" s="1">
        <f>806400*(10^-6)</f>
        <v>0.80640000000000001</v>
      </c>
      <c r="G191" s="1">
        <v>10</v>
      </c>
      <c r="H191" s="1">
        <v>14.62</v>
      </c>
    </row>
    <row r="192" spans="1:8">
      <c r="A192" s="1">
        <v>19</v>
      </c>
      <c r="B192" s="1" t="s">
        <v>1000</v>
      </c>
      <c r="C192" s="1">
        <v>62.46</v>
      </c>
      <c r="D192" s="1">
        <v>148.66999999999999</v>
      </c>
      <c r="E192" s="1">
        <v>0.326347</v>
      </c>
      <c r="F192" s="1">
        <f>691200*(10^-6)</f>
        <v>0.69119999999999993</v>
      </c>
      <c r="G192" s="1">
        <v>14</v>
      </c>
      <c r="H192" s="1">
        <v>11.84</v>
      </c>
    </row>
    <row r="193" spans="1:8">
      <c r="A193" s="1">
        <v>20</v>
      </c>
      <c r="B193" s="1" t="s">
        <v>1001</v>
      </c>
      <c r="C193" s="1">
        <v>86.44</v>
      </c>
      <c r="D193" s="1">
        <v>156.91</v>
      </c>
      <c r="E193" s="1">
        <v>0.42073199999999999</v>
      </c>
      <c r="F193" s="1">
        <f>5913600*(10^-6)</f>
        <v>5.9135999999999997</v>
      </c>
      <c r="G193" s="1">
        <v>24</v>
      </c>
      <c r="H193" s="1">
        <v>16.41</v>
      </c>
    </row>
    <row r="194" spans="1:8">
      <c r="A194" s="1">
        <v>21</v>
      </c>
      <c r="B194" s="1" t="s">
        <v>1002</v>
      </c>
      <c r="C194" s="1">
        <v>83.23</v>
      </c>
      <c r="D194" s="1">
        <v>156.27000000000001</v>
      </c>
      <c r="E194" s="1">
        <v>0.41428399999999999</v>
      </c>
      <c r="F194" s="1">
        <f>1996800*(10^-6)</f>
        <v>1.9967999999999999</v>
      </c>
      <c r="G194" s="1">
        <v>34</v>
      </c>
      <c r="H194" s="1">
        <v>15.82</v>
      </c>
    </row>
    <row r="195" spans="1:8">
      <c r="A195" s="1">
        <v>22</v>
      </c>
      <c r="B195" s="1" t="s">
        <v>1003</v>
      </c>
      <c r="C195" s="1">
        <v>78.42</v>
      </c>
      <c r="D195" s="1">
        <v>155.31</v>
      </c>
      <c r="E195" s="1">
        <v>0.41939399999999999</v>
      </c>
      <c r="F195" s="1">
        <f>307200*(10^-6)</f>
        <v>0.30719999999999997</v>
      </c>
      <c r="G195" s="1">
        <v>4</v>
      </c>
      <c r="H195" s="1">
        <v>14.92</v>
      </c>
    </row>
    <row r="196" spans="1:8">
      <c r="A196" s="1">
        <v>23</v>
      </c>
      <c r="B196" s="1" t="s">
        <v>1004</v>
      </c>
      <c r="C196" s="1">
        <v>81.63</v>
      </c>
      <c r="D196" s="1">
        <v>155.02000000000001</v>
      </c>
      <c r="E196" s="1">
        <v>0.39011200000000001</v>
      </c>
      <c r="F196" s="1">
        <f>3456000*(10^-6)</f>
        <v>3.456</v>
      </c>
      <c r="G196" s="1">
        <v>0</v>
      </c>
      <c r="H196" s="1">
        <v>15.53</v>
      </c>
    </row>
    <row r="197" spans="1:8">
      <c r="A197" s="1">
        <v>24</v>
      </c>
      <c r="B197" s="1" t="s">
        <v>1005</v>
      </c>
      <c r="C197" s="1">
        <v>80.58</v>
      </c>
      <c r="D197" s="1">
        <v>157.41</v>
      </c>
      <c r="E197" s="1">
        <v>0.43483699999999997</v>
      </c>
      <c r="F197" s="1">
        <f>35289600*(10^-6)</f>
        <v>35.2896</v>
      </c>
      <c r="G197" s="1">
        <v>2</v>
      </c>
      <c r="H197" s="1">
        <v>15.37</v>
      </c>
    </row>
    <row r="198" spans="1:8">
      <c r="A198" s="1">
        <v>25</v>
      </c>
      <c r="B198" s="1" t="s">
        <v>1006</v>
      </c>
      <c r="C198" s="1">
        <v>85.69</v>
      </c>
      <c r="D198" s="1">
        <v>151.94</v>
      </c>
      <c r="E198" s="1">
        <v>0.37264900000000001</v>
      </c>
      <c r="F198" s="1">
        <f>460800*(10^-6)</f>
        <v>0.46079999999999999</v>
      </c>
      <c r="G198" s="1">
        <v>6</v>
      </c>
      <c r="H198" s="1">
        <v>16.34</v>
      </c>
    </row>
    <row r="199" spans="1:8">
      <c r="A199" s="1">
        <v>26</v>
      </c>
      <c r="B199" s="1" t="s">
        <v>1007</v>
      </c>
      <c r="C199" s="1">
        <v>84.62</v>
      </c>
      <c r="D199" s="1">
        <v>157.31</v>
      </c>
      <c r="E199" s="1">
        <v>0.41064499999999998</v>
      </c>
      <c r="F199" s="1">
        <f>22848000*(10^-6)</f>
        <v>22.847999999999999</v>
      </c>
      <c r="G199" s="1">
        <v>30</v>
      </c>
      <c r="H199" s="1">
        <v>16.100000000000001</v>
      </c>
    </row>
    <row r="200" spans="1:8">
      <c r="A200" s="1">
        <v>27</v>
      </c>
      <c r="B200" s="1" t="s">
        <v>1008</v>
      </c>
      <c r="C200" s="1">
        <v>64.28</v>
      </c>
      <c r="D200" s="1" t="e">
        <f>-inf</f>
        <v>#NAME?</v>
      </c>
      <c r="E200" s="1">
        <v>0.38384400000000002</v>
      </c>
      <c r="F200" s="1">
        <f>0*(10^-6)</f>
        <v>0</v>
      </c>
      <c r="G200" s="1">
        <v>38</v>
      </c>
      <c r="H200" s="1">
        <v>12.29</v>
      </c>
    </row>
    <row r="201" spans="1:8">
      <c r="A201" s="1">
        <v>28</v>
      </c>
      <c r="B201" s="1" t="s">
        <v>1009</v>
      </c>
      <c r="C201" s="1">
        <v>80.3</v>
      </c>
      <c r="D201" s="1">
        <v>154.06</v>
      </c>
      <c r="E201" s="1">
        <v>0.38102999999999998</v>
      </c>
      <c r="F201" s="1">
        <f>422400*(10^-6)</f>
        <v>0.4224</v>
      </c>
      <c r="G201" s="1">
        <v>22</v>
      </c>
      <c r="H201" s="1">
        <v>15.29</v>
      </c>
    </row>
    <row r="202" spans="1:8">
      <c r="A202" s="1">
        <v>29</v>
      </c>
      <c r="B202" s="1" t="s">
        <v>1010</v>
      </c>
      <c r="C202" s="1">
        <v>68.98</v>
      </c>
      <c r="D202" s="1">
        <v>154.75</v>
      </c>
      <c r="E202" s="1">
        <v>0.417904</v>
      </c>
      <c r="F202" s="1">
        <f>1075200*(10^-6)</f>
        <v>1.0751999999999999</v>
      </c>
      <c r="G202" s="1">
        <v>30</v>
      </c>
      <c r="H202" s="1">
        <v>13.14</v>
      </c>
    </row>
    <row r="203" spans="1:8">
      <c r="A203" s="1">
        <v>30</v>
      </c>
      <c r="B203" s="1" t="s">
        <v>1011</v>
      </c>
      <c r="C203" s="1">
        <v>74.44</v>
      </c>
      <c r="D203" s="1">
        <v>155.35</v>
      </c>
      <c r="E203" s="1">
        <v>0.354599</v>
      </c>
      <c r="F203" s="1">
        <f>14592000*(10^-6)</f>
        <v>14.591999999999999</v>
      </c>
      <c r="G203" s="1">
        <v>16</v>
      </c>
      <c r="H203" s="1">
        <v>14.27</v>
      </c>
    </row>
    <row r="204" spans="1:8">
      <c r="A204" s="1">
        <v>31</v>
      </c>
      <c r="B204" s="1" t="s">
        <v>1012</v>
      </c>
      <c r="C204" s="1">
        <v>78.64</v>
      </c>
      <c r="D204" s="1">
        <v>155.79</v>
      </c>
      <c r="E204" s="1">
        <v>0.38777600000000001</v>
      </c>
      <c r="F204" s="1">
        <f>2457600*(10^-6)</f>
        <v>2.4575999999999998</v>
      </c>
      <c r="G204" s="1">
        <v>32</v>
      </c>
      <c r="H204" s="1">
        <v>15.01</v>
      </c>
    </row>
    <row r="205" spans="1:8">
      <c r="A205" s="1">
        <v>32</v>
      </c>
      <c r="B205" s="1" t="s">
        <v>1013</v>
      </c>
      <c r="C205" s="1">
        <v>82.48</v>
      </c>
      <c r="D205" s="1">
        <v>155.75</v>
      </c>
      <c r="E205" s="1">
        <v>0.42382700000000001</v>
      </c>
      <c r="F205" s="1">
        <f>2419200*(10^-6)</f>
        <v>2.4192</v>
      </c>
      <c r="G205" s="1">
        <v>36</v>
      </c>
      <c r="H205" s="1">
        <v>15.69</v>
      </c>
    </row>
    <row r="206" spans="1:8">
      <c r="A206" s="1">
        <v>33</v>
      </c>
      <c r="B206" s="1" t="s">
        <v>1014</v>
      </c>
      <c r="C206" s="1">
        <v>78.14</v>
      </c>
      <c r="D206" s="1">
        <v>156.91</v>
      </c>
      <c r="E206" s="1">
        <v>0.41967900000000002</v>
      </c>
      <c r="F206" s="1">
        <f>25267200*(10^-6)</f>
        <v>25.267199999999999</v>
      </c>
      <c r="G206" s="1">
        <v>34</v>
      </c>
      <c r="H206" s="1">
        <v>14.88</v>
      </c>
    </row>
    <row r="207" spans="1:8">
      <c r="A207" s="1">
        <v>34</v>
      </c>
      <c r="B207" s="1" t="s">
        <v>1015</v>
      </c>
      <c r="C207" s="1">
        <v>76.86</v>
      </c>
      <c r="D207" s="1">
        <v>156.74</v>
      </c>
      <c r="E207" s="1">
        <v>0.41607899999999998</v>
      </c>
      <c r="F207" s="1">
        <f>24614400*(10^-6)</f>
        <v>24.6144</v>
      </c>
      <c r="G207" s="1">
        <v>6</v>
      </c>
      <c r="H207" s="1">
        <v>14.68</v>
      </c>
    </row>
    <row r="208" spans="1:8">
      <c r="A208" s="1">
        <v>35</v>
      </c>
      <c r="B208" s="1" t="s">
        <v>1016</v>
      </c>
      <c r="C208" s="1">
        <v>65.11</v>
      </c>
      <c r="D208" s="1">
        <v>154.88</v>
      </c>
      <c r="E208" s="1">
        <v>0.38760299999999998</v>
      </c>
      <c r="F208" s="1">
        <f>11443200*(10^-6)</f>
        <v>11.443199999999999</v>
      </c>
      <c r="G208" s="1">
        <v>10</v>
      </c>
      <c r="H208" s="1">
        <v>12.42</v>
      </c>
    </row>
    <row r="209" spans="1:8">
      <c r="A209" s="1">
        <v>36</v>
      </c>
      <c r="B209" s="1" t="s">
        <v>1017</v>
      </c>
      <c r="C209" s="1">
        <v>84.59</v>
      </c>
      <c r="D209" s="1" t="e">
        <f>-inf</f>
        <v>#NAME?</v>
      </c>
      <c r="E209" s="1">
        <v>0.37718699999999999</v>
      </c>
      <c r="F209" s="1">
        <f>0*(10^-6)</f>
        <v>0</v>
      </c>
      <c r="G209" s="1">
        <v>28</v>
      </c>
      <c r="H209" s="1">
        <v>16.13</v>
      </c>
    </row>
    <row r="210" spans="1:8">
      <c r="A210" s="1">
        <v>37</v>
      </c>
      <c r="B210" s="1" t="s">
        <v>1018</v>
      </c>
      <c r="C210" s="1">
        <v>84.27</v>
      </c>
      <c r="D210" s="1">
        <v>157.6</v>
      </c>
      <c r="E210" s="1">
        <v>0.42318800000000001</v>
      </c>
      <c r="F210" s="1">
        <f>27801600*(10^-6)</f>
        <v>27.801599999999997</v>
      </c>
      <c r="G210" s="1">
        <v>20</v>
      </c>
      <c r="H210" s="1">
        <v>16.07</v>
      </c>
    </row>
    <row r="211" spans="1:8">
      <c r="A211" s="1">
        <v>38</v>
      </c>
      <c r="B211" s="1" t="s">
        <v>1019</v>
      </c>
      <c r="C211" s="1">
        <v>72.09</v>
      </c>
      <c r="D211" s="1">
        <v>155.22999999999999</v>
      </c>
      <c r="E211" s="1">
        <v>0.38479099999999999</v>
      </c>
      <c r="F211" s="1">
        <f>6374400*(10^-6)</f>
        <v>6.3743999999999996</v>
      </c>
      <c r="G211" s="1">
        <v>32</v>
      </c>
      <c r="H211" s="1">
        <v>13.73</v>
      </c>
    </row>
    <row r="212" spans="1:8">
      <c r="A212" s="1">
        <v>39</v>
      </c>
      <c r="B212" s="1" t="s">
        <v>1020</v>
      </c>
      <c r="C212" s="1">
        <v>87.99</v>
      </c>
      <c r="D212" s="1">
        <v>158.19</v>
      </c>
      <c r="E212" s="1">
        <v>0.44425500000000001</v>
      </c>
      <c r="F212" s="1">
        <f>29875200*(10^-6)</f>
        <v>29.8752</v>
      </c>
      <c r="G212" s="1">
        <v>12</v>
      </c>
      <c r="H212" s="1">
        <v>16.72</v>
      </c>
    </row>
    <row r="213" spans="1:8">
      <c r="A213" s="1">
        <v>40</v>
      </c>
      <c r="B213" s="1" t="s">
        <v>1021</v>
      </c>
      <c r="C213" s="1">
        <v>82.22</v>
      </c>
      <c r="D213" s="1">
        <v>154.79</v>
      </c>
      <c r="E213" s="1">
        <v>0.39044299999999998</v>
      </c>
      <c r="F213" s="1">
        <f>1228800*(10^-6)</f>
        <v>1.2287999999999999</v>
      </c>
      <c r="G213" s="1">
        <v>34</v>
      </c>
      <c r="H213" s="1">
        <v>15.65</v>
      </c>
    </row>
    <row r="214" spans="1:8">
      <c r="A214" s="1">
        <v>41</v>
      </c>
      <c r="B214" s="1" t="s">
        <v>1022</v>
      </c>
      <c r="C214" s="1">
        <v>76.84</v>
      </c>
      <c r="D214" s="1">
        <v>155.44999999999999</v>
      </c>
      <c r="E214" s="1">
        <v>0.414107</v>
      </c>
      <c r="F214" s="1">
        <f>998400*(10^-6)</f>
        <v>0.99839999999999995</v>
      </c>
      <c r="G214" s="1">
        <v>14</v>
      </c>
      <c r="H214" s="1">
        <v>14.61</v>
      </c>
    </row>
    <row r="215" spans="1:8">
      <c r="A215" s="1">
        <v>42</v>
      </c>
      <c r="B215" s="1" t="s">
        <v>1023</v>
      </c>
      <c r="C215" s="1">
        <v>76.87</v>
      </c>
      <c r="D215" s="1">
        <v>155.77000000000001</v>
      </c>
      <c r="E215" s="1">
        <v>0.409889</v>
      </c>
      <c r="F215" s="1">
        <f>1804800*(10^-6)</f>
        <v>1.8048</v>
      </c>
      <c r="G215" s="1">
        <v>4</v>
      </c>
      <c r="H215" s="1">
        <v>14.6</v>
      </c>
    </row>
    <row r="216" spans="1:8">
      <c r="A216" s="1">
        <v>43</v>
      </c>
      <c r="B216" s="1" t="s">
        <v>1024</v>
      </c>
      <c r="C216" s="1">
        <v>61.51</v>
      </c>
      <c r="D216" s="1">
        <v>153.9</v>
      </c>
      <c r="E216" s="1">
        <v>0.39795999999999998</v>
      </c>
      <c r="F216" s="1">
        <f>2342400*(10^-6)</f>
        <v>2.3424</v>
      </c>
      <c r="G216" s="1">
        <v>16</v>
      </c>
      <c r="H216" s="1">
        <v>11.68</v>
      </c>
    </row>
    <row r="217" spans="1:8">
      <c r="A217" s="1">
        <v>44</v>
      </c>
      <c r="B217" s="1" t="s">
        <v>1025</v>
      </c>
      <c r="C217" s="1">
        <v>83.64</v>
      </c>
      <c r="D217" s="1">
        <v>155.93</v>
      </c>
      <c r="E217" s="1">
        <v>0.391183</v>
      </c>
      <c r="F217" s="1">
        <f>1766400*(10^-6)</f>
        <v>1.7664</v>
      </c>
      <c r="G217" s="1">
        <v>28</v>
      </c>
      <c r="H217" s="1">
        <v>15.92</v>
      </c>
    </row>
    <row r="218" spans="1:8">
      <c r="A218" s="1">
        <v>45</v>
      </c>
      <c r="B218" s="1" t="s">
        <v>1026</v>
      </c>
      <c r="C218" s="1">
        <v>78.180000000000007</v>
      </c>
      <c r="D218" s="1">
        <v>155.18</v>
      </c>
      <c r="E218" s="1">
        <v>0.38047999999999998</v>
      </c>
      <c r="F218" s="1">
        <f>2227200*(10^-6)</f>
        <v>2.2271999999999998</v>
      </c>
      <c r="G218" s="1">
        <v>2</v>
      </c>
      <c r="H218" s="1">
        <v>14.87</v>
      </c>
    </row>
    <row r="219" spans="1:8">
      <c r="A219" s="1">
        <v>46</v>
      </c>
      <c r="B219" s="1" t="s">
        <v>1027</v>
      </c>
      <c r="C219" s="1">
        <v>73.5</v>
      </c>
      <c r="D219" s="1">
        <v>155.72999999999999</v>
      </c>
      <c r="E219" s="1">
        <v>0.39355000000000001</v>
      </c>
      <c r="F219" s="1">
        <f>7680000*(10^-6)</f>
        <v>7.68</v>
      </c>
      <c r="G219" s="1">
        <v>26</v>
      </c>
      <c r="H219" s="1">
        <v>14.04</v>
      </c>
    </row>
    <row r="220" spans="1:8">
      <c r="A220" s="1">
        <v>47</v>
      </c>
      <c r="B220" s="1" t="s">
        <v>1028</v>
      </c>
      <c r="C220" s="1">
        <v>80.52</v>
      </c>
      <c r="D220" s="1">
        <v>154.4</v>
      </c>
      <c r="E220" s="1">
        <v>0.403312</v>
      </c>
      <c r="F220" s="1">
        <f>1344000*(10^-6)</f>
        <v>1.3439999999999999</v>
      </c>
      <c r="G220" s="1">
        <v>22</v>
      </c>
      <c r="H220" s="1">
        <v>15.3</v>
      </c>
    </row>
    <row r="221" spans="1:8">
      <c r="A221" s="1">
        <v>48</v>
      </c>
      <c r="B221" s="1" t="s">
        <v>1029</v>
      </c>
      <c r="C221" s="1">
        <v>60.13</v>
      </c>
      <c r="D221" s="1">
        <v>151.86000000000001</v>
      </c>
      <c r="E221" s="1">
        <v>0.37859999999999999</v>
      </c>
      <c r="F221" s="1">
        <f>691200*(10^-6)</f>
        <v>0.69119999999999993</v>
      </c>
      <c r="G221" s="1">
        <v>36</v>
      </c>
      <c r="H221" s="1">
        <v>11.44</v>
      </c>
    </row>
    <row r="222" spans="1:8">
      <c r="A222" s="1">
        <v>49</v>
      </c>
      <c r="B222" s="1" t="s">
        <v>1030</v>
      </c>
      <c r="C222" s="1">
        <v>79.47</v>
      </c>
      <c r="D222" s="1">
        <v>154.96</v>
      </c>
      <c r="E222" s="1">
        <v>0.38748300000000002</v>
      </c>
      <c r="F222" s="1">
        <f>2572800*(10^-6)</f>
        <v>2.5728</v>
      </c>
      <c r="G222" s="1">
        <v>22</v>
      </c>
      <c r="H222" s="1">
        <v>15.14</v>
      </c>
    </row>
    <row r="223" spans="1:8">
      <c r="A223" s="1">
        <v>50</v>
      </c>
      <c r="B223" s="1" t="s">
        <v>1031</v>
      </c>
      <c r="C223" s="1">
        <v>68.83</v>
      </c>
      <c r="D223" s="1">
        <v>153.76</v>
      </c>
      <c r="E223" s="1">
        <v>0.39200000000000002</v>
      </c>
      <c r="F223" s="1">
        <f>422400*(10^-6)</f>
        <v>0.4224</v>
      </c>
      <c r="G223" s="1">
        <v>2</v>
      </c>
      <c r="H223" s="1">
        <v>13.09</v>
      </c>
    </row>
    <row r="224" spans="1:8">
      <c r="B224" s="1" t="s">
        <v>19</v>
      </c>
      <c r="C224" s="1">
        <f>AVERAGE(C174:C223)</f>
        <v>77.115200000000016</v>
      </c>
      <c r="D224" s="1" t="e">
        <f t="shared" ref="D224:F224" si="13">AVERAGE(D174:D223)</f>
        <v>#NAME?</v>
      </c>
      <c r="E224" s="1">
        <f t="shared" si="13"/>
        <v>0.39715057999999998</v>
      </c>
      <c r="F224" s="1">
        <f t="shared" si="13"/>
        <v>8.3796479999999978</v>
      </c>
      <c r="H224" s="1">
        <f t="shared" ref="H224" si="14">AVERAGE(H174:H223)</f>
        <v>14.681199999999999</v>
      </c>
    </row>
    <row r="225" spans="1:8">
      <c r="B225" s="1" t="s">
        <v>20</v>
      </c>
      <c r="C225" s="1">
        <f>MIN(C173:C223)</f>
        <v>60.13</v>
      </c>
      <c r="D225" s="1" t="e">
        <f t="shared" ref="D225:F225" si="15">MIN(D173:D223)</f>
        <v>#NAME?</v>
      </c>
      <c r="E225" s="1">
        <f t="shared" si="15"/>
        <v>0.326347</v>
      </c>
      <c r="F225" s="1">
        <f t="shared" si="15"/>
        <v>0</v>
      </c>
      <c r="H225" s="1">
        <f t="shared" ref="H225" si="16">MIN(H173:H223)</f>
        <v>11.44</v>
      </c>
    </row>
    <row r="226" spans="1:8">
      <c r="B226" s="1" t="s">
        <v>3</v>
      </c>
      <c r="C226" s="1">
        <f>STDEV(C174:C223)</f>
        <v>7.7813466753274732</v>
      </c>
      <c r="D226" s="1" t="e">
        <f t="shared" ref="D226:E226" si="17">STDEV(D174:D223)</f>
        <v>#NAME?</v>
      </c>
      <c r="E226" s="1">
        <f t="shared" si="17"/>
        <v>2.6210322026605913E-2</v>
      </c>
      <c r="F226" s="1">
        <f>STDEV(F174:F223)</f>
        <v>11.248125841500011</v>
      </c>
      <c r="H226" s="1">
        <f>STDEV(H174:H223)</f>
        <v>1.4804958353090452</v>
      </c>
    </row>
    <row r="228" spans="1:8">
      <c r="H228" s="2" t="s">
        <v>1435</v>
      </c>
    </row>
    <row r="229" spans="1:8" ht="18">
      <c r="A229" s="2" t="s">
        <v>7</v>
      </c>
      <c r="B229" s="3" t="s">
        <v>2</v>
      </c>
      <c r="C229" s="2" t="s">
        <v>4</v>
      </c>
      <c r="D229" s="2" t="s">
        <v>322</v>
      </c>
      <c r="E229" s="2" t="s">
        <v>321</v>
      </c>
      <c r="F229" s="2" t="s">
        <v>324</v>
      </c>
      <c r="G229" s="2" t="s">
        <v>323</v>
      </c>
      <c r="H229" s="2" t="s">
        <v>1436</v>
      </c>
    </row>
    <row r="230" spans="1:8">
      <c r="A230" s="1">
        <v>1</v>
      </c>
      <c r="B230" s="1" t="s">
        <v>1082</v>
      </c>
      <c r="C230" s="1">
        <v>68.400000000000006</v>
      </c>
      <c r="D230" s="1">
        <v>232.5</v>
      </c>
      <c r="E230" s="1">
        <v>0.408995</v>
      </c>
      <c r="F230" s="1">
        <f>3417600*(10^-6)</f>
        <v>3.4175999999999997</v>
      </c>
      <c r="G230" s="1">
        <v>50</v>
      </c>
      <c r="H230" s="1">
        <v>12.99</v>
      </c>
    </row>
    <row r="231" spans="1:8">
      <c r="A231" s="1">
        <v>2</v>
      </c>
      <c r="B231" s="1" t="s">
        <v>1083</v>
      </c>
      <c r="C231" s="1">
        <v>71.89</v>
      </c>
      <c r="D231" s="1" t="e">
        <f>-inf</f>
        <v>#NAME?</v>
      </c>
      <c r="E231" s="1">
        <v>0.35859999999999997</v>
      </c>
      <c r="F231" s="1">
        <f>0*(10^-6)</f>
        <v>0</v>
      </c>
      <c r="G231" s="1">
        <v>18</v>
      </c>
      <c r="H231" s="1">
        <v>13.68</v>
      </c>
    </row>
    <row r="232" spans="1:8">
      <c r="A232" s="1">
        <v>3</v>
      </c>
      <c r="B232" s="1" t="s">
        <v>1084</v>
      </c>
      <c r="C232" s="1">
        <v>64.88</v>
      </c>
      <c r="D232" s="1">
        <v>230.07</v>
      </c>
      <c r="E232" s="1">
        <v>0.372477</v>
      </c>
      <c r="F232" s="1">
        <f>2150400*(10^-6)</f>
        <v>2.1503999999999999</v>
      </c>
      <c r="G232" s="1">
        <v>32</v>
      </c>
      <c r="H232" s="1">
        <v>12.33</v>
      </c>
    </row>
    <row r="233" spans="1:8">
      <c r="A233" s="1">
        <v>4</v>
      </c>
      <c r="B233" s="1" t="s">
        <v>1085</v>
      </c>
      <c r="C233" s="1">
        <v>66.849999999999994</v>
      </c>
      <c r="D233" s="1">
        <v>229.57</v>
      </c>
      <c r="E233" s="1">
        <v>0.38363700000000001</v>
      </c>
      <c r="F233" s="1">
        <f>268800*(10^-6)</f>
        <v>0.26879999999999998</v>
      </c>
      <c r="G233" s="1">
        <v>54</v>
      </c>
      <c r="H233" s="1">
        <v>12.69</v>
      </c>
    </row>
    <row r="234" spans="1:8">
      <c r="A234" s="1">
        <v>5</v>
      </c>
      <c r="B234" s="1" t="s">
        <v>1086</v>
      </c>
      <c r="C234" s="1">
        <v>62.34</v>
      </c>
      <c r="D234" s="1">
        <v>227.08</v>
      </c>
      <c r="E234" s="1">
        <v>0.37171199999999999</v>
      </c>
      <c r="F234" s="1">
        <f>422400*(10^-6)</f>
        <v>0.4224</v>
      </c>
      <c r="G234" s="1">
        <v>12</v>
      </c>
      <c r="H234" s="1">
        <v>11.86</v>
      </c>
    </row>
    <row r="235" spans="1:8">
      <c r="A235" s="1">
        <v>6</v>
      </c>
      <c r="B235" s="1" t="s">
        <v>1087</v>
      </c>
      <c r="C235" s="1">
        <v>56.57</v>
      </c>
      <c r="D235" s="1">
        <v>229.05</v>
      </c>
      <c r="E235" s="1">
        <v>0.36829099999999998</v>
      </c>
      <c r="F235" s="1">
        <f>1996800*(10^-6)</f>
        <v>1.9967999999999999</v>
      </c>
      <c r="G235" s="1">
        <v>28</v>
      </c>
      <c r="H235" s="1">
        <v>10.77</v>
      </c>
    </row>
    <row r="236" spans="1:8">
      <c r="A236" s="1">
        <v>7</v>
      </c>
      <c r="B236" s="1" t="s">
        <v>1088</v>
      </c>
      <c r="C236" s="1">
        <v>67</v>
      </c>
      <c r="D236" s="1">
        <v>228.36</v>
      </c>
      <c r="E236" s="1">
        <v>0.35146100000000002</v>
      </c>
      <c r="F236" s="1">
        <f>844800*(10^-6)</f>
        <v>0.8448</v>
      </c>
      <c r="G236" s="1">
        <v>0</v>
      </c>
      <c r="H236" s="1">
        <v>12.77</v>
      </c>
    </row>
    <row r="237" spans="1:8">
      <c r="A237" s="1">
        <v>8</v>
      </c>
      <c r="B237" s="1" t="s">
        <v>1089</v>
      </c>
      <c r="C237" s="1">
        <v>59.49</v>
      </c>
      <c r="D237" s="1">
        <v>231.87</v>
      </c>
      <c r="E237" s="1">
        <v>0.409244</v>
      </c>
      <c r="F237" s="1">
        <f>19161600*(10^-6)</f>
        <v>19.1616</v>
      </c>
      <c r="G237" s="1">
        <v>36</v>
      </c>
      <c r="H237" s="1">
        <v>11.33</v>
      </c>
    </row>
    <row r="238" spans="1:8">
      <c r="A238" s="1">
        <v>9</v>
      </c>
      <c r="B238" s="1" t="s">
        <v>1090</v>
      </c>
      <c r="C238" s="1">
        <v>65.27</v>
      </c>
      <c r="D238" s="1">
        <v>232.22</v>
      </c>
      <c r="E238" s="1">
        <v>0.40057900000000002</v>
      </c>
      <c r="F238" s="1">
        <f>9561600*(10^-6)</f>
        <v>9.5616000000000003</v>
      </c>
      <c r="G238" s="1">
        <v>4</v>
      </c>
      <c r="H238" s="1">
        <v>12.37</v>
      </c>
    </row>
    <row r="239" spans="1:8">
      <c r="A239" s="1">
        <v>10</v>
      </c>
      <c r="B239" s="1" t="s">
        <v>1091</v>
      </c>
      <c r="C239" s="1">
        <v>61.75</v>
      </c>
      <c r="D239" s="1">
        <v>227.8</v>
      </c>
      <c r="E239" s="1">
        <v>0.36869499999999999</v>
      </c>
      <c r="F239" s="1">
        <f>153600*(10^-6)</f>
        <v>0.15359999999999999</v>
      </c>
      <c r="G239" s="1">
        <v>2</v>
      </c>
      <c r="H239" s="1">
        <v>11.73</v>
      </c>
    </row>
    <row r="240" spans="1:8">
      <c r="A240" s="1">
        <v>11</v>
      </c>
      <c r="B240" s="1" t="s">
        <v>1092</v>
      </c>
      <c r="C240" s="1">
        <v>69.650000000000006</v>
      </c>
      <c r="D240" s="1">
        <v>229.48</v>
      </c>
      <c r="E240" s="1">
        <v>0.38758100000000001</v>
      </c>
      <c r="F240" s="1">
        <f>499200*(10^-6)</f>
        <v>0.49919999999999998</v>
      </c>
      <c r="G240" s="1">
        <v>48</v>
      </c>
      <c r="H240" s="1">
        <v>13.23</v>
      </c>
    </row>
    <row r="241" spans="1:8">
      <c r="A241" s="1">
        <v>12</v>
      </c>
      <c r="B241" s="1" t="s">
        <v>1093</v>
      </c>
      <c r="C241" s="1">
        <v>72.95</v>
      </c>
      <c r="D241" s="1">
        <v>229.24</v>
      </c>
      <c r="E241" s="1">
        <v>0.39015300000000003</v>
      </c>
      <c r="F241" s="1">
        <f>537600*(10^-6)</f>
        <v>0.53759999999999997</v>
      </c>
      <c r="G241" s="1">
        <v>24</v>
      </c>
      <c r="H241" s="1">
        <v>13.88</v>
      </c>
    </row>
    <row r="242" spans="1:8">
      <c r="A242" s="1">
        <v>13</v>
      </c>
      <c r="B242" s="1" t="s">
        <v>1094</v>
      </c>
      <c r="C242" s="1">
        <v>64.11</v>
      </c>
      <c r="D242" s="1">
        <v>227.55</v>
      </c>
      <c r="E242" s="1">
        <v>0.37912800000000002</v>
      </c>
      <c r="F242" s="1">
        <f>115200*(10^-6)</f>
        <v>0.1152</v>
      </c>
      <c r="G242" s="1">
        <v>42</v>
      </c>
      <c r="H242" s="1">
        <v>12.16</v>
      </c>
    </row>
    <row r="243" spans="1:8">
      <c r="A243" s="1">
        <v>14</v>
      </c>
      <c r="B243" s="1" t="s">
        <v>1095</v>
      </c>
      <c r="C243" s="1">
        <v>63.86</v>
      </c>
      <c r="D243" s="1">
        <v>230.68</v>
      </c>
      <c r="E243" s="1">
        <v>0.38175399999999998</v>
      </c>
      <c r="F243" s="1">
        <f>2035200*(10^-6)</f>
        <v>2.0352000000000001</v>
      </c>
      <c r="G243" s="1">
        <v>14</v>
      </c>
      <c r="H243" s="1">
        <v>12.17</v>
      </c>
    </row>
    <row r="244" spans="1:8">
      <c r="A244" s="1">
        <v>15</v>
      </c>
      <c r="B244" s="1" t="s">
        <v>1096</v>
      </c>
      <c r="C244" s="1">
        <v>64.38</v>
      </c>
      <c r="D244" s="1">
        <v>229.61</v>
      </c>
      <c r="E244" s="1">
        <v>0.38016899999999998</v>
      </c>
      <c r="F244" s="1">
        <f>230400*(10^-6)</f>
        <v>0.23039999999999999</v>
      </c>
      <c r="G244" s="1">
        <v>34</v>
      </c>
      <c r="H244" s="1">
        <v>12.2</v>
      </c>
    </row>
    <row r="245" spans="1:8">
      <c r="A245" s="1">
        <v>16</v>
      </c>
      <c r="B245" s="1" t="s">
        <v>1097</v>
      </c>
      <c r="C245" s="1">
        <v>63.61</v>
      </c>
      <c r="D245" s="1">
        <v>230.07</v>
      </c>
      <c r="E245" s="1">
        <v>0.36260100000000001</v>
      </c>
      <c r="F245" s="1">
        <f>3456000*(10^-6)</f>
        <v>3.456</v>
      </c>
      <c r="G245" s="1">
        <v>12</v>
      </c>
      <c r="H245" s="1">
        <v>12.12</v>
      </c>
    </row>
    <row r="246" spans="1:8">
      <c r="A246" s="1">
        <v>17</v>
      </c>
      <c r="B246" s="1" t="s">
        <v>1098</v>
      </c>
      <c r="C246" s="1">
        <v>67.7</v>
      </c>
      <c r="D246" s="1">
        <v>223.52</v>
      </c>
      <c r="E246" s="1">
        <v>0.35539199999999999</v>
      </c>
      <c r="F246" s="1">
        <f>115200*(10^-6)</f>
        <v>0.1152</v>
      </c>
      <c r="G246" s="1">
        <v>16</v>
      </c>
      <c r="H246" s="1">
        <v>12.86</v>
      </c>
    </row>
    <row r="247" spans="1:8">
      <c r="A247" s="1">
        <v>18</v>
      </c>
      <c r="B247" s="1" t="s">
        <v>1099</v>
      </c>
      <c r="C247" s="1">
        <v>71.17</v>
      </c>
      <c r="D247" s="1">
        <v>229.75</v>
      </c>
      <c r="E247" s="1">
        <v>0.39167099999999999</v>
      </c>
      <c r="F247" s="1">
        <f>115200*(10^-6)</f>
        <v>0.1152</v>
      </c>
      <c r="G247" s="1">
        <v>56</v>
      </c>
      <c r="H247" s="1">
        <v>13.5</v>
      </c>
    </row>
    <row r="248" spans="1:8">
      <c r="A248" s="1">
        <v>19</v>
      </c>
      <c r="B248" s="1" t="s">
        <v>1100</v>
      </c>
      <c r="C248" s="1">
        <v>69.73</v>
      </c>
      <c r="D248" s="1">
        <v>229.29</v>
      </c>
      <c r="E248" s="1">
        <v>0.37479099999999999</v>
      </c>
      <c r="F248" s="1">
        <f>806400*(10^-6)</f>
        <v>0.80640000000000001</v>
      </c>
      <c r="G248" s="1">
        <v>10</v>
      </c>
      <c r="H248" s="1">
        <v>13.26</v>
      </c>
    </row>
    <row r="249" spans="1:8">
      <c r="A249" s="1">
        <v>20</v>
      </c>
      <c r="B249" s="1" t="s">
        <v>1101</v>
      </c>
      <c r="C249" s="1">
        <v>63.23</v>
      </c>
      <c r="D249" s="1" t="e">
        <f>-inf</f>
        <v>#NAME?</v>
      </c>
      <c r="E249" s="1">
        <v>0.37524800000000003</v>
      </c>
      <c r="F249" s="1">
        <f>0*(10^-6)</f>
        <v>0</v>
      </c>
      <c r="G249" s="1">
        <v>30</v>
      </c>
      <c r="H249" s="1">
        <v>11.99</v>
      </c>
    </row>
    <row r="250" spans="1:8">
      <c r="A250" s="1">
        <v>21</v>
      </c>
      <c r="B250" s="1" t="s">
        <v>1102</v>
      </c>
      <c r="C250" s="1">
        <v>59.19</v>
      </c>
      <c r="D250" s="1">
        <v>227.96</v>
      </c>
      <c r="E250" s="1">
        <v>0.36530699999999999</v>
      </c>
      <c r="F250" s="1">
        <f>192000*(10^-6)</f>
        <v>0.192</v>
      </c>
      <c r="G250" s="1">
        <v>20</v>
      </c>
      <c r="H250" s="1">
        <v>11.22</v>
      </c>
    </row>
    <row r="251" spans="1:8">
      <c r="A251" s="1">
        <v>22</v>
      </c>
      <c r="B251" s="1" t="s">
        <v>1103</v>
      </c>
      <c r="C251" s="1">
        <v>59.86</v>
      </c>
      <c r="D251" s="1">
        <v>230.46</v>
      </c>
      <c r="E251" s="1">
        <v>0.38474900000000001</v>
      </c>
      <c r="F251" s="1">
        <f>3532800*(10^-6)</f>
        <v>3.5327999999999999</v>
      </c>
      <c r="G251" s="1">
        <v>10</v>
      </c>
      <c r="H251" s="1">
        <v>11.39</v>
      </c>
    </row>
    <row r="252" spans="1:8">
      <c r="A252" s="1">
        <v>23</v>
      </c>
      <c r="B252" s="1" t="s">
        <v>1104</v>
      </c>
      <c r="C252" s="1">
        <v>70.34</v>
      </c>
      <c r="D252" s="1">
        <v>229.32</v>
      </c>
      <c r="E252" s="1">
        <v>0.37031500000000001</v>
      </c>
      <c r="F252" s="1">
        <f>1075200*(10^-6)</f>
        <v>1.0751999999999999</v>
      </c>
      <c r="G252" s="1">
        <v>44</v>
      </c>
      <c r="H252" s="1">
        <v>13.38</v>
      </c>
    </row>
    <row r="253" spans="1:8">
      <c r="A253" s="1">
        <v>24</v>
      </c>
      <c r="B253" s="1" t="s">
        <v>1105</v>
      </c>
      <c r="C253" s="1">
        <v>62.58</v>
      </c>
      <c r="D253" s="1">
        <v>223.68</v>
      </c>
      <c r="E253" s="1">
        <v>0.34034799999999998</v>
      </c>
      <c r="F253" s="1">
        <f>307200*(10^-6)</f>
        <v>0.30719999999999997</v>
      </c>
      <c r="G253" s="1">
        <v>58</v>
      </c>
      <c r="H253" s="1">
        <v>11.89</v>
      </c>
    </row>
    <row r="254" spans="1:8">
      <c r="A254" s="1">
        <v>25</v>
      </c>
      <c r="B254" s="1" t="s">
        <v>1106</v>
      </c>
      <c r="C254" s="1">
        <v>63.06</v>
      </c>
      <c r="D254" s="1">
        <v>229.52</v>
      </c>
      <c r="E254" s="1">
        <v>0.37417899999999998</v>
      </c>
      <c r="F254" s="1">
        <f>1152000*(10^-6)</f>
        <v>1.1519999999999999</v>
      </c>
      <c r="G254" s="1">
        <v>28</v>
      </c>
      <c r="H254" s="1">
        <v>12.01</v>
      </c>
    </row>
    <row r="255" spans="1:8">
      <c r="A255" s="1">
        <v>26</v>
      </c>
      <c r="B255" s="1" t="s">
        <v>1107</v>
      </c>
      <c r="C255" s="1">
        <v>68.84</v>
      </c>
      <c r="D255" s="1">
        <v>229.7</v>
      </c>
      <c r="E255" s="1">
        <v>0.378751</v>
      </c>
      <c r="F255" s="1">
        <f>652800*(10^-6)</f>
        <v>0.65279999999999994</v>
      </c>
      <c r="G255" s="1">
        <v>52</v>
      </c>
      <c r="H255" s="1">
        <v>13.1</v>
      </c>
    </row>
    <row r="256" spans="1:8">
      <c r="A256" s="1">
        <v>27</v>
      </c>
      <c r="B256" s="1" t="s">
        <v>1108</v>
      </c>
      <c r="C256" s="1">
        <v>67.38</v>
      </c>
      <c r="D256" s="1">
        <v>228.21</v>
      </c>
      <c r="E256" s="1">
        <v>0.381465</v>
      </c>
      <c r="F256" s="1">
        <f>384000*(10^-6)</f>
        <v>0.38400000000000001</v>
      </c>
      <c r="G256" s="1">
        <v>0</v>
      </c>
      <c r="H256" s="1">
        <v>12.78</v>
      </c>
    </row>
    <row r="257" spans="1:8">
      <c r="A257" s="1">
        <v>28</v>
      </c>
      <c r="B257" s="1" t="s">
        <v>1109</v>
      </c>
      <c r="C257" s="1">
        <v>64.400000000000006</v>
      </c>
      <c r="D257" s="1" t="e">
        <f>-inf</f>
        <v>#NAME?</v>
      </c>
      <c r="E257" s="1">
        <v>0.33708700000000003</v>
      </c>
      <c r="F257" s="1">
        <f>0*(10^-6)</f>
        <v>0</v>
      </c>
      <c r="G257" s="1">
        <v>6</v>
      </c>
      <c r="H257" s="1">
        <v>12.22</v>
      </c>
    </row>
    <row r="258" spans="1:8">
      <c r="A258" s="1">
        <v>29</v>
      </c>
      <c r="B258" s="1" t="s">
        <v>1110</v>
      </c>
      <c r="C258" s="1">
        <v>67.45</v>
      </c>
      <c r="D258" s="1">
        <v>231.18</v>
      </c>
      <c r="E258" s="1">
        <v>0.38124200000000003</v>
      </c>
      <c r="F258" s="1">
        <f>1612800*(10^-6)</f>
        <v>1.6128</v>
      </c>
      <c r="G258" s="1">
        <v>34</v>
      </c>
      <c r="H258" s="1">
        <v>12.81</v>
      </c>
    </row>
    <row r="259" spans="1:8">
      <c r="A259" s="1">
        <v>30</v>
      </c>
      <c r="B259" s="1" t="s">
        <v>1111</v>
      </c>
      <c r="C259" s="1">
        <v>65.790000000000006</v>
      </c>
      <c r="D259" s="1">
        <v>228.48</v>
      </c>
      <c r="E259" s="1">
        <v>0.36725099999999999</v>
      </c>
      <c r="F259" s="1">
        <f>307200*(10^-6)</f>
        <v>0.30719999999999997</v>
      </c>
      <c r="G259" s="1">
        <v>2</v>
      </c>
      <c r="H259" s="1">
        <v>12.48</v>
      </c>
    </row>
    <row r="260" spans="1:8">
      <c r="A260" s="1">
        <v>31</v>
      </c>
      <c r="B260" s="1" t="s">
        <v>1112</v>
      </c>
      <c r="C260" s="1">
        <v>69.19</v>
      </c>
      <c r="D260" s="1">
        <v>229.4</v>
      </c>
      <c r="E260" s="1">
        <v>0.383521</v>
      </c>
      <c r="F260" s="1">
        <f>576000*(10^-6)</f>
        <v>0.57599999999999996</v>
      </c>
      <c r="G260" s="1">
        <v>8</v>
      </c>
      <c r="H260" s="1">
        <v>13.16</v>
      </c>
    </row>
    <row r="261" spans="1:8">
      <c r="A261" s="1">
        <v>32</v>
      </c>
      <c r="B261" s="1" t="s">
        <v>1113</v>
      </c>
      <c r="C261" s="1">
        <v>66.91</v>
      </c>
      <c r="D261" s="1">
        <v>228.49</v>
      </c>
      <c r="E261" s="1">
        <v>0.348219</v>
      </c>
      <c r="F261" s="1">
        <f>1574400*(10^-6)</f>
        <v>1.5744</v>
      </c>
      <c r="G261" s="1">
        <v>40</v>
      </c>
      <c r="H261" s="1">
        <v>12.75</v>
      </c>
    </row>
    <row r="262" spans="1:8">
      <c r="A262" s="1">
        <v>33</v>
      </c>
      <c r="B262" s="1" t="s">
        <v>1114</v>
      </c>
      <c r="C262" s="1">
        <v>64.88</v>
      </c>
      <c r="D262" s="1">
        <v>229.57</v>
      </c>
      <c r="E262" s="1">
        <v>0.353852</v>
      </c>
      <c r="F262" s="1">
        <f>2265600*(10^-6)</f>
        <v>2.2656000000000001</v>
      </c>
      <c r="G262" s="1">
        <v>44</v>
      </c>
      <c r="H262" s="1">
        <v>12.38</v>
      </c>
    </row>
    <row r="263" spans="1:8">
      <c r="A263" s="1">
        <v>34</v>
      </c>
      <c r="B263" s="1" t="s">
        <v>1115</v>
      </c>
      <c r="C263" s="1">
        <v>64.319999999999993</v>
      </c>
      <c r="D263" s="1">
        <v>229.2</v>
      </c>
      <c r="E263" s="1">
        <v>0.37096899999999999</v>
      </c>
      <c r="F263" s="1">
        <f>1075200*(10^-6)</f>
        <v>1.0751999999999999</v>
      </c>
      <c r="G263" s="1">
        <v>36</v>
      </c>
      <c r="H263" s="1">
        <v>12.23</v>
      </c>
    </row>
    <row r="264" spans="1:8">
      <c r="A264" s="1">
        <v>35</v>
      </c>
      <c r="B264" s="1" t="s">
        <v>1116</v>
      </c>
      <c r="C264" s="1">
        <v>70.12</v>
      </c>
      <c r="D264" s="1">
        <v>230.26</v>
      </c>
      <c r="E264" s="1">
        <v>0.37603500000000001</v>
      </c>
      <c r="F264" s="1">
        <f>844800*(10^-6)</f>
        <v>0.8448</v>
      </c>
      <c r="G264" s="1">
        <v>40</v>
      </c>
      <c r="H264" s="1">
        <v>13.37</v>
      </c>
    </row>
    <row r="265" spans="1:8">
      <c r="A265" s="1">
        <v>36</v>
      </c>
      <c r="B265" s="1" t="s">
        <v>1117</v>
      </c>
      <c r="C265" s="1">
        <v>63.71</v>
      </c>
      <c r="D265" s="1">
        <v>228.51</v>
      </c>
      <c r="E265" s="1">
        <v>0.37559700000000001</v>
      </c>
      <c r="F265" s="1">
        <f>729600*(10^-6)</f>
        <v>0.72959999999999992</v>
      </c>
      <c r="G265" s="1">
        <v>42</v>
      </c>
      <c r="H265" s="1">
        <v>12.1</v>
      </c>
    </row>
    <row r="266" spans="1:8">
      <c r="A266" s="1">
        <v>37</v>
      </c>
      <c r="B266" s="1" t="s">
        <v>1118</v>
      </c>
      <c r="C266" s="1">
        <v>62.17</v>
      </c>
      <c r="D266" s="1">
        <v>232.56</v>
      </c>
      <c r="E266" s="1">
        <v>0.43287399999999998</v>
      </c>
      <c r="F266" s="1">
        <f>10176000*(10^-6)</f>
        <v>10.176</v>
      </c>
      <c r="G266" s="1">
        <v>56</v>
      </c>
      <c r="H266" s="1">
        <v>11.81</v>
      </c>
    </row>
    <row r="267" spans="1:8">
      <c r="A267" s="1">
        <v>38</v>
      </c>
      <c r="B267" s="1" t="s">
        <v>1119</v>
      </c>
      <c r="C267" s="1">
        <v>68.959999999999994</v>
      </c>
      <c r="D267" s="1" t="e">
        <f>-inf</f>
        <v>#NAME?</v>
      </c>
      <c r="E267" s="1">
        <v>0.38030999999999998</v>
      </c>
      <c r="F267" s="1">
        <f>0*(10^-6)</f>
        <v>0</v>
      </c>
      <c r="G267" s="1">
        <v>28</v>
      </c>
      <c r="H267" s="1">
        <v>13.1</v>
      </c>
    </row>
    <row r="268" spans="1:8">
      <c r="A268" s="1">
        <v>39</v>
      </c>
      <c r="B268" s="1" t="s">
        <v>1120</v>
      </c>
      <c r="C268" s="1">
        <v>67.94</v>
      </c>
      <c r="D268" s="1">
        <v>230.08</v>
      </c>
      <c r="E268" s="1">
        <v>0.36236699999999999</v>
      </c>
      <c r="F268" s="1">
        <f>1228800*(10^-6)</f>
        <v>1.2287999999999999</v>
      </c>
      <c r="G268" s="1">
        <v>10</v>
      </c>
      <c r="H268" s="1">
        <v>12.92</v>
      </c>
    </row>
    <row r="269" spans="1:8">
      <c r="A269" s="1">
        <v>40</v>
      </c>
      <c r="B269" s="1" t="s">
        <v>1121</v>
      </c>
      <c r="C269" s="1">
        <v>62.99</v>
      </c>
      <c r="D269" s="1">
        <v>228.71</v>
      </c>
      <c r="E269" s="1">
        <v>0.37531900000000001</v>
      </c>
      <c r="F269" s="1">
        <f>576000*(10^-6)</f>
        <v>0.57599999999999996</v>
      </c>
      <c r="G269" s="1">
        <v>12</v>
      </c>
      <c r="H269" s="1">
        <v>11.97</v>
      </c>
    </row>
    <row r="270" spans="1:8">
      <c r="A270" s="1">
        <v>41</v>
      </c>
      <c r="B270" s="1" t="s">
        <v>1122</v>
      </c>
      <c r="C270" s="1">
        <v>65.16</v>
      </c>
      <c r="D270" s="1">
        <v>227.74</v>
      </c>
      <c r="E270" s="1">
        <v>0.38064900000000002</v>
      </c>
      <c r="F270" s="1">
        <f>460800*(10^-6)</f>
        <v>0.46079999999999999</v>
      </c>
      <c r="G270" s="1">
        <v>26</v>
      </c>
      <c r="H270" s="1">
        <v>12.4</v>
      </c>
    </row>
    <row r="271" spans="1:8">
      <c r="A271" s="1">
        <v>42</v>
      </c>
      <c r="B271" s="1" t="s">
        <v>1123</v>
      </c>
      <c r="C271" s="1">
        <v>60.58</v>
      </c>
      <c r="D271" s="1">
        <v>229.22</v>
      </c>
      <c r="E271" s="1">
        <v>0.36354999999999998</v>
      </c>
      <c r="F271" s="1">
        <f>729600*(10^-6)</f>
        <v>0.72959999999999992</v>
      </c>
      <c r="G271" s="1">
        <v>36</v>
      </c>
      <c r="H271" s="1">
        <v>11.53</v>
      </c>
    </row>
    <row r="272" spans="1:8">
      <c r="A272" s="1">
        <v>43</v>
      </c>
      <c r="B272" s="1" t="s">
        <v>1124</v>
      </c>
      <c r="C272" s="1">
        <v>63.66</v>
      </c>
      <c r="D272" s="1">
        <v>225.6</v>
      </c>
      <c r="E272" s="1">
        <v>0.34588099999999999</v>
      </c>
      <c r="F272" s="1">
        <f>38400*(10^-6)</f>
        <v>3.8399999999999997E-2</v>
      </c>
      <c r="G272" s="1">
        <v>20</v>
      </c>
      <c r="H272" s="1">
        <v>12.11</v>
      </c>
    </row>
    <row r="273" spans="1:8">
      <c r="A273" s="1">
        <v>44</v>
      </c>
      <c r="B273" s="1" t="s">
        <v>1125</v>
      </c>
      <c r="C273" s="1">
        <v>61.91</v>
      </c>
      <c r="D273" s="1">
        <v>228.3</v>
      </c>
      <c r="E273" s="1">
        <v>0.39432800000000001</v>
      </c>
      <c r="F273" s="1">
        <f>537600*(10^-6)</f>
        <v>0.53759999999999997</v>
      </c>
      <c r="G273" s="1">
        <v>26</v>
      </c>
      <c r="H273" s="1">
        <v>11.76</v>
      </c>
    </row>
    <row r="274" spans="1:8">
      <c r="A274" s="1">
        <v>45</v>
      </c>
      <c r="B274" s="1" t="s">
        <v>1126</v>
      </c>
      <c r="C274" s="1">
        <v>62.86</v>
      </c>
      <c r="D274" s="1">
        <v>232.4</v>
      </c>
      <c r="E274" s="1">
        <v>0.39689400000000002</v>
      </c>
      <c r="F274" s="1">
        <f>24230400*(10^-6)</f>
        <v>24.230399999999999</v>
      </c>
      <c r="G274" s="1">
        <v>18</v>
      </c>
      <c r="H274" s="1">
        <v>11.96</v>
      </c>
    </row>
    <row r="275" spans="1:8">
      <c r="A275" s="1">
        <v>46</v>
      </c>
      <c r="B275" s="1" t="s">
        <v>1127</v>
      </c>
      <c r="C275" s="1">
        <v>70.28</v>
      </c>
      <c r="D275" s="1">
        <v>232.66</v>
      </c>
      <c r="E275" s="1">
        <v>0.41174500000000003</v>
      </c>
      <c r="F275" s="1">
        <f>3225600*(10^-6)</f>
        <v>3.2256</v>
      </c>
      <c r="G275" s="1">
        <v>2</v>
      </c>
      <c r="H275" s="1">
        <v>13.35</v>
      </c>
    </row>
    <row r="276" spans="1:8">
      <c r="A276" s="1">
        <v>47</v>
      </c>
      <c r="B276" s="1" t="s">
        <v>1128</v>
      </c>
      <c r="C276" s="1">
        <v>72.44</v>
      </c>
      <c r="D276" s="1">
        <v>234.47</v>
      </c>
      <c r="E276" s="1">
        <v>0.42744100000000002</v>
      </c>
      <c r="F276" s="1">
        <f>15552000*(10^-6)</f>
        <v>15.552</v>
      </c>
      <c r="G276" s="1">
        <v>18</v>
      </c>
      <c r="H276" s="1">
        <v>13.79</v>
      </c>
    </row>
    <row r="277" spans="1:8">
      <c r="A277" s="1">
        <v>48</v>
      </c>
      <c r="B277" s="1" t="s">
        <v>1129</v>
      </c>
      <c r="C277" s="1">
        <v>71.25</v>
      </c>
      <c r="D277" s="1">
        <v>233.38</v>
      </c>
      <c r="E277" s="1">
        <v>0.41296500000000003</v>
      </c>
      <c r="F277" s="1">
        <f>3648000*(10^-6)</f>
        <v>3.6479999999999997</v>
      </c>
      <c r="G277" s="1">
        <v>0</v>
      </c>
      <c r="H277" s="1">
        <v>13.57</v>
      </c>
    </row>
    <row r="278" spans="1:8">
      <c r="A278" s="1">
        <v>49</v>
      </c>
      <c r="B278" s="1" t="s">
        <v>1130</v>
      </c>
      <c r="C278" s="1">
        <v>58.3</v>
      </c>
      <c r="D278" s="1">
        <v>230.56</v>
      </c>
      <c r="E278" s="1">
        <v>0.410331</v>
      </c>
      <c r="F278" s="1">
        <f>2457600*(10^-6)</f>
        <v>2.4575999999999998</v>
      </c>
      <c r="G278" s="1">
        <v>38</v>
      </c>
      <c r="H278" s="1">
        <v>11.07</v>
      </c>
    </row>
    <row r="279" spans="1:8">
      <c r="A279" s="1">
        <v>50</v>
      </c>
      <c r="B279" s="1" t="s">
        <v>1131</v>
      </c>
      <c r="C279" s="1">
        <v>67.23</v>
      </c>
      <c r="D279" s="1">
        <v>228.62</v>
      </c>
      <c r="E279" s="1">
        <v>0.36184100000000002</v>
      </c>
      <c r="F279" s="1">
        <f>345600*(10^-6)</f>
        <v>0.34559999999999996</v>
      </c>
      <c r="G279" s="1">
        <v>16</v>
      </c>
      <c r="H279" s="1">
        <v>12.83</v>
      </c>
    </row>
    <row r="280" spans="1:8">
      <c r="B280" s="1" t="s">
        <v>19</v>
      </c>
      <c r="C280" s="1">
        <f>AVERAGE(C230:C279)</f>
        <v>65.571600000000004</v>
      </c>
      <c r="D280" s="1" t="e">
        <f t="shared" ref="D280:F280" si="18">AVERAGE(D230:D279)</f>
        <v>#NAME?</v>
      </c>
      <c r="E280" s="1">
        <f t="shared" si="18"/>
        <v>0.37835121999999999</v>
      </c>
      <c r="F280" s="1">
        <f t="shared" si="18"/>
        <v>2.50752</v>
      </c>
      <c r="H280" s="1">
        <f t="shared" ref="H280" si="19">AVERAGE(H230:H279)</f>
        <v>12.466600000000005</v>
      </c>
    </row>
    <row r="281" spans="1:8">
      <c r="B281" s="1" t="s">
        <v>20</v>
      </c>
      <c r="C281" s="1">
        <f>MIN(C229:C279)</f>
        <v>56.57</v>
      </c>
      <c r="D281" s="1" t="e">
        <f t="shared" ref="D281:F281" si="20">MIN(D229:D279)</f>
        <v>#NAME?</v>
      </c>
      <c r="E281" s="1">
        <f t="shared" si="20"/>
        <v>0.33708700000000003</v>
      </c>
      <c r="F281" s="1">
        <f t="shared" si="20"/>
        <v>0</v>
      </c>
      <c r="H281" s="1">
        <f t="shared" ref="H281" si="21">MIN(H229:H279)</f>
        <v>10.77</v>
      </c>
    </row>
    <row r="282" spans="1:8">
      <c r="B282" s="1" t="s">
        <v>3</v>
      </c>
      <c r="C282" s="1">
        <f>STDEV(C230:C279)</f>
        <v>3.908783599086699</v>
      </c>
      <c r="D282" s="1" t="e">
        <f t="shared" ref="D282:E282" si="22">STDEV(D230:D279)</f>
        <v>#NAME?</v>
      </c>
      <c r="E282" s="1">
        <f t="shared" si="22"/>
        <v>2.0867767245390099E-2</v>
      </c>
      <c r="F282" s="1">
        <f>STDEV(F230:F279)</f>
        <v>4.9007312553894469</v>
      </c>
      <c r="H282" s="1">
        <f>STDEV(H230:H279)</f>
        <v>0.74577616054184448</v>
      </c>
    </row>
    <row r="284" spans="1:8">
      <c r="H284" s="2" t="s">
        <v>1435</v>
      </c>
    </row>
    <row r="285" spans="1:8" ht="18">
      <c r="A285" s="2" t="s">
        <v>7</v>
      </c>
      <c r="B285" s="3" t="s">
        <v>10</v>
      </c>
      <c r="C285" s="2" t="s">
        <v>4</v>
      </c>
      <c r="D285" s="2" t="s">
        <v>322</v>
      </c>
      <c r="E285" s="2" t="s">
        <v>321</v>
      </c>
      <c r="F285" s="2" t="s">
        <v>324</v>
      </c>
      <c r="G285" s="2" t="s">
        <v>323</v>
      </c>
      <c r="H285" s="2" t="s">
        <v>1436</v>
      </c>
    </row>
    <row r="286" spans="1:8">
      <c r="A286" s="1">
        <v>1</v>
      </c>
      <c r="B286" s="1" t="s">
        <v>1132</v>
      </c>
      <c r="C286" s="1">
        <v>55.71</v>
      </c>
      <c r="D286" s="1">
        <v>299.25</v>
      </c>
      <c r="E286" s="1">
        <v>0.33198100000000003</v>
      </c>
      <c r="F286" s="1">
        <f>76800*(10^-6)</f>
        <v>7.6799999999999993E-2</v>
      </c>
      <c r="G286" s="1">
        <v>24</v>
      </c>
      <c r="H286" s="1">
        <v>10.6</v>
      </c>
    </row>
    <row r="287" spans="1:8">
      <c r="A287" s="1">
        <v>2</v>
      </c>
      <c r="B287" s="1" t="s">
        <v>1133</v>
      </c>
      <c r="C287" s="1">
        <v>58.26</v>
      </c>
      <c r="D287" s="1">
        <v>306.22000000000003</v>
      </c>
      <c r="E287" s="1">
        <v>0.36958200000000002</v>
      </c>
      <c r="F287" s="1">
        <f>(4531200*(10^-6))*(10^-6)</f>
        <v>4.5311999999999999E-6</v>
      </c>
      <c r="G287" s="1">
        <v>48</v>
      </c>
      <c r="H287" s="1">
        <v>11.06</v>
      </c>
    </row>
    <row r="288" spans="1:8">
      <c r="A288" s="1">
        <v>3</v>
      </c>
      <c r="B288" s="1" t="s">
        <v>1134</v>
      </c>
      <c r="C288" s="1">
        <v>60.25</v>
      </c>
      <c r="D288" s="1">
        <v>301.68</v>
      </c>
      <c r="E288" s="1">
        <v>0.33168999999999998</v>
      </c>
      <c r="F288" s="1">
        <f>422400*(10^-6)</f>
        <v>0.4224</v>
      </c>
      <c r="G288" s="1">
        <v>76</v>
      </c>
      <c r="H288" s="1">
        <v>11.46</v>
      </c>
    </row>
    <row r="289" spans="1:8">
      <c r="A289" s="1">
        <v>4</v>
      </c>
      <c r="B289" s="1" t="s">
        <v>1135</v>
      </c>
      <c r="C289" s="1">
        <v>59.42</v>
      </c>
      <c r="D289" s="1">
        <v>305.92</v>
      </c>
      <c r="E289" s="1">
        <v>0.37725399999999998</v>
      </c>
      <c r="F289" s="1">
        <f>2380800*(10^-6)</f>
        <v>2.3807999999999998</v>
      </c>
      <c r="G289" s="1">
        <v>22</v>
      </c>
      <c r="H289" s="1">
        <v>11.27</v>
      </c>
    </row>
    <row r="290" spans="1:8">
      <c r="A290" s="1">
        <v>5</v>
      </c>
      <c r="B290" s="1" t="s">
        <v>1136</v>
      </c>
      <c r="C290" s="1">
        <v>57.88</v>
      </c>
      <c r="D290" s="1">
        <v>295.26</v>
      </c>
      <c r="E290" s="1">
        <v>0.32177600000000001</v>
      </c>
      <c r="F290" s="1">
        <f>307200*(10^-6)</f>
        <v>0.30719999999999997</v>
      </c>
      <c r="G290" s="1">
        <v>68</v>
      </c>
      <c r="H290" s="1">
        <v>10.99</v>
      </c>
    </row>
    <row r="291" spans="1:8">
      <c r="A291" s="1">
        <v>6</v>
      </c>
      <c r="B291" s="1" t="s">
        <v>1137</v>
      </c>
      <c r="C291" s="1">
        <v>62.28</v>
      </c>
      <c r="D291" s="1">
        <v>298.06</v>
      </c>
      <c r="E291" s="1">
        <v>0.32961299999999999</v>
      </c>
      <c r="F291" s="1">
        <f>307200*(10^-6)</f>
        <v>0.30719999999999997</v>
      </c>
      <c r="G291" s="1">
        <v>24</v>
      </c>
      <c r="H291" s="1">
        <v>11.81</v>
      </c>
    </row>
    <row r="292" spans="1:8">
      <c r="A292" s="1">
        <v>7</v>
      </c>
      <c r="B292" s="1" t="s">
        <v>1138</v>
      </c>
      <c r="C292" s="1">
        <v>52.26</v>
      </c>
      <c r="D292" s="1">
        <v>303.27</v>
      </c>
      <c r="E292" s="1">
        <v>0.35990699999999998</v>
      </c>
      <c r="F292" s="1">
        <f>1152000*(10^-6)</f>
        <v>1.1519999999999999</v>
      </c>
      <c r="G292" s="1">
        <v>32</v>
      </c>
      <c r="H292" s="1">
        <v>9.93</v>
      </c>
    </row>
    <row r="293" spans="1:8">
      <c r="A293" s="1">
        <v>8</v>
      </c>
      <c r="B293" s="1" t="s">
        <v>1139</v>
      </c>
      <c r="C293" s="1">
        <v>61.99</v>
      </c>
      <c r="D293" s="1" t="e">
        <f>-inf</f>
        <v>#NAME?</v>
      </c>
      <c r="E293" s="1">
        <v>0.35497200000000001</v>
      </c>
      <c r="F293" s="1">
        <f>0*(10^-6)</f>
        <v>0</v>
      </c>
      <c r="G293" s="1">
        <v>70</v>
      </c>
      <c r="H293" s="1">
        <v>11.79</v>
      </c>
    </row>
    <row r="294" spans="1:8">
      <c r="A294" s="1">
        <v>9</v>
      </c>
      <c r="B294" s="1" t="s">
        <v>1140</v>
      </c>
      <c r="C294" s="1">
        <v>56.84</v>
      </c>
      <c r="D294" s="1">
        <v>304.89</v>
      </c>
      <c r="E294" s="1">
        <v>0.36842799999999998</v>
      </c>
      <c r="F294" s="1">
        <f>2918400*(10^-6)</f>
        <v>2.9183999999999997</v>
      </c>
      <c r="G294" s="1">
        <v>10</v>
      </c>
      <c r="H294" s="1">
        <v>10.81</v>
      </c>
    </row>
    <row r="295" spans="1:8">
      <c r="A295" s="1">
        <v>10</v>
      </c>
      <c r="B295" s="1" t="s">
        <v>1141</v>
      </c>
      <c r="C295" s="1">
        <v>46.69</v>
      </c>
      <c r="D295" s="1">
        <v>303.95999999999998</v>
      </c>
      <c r="E295" s="1">
        <v>0.362651</v>
      </c>
      <c r="F295" s="1">
        <f>9600000*(10^-6)</f>
        <v>9.6</v>
      </c>
      <c r="G295" s="1">
        <v>72</v>
      </c>
      <c r="H295" s="1">
        <v>8.8800000000000008</v>
      </c>
    </row>
    <row r="296" spans="1:8">
      <c r="A296" s="1">
        <v>11</v>
      </c>
      <c r="B296" s="1" t="s">
        <v>1142</v>
      </c>
      <c r="C296" s="1">
        <v>57.12</v>
      </c>
      <c r="D296" s="1">
        <v>305.73</v>
      </c>
      <c r="E296" s="1">
        <v>0.363786</v>
      </c>
      <c r="F296" s="1">
        <f>2956800*(10^-6)</f>
        <v>2.9567999999999999</v>
      </c>
      <c r="G296" s="1">
        <v>34</v>
      </c>
      <c r="H296" s="1">
        <v>10.87</v>
      </c>
    </row>
    <row r="297" spans="1:8">
      <c r="A297" s="1">
        <v>12</v>
      </c>
      <c r="B297" s="1" t="s">
        <v>1143</v>
      </c>
      <c r="C297" s="1">
        <v>56.19</v>
      </c>
      <c r="D297" s="1" t="e">
        <f>-inf</f>
        <v>#NAME?</v>
      </c>
      <c r="E297" s="1">
        <v>0.35995700000000003</v>
      </c>
      <c r="F297" s="1">
        <f>0*(10^-6)</f>
        <v>0</v>
      </c>
      <c r="G297" s="1">
        <v>22</v>
      </c>
      <c r="H297" s="1">
        <v>10.65</v>
      </c>
    </row>
    <row r="298" spans="1:8">
      <c r="A298" s="1">
        <v>13</v>
      </c>
      <c r="B298" s="1" t="s">
        <v>1144</v>
      </c>
      <c r="C298" s="1">
        <v>59.07</v>
      </c>
      <c r="D298" s="1">
        <v>305.72000000000003</v>
      </c>
      <c r="E298" s="1">
        <v>0.35619200000000001</v>
      </c>
      <c r="F298" s="1">
        <f>2611200*(10^-6)</f>
        <v>2.6111999999999997</v>
      </c>
      <c r="G298" s="1">
        <v>64</v>
      </c>
      <c r="H298" s="1">
        <v>11.21</v>
      </c>
    </row>
    <row r="299" spans="1:8">
      <c r="A299" s="1">
        <v>14</v>
      </c>
      <c r="B299" s="1" t="s">
        <v>1145</v>
      </c>
      <c r="C299" s="1">
        <v>56.75</v>
      </c>
      <c r="D299" s="1">
        <v>304.29000000000002</v>
      </c>
      <c r="E299" s="1">
        <v>0.34628599999999998</v>
      </c>
      <c r="F299" s="1">
        <f>1958400*(10^-6)</f>
        <v>1.9583999999999999</v>
      </c>
      <c r="G299" s="1">
        <v>26</v>
      </c>
      <c r="H299" s="1">
        <v>10.81</v>
      </c>
    </row>
    <row r="300" spans="1:8">
      <c r="A300" s="1">
        <v>15</v>
      </c>
      <c r="B300" s="1" t="s">
        <v>1146</v>
      </c>
      <c r="C300" s="1">
        <v>50.62</v>
      </c>
      <c r="D300" s="1">
        <v>298.99</v>
      </c>
      <c r="E300" s="1">
        <v>0.34028599999999998</v>
      </c>
      <c r="F300" s="1">
        <f>691200*(10^-6)</f>
        <v>0.69119999999999993</v>
      </c>
      <c r="G300" s="1">
        <v>2</v>
      </c>
      <c r="H300" s="1">
        <v>9.6300000000000008</v>
      </c>
    </row>
    <row r="301" spans="1:8">
      <c r="A301" s="1">
        <v>16</v>
      </c>
      <c r="B301" s="1" t="s">
        <v>1147</v>
      </c>
      <c r="C301" s="1">
        <v>53.96</v>
      </c>
      <c r="D301" s="1">
        <v>303.24</v>
      </c>
      <c r="E301" s="1">
        <v>0.346802</v>
      </c>
      <c r="F301" s="1">
        <f>3993600*(10^-6)</f>
        <v>3.9935999999999998</v>
      </c>
      <c r="G301" s="1">
        <v>64</v>
      </c>
      <c r="H301" s="1">
        <v>10.25</v>
      </c>
    </row>
    <row r="302" spans="1:8">
      <c r="A302" s="1">
        <v>17</v>
      </c>
      <c r="B302" s="1" t="s">
        <v>1148</v>
      </c>
      <c r="C302" s="1">
        <v>54.28</v>
      </c>
      <c r="D302" s="1">
        <v>298.23</v>
      </c>
      <c r="E302" s="1">
        <v>0.323409</v>
      </c>
      <c r="F302" s="1">
        <f>192000*(10^-6)</f>
        <v>0.192</v>
      </c>
      <c r="G302" s="1">
        <v>70</v>
      </c>
      <c r="H302" s="1">
        <v>10.31</v>
      </c>
    </row>
    <row r="303" spans="1:8">
      <c r="A303" s="1">
        <v>18</v>
      </c>
      <c r="B303" s="1" t="s">
        <v>1149</v>
      </c>
      <c r="C303" s="1">
        <v>52.92</v>
      </c>
      <c r="D303" s="1">
        <v>302.43</v>
      </c>
      <c r="E303" s="1">
        <v>0.34975600000000001</v>
      </c>
      <c r="F303" s="1">
        <f>998400*(10^-6)</f>
        <v>0.99839999999999995</v>
      </c>
      <c r="G303" s="1">
        <v>36</v>
      </c>
      <c r="H303" s="1">
        <v>10.07</v>
      </c>
    </row>
    <row r="304" spans="1:8">
      <c r="A304" s="1">
        <v>19</v>
      </c>
      <c r="B304" s="1" t="s">
        <v>1150</v>
      </c>
      <c r="C304" s="1">
        <v>61.38</v>
      </c>
      <c r="D304" s="1">
        <v>304.05</v>
      </c>
      <c r="E304" s="1">
        <v>0.34525400000000001</v>
      </c>
      <c r="F304" s="1">
        <f>691200*(10^-6)</f>
        <v>0.69119999999999993</v>
      </c>
      <c r="G304" s="1">
        <v>18</v>
      </c>
      <c r="H304" s="1">
        <v>11.69</v>
      </c>
    </row>
    <row r="305" spans="1:8">
      <c r="A305" s="1">
        <v>20</v>
      </c>
      <c r="B305" s="1" t="s">
        <v>1151</v>
      </c>
      <c r="C305" s="1">
        <v>52.15</v>
      </c>
      <c r="D305" s="1">
        <v>301.42</v>
      </c>
      <c r="E305" s="1">
        <v>0.344665</v>
      </c>
      <c r="F305" s="1">
        <f>2227200*(10^-6)</f>
        <v>2.2271999999999998</v>
      </c>
      <c r="G305" s="1">
        <v>42</v>
      </c>
      <c r="H305" s="1">
        <v>9.9</v>
      </c>
    </row>
    <row r="306" spans="1:8">
      <c r="A306" s="1">
        <v>21</v>
      </c>
      <c r="B306" s="1" t="s">
        <v>1152</v>
      </c>
      <c r="C306" s="1">
        <v>50.02</v>
      </c>
      <c r="D306" s="1">
        <v>299.95</v>
      </c>
      <c r="E306" s="1">
        <v>0.35603000000000001</v>
      </c>
      <c r="F306" s="1">
        <f>38400*(10^-6)</f>
        <v>3.8399999999999997E-2</v>
      </c>
      <c r="G306" s="1">
        <v>28</v>
      </c>
      <c r="H306" s="1">
        <v>9.5</v>
      </c>
    </row>
    <row r="307" spans="1:8">
      <c r="A307" s="1">
        <v>22</v>
      </c>
      <c r="B307" s="1" t="s">
        <v>1153</v>
      </c>
      <c r="C307" s="1">
        <v>59.29</v>
      </c>
      <c r="D307" s="1">
        <v>302.61</v>
      </c>
      <c r="E307" s="1">
        <v>0.36119099999999998</v>
      </c>
      <c r="F307" s="1">
        <f>38400*(10^-6)</f>
        <v>3.8399999999999997E-2</v>
      </c>
      <c r="G307" s="1">
        <v>44</v>
      </c>
      <c r="H307" s="1">
        <v>11.27</v>
      </c>
    </row>
    <row r="308" spans="1:8">
      <c r="A308" s="1">
        <v>23</v>
      </c>
      <c r="B308" s="1" t="s">
        <v>1154</v>
      </c>
      <c r="C308" s="1">
        <v>58.81</v>
      </c>
      <c r="D308" s="1">
        <v>302.19</v>
      </c>
      <c r="E308" s="1">
        <v>0.34340199999999999</v>
      </c>
      <c r="F308" s="1">
        <f>1113600*(10^-6)</f>
        <v>1.1135999999999999</v>
      </c>
      <c r="G308" s="1">
        <v>58</v>
      </c>
      <c r="H308" s="1">
        <v>11.17</v>
      </c>
    </row>
    <row r="309" spans="1:8">
      <c r="A309" s="1">
        <v>24</v>
      </c>
      <c r="B309" s="1" t="s">
        <v>1155</v>
      </c>
      <c r="C309" s="1">
        <v>56.02</v>
      </c>
      <c r="D309" s="1">
        <v>298.88</v>
      </c>
      <c r="E309" s="1">
        <v>0.337559</v>
      </c>
      <c r="F309" s="1">
        <f>422400*(10^-6)</f>
        <v>0.4224</v>
      </c>
      <c r="G309" s="1">
        <v>56</v>
      </c>
      <c r="H309" s="1">
        <v>10.64</v>
      </c>
    </row>
    <row r="310" spans="1:8">
      <c r="A310" s="1">
        <v>25</v>
      </c>
      <c r="B310" s="1" t="s">
        <v>1156</v>
      </c>
      <c r="C310" s="1">
        <v>59.13</v>
      </c>
      <c r="D310" s="1">
        <v>303.93</v>
      </c>
      <c r="E310" s="1">
        <v>0.358074</v>
      </c>
      <c r="F310" s="1">
        <f>268800*(10^-6)</f>
        <v>0.26879999999999998</v>
      </c>
      <c r="G310" s="1">
        <v>76</v>
      </c>
      <c r="H310" s="1">
        <v>11.23</v>
      </c>
    </row>
    <row r="311" spans="1:8">
      <c r="A311" s="1">
        <v>26</v>
      </c>
      <c r="B311" s="1" t="s">
        <v>1157</v>
      </c>
      <c r="C311" s="1">
        <v>61.33</v>
      </c>
      <c r="D311" s="1" t="e">
        <f>-inf</f>
        <v>#NAME?</v>
      </c>
      <c r="E311" s="1">
        <v>0.38620700000000002</v>
      </c>
      <c r="F311" s="1">
        <f>0*(10^-6)</f>
        <v>0</v>
      </c>
      <c r="G311" s="1">
        <v>68</v>
      </c>
      <c r="H311" s="1">
        <v>11.66</v>
      </c>
    </row>
    <row r="312" spans="1:8">
      <c r="A312" s="1">
        <v>27</v>
      </c>
      <c r="B312" s="1" t="s">
        <v>1158</v>
      </c>
      <c r="C312" s="1">
        <v>55.63</v>
      </c>
      <c r="D312" s="1">
        <v>306.12</v>
      </c>
      <c r="E312" s="1">
        <v>0.38908399999999999</v>
      </c>
      <c r="F312" s="1">
        <f>2918400*(10^-6)</f>
        <v>2.9183999999999997</v>
      </c>
      <c r="G312" s="1">
        <v>38</v>
      </c>
      <c r="H312" s="1">
        <v>10.6</v>
      </c>
    </row>
    <row r="313" spans="1:8">
      <c r="A313" s="1">
        <v>28</v>
      </c>
      <c r="B313" s="1" t="s">
        <v>1159</v>
      </c>
      <c r="C313" s="1">
        <v>60.84</v>
      </c>
      <c r="D313" s="1">
        <v>303.07</v>
      </c>
      <c r="E313" s="1">
        <v>0.345223</v>
      </c>
      <c r="F313" s="1">
        <f>1459200*(10^-6)</f>
        <v>1.4591999999999998</v>
      </c>
      <c r="G313" s="1">
        <v>50</v>
      </c>
      <c r="H313" s="1">
        <v>11.57</v>
      </c>
    </row>
    <row r="314" spans="1:8">
      <c r="A314" s="1">
        <v>29</v>
      </c>
      <c r="B314" s="1" t="s">
        <v>1160</v>
      </c>
      <c r="C314" s="1">
        <v>51.99</v>
      </c>
      <c r="D314" s="1">
        <v>304.14999999999998</v>
      </c>
      <c r="E314" s="1">
        <v>0.36791299999999999</v>
      </c>
      <c r="F314" s="1">
        <f>2227200*(10^-6)</f>
        <v>2.2271999999999998</v>
      </c>
      <c r="G314" s="1">
        <v>24</v>
      </c>
      <c r="H314" s="1">
        <v>9.86</v>
      </c>
    </row>
    <row r="315" spans="1:8">
      <c r="A315" s="1">
        <v>30</v>
      </c>
      <c r="B315" s="1" t="s">
        <v>1161</v>
      </c>
      <c r="C315" s="1">
        <v>59.49</v>
      </c>
      <c r="D315" s="1">
        <v>295.33999999999997</v>
      </c>
      <c r="E315" s="1">
        <v>0.32007099999999999</v>
      </c>
      <c r="F315" s="1">
        <f>38400*(10^-6)</f>
        <v>3.8399999999999997E-2</v>
      </c>
      <c r="G315" s="1">
        <v>68</v>
      </c>
      <c r="H315" s="1">
        <v>11.28</v>
      </c>
    </row>
    <row r="316" spans="1:8">
      <c r="A316" s="1">
        <v>31</v>
      </c>
      <c r="B316" s="1" t="s">
        <v>1162</v>
      </c>
      <c r="C316" s="1">
        <v>54.73</v>
      </c>
      <c r="D316" s="1">
        <v>302.44</v>
      </c>
      <c r="E316" s="1">
        <v>0.35393999999999998</v>
      </c>
      <c r="F316" s="1">
        <f>883200*(10^-6)</f>
        <v>0.88319999999999999</v>
      </c>
      <c r="G316" s="1">
        <v>62</v>
      </c>
      <c r="H316" s="1">
        <v>10.41</v>
      </c>
    </row>
    <row r="317" spans="1:8">
      <c r="A317" s="1">
        <v>32</v>
      </c>
      <c r="B317" s="1" t="s">
        <v>1163</v>
      </c>
      <c r="C317" s="1">
        <v>59.49</v>
      </c>
      <c r="D317" s="1">
        <v>300.08</v>
      </c>
      <c r="E317" s="1">
        <v>0.34376000000000001</v>
      </c>
      <c r="F317" s="1">
        <f>998400*(10^-6)</f>
        <v>0.99839999999999995</v>
      </c>
      <c r="G317" s="1">
        <v>56</v>
      </c>
      <c r="H317" s="1">
        <v>11.32</v>
      </c>
    </row>
    <row r="318" spans="1:8">
      <c r="A318" s="1">
        <v>33</v>
      </c>
      <c r="B318" s="1" t="s">
        <v>1164</v>
      </c>
      <c r="C318" s="1">
        <v>54.24</v>
      </c>
      <c r="D318" s="1">
        <v>303.98</v>
      </c>
      <c r="E318" s="1">
        <v>0.34395900000000001</v>
      </c>
      <c r="F318" s="1">
        <f>3033600*(10^-6)</f>
        <v>3.0335999999999999</v>
      </c>
      <c r="G318" s="1">
        <v>2</v>
      </c>
      <c r="H318" s="1">
        <v>10.34</v>
      </c>
    </row>
    <row r="319" spans="1:8">
      <c r="A319" s="1">
        <v>34</v>
      </c>
      <c r="B319" s="1" t="s">
        <v>1165</v>
      </c>
      <c r="C319" s="1">
        <v>53.55</v>
      </c>
      <c r="D319" s="1">
        <v>300.89999999999998</v>
      </c>
      <c r="E319" s="1">
        <v>0.33155299999999999</v>
      </c>
      <c r="F319" s="1">
        <f>1804800*(10^-6)</f>
        <v>1.8048</v>
      </c>
      <c r="G319" s="1">
        <v>32</v>
      </c>
      <c r="H319" s="1">
        <v>10.16</v>
      </c>
    </row>
    <row r="320" spans="1:8">
      <c r="A320" s="1">
        <v>35</v>
      </c>
      <c r="B320" s="1" t="s">
        <v>1166</v>
      </c>
      <c r="C320" s="1">
        <v>56.89</v>
      </c>
      <c r="D320" s="1">
        <v>300.08</v>
      </c>
      <c r="E320" s="1">
        <v>0.33034599999999997</v>
      </c>
      <c r="F320" s="1">
        <f>307200*(10^-6)</f>
        <v>0.30719999999999997</v>
      </c>
      <c r="G320" s="1">
        <v>20</v>
      </c>
      <c r="H320" s="1">
        <v>10.83</v>
      </c>
    </row>
    <row r="321" spans="1:8">
      <c r="A321" s="1">
        <v>36</v>
      </c>
      <c r="B321" s="1" t="s">
        <v>1167</v>
      </c>
      <c r="C321" s="1">
        <v>53</v>
      </c>
      <c r="D321" s="1">
        <v>303.29000000000002</v>
      </c>
      <c r="E321" s="1">
        <v>0.33778000000000002</v>
      </c>
      <c r="F321" s="1">
        <f>4454400*(10^-6)</f>
        <v>4.4543999999999997</v>
      </c>
      <c r="G321" s="1">
        <v>62</v>
      </c>
      <c r="H321" s="1">
        <v>10.07</v>
      </c>
    </row>
    <row r="322" spans="1:8">
      <c r="A322" s="1">
        <v>37</v>
      </c>
      <c r="B322" s="1" t="s">
        <v>1168</v>
      </c>
      <c r="C322" s="1">
        <v>59.02</v>
      </c>
      <c r="D322" s="1">
        <v>305.27999999999997</v>
      </c>
      <c r="E322" s="1">
        <v>0.35683999999999999</v>
      </c>
      <c r="F322" s="1">
        <f>1689600*(10^-6)</f>
        <v>1.6896</v>
      </c>
      <c r="G322" s="1">
        <v>34</v>
      </c>
      <c r="H322" s="1">
        <v>11.22</v>
      </c>
    </row>
    <row r="323" spans="1:8">
      <c r="A323" s="1">
        <v>38</v>
      </c>
      <c r="B323" s="1" t="s">
        <v>1169</v>
      </c>
      <c r="C323" s="1">
        <v>53.36</v>
      </c>
      <c r="D323" s="1">
        <v>302.47000000000003</v>
      </c>
      <c r="E323" s="1">
        <v>0.36843100000000001</v>
      </c>
      <c r="F323" s="1">
        <f>768000*(10^-6)</f>
        <v>0.76800000000000002</v>
      </c>
      <c r="G323" s="1">
        <v>50</v>
      </c>
      <c r="H323" s="1">
        <v>10.130000000000001</v>
      </c>
    </row>
    <row r="324" spans="1:8">
      <c r="A324" s="1">
        <v>39</v>
      </c>
      <c r="B324" s="1" t="s">
        <v>1170</v>
      </c>
      <c r="C324" s="1">
        <v>58.85</v>
      </c>
      <c r="D324" s="1">
        <v>300.95</v>
      </c>
      <c r="E324" s="1">
        <v>0.35421999999999998</v>
      </c>
      <c r="F324" s="1">
        <f>652800*(10^-6)</f>
        <v>0.65279999999999994</v>
      </c>
      <c r="G324" s="1">
        <v>50</v>
      </c>
      <c r="H324" s="1">
        <v>11.17</v>
      </c>
    </row>
    <row r="325" spans="1:8">
      <c r="A325" s="1">
        <v>40</v>
      </c>
      <c r="B325" s="1" t="s">
        <v>1171</v>
      </c>
      <c r="C325" s="1">
        <v>59.21</v>
      </c>
      <c r="D325" s="1">
        <v>302.23</v>
      </c>
      <c r="E325" s="1">
        <v>0.352219</v>
      </c>
      <c r="F325" s="1">
        <f>998400*(10^-6)</f>
        <v>0.99839999999999995</v>
      </c>
      <c r="G325" s="1">
        <v>60</v>
      </c>
      <c r="H325" s="1">
        <v>11.25</v>
      </c>
    </row>
    <row r="326" spans="1:8">
      <c r="A326" s="1">
        <v>41</v>
      </c>
      <c r="B326" s="1" t="s">
        <v>1172</v>
      </c>
      <c r="C326" s="1">
        <v>60.93</v>
      </c>
      <c r="D326" s="1">
        <v>301.94</v>
      </c>
      <c r="E326" s="1">
        <v>0.34451999999999999</v>
      </c>
      <c r="F326" s="1">
        <f>576000*(10^-6)</f>
        <v>0.57599999999999996</v>
      </c>
      <c r="G326" s="1">
        <v>18</v>
      </c>
      <c r="H326" s="1">
        <v>11.55</v>
      </c>
    </row>
    <row r="327" spans="1:8">
      <c r="A327" s="1">
        <v>42</v>
      </c>
      <c r="B327" s="1" t="s">
        <v>1173</v>
      </c>
      <c r="C327" s="1">
        <v>54.57</v>
      </c>
      <c r="D327" s="1">
        <v>300.56</v>
      </c>
      <c r="E327" s="1">
        <v>0.31921899999999997</v>
      </c>
      <c r="F327" s="1">
        <f>1152000*(10^-6)</f>
        <v>1.1519999999999999</v>
      </c>
      <c r="G327" s="1">
        <v>12</v>
      </c>
      <c r="H327" s="1">
        <v>10.38</v>
      </c>
    </row>
    <row r="328" spans="1:8">
      <c r="A328" s="1">
        <v>43</v>
      </c>
      <c r="B328" s="1" t="s">
        <v>1174</v>
      </c>
      <c r="C328" s="1">
        <v>50.66</v>
      </c>
      <c r="D328" s="1">
        <v>299.36</v>
      </c>
      <c r="E328" s="1">
        <v>0.337704</v>
      </c>
      <c r="F328" s="1">
        <f>1036800*(10^-6)</f>
        <v>1.0367999999999999</v>
      </c>
      <c r="G328" s="1">
        <v>62</v>
      </c>
      <c r="H328" s="1">
        <v>9.6199999999999992</v>
      </c>
    </row>
    <row r="329" spans="1:8">
      <c r="A329" s="1">
        <v>44</v>
      </c>
      <c r="B329" s="1" t="s">
        <v>1175</v>
      </c>
      <c r="C329" s="1">
        <v>53.33</v>
      </c>
      <c r="D329" s="1">
        <v>300.49</v>
      </c>
      <c r="E329" s="1">
        <v>0.34438600000000003</v>
      </c>
      <c r="F329" s="1">
        <f>960000*(10^-6)</f>
        <v>0.96</v>
      </c>
      <c r="G329" s="1">
        <v>10</v>
      </c>
      <c r="H329" s="1">
        <v>10.119999999999999</v>
      </c>
    </row>
    <row r="330" spans="1:8">
      <c r="A330" s="1">
        <v>45</v>
      </c>
      <c r="B330" s="1" t="s">
        <v>1176</v>
      </c>
      <c r="C330" s="1">
        <v>55.26</v>
      </c>
      <c r="D330" s="1">
        <v>304.24</v>
      </c>
      <c r="E330" s="1">
        <v>0.36537500000000001</v>
      </c>
      <c r="F330" s="1">
        <f>729600*(10^-6)</f>
        <v>0.72959999999999992</v>
      </c>
      <c r="G330" s="1">
        <v>58</v>
      </c>
      <c r="H330" s="1">
        <v>10.5</v>
      </c>
    </row>
    <row r="331" spans="1:8">
      <c r="A331" s="1">
        <v>46</v>
      </c>
      <c r="B331" s="1" t="s">
        <v>1177</v>
      </c>
      <c r="C331" s="1">
        <v>60.41</v>
      </c>
      <c r="D331" s="1">
        <v>303.29000000000002</v>
      </c>
      <c r="E331" s="1">
        <v>0.38036599999999998</v>
      </c>
      <c r="F331" s="1">
        <f>38400*(10^-6)</f>
        <v>3.8399999999999997E-2</v>
      </c>
      <c r="G331" s="1">
        <v>60</v>
      </c>
      <c r="H331" s="1">
        <v>11.46</v>
      </c>
    </row>
    <row r="332" spans="1:8">
      <c r="A332" s="1">
        <v>47</v>
      </c>
      <c r="B332" s="1" t="s">
        <v>1178</v>
      </c>
      <c r="C332" s="1">
        <v>56.76</v>
      </c>
      <c r="D332" s="1" t="e">
        <f>-inf</f>
        <v>#NAME?</v>
      </c>
      <c r="E332" s="1">
        <v>0.34487099999999998</v>
      </c>
      <c r="F332" s="1">
        <f>0*(10^-6)</f>
        <v>0</v>
      </c>
      <c r="G332" s="1">
        <v>10</v>
      </c>
      <c r="H332" s="1">
        <v>10.76</v>
      </c>
    </row>
    <row r="333" spans="1:8">
      <c r="A333" s="1">
        <v>48</v>
      </c>
      <c r="B333" s="1" t="s">
        <v>1179</v>
      </c>
      <c r="C333" s="1">
        <v>61.63</v>
      </c>
      <c r="D333" s="1">
        <v>307.14</v>
      </c>
      <c r="E333" s="1">
        <v>0.38583800000000001</v>
      </c>
      <c r="F333" s="1">
        <f>1612800*(10^-6)</f>
        <v>1.6128</v>
      </c>
      <c r="G333" s="1">
        <v>42</v>
      </c>
      <c r="H333" s="1">
        <v>11.7</v>
      </c>
    </row>
    <row r="334" spans="1:8">
      <c r="A334" s="1">
        <v>49</v>
      </c>
      <c r="B334" s="1" t="s">
        <v>1180</v>
      </c>
      <c r="C334" s="1">
        <v>59.31</v>
      </c>
      <c r="D334" s="1">
        <v>300.27</v>
      </c>
      <c r="E334" s="1">
        <v>0.32463599999999998</v>
      </c>
      <c r="F334" s="1">
        <f>806400*(10^-6)</f>
        <v>0.80640000000000001</v>
      </c>
      <c r="G334" s="1">
        <v>48</v>
      </c>
      <c r="H334" s="1">
        <v>11.31</v>
      </c>
    </row>
    <row r="335" spans="1:8">
      <c r="A335" s="1">
        <v>50</v>
      </c>
      <c r="B335" s="1" t="s">
        <v>1181</v>
      </c>
      <c r="C335" s="1">
        <v>56.33</v>
      </c>
      <c r="D335" s="1">
        <v>301.11</v>
      </c>
      <c r="E335" s="1">
        <v>0.35530299999999998</v>
      </c>
      <c r="F335" s="1">
        <f>76800*(10^-6)</f>
        <v>7.6799999999999993E-2</v>
      </c>
      <c r="G335" s="1">
        <v>66</v>
      </c>
      <c r="H335" s="1">
        <v>10.71</v>
      </c>
    </row>
    <row r="336" spans="1:8">
      <c r="B336" s="1" t="s">
        <v>19</v>
      </c>
      <c r="C336" s="1">
        <f>AVERAGE(C286:C335)</f>
        <v>56.602000000000004</v>
      </c>
      <c r="D336" s="1" t="e">
        <f t="shared" ref="D336:F336" si="23">AVERAGE(D286:D335)</f>
        <v>#NAME?</v>
      </c>
      <c r="E336" s="1">
        <f t="shared" si="23"/>
        <v>0.35048534000000003</v>
      </c>
      <c r="F336" s="1">
        <f t="shared" si="23"/>
        <v>1.2917760906240003</v>
      </c>
      <c r="H336" s="1">
        <f t="shared" ref="H336" si="24">AVERAGE(H286:H335)</f>
        <v>10.755600000000001</v>
      </c>
    </row>
    <row r="337" spans="1:8">
      <c r="B337" s="1" t="s">
        <v>20</v>
      </c>
      <c r="C337" s="1">
        <f>MIN(C285:C335)</f>
        <v>46.69</v>
      </c>
      <c r="D337" s="1" t="e">
        <f t="shared" ref="D337:F337" si="25">MIN(D285:D335)</f>
        <v>#NAME?</v>
      </c>
      <c r="E337" s="1">
        <f t="shared" si="25"/>
        <v>0.31921899999999997</v>
      </c>
      <c r="F337" s="1">
        <f t="shared" si="25"/>
        <v>0</v>
      </c>
      <c r="H337" s="1">
        <f t="shared" ref="H337" si="26">MIN(H285:H335)</f>
        <v>8.8800000000000008</v>
      </c>
    </row>
    <row r="338" spans="1:8">
      <c r="B338" s="1" t="s">
        <v>3</v>
      </c>
      <c r="C338" s="1">
        <f>STDEV(C286:C335)</f>
        <v>3.5990049645274116</v>
      </c>
      <c r="D338" s="1" t="e">
        <f t="shared" ref="D338:E338" si="27">STDEV(D286:D335)</f>
        <v>#NAME?</v>
      </c>
      <c r="E338" s="1">
        <f t="shared" si="27"/>
        <v>1.7492339804063273E-2</v>
      </c>
      <c r="F338" s="1">
        <f>STDEV(F286:F335)</f>
        <v>1.6319194369410217</v>
      </c>
      <c r="H338" s="1">
        <f>STDEV(H286:H335)</f>
        <v>0.68323109903888601</v>
      </c>
    </row>
    <row r="340" spans="1:8">
      <c r="H340" s="2" t="s">
        <v>1435</v>
      </c>
    </row>
    <row r="341" spans="1:8" ht="18">
      <c r="A341" s="2" t="s">
        <v>7</v>
      </c>
      <c r="B341" s="3" t="s">
        <v>6</v>
      </c>
      <c r="C341" s="2" t="s">
        <v>4</v>
      </c>
      <c r="D341" s="2" t="s">
        <v>322</v>
      </c>
      <c r="E341" s="2" t="s">
        <v>321</v>
      </c>
      <c r="F341" s="2" t="s">
        <v>324</v>
      </c>
      <c r="G341" s="2" t="s">
        <v>323</v>
      </c>
      <c r="H341" s="2" t="s">
        <v>1436</v>
      </c>
    </row>
    <row r="342" spans="1:8">
      <c r="A342" s="1">
        <v>1</v>
      </c>
      <c r="B342" s="1" t="s">
        <v>1384</v>
      </c>
      <c r="C342" s="1">
        <v>49.6</v>
      </c>
      <c r="D342" s="1" t="e">
        <f>-inf</f>
        <v>#NAME?</v>
      </c>
      <c r="E342" s="1">
        <v>0.34651799999999999</v>
      </c>
      <c r="F342" s="1">
        <v>0</v>
      </c>
      <c r="G342" s="1">
        <v>38</v>
      </c>
      <c r="H342" s="1">
        <v>9.43</v>
      </c>
    </row>
    <row r="343" spans="1:8">
      <c r="A343" s="1">
        <v>2</v>
      </c>
      <c r="B343" s="1" t="s">
        <v>1385</v>
      </c>
      <c r="C343" s="1">
        <v>48.58</v>
      </c>
      <c r="D343" s="1">
        <v>374.41</v>
      </c>
      <c r="E343" s="1">
        <v>0.35294199999999998</v>
      </c>
      <c r="F343" s="1">
        <v>0.12</v>
      </c>
      <c r="G343" s="1">
        <v>70</v>
      </c>
      <c r="H343" s="1">
        <v>9.24</v>
      </c>
    </row>
    <row r="344" spans="1:8">
      <c r="A344" s="1">
        <v>3</v>
      </c>
      <c r="B344" s="1" t="s">
        <v>1386</v>
      </c>
      <c r="C344" s="1">
        <v>50.89</v>
      </c>
      <c r="D344" s="1">
        <v>373.43</v>
      </c>
      <c r="E344" s="1">
        <v>0.34364499999999998</v>
      </c>
      <c r="F344" s="1">
        <v>0.19</v>
      </c>
      <c r="G344" s="1">
        <v>18</v>
      </c>
      <c r="H344" s="1">
        <v>9.67</v>
      </c>
    </row>
    <row r="345" spans="1:8">
      <c r="A345" s="1">
        <v>4</v>
      </c>
      <c r="B345" s="1" t="s">
        <v>1387</v>
      </c>
      <c r="C345" s="1">
        <v>47.92</v>
      </c>
      <c r="D345" s="1">
        <v>375.51</v>
      </c>
      <c r="E345" s="1">
        <v>0.35554599999999997</v>
      </c>
      <c r="F345" s="1">
        <v>0.19</v>
      </c>
      <c r="G345" s="1">
        <v>90</v>
      </c>
      <c r="H345" s="1">
        <v>9.11</v>
      </c>
    </row>
    <row r="346" spans="1:8">
      <c r="A346" s="1">
        <v>5</v>
      </c>
      <c r="B346" s="1" t="s">
        <v>1388</v>
      </c>
      <c r="C346" s="1">
        <v>48.67</v>
      </c>
      <c r="D346" s="1">
        <v>377.47</v>
      </c>
      <c r="E346" s="1">
        <v>0.33863799999999999</v>
      </c>
      <c r="F346" s="1">
        <v>3.76</v>
      </c>
      <c r="G346" s="1">
        <v>84</v>
      </c>
      <c r="H346" s="1">
        <v>9.24</v>
      </c>
    </row>
    <row r="347" spans="1:8">
      <c r="A347" s="1">
        <v>6</v>
      </c>
      <c r="B347" s="1" t="s">
        <v>1389</v>
      </c>
      <c r="C347" s="1">
        <v>48.45</v>
      </c>
      <c r="D347" s="1">
        <v>374.51</v>
      </c>
      <c r="E347" s="1">
        <v>0.33294200000000002</v>
      </c>
      <c r="F347" s="1">
        <v>0.23</v>
      </c>
      <c r="G347" s="1">
        <v>30</v>
      </c>
      <c r="H347" s="1">
        <v>9.1999999999999993</v>
      </c>
    </row>
    <row r="348" spans="1:8">
      <c r="A348" s="1">
        <v>7</v>
      </c>
      <c r="B348" s="1" t="s">
        <v>1390</v>
      </c>
      <c r="C348" s="1">
        <v>50.15</v>
      </c>
      <c r="D348" s="1">
        <v>377.04</v>
      </c>
      <c r="E348" s="1">
        <v>0.345161</v>
      </c>
      <c r="F348" s="1">
        <v>0.65</v>
      </c>
      <c r="G348" s="1">
        <v>4</v>
      </c>
      <c r="H348" s="1">
        <v>9.51</v>
      </c>
    </row>
    <row r="349" spans="1:8">
      <c r="A349" s="1">
        <v>8</v>
      </c>
      <c r="B349" s="1" t="s">
        <v>1391</v>
      </c>
      <c r="C349" s="1">
        <v>45.12</v>
      </c>
      <c r="D349" s="1">
        <v>375.37</v>
      </c>
      <c r="E349" s="1">
        <v>0.34503699999999998</v>
      </c>
      <c r="F349" s="1">
        <v>1.69</v>
      </c>
      <c r="G349" s="1">
        <v>84</v>
      </c>
      <c r="H349" s="1">
        <v>8.5500000000000007</v>
      </c>
    </row>
    <row r="350" spans="1:8">
      <c r="A350" s="1">
        <v>9</v>
      </c>
      <c r="B350" s="1" t="s">
        <v>1392</v>
      </c>
      <c r="C350" s="1">
        <v>45.98</v>
      </c>
      <c r="D350" s="1" t="e">
        <f>-inf</f>
        <v>#NAME?</v>
      </c>
      <c r="E350" s="1">
        <v>0.330758</v>
      </c>
      <c r="F350" s="1">
        <v>0</v>
      </c>
      <c r="G350" s="1">
        <v>80</v>
      </c>
      <c r="H350" s="1">
        <v>8.73</v>
      </c>
    </row>
    <row r="351" spans="1:8">
      <c r="A351" s="1">
        <v>10</v>
      </c>
      <c r="B351" s="1" t="s">
        <v>1393</v>
      </c>
      <c r="C351" s="1">
        <v>48.96</v>
      </c>
      <c r="D351" s="1">
        <v>368.76</v>
      </c>
      <c r="E351" s="1">
        <v>0.30458200000000002</v>
      </c>
      <c r="F351" s="1">
        <v>0.12</v>
      </c>
      <c r="G351" s="1">
        <v>34</v>
      </c>
      <c r="H351" s="1">
        <v>9.33</v>
      </c>
    </row>
    <row r="352" spans="1:8">
      <c r="A352" s="1">
        <v>11</v>
      </c>
      <c r="B352" s="1" t="s">
        <v>1394</v>
      </c>
      <c r="C352" s="1">
        <v>47.5</v>
      </c>
      <c r="D352" s="1" t="e">
        <f>-inf</f>
        <v>#NAME?</v>
      </c>
      <c r="E352" s="1">
        <v>0.32999699999999998</v>
      </c>
      <c r="F352" s="1">
        <v>0</v>
      </c>
      <c r="G352" s="1">
        <v>40</v>
      </c>
      <c r="H352" s="1">
        <v>9.0399999999999991</v>
      </c>
    </row>
    <row r="353" spans="1:8">
      <c r="A353" s="1">
        <v>12</v>
      </c>
      <c r="B353" s="1" t="s">
        <v>1395</v>
      </c>
      <c r="C353" s="1">
        <v>48.42</v>
      </c>
      <c r="D353" s="1">
        <v>376.6</v>
      </c>
      <c r="E353" s="1">
        <v>0.34828599999999998</v>
      </c>
      <c r="F353" s="1">
        <v>2.2999999999999998</v>
      </c>
      <c r="G353" s="1">
        <v>68</v>
      </c>
      <c r="H353" s="1">
        <v>9.1999999999999993</v>
      </c>
    </row>
    <row r="354" spans="1:8">
      <c r="A354" s="1">
        <v>13</v>
      </c>
      <c r="B354" s="1" t="s">
        <v>1396</v>
      </c>
      <c r="C354" s="1">
        <v>49.82</v>
      </c>
      <c r="D354" s="1">
        <v>375.9</v>
      </c>
      <c r="E354" s="1">
        <v>0.32264900000000002</v>
      </c>
      <c r="F354" s="1">
        <v>1.84</v>
      </c>
      <c r="G354" s="1">
        <v>26</v>
      </c>
      <c r="H354" s="1">
        <v>9.4600000000000009</v>
      </c>
    </row>
    <row r="355" spans="1:8">
      <c r="A355" s="1">
        <v>14</v>
      </c>
      <c r="B355" s="1" t="s">
        <v>1397</v>
      </c>
      <c r="C355" s="1">
        <v>53.26</v>
      </c>
      <c r="D355" s="1" t="e">
        <f>-inf</f>
        <v>#NAME?</v>
      </c>
      <c r="E355" s="1">
        <v>0.33921000000000001</v>
      </c>
      <c r="F355" s="1">
        <v>0</v>
      </c>
      <c r="G355" s="1">
        <v>44</v>
      </c>
      <c r="H355" s="1">
        <v>10.119999999999999</v>
      </c>
    </row>
    <row r="356" spans="1:8">
      <c r="A356" s="1">
        <v>15</v>
      </c>
      <c r="B356" s="1" t="s">
        <v>1398</v>
      </c>
      <c r="C356" s="1">
        <v>50.11</v>
      </c>
      <c r="D356" s="1">
        <v>375.34</v>
      </c>
      <c r="E356" s="1">
        <v>0.35244700000000001</v>
      </c>
      <c r="F356" s="1">
        <v>0.08</v>
      </c>
      <c r="G356" s="1">
        <v>14</v>
      </c>
      <c r="H356" s="1">
        <v>9.52</v>
      </c>
    </row>
    <row r="357" spans="1:8">
      <c r="A357" s="1">
        <v>16</v>
      </c>
      <c r="B357" s="1" t="s">
        <v>1399</v>
      </c>
      <c r="C357" s="1">
        <v>47.76</v>
      </c>
      <c r="D357" s="1">
        <v>377.74</v>
      </c>
      <c r="E357" s="1">
        <v>0.37601299999999999</v>
      </c>
      <c r="F357" s="1">
        <v>1.19</v>
      </c>
      <c r="G357" s="1">
        <v>44</v>
      </c>
      <c r="H357" s="1">
        <v>9.08</v>
      </c>
    </row>
    <row r="358" spans="1:8">
      <c r="A358" s="1">
        <v>17</v>
      </c>
      <c r="B358" s="1" t="s">
        <v>1400</v>
      </c>
      <c r="C358" s="1">
        <v>48.24</v>
      </c>
      <c r="D358" s="1">
        <v>372</v>
      </c>
      <c r="E358" s="1">
        <v>0.33445900000000001</v>
      </c>
      <c r="F358" s="1">
        <v>0.57999999999999996</v>
      </c>
      <c r="G358" s="1">
        <v>82</v>
      </c>
      <c r="H358" s="1">
        <v>9.18</v>
      </c>
    </row>
    <row r="359" spans="1:8">
      <c r="A359" s="1">
        <v>18</v>
      </c>
      <c r="B359" s="1" t="s">
        <v>1401</v>
      </c>
      <c r="C359" s="1">
        <v>45.68</v>
      </c>
      <c r="D359" s="1">
        <v>374.02</v>
      </c>
      <c r="E359" s="1">
        <v>0.317297</v>
      </c>
      <c r="F359" s="1">
        <v>2.61</v>
      </c>
      <c r="G359" s="1">
        <v>6</v>
      </c>
      <c r="H359" s="1">
        <v>8.67</v>
      </c>
    </row>
    <row r="360" spans="1:8">
      <c r="A360" s="1">
        <v>19</v>
      </c>
      <c r="B360" s="1" t="s">
        <v>1402</v>
      </c>
      <c r="C360" s="1">
        <v>49.85</v>
      </c>
      <c r="D360" s="1">
        <v>369.74</v>
      </c>
      <c r="E360" s="1">
        <v>0.29764400000000002</v>
      </c>
      <c r="F360" s="1">
        <v>0.96</v>
      </c>
      <c r="G360" s="1">
        <v>40</v>
      </c>
      <c r="H360" s="1">
        <v>9.4700000000000006</v>
      </c>
    </row>
    <row r="361" spans="1:8">
      <c r="A361" s="1">
        <v>20</v>
      </c>
      <c r="B361" s="1" t="s">
        <v>1403</v>
      </c>
      <c r="C361" s="1">
        <v>54.97</v>
      </c>
      <c r="D361" s="1">
        <v>372.23</v>
      </c>
      <c r="E361" s="1">
        <v>0.31650400000000001</v>
      </c>
      <c r="F361" s="1">
        <v>0.54</v>
      </c>
      <c r="G361" s="1">
        <v>98</v>
      </c>
      <c r="H361" s="1">
        <v>10.45</v>
      </c>
    </row>
    <row r="362" spans="1:8">
      <c r="A362" s="1">
        <v>21</v>
      </c>
      <c r="B362" s="1" t="s">
        <v>1404</v>
      </c>
      <c r="C362" s="1">
        <v>50.17</v>
      </c>
      <c r="D362" s="1">
        <v>374.78</v>
      </c>
      <c r="E362" s="1">
        <v>0.33584399999999998</v>
      </c>
      <c r="F362" s="1">
        <v>0.88</v>
      </c>
      <c r="G362" s="1">
        <v>70</v>
      </c>
      <c r="H362" s="1">
        <v>9.5299999999999994</v>
      </c>
    </row>
    <row r="363" spans="1:8">
      <c r="A363" s="1">
        <v>22</v>
      </c>
      <c r="B363" s="1" t="s">
        <v>1405</v>
      </c>
      <c r="C363" s="1">
        <v>44.24</v>
      </c>
      <c r="D363" s="1">
        <v>373.67</v>
      </c>
      <c r="E363" s="1">
        <v>0.31184299999999998</v>
      </c>
      <c r="F363" s="1">
        <v>1.27</v>
      </c>
      <c r="G363" s="1">
        <v>84</v>
      </c>
      <c r="H363" s="1">
        <v>8.42</v>
      </c>
    </row>
    <row r="364" spans="1:8">
      <c r="A364" s="1">
        <v>23</v>
      </c>
      <c r="B364" s="1" t="s">
        <v>1406</v>
      </c>
      <c r="C364" s="1">
        <v>44.88</v>
      </c>
      <c r="D364" s="1">
        <v>368.62</v>
      </c>
      <c r="E364" s="1">
        <v>0.32068400000000002</v>
      </c>
      <c r="F364" s="1">
        <v>0.08</v>
      </c>
      <c r="G364" s="1">
        <v>84</v>
      </c>
      <c r="H364" s="1">
        <v>8.5399999999999991</v>
      </c>
    </row>
    <row r="365" spans="1:8">
      <c r="A365" s="1">
        <v>24</v>
      </c>
      <c r="B365" s="1" t="s">
        <v>1407</v>
      </c>
      <c r="C365" s="1">
        <v>54.49</v>
      </c>
      <c r="D365" s="1">
        <v>374.4</v>
      </c>
      <c r="E365" s="1">
        <v>0.34268399999999999</v>
      </c>
      <c r="F365" s="1">
        <v>0.38</v>
      </c>
      <c r="G365" s="1">
        <v>72</v>
      </c>
      <c r="H365" s="1">
        <v>10.38</v>
      </c>
    </row>
    <row r="366" spans="1:8">
      <c r="A366" s="1">
        <v>25</v>
      </c>
      <c r="B366" s="1" t="s">
        <v>1408</v>
      </c>
      <c r="C366" s="1">
        <v>52.63</v>
      </c>
      <c r="D366" s="1">
        <v>381.12</v>
      </c>
      <c r="E366" s="1">
        <v>0.36657499999999998</v>
      </c>
      <c r="F366" s="1">
        <v>3.65</v>
      </c>
      <c r="G366" s="1">
        <v>68</v>
      </c>
      <c r="H366" s="1">
        <v>10.02</v>
      </c>
    </row>
    <row r="367" spans="1:8">
      <c r="A367" s="1">
        <v>26</v>
      </c>
      <c r="B367" s="1" t="s">
        <v>1409</v>
      </c>
      <c r="C367" s="1">
        <v>52.91</v>
      </c>
      <c r="D367" s="1">
        <v>380.34</v>
      </c>
      <c r="E367" s="1">
        <v>0.36101800000000001</v>
      </c>
      <c r="F367" s="1">
        <v>2.19</v>
      </c>
      <c r="G367" s="1">
        <v>88</v>
      </c>
      <c r="H367" s="1">
        <v>10.039999999999999</v>
      </c>
    </row>
    <row r="368" spans="1:8">
      <c r="A368" s="1">
        <v>27</v>
      </c>
      <c r="B368" s="1" t="s">
        <v>1410</v>
      </c>
      <c r="C368" s="1">
        <v>49.68</v>
      </c>
      <c r="D368" s="1" t="e">
        <f>-inf</f>
        <v>#NAME?</v>
      </c>
      <c r="E368" s="1">
        <v>0.30678</v>
      </c>
      <c r="F368" s="1">
        <v>0</v>
      </c>
      <c r="G368" s="1">
        <v>98</v>
      </c>
      <c r="H368" s="1">
        <v>9.43</v>
      </c>
    </row>
    <row r="369" spans="1:8">
      <c r="A369" s="1">
        <v>28</v>
      </c>
      <c r="B369" s="1" t="s">
        <v>1411</v>
      </c>
      <c r="C369" s="1">
        <v>46.25</v>
      </c>
      <c r="D369" s="1">
        <v>372.68</v>
      </c>
      <c r="E369" s="1">
        <v>0.31987199999999999</v>
      </c>
      <c r="F369" s="1">
        <v>1.04</v>
      </c>
      <c r="G369" s="1">
        <v>30</v>
      </c>
      <c r="H369" s="1">
        <v>8.7799999999999994</v>
      </c>
    </row>
    <row r="370" spans="1:8">
      <c r="A370" s="1">
        <v>29</v>
      </c>
      <c r="B370" s="1" t="s">
        <v>1412</v>
      </c>
      <c r="C370" s="1">
        <v>51.63</v>
      </c>
      <c r="D370" s="1">
        <v>376.58</v>
      </c>
      <c r="E370" s="1">
        <v>0.34661399999999998</v>
      </c>
      <c r="F370" s="1">
        <v>1.08</v>
      </c>
      <c r="G370" s="1">
        <v>84</v>
      </c>
      <c r="H370" s="1">
        <v>9.83</v>
      </c>
    </row>
    <row r="371" spans="1:8">
      <c r="A371" s="1">
        <v>30</v>
      </c>
      <c r="B371" s="1" t="s">
        <v>1413</v>
      </c>
      <c r="C371" s="1">
        <v>46.32</v>
      </c>
      <c r="D371" s="1">
        <v>376.4</v>
      </c>
      <c r="E371" s="1">
        <v>0.34921099999999999</v>
      </c>
      <c r="F371" s="1">
        <v>0.35</v>
      </c>
      <c r="G371" s="1">
        <v>68</v>
      </c>
      <c r="H371" s="1">
        <v>8.7799999999999994</v>
      </c>
    </row>
    <row r="372" spans="1:8">
      <c r="A372" s="1">
        <v>31</v>
      </c>
      <c r="B372" s="1" t="s">
        <v>1414</v>
      </c>
      <c r="C372" s="1">
        <v>47.43</v>
      </c>
      <c r="D372" s="1">
        <v>373.32</v>
      </c>
      <c r="E372" s="1">
        <v>0.33656000000000003</v>
      </c>
      <c r="F372" s="1">
        <v>0.88</v>
      </c>
      <c r="G372" s="1">
        <v>6</v>
      </c>
      <c r="H372" s="1">
        <v>9.02</v>
      </c>
    </row>
    <row r="373" spans="1:8">
      <c r="A373" s="1">
        <v>32</v>
      </c>
      <c r="B373" s="1" t="s">
        <v>1415</v>
      </c>
      <c r="C373" s="1">
        <v>52.99</v>
      </c>
      <c r="D373" s="1">
        <v>372.81</v>
      </c>
      <c r="E373" s="1">
        <v>0.34827200000000003</v>
      </c>
      <c r="F373" s="1">
        <v>0.04</v>
      </c>
      <c r="G373" s="1">
        <v>18</v>
      </c>
      <c r="H373" s="1">
        <v>10.07</v>
      </c>
    </row>
    <row r="374" spans="1:8">
      <c r="A374" s="1">
        <v>33</v>
      </c>
      <c r="B374" s="1" t="s">
        <v>1416</v>
      </c>
      <c r="C374" s="1">
        <v>53.67</v>
      </c>
      <c r="D374" s="1">
        <v>378.55</v>
      </c>
      <c r="E374" s="1">
        <v>0.34701199999999999</v>
      </c>
      <c r="F374" s="1">
        <v>1.96</v>
      </c>
      <c r="G374" s="1">
        <v>72</v>
      </c>
      <c r="H374" s="1">
        <v>10.18</v>
      </c>
    </row>
    <row r="375" spans="1:8">
      <c r="A375" s="1">
        <v>34</v>
      </c>
      <c r="B375" s="1" t="s">
        <v>1417</v>
      </c>
      <c r="C375" s="1">
        <v>46.13</v>
      </c>
      <c r="D375" s="1">
        <v>372.77</v>
      </c>
      <c r="E375" s="1">
        <v>0.34466999999999998</v>
      </c>
      <c r="F375" s="1">
        <v>0.15</v>
      </c>
      <c r="G375" s="1">
        <v>54</v>
      </c>
      <c r="H375" s="1">
        <v>8.7899999999999991</v>
      </c>
    </row>
    <row r="376" spans="1:8">
      <c r="A376" s="1">
        <v>35</v>
      </c>
      <c r="B376" s="1" t="s">
        <v>1418</v>
      </c>
      <c r="C376" s="1">
        <v>45.86</v>
      </c>
      <c r="D376" s="1">
        <v>370.43</v>
      </c>
      <c r="E376" s="1">
        <v>0.30710500000000002</v>
      </c>
      <c r="F376" s="1">
        <v>0.38</v>
      </c>
      <c r="G376" s="1">
        <v>58</v>
      </c>
      <c r="H376" s="1">
        <v>8.6999999999999993</v>
      </c>
    </row>
    <row r="377" spans="1:8">
      <c r="A377" s="1">
        <v>36</v>
      </c>
      <c r="B377" s="1" t="s">
        <v>1419</v>
      </c>
      <c r="C377" s="1">
        <v>46.77</v>
      </c>
      <c r="D377" s="1">
        <v>374.47</v>
      </c>
      <c r="E377" s="1">
        <v>0.33944200000000002</v>
      </c>
      <c r="F377" s="1">
        <v>0.31</v>
      </c>
      <c r="G377" s="1">
        <v>50</v>
      </c>
      <c r="H377" s="1">
        <v>8.8800000000000008</v>
      </c>
    </row>
    <row r="378" spans="1:8">
      <c r="A378" s="1">
        <v>37</v>
      </c>
      <c r="B378" s="1" t="s">
        <v>1420</v>
      </c>
      <c r="C378" s="1">
        <v>49.24</v>
      </c>
      <c r="D378" s="1">
        <v>379.58</v>
      </c>
      <c r="E378" s="1">
        <v>0.368869</v>
      </c>
      <c r="F378" s="1">
        <v>0.81</v>
      </c>
      <c r="G378" s="1">
        <v>68</v>
      </c>
      <c r="H378" s="1">
        <v>9.35</v>
      </c>
    </row>
    <row r="379" spans="1:8">
      <c r="A379" s="1">
        <v>38</v>
      </c>
      <c r="B379" s="1" t="s">
        <v>1421</v>
      </c>
      <c r="C379" s="1">
        <v>53.77</v>
      </c>
      <c r="D379" s="1">
        <v>375.6</v>
      </c>
      <c r="E379" s="1">
        <v>0.32677400000000001</v>
      </c>
      <c r="F379" s="1">
        <v>0.77</v>
      </c>
      <c r="G379" s="1">
        <v>72</v>
      </c>
      <c r="H379" s="1">
        <v>10.210000000000001</v>
      </c>
    </row>
    <row r="380" spans="1:8">
      <c r="A380" s="1">
        <v>39</v>
      </c>
      <c r="B380" s="1" t="s">
        <v>1422</v>
      </c>
      <c r="C380" s="1">
        <v>45.94</v>
      </c>
      <c r="D380" s="1">
        <v>371.73</v>
      </c>
      <c r="E380" s="1">
        <v>0.31637199999999999</v>
      </c>
      <c r="F380" s="1">
        <v>0.35</v>
      </c>
      <c r="G380" s="1">
        <v>28</v>
      </c>
      <c r="H380" s="1">
        <v>8.74</v>
      </c>
    </row>
    <row r="381" spans="1:8">
      <c r="A381" s="1">
        <v>40</v>
      </c>
      <c r="B381" s="1" t="s">
        <v>1423</v>
      </c>
      <c r="C381" s="1">
        <v>46.33</v>
      </c>
      <c r="D381" s="1">
        <v>375.15</v>
      </c>
      <c r="E381" s="1">
        <v>0.34685100000000002</v>
      </c>
      <c r="F381" s="1">
        <v>0.65</v>
      </c>
      <c r="G381" s="1">
        <v>12</v>
      </c>
      <c r="H381" s="1">
        <v>8.81</v>
      </c>
    </row>
    <row r="382" spans="1:8">
      <c r="A382" s="1">
        <v>41</v>
      </c>
      <c r="B382" s="1" t="s">
        <v>1424</v>
      </c>
      <c r="C382" s="1">
        <v>46.21</v>
      </c>
      <c r="D382" s="1" t="e">
        <f>-inf</f>
        <v>#NAME?</v>
      </c>
      <c r="E382" s="1">
        <v>0.32432100000000003</v>
      </c>
      <c r="F382" s="1">
        <v>0</v>
      </c>
      <c r="G382" s="1">
        <v>62</v>
      </c>
      <c r="H382" s="1">
        <v>8.7799999999999994</v>
      </c>
    </row>
    <row r="383" spans="1:8">
      <c r="A383" s="1">
        <v>42</v>
      </c>
      <c r="B383" s="1" t="s">
        <v>1425</v>
      </c>
      <c r="C383" s="1">
        <v>48.94</v>
      </c>
      <c r="D383" s="1">
        <v>375.31</v>
      </c>
      <c r="E383" s="1">
        <v>0.33161400000000002</v>
      </c>
      <c r="F383" s="1">
        <v>0.19</v>
      </c>
      <c r="G383" s="1">
        <v>68</v>
      </c>
      <c r="H383" s="1">
        <v>9.3000000000000007</v>
      </c>
    </row>
    <row r="384" spans="1:8">
      <c r="A384" s="1">
        <v>43</v>
      </c>
      <c r="B384" s="1" t="s">
        <v>1426</v>
      </c>
      <c r="C384" s="1">
        <v>51.17</v>
      </c>
      <c r="D384" s="1" t="e">
        <f>-inf</f>
        <v>#NAME?</v>
      </c>
      <c r="E384" s="1">
        <v>0.33577000000000001</v>
      </c>
      <c r="F384" s="1">
        <v>0</v>
      </c>
      <c r="G384" s="1">
        <v>22</v>
      </c>
      <c r="H384" s="1">
        <v>9.6999999999999993</v>
      </c>
    </row>
    <row r="385" spans="1:8">
      <c r="A385" s="1">
        <v>44</v>
      </c>
      <c r="B385" s="1" t="s">
        <v>1427</v>
      </c>
      <c r="C385" s="1">
        <v>50.42</v>
      </c>
      <c r="D385" s="1">
        <v>373.85</v>
      </c>
      <c r="E385" s="1">
        <v>0.33823999999999999</v>
      </c>
      <c r="F385" s="1">
        <v>1.1100000000000001</v>
      </c>
      <c r="G385" s="1">
        <v>80</v>
      </c>
      <c r="H385" s="1">
        <v>9.6</v>
      </c>
    </row>
    <row r="386" spans="1:8">
      <c r="A386" s="1">
        <v>45</v>
      </c>
      <c r="B386" s="1" t="s">
        <v>1428</v>
      </c>
      <c r="C386" s="1">
        <v>48.77</v>
      </c>
      <c r="D386" s="1">
        <v>377.46</v>
      </c>
      <c r="E386" s="1">
        <v>0.35821999999999998</v>
      </c>
      <c r="F386" s="1">
        <v>0.92</v>
      </c>
      <c r="G386" s="1">
        <v>68</v>
      </c>
      <c r="H386" s="1">
        <v>9.25</v>
      </c>
    </row>
    <row r="387" spans="1:8">
      <c r="A387" s="1">
        <v>46</v>
      </c>
      <c r="B387" s="1" t="s">
        <v>1429</v>
      </c>
      <c r="C387" s="1">
        <v>49.44</v>
      </c>
      <c r="D387" s="1">
        <v>373.76</v>
      </c>
      <c r="E387" s="1">
        <v>0.324353</v>
      </c>
      <c r="F387" s="1">
        <v>0.46</v>
      </c>
      <c r="G387" s="1">
        <v>16</v>
      </c>
      <c r="H387" s="1">
        <v>9.4</v>
      </c>
    </row>
    <row r="388" spans="1:8">
      <c r="A388" s="1">
        <v>47</v>
      </c>
      <c r="B388" s="1" t="s">
        <v>1430</v>
      </c>
      <c r="C388" s="1">
        <v>51.45</v>
      </c>
      <c r="D388" s="1">
        <v>373.34</v>
      </c>
      <c r="E388" s="1">
        <v>0.33634799999999998</v>
      </c>
      <c r="F388" s="1">
        <v>0.12</v>
      </c>
      <c r="G388" s="1">
        <v>0</v>
      </c>
      <c r="H388" s="1">
        <v>9.7899999999999991</v>
      </c>
    </row>
    <row r="389" spans="1:8">
      <c r="A389" s="1">
        <v>48</v>
      </c>
      <c r="B389" s="1" t="s">
        <v>1431</v>
      </c>
      <c r="C389" s="1">
        <v>55.21</v>
      </c>
      <c r="D389" s="1">
        <v>372.1</v>
      </c>
      <c r="E389" s="1">
        <v>0.31853399999999998</v>
      </c>
      <c r="F389" s="1">
        <v>0.19</v>
      </c>
      <c r="G389" s="1">
        <v>50</v>
      </c>
      <c r="H389" s="1">
        <v>10.46</v>
      </c>
    </row>
    <row r="390" spans="1:8">
      <c r="A390" s="1">
        <v>49</v>
      </c>
      <c r="B390" s="1" t="s">
        <v>1432</v>
      </c>
      <c r="C390" s="1">
        <v>48.12</v>
      </c>
      <c r="D390" s="1">
        <v>369.81</v>
      </c>
      <c r="E390" s="1">
        <v>0.33420699999999998</v>
      </c>
      <c r="F390" s="1">
        <v>0.04</v>
      </c>
      <c r="G390" s="1">
        <v>64</v>
      </c>
      <c r="H390" s="1">
        <v>9.14</v>
      </c>
    </row>
    <row r="391" spans="1:8">
      <c r="A391" s="1">
        <v>50</v>
      </c>
      <c r="B391" s="1" t="s">
        <v>1433</v>
      </c>
      <c r="C391" s="1">
        <v>47.02</v>
      </c>
      <c r="D391" s="1">
        <v>371.41</v>
      </c>
      <c r="E391" s="1">
        <v>0.317411</v>
      </c>
      <c r="F391" s="1">
        <v>1.27</v>
      </c>
      <c r="G391" s="1">
        <v>38</v>
      </c>
      <c r="H391" s="1">
        <v>8.94</v>
      </c>
    </row>
    <row r="392" spans="1:8">
      <c r="B392" s="1" t="s">
        <v>19</v>
      </c>
      <c r="C392" s="1">
        <f>AVERAGE(C342:C391)</f>
        <v>49.160200000000003</v>
      </c>
      <c r="D392" s="1" t="e">
        <f t="shared" ref="D392:F392" si="28">AVERAGE(D342:D391)</f>
        <v>#NAME?</v>
      </c>
      <c r="E392" s="1">
        <f t="shared" si="28"/>
        <v>0.33584689999999995</v>
      </c>
      <c r="F392" s="1">
        <f t="shared" si="28"/>
        <v>0.77139999999999975</v>
      </c>
      <c r="H392" s="1">
        <f t="shared" ref="H392" si="29">AVERAGE(H342:H391)</f>
        <v>9.3411999999999971</v>
      </c>
    </row>
    <row r="393" spans="1:8">
      <c r="B393" s="1" t="s">
        <v>20</v>
      </c>
      <c r="C393" s="1">
        <f>MIN(C341:C391)</f>
        <v>44.24</v>
      </c>
      <c r="D393" s="1" t="e">
        <f t="shared" ref="D393:F393" si="30">MIN(D341:D391)</f>
        <v>#NAME?</v>
      </c>
      <c r="E393" s="1">
        <f t="shared" si="30"/>
        <v>0.29764400000000002</v>
      </c>
      <c r="F393" s="1">
        <f t="shared" si="30"/>
        <v>0</v>
      </c>
      <c r="H393" s="1">
        <f t="shared" ref="H393" si="31">MIN(H341:H391)</f>
        <v>8.42</v>
      </c>
    </row>
    <row r="394" spans="1:8">
      <c r="B394" s="1" t="s">
        <v>3</v>
      </c>
      <c r="C394" s="1">
        <f>STDEV(C342:C391)</f>
        <v>2.8225003317004935</v>
      </c>
      <c r="D394" s="1" t="e">
        <f t="shared" ref="D394:E394" si="32">STDEV(D342:D391)</f>
        <v>#NAME?</v>
      </c>
      <c r="E394" s="1">
        <f t="shared" si="32"/>
        <v>1.7270541701500424E-2</v>
      </c>
      <c r="F394" s="1">
        <f>STDEV(F342:F391)</f>
        <v>0.90316904648610108</v>
      </c>
      <c r="H394" s="1">
        <f>STDEV(H342:H391)</f>
        <v>0.53577957697368062</v>
      </c>
    </row>
    <row r="397" spans="1:8" ht="18">
      <c r="A397" s="2"/>
      <c r="B397" s="3"/>
      <c r="C397" s="2"/>
      <c r="D397" s="2"/>
      <c r="E397" s="2"/>
      <c r="F397" s="2"/>
      <c r="G397" s="2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6"/>
  <sheetViews>
    <sheetView zoomScaleNormal="100" workbookViewId="0">
      <selection activeCell="C27" sqref="C27"/>
    </sheetView>
  </sheetViews>
  <sheetFormatPr defaultRowHeight="14.4"/>
  <cols>
    <col min="1" max="1" width="8.88671875" customWidth="1"/>
  </cols>
  <sheetData>
    <row r="1" spans="1:9" ht="15" thickBot="1">
      <c r="A1" s="14"/>
      <c r="B1" s="32" t="s">
        <v>1452</v>
      </c>
      <c r="C1" s="29" t="s">
        <v>14</v>
      </c>
      <c r="D1" s="30"/>
      <c r="E1" s="30"/>
      <c r="F1" s="30"/>
      <c r="G1" s="30"/>
      <c r="H1" s="30"/>
      <c r="I1" s="31"/>
    </row>
    <row r="2" spans="1:9" ht="15" thickBot="1">
      <c r="A2" s="15"/>
      <c r="B2" s="33"/>
      <c r="C2" s="10">
        <v>2</v>
      </c>
      <c r="D2" s="10">
        <v>5</v>
      </c>
      <c r="E2" s="10">
        <v>10</v>
      </c>
      <c r="F2" s="10">
        <v>20</v>
      </c>
      <c r="G2" s="10">
        <v>30</v>
      </c>
      <c r="H2" s="10">
        <v>40</v>
      </c>
      <c r="I2" s="11">
        <v>50</v>
      </c>
    </row>
    <row r="3" spans="1:9">
      <c r="A3" s="27" t="s">
        <v>327</v>
      </c>
      <c r="B3" s="16" t="s">
        <v>16</v>
      </c>
      <c r="C3" s="6">
        <f>'Only primary (cb0)'!C56</f>
        <v>102.12599999999995</v>
      </c>
      <c r="D3" s="6">
        <f>'Only primary (cb0)'!C112</f>
        <v>92.327200000000005</v>
      </c>
      <c r="E3" s="6">
        <f>'Only primary (cb0)'!C168</f>
        <v>84.256400000000014</v>
      </c>
      <c r="F3" s="6">
        <f>'Only primary (cb0)'!C224</f>
        <v>68.74339999999998</v>
      </c>
      <c r="G3" s="6">
        <f>'Only primary (cb0)'!C280</f>
        <v>60.82419999999999</v>
      </c>
      <c r="H3" s="6">
        <f>'Only primary (cb0)'!C336</f>
        <v>53.164799999999985</v>
      </c>
      <c r="I3" s="7">
        <f>'Only primary (cb0)'!C392</f>
        <v>46.630200000000002</v>
      </c>
    </row>
    <row r="4" spans="1:9">
      <c r="A4" s="27"/>
      <c r="B4" s="16" t="s">
        <v>17</v>
      </c>
      <c r="C4" s="6">
        <f>'SCB (cb2)'!C56</f>
        <v>269.55419999999998</v>
      </c>
      <c r="D4" s="6">
        <f>'SCB (cb2)'!C112</f>
        <v>167.58520000000004</v>
      </c>
      <c r="E4" s="6">
        <f>'SCB (cb2)'!C168</f>
        <v>121.57640000000005</v>
      </c>
      <c r="F4" s="6">
        <f>'SCB (cb2)'!C224</f>
        <v>74.835399999999993</v>
      </c>
      <c r="G4" s="6">
        <f>'SCB (cb2)'!C280</f>
        <v>53.050200000000011</v>
      </c>
      <c r="H4" s="6">
        <f>'SCB (cb2)'!C336</f>
        <v>44.018799999999999</v>
      </c>
      <c r="I4" s="7">
        <f>'SCB (cb2)'!C392</f>
        <v>39.852399999999996</v>
      </c>
    </row>
    <row r="5" spans="1:9">
      <c r="A5" s="27"/>
      <c r="B5" s="16" t="s">
        <v>15</v>
      </c>
      <c r="C5" s="6">
        <f>'Always max (cb4)'!C56</f>
        <v>281.95580000000001</v>
      </c>
      <c r="D5" s="6">
        <f>'Always max (cb4)'!C112</f>
        <v>195.06180000000003</v>
      </c>
      <c r="E5" s="6">
        <f>'Always max (cb4)'!C168</f>
        <v>149.03399999999999</v>
      </c>
      <c r="F5" s="6">
        <f>'Always max (cb4)'!C224</f>
        <v>99.147399999999976</v>
      </c>
      <c r="G5" s="6">
        <f>'Always max (cb4)'!C280</f>
        <v>77.478000000000009</v>
      </c>
      <c r="H5" s="6">
        <f>'Always max (cb4)'!C336</f>
        <v>64.625400000000013</v>
      </c>
      <c r="I5" s="7">
        <f>'Always max (cb4)'!C392</f>
        <v>55.212999999999994</v>
      </c>
    </row>
    <row r="6" spans="1:9" ht="15" thickBot="1">
      <c r="A6" s="28"/>
      <c r="B6" s="13" t="s">
        <v>18</v>
      </c>
      <c r="C6" s="8">
        <f>'Prob. Uniform (cb6)'!C56</f>
        <v>147.00520000000003</v>
      </c>
      <c r="D6" s="8">
        <f>'Prob. Uniform (cb6)'!C112</f>
        <v>119.46800000000003</v>
      </c>
      <c r="E6" s="8">
        <f>'Prob. Uniform (cb6)'!C168</f>
        <v>101.3368</v>
      </c>
      <c r="F6" s="8">
        <f>'Prob. Uniform (cb6)'!C224</f>
        <v>77.115200000000016</v>
      </c>
      <c r="G6" s="8">
        <f>'Prob. Uniform (cb6)'!C280</f>
        <v>65.571600000000004</v>
      </c>
      <c r="H6" s="8">
        <f>'Prob. Uniform (cb6)'!C336</f>
        <v>56.602000000000004</v>
      </c>
      <c r="I6" s="9">
        <f>'Prob. Uniform (cb6)'!C392</f>
        <v>49.160200000000003</v>
      </c>
    </row>
    <row r="7" spans="1:9">
      <c r="A7" s="26" t="s">
        <v>325</v>
      </c>
      <c r="B7" s="17" t="s">
        <v>16</v>
      </c>
      <c r="C7" s="4">
        <f>'Only primary (cb0)'!C58</f>
        <v>0.10303555954432655</v>
      </c>
      <c r="D7" s="4">
        <f>'Only primary (cb0)'!C114</f>
        <v>11.051170967598857</v>
      </c>
      <c r="E7" s="4">
        <f>'Only primary (cb0)'!C170</f>
        <v>9.7786783381403897</v>
      </c>
      <c r="F7" s="4">
        <f>'Only primary (cb0)'!C226</f>
        <v>7.0245173005784194</v>
      </c>
      <c r="G7" s="4">
        <f>'Only primary (cb0)'!C282</f>
        <v>3.8249524953702077</v>
      </c>
      <c r="H7" s="4">
        <f>'Only primary (cb0)'!C338</f>
        <v>3.6942549109313965</v>
      </c>
      <c r="I7" s="5">
        <f>'Only primary (cb0)'!C394</f>
        <v>2.868371855607303</v>
      </c>
    </row>
    <row r="8" spans="1:9">
      <c r="A8" s="27"/>
      <c r="B8" s="16" t="s">
        <v>17</v>
      </c>
      <c r="C8" s="6">
        <f>'SCB (cb2)'!C58</f>
        <v>125.67582151970625</v>
      </c>
      <c r="D8" s="6">
        <f>'SCB (cb2)'!C114</f>
        <v>66.165889517737497</v>
      </c>
      <c r="E8" s="6">
        <f>'SCB (cb2)'!C170</f>
        <v>32.498051983062922</v>
      </c>
      <c r="F8" s="6">
        <f>'SCB (cb2)'!C226</f>
        <v>14.910052383597915</v>
      </c>
      <c r="G8" s="6">
        <f>'SCB (cb2)'!C282</f>
        <v>7.6495392658375634</v>
      </c>
      <c r="H8" s="6">
        <f>'SCB (cb2)'!C338</f>
        <v>6.2837213204162214</v>
      </c>
      <c r="I8" s="7">
        <f>'SCB (cb2)'!C394</f>
        <v>6.0761163616916161</v>
      </c>
    </row>
    <row r="9" spans="1:9">
      <c r="A9" s="27"/>
      <c r="B9" s="16" t="s">
        <v>15</v>
      </c>
      <c r="C9" s="6">
        <f>'Always max (cb4)'!C58</f>
        <v>116.32895168601544</v>
      </c>
      <c r="D9" s="6">
        <f>'Always max (cb4)'!C114</f>
        <v>57.12014186692759</v>
      </c>
      <c r="E9" s="6">
        <f>'Always max (cb4)'!C170</f>
        <v>26.356512884457363</v>
      </c>
      <c r="F9" s="6">
        <f>'Always max (cb4)'!C226</f>
        <v>13.166847020034171</v>
      </c>
      <c r="G9" s="6">
        <f>'Always max (cb4)'!C282</f>
        <v>6.4699254009513831</v>
      </c>
      <c r="H9" s="6">
        <f>'Always max (cb4)'!C338</f>
        <v>5.1982961140929076</v>
      </c>
      <c r="I9" s="7">
        <f>'Always max (cb4)'!C394</f>
        <v>3.7741149793763862</v>
      </c>
    </row>
    <row r="10" spans="1:9" ht="15" thickBot="1">
      <c r="A10" s="28"/>
      <c r="B10" s="13" t="s">
        <v>18</v>
      </c>
      <c r="C10" s="8">
        <f>'Prob. Uniform (cb6)'!C58</f>
        <v>27.19303288922131</v>
      </c>
      <c r="D10" s="8">
        <f>'Prob. Uniform (cb6)'!C114</f>
        <v>18.805386549212418</v>
      </c>
      <c r="E10" s="8">
        <f>'Prob. Uniform (cb6)'!C170</f>
        <v>11.246977179378849</v>
      </c>
      <c r="F10" s="8">
        <f>'Prob. Uniform (cb6)'!C226</f>
        <v>7.7813466753274732</v>
      </c>
      <c r="G10" s="8">
        <f>'Prob. Uniform (cb6)'!C282</f>
        <v>3.908783599086699</v>
      </c>
      <c r="H10" s="8">
        <f>'Prob. Uniform (cb6)'!C338</f>
        <v>3.5990049645274116</v>
      </c>
      <c r="I10" s="9">
        <f>'Prob. Uniform (cb6)'!C394</f>
        <v>2.8225003317004935</v>
      </c>
    </row>
    <row r="11" spans="1:9" ht="14.4" customHeight="1">
      <c r="A11" s="26" t="s">
        <v>1233</v>
      </c>
      <c r="B11" s="17" t="s">
        <v>16</v>
      </c>
      <c r="C11" s="4">
        <f>'Only primary (cb0)'!D56</f>
        <v>16.019999999999989</v>
      </c>
      <c r="D11" s="4">
        <f>'Only primary (cb0)'!D112</f>
        <v>39.729399999999998</v>
      </c>
      <c r="E11" s="4" t="e">
        <f>'Only primary (cb0)'!D168</f>
        <v>#NAME?</v>
      </c>
      <c r="F11" s="4">
        <f>'Only primary (cb0)'!C224</f>
        <v>68.74339999999998</v>
      </c>
      <c r="G11" s="4">
        <f>'Only primary (cb0)'!D280</f>
        <v>228.23320000000004</v>
      </c>
      <c r="H11" s="4">
        <f>'Only primary (cb0)'!D336</f>
        <v>300.9008</v>
      </c>
      <c r="I11" s="5" t="e">
        <f>'Only primary (cb0)'!D392</f>
        <v>#NAME?</v>
      </c>
    </row>
    <row r="12" spans="1:9">
      <c r="A12" s="27"/>
      <c r="B12" s="16" t="s">
        <v>17</v>
      </c>
      <c r="C12" s="6">
        <f>'SCB (cb2)'!D56</f>
        <v>16.620600000000003</v>
      </c>
      <c r="D12" s="6" t="e">
        <f>'SCB (cb2)'!D112</f>
        <v>#NAME?</v>
      </c>
      <c r="E12" s="6" t="e">
        <f>'SCB (cb2)'!D168</f>
        <v>#NAME?</v>
      </c>
      <c r="F12" s="6">
        <f>'SCB (cb2)'!C224</f>
        <v>74.835399999999993</v>
      </c>
      <c r="G12" s="6" t="e">
        <f>'SCB (cb2)'!D280</f>
        <v>#NAME?</v>
      </c>
      <c r="H12" s="6" t="e">
        <f>'SCB (cb2)'!D336</f>
        <v>#NAME?</v>
      </c>
      <c r="I12" s="7" t="e">
        <f>'SCB (cb2)'!D392</f>
        <v>#NAME?</v>
      </c>
    </row>
    <row r="13" spans="1:9">
      <c r="A13" s="27"/>
      <c r="B13" s="16" t="s">
        <v>15</v>
      </c>
      <c r="C13" s="6">
        <f>'Always max (cb4)'!D56</f>
        <v>16.733400000000003</v>
      </c>
      <c r="D13" s="6">
        <f>'Always max (cb4)'!D112</f>
        <v>41.016999999999996</v>
      </c>
      <c r="E13" s="6">
        <f>'Always max (cb4)'!D168</f>
        <v>80.505600000000001</v>
      </c>
      <c r="F13" s="6">
        <f>'Always max (cb4)'!C224</f>
        <v>99.147399999999976</v>
      </c>
      <c r="G13" s="6" t="e">
        <f>'Always max (cb4)'!D280</f>
        <v>#NAME?</v>
      </c>
      <c r="H13" s="6" t="e">
        <f>'Always max (cb4)'!D336</f>
        <v>#NAME?</v>
      </c>
      <c r="I13" s="7" t="e">
        <f>'Always max (cb4)'!D392</f>
        <v>#NAME?</v>
      </c>
    </row>
    <row r="14" spans="1:9" ht="14.4" customHeight="1" thickBot="1">
      <c r="A14" s="27"/>
      <c r="B14" s="16" t="s">
        <v>18</v>
      </c>
      <c r="C14" s="6">
        <f>'Prob. Uniform (cb6)'!D56</f>
        <v>16.3062</v>
      </c>
      <c r="D14" s="6">
        <f>'Prob. Uniform (cb6)'!D112</f>
        <v>40.251399999999997</v>
      </c>
      <c r="E14" s="6">
        <f>'Prob. Uniform (cb6)'!D168</f>
        <v>79.531200000000013</v>
      </c>
      <c r="F14" s="6">
        <f>'Prob. Uniform (cb6)'!C224</f>
        <v>77.115200000000016</v>
      </c>
      <c r="G14" s="6" t="e">
        <f>'Prob. Uniform (cb6)'!D280</f>
        <v>#NAME?</v>
      </c>
      <c r="H14" s="6" t="e">
        <f>'Prob. Uniform (cb6)'!D336</f>
        <v>#NAME?</v>
      </c>
      <c r="I14" s="7" t="e">
        <f>'Prob. Uniform (cb6)'!D392</f>
        <v>#NAME?</v>
      </c>
    </row>
    <row r="15" spans="1:9" ht="14.4" customHeight="1">
      <c r="A15" s="26" t="s">
        <v>1451</v>
      </c>
      <c r="B15" s="17" t="s">
        <v>16</v>
      </c>
      <c r="C15" s="4">
        <f t="shared" ref="C15:I18" si="0">C11/C$2</f>
        <v>8.0099999999999945</v>
      </c>
      <c r="D15" s="4">
        <f t="shared" si="0"/>
        <v>7.9458799999999998</v>
      </c>
      <c r="E15" s="4" t="e">
        <f t="shared" si="0"/>
        <v>#NAME?</v>
      </c>
      <c r="F15" s="4">
        <f t="shared" si="0"/>
        <v>3.4371699999999992</v>
      </c>
      <c r="G15" s="4">
        <f t="shared" si="0"/>
        <v>7.6077733333333351</v>
      </c>
      <c r="H15" s="4">
        <f t="shared" si="0"/>
        <v>7.5225200000000001</v>
      </c>
      <c r="I15" s="5" t="e">
        <f t="shared" si="0"/>
        <v>#NAME?</v>
      </c>
    </row>
    <row r="16" spans="1:9" ht="14.4" customHeight="1">
      <c r="A16" s="27"/>
      <c r="B16" s="16" t="s">
        <v>17</v>
      </c>
      <c r="C16" s="6">
        <f t="shared" si="0"/>
        <v>8.3103000000000016</v>
      </c>
      <c r="D16" s="6" t="e">
        <f t="shared" si="0"/>
        <v>#NAME?</v>
      </c>
      <c r="E16" s="6" t="e">
        <f t="shared" si="0"/>
        <v>#NAME?</v>
      </c>
      <c r="F16" s="6">
        <f t="shared" si="0"/>
        <v>3.7417699999999998</v>
      </c>
      <c r="G16" s="6" t="e">
        <f t="shared" si="0"/>
        <v>#NAME?</v>
      </c>
      <c r="H16" s="6" t="e">
        <f t="shared" si="0"/>
        <v>#NAME?</v>
      </c>
      <c r="I16" s="7" t="e">
        <f t="shared" si="0"/>
        <v>#NAME?</v>
      </c>
    </row>
    <row r="17" spans="1:9" ht="14.4" customHeight="1">
      <c r="A17" s="27"/>
      <c r="B17" s="16" t="s">
        <v>15</v>
      </c>
      <c r="C17" s="6">
        <f t="shared" si="0"/>
        <v>8.3667000000000016</v>
      </c>
      <c r="D17" s="6">
        <f t="shared" si="0"/>
        <v>8.2033999999999985</v>
      </c>
      <c r="E17" s="6">
        <f t="shared" si="0"/>
        <v>8.0505600000000008</v>
      </c>
      <c r="F17" s="6">
        <f t="shared" si="0"/>
        <v>4.9573699999999992</v>
      </c>
      <c r="G17" s="6" t="e">
        <f t="shared" si="0"/>
        <v>#NAME?</v>
      </c>
      <c r="H17" s="6" t="e">
        <f t="shared" si="0"/>
        <v>#NAME?</v>
      </c>
      <c r="I17" s="7" t="e">
        <f t="shared" si="0"/>
        <v>#NAME?</v>
      </c>
    </row>
    <row r="18" spans="1:9" ht="14.4" customHeight="1" thickBot="1">
      <c r="A18" s="28"/>
      <c r="B18" s="13" t="s">
        <v>18</v>
      </c>
      <c r="C18" s="8">
        <f t="shared" si="0"/>
        <v>8.1531000000000002</v>
      </c>
      <c r="D18" s="8">
        <f t="shared" si="0"/>
        <v>8.050279999999999</v>
      </c>
      <c r="E18" s="8">
        <f t="shared" si="0"/>
        <v>7.9531200000000011</v>
      </c>
      <c r="F18" s="8">
        <f t="shared" si="0"/>
        <v>3.855760000000001</v>
      </c>
      <c r="G18" s="8" t="e">
        <f t="shared" si="0"/>
        <v>#NAME?</v>
      </c>
      <c r="H18" s="8" t="e">
        <f t="shared" si="0"/>
        <v>#NAME?</v>
      </c>
      <c r="I18" s="9" t="e">
        <f t="shared" si="0"/>
        <v>#NAME?</v>
      </c>
    </row>
    <row r="19" spans="1:9">
      <c r="A19" s="27" t="s">
        <v>321</v>
      </c>
      <c r="B19" s="16" t="s">
        <v>16</v>
      </c>
      <c r="C19" s="6">
        <f>'Only primary (cb0)'!E56</f>
        <v>0.49999450000000001</v>
      </c>
      <c r="D19" s="6">
        <f>'Only primary (cb0)'!E112</f>
        <v>0.48054344000000015</v>
      </c>
      <c r="E19" s="6">
        <f>'Only primary (cb0)'!E168</f>
        <v>0.45964328000000021</v>
      </c>
      <c r="F19" s="6">
        <f>'Only primary (cb0)'!E224</f>
        <v>0.40647374000000008</v>
      </c>
      <c r="G19" s="6">
        <f>'Only primary (cb0)'!E280</f>
        <v>0.38461482000000002</v>
      </c>
      <c r="H19" s="6">
        <f>'Only primary (cb0)'!E336</f>
        <v>0.35779984000000004</v>
      </c>
      <c r="I19" s="7">
        <f>'Only primary (cb0)'!E392</f>
        <v>0.34117934</v>
      </c>
    </row>
    <row r="20" spans="1:9">
      <c r="A20" s="27"/>
      <c r="B20" s="16" t="s">
        <v>17</v>
      </c>
      <c r="C20" s="6">
        <f>'SCB (cb2)'!E56</f>
        <v>0.44119137999999986</v>
      </c>
      <c r="D20" s="6">
        <f>'SCB (cb2)'!E112</f>
        <v>0.35112889999999991</v>
      </c>
      <c r="E20" s="6">
        <f>'SCB (cb2)'!E168</f>
        <v>0.28197233999999993</v>
      </c>
      <c r="F20" s="6">
        <f>'SCB (cb2)'!E224</f>
        <v>0.21853142000000006</v>
      </c>
      <c r="G20" s="6">
        <f>'SCB (cb2)'!E280</f>
        <v>0.19123117999999995</v>
      </c>
      <c r="H20" s="6">
        <f>'SCB (cb2)'!E336</f>
        <v>0.17319003999999999</v>
      </c>
      <c r="I20" s="7">
        <f>'SCB (cb2)'!E392</f>
        <v>0.15874759999999999</v>
      </c>
    </row>
    <row r="21" spans="1:9">
      <c r="A21" s="27"/>
      <c r="B21" s="16" t="s">
        <v>15</v>
      </c>
      <c r="C21" s="6">
        <f>'Always max (cb4)'!E56</f>
        <v>0.44059927999999976</v>
      </c>
      <c r="D21" s="6">
        <f>'Always max (cb4)'!E112</f>
        <v>0.40359134000000002</v>
      </c>
      <c r="E21" s="6">
        <f>'Always max (cb4)'!E168</f>
        <v>0.3607689200000001</v>
      </c>
      <c r="F21" s="6">
        <f>'Always max (cb4)'!E224</f>
        <v>0.33670237999999997</v>
      </c>
      <c r="G21" s="6">
        <f>'Always max (cb4)'!E280</f>
        <v>0.32699677999999993</v>
      </c>
      <c r="H21" s="6">
        <f>'Always max (cb4)'!E336</f>
        <v>0.30897307999999996</v>
      </c>
      <c r="I21" s="7">
        <f>'Always max (cb4)'!E392</f>
        <v>0.30339229999999995</v>
      </c>
    </row>
    <row r="22" spans="1:9" ht="15" thickBot="1">
      <c r="A22" s="28"/>
      <c r="B22" s="13" t="s">
        <v>18</v>
      </c>
      <c r="C22" s="8">
        <f>'Prob. Uniform (cb6)'!E56</f>
        <v>0.48575975999999998</v>
      </c>
      <c r="D22" s="8">
        <f>'Prob. Uniform (cb6)'!E112</f>
        <v>0.46466352000000005</v>
      </c>
      <c r="E22" s="8">
        <f>'Prob. Uniform (cb6)'!E168</f>
        <v>0.44395943999999998</v>
      </c>
      <c r="F22" s="8">
        <f>'Prob. Uniform (cb6)'!E224</f>
        <v>0.39715057999999998</v>
      </c>
      <c r="G22" s="8">
        <f>'Prob. Uniform (cb6)'!E280</f>
        <v>0.37835121999999999</v>
      </c>
      <c r="H22" s="8">
        <f>'Prob. Uniform (cb6)'!E336</f>
        <v>0.35048534000000003</v>
      </c>
      <c r="I22" s="9">
        <f>'Prob. Uniform (cb6)'!E392</f>
        <v>0.33584689999999995</v>
      </c>
    </row>
    <row r="23" spans="1:9">
      <c r="A23" s="26" t="s">
        <v>326</v>
      </c>
      <c r="B23" s="17" t="s">
        <v>16</v>
      </c>
      <c r="C23" s="4">
        <f>'Only primary (cb0)'!F56</f>
        <v>101.78687999999998</v>
      </c>
      <c r="D23" s="4">
        <f>'Only primary (cb0)'!F112</f>
        <v>77.113344000000012</v>
      </c>
      <c r="E23" s="4">
        <f>'Only primary (cb0)'!F168</f>
        <v>43.742207999999998</v>
      </c>
      <c r="F23" s="4">
        <f>'Only primary (cb0)'!F224</f>
        <v>7.395839999999998</v>
      </c>
      <c r="G23" s="4">
        <f>'Only primary (cb0)'!F280</f>
        <v>2.2847999999999993</v>
      </c>
      <c r="H23" s="4">
        <f>'Only primary (cb0)'!F336</f>
        <v>0.92390400000000028</v>
      </c>
      <c r="I23" s="5">
        <f>'Only primary (cb0)'!F392</f>
        <v>0.7659999999999999</v>
      </c>
    </row>
    <row r="24" spans="1:9">
      <c r="A24" s="27"/>
      <c r="B24" s="16" t="s">
        <v>17</v>
      </c>
      <c r="C24" s="6">
        <f>'SCB (cb2)'!F56</f>
        <v>184.32076799999999</v>
      </c>
      <c r="D24" s="6">
        <f>'SCB (cb2)'!F112</f>
        <v>33.083135999999989</v>
      </c>
      <c r="E24" s="6">
        <f>'SCB (cb2)'!F168</f>
        <v>1.1619840000000001</v>
      </c>
      <c r="F24" s="6">
        <f>'SCB (cb2)'!F224</f>
        <v>3.0719999999999996E-3</v>
      </c>
      <c r="G24" s="6">
        <f>'SCB (cb2)'!F280</f>
        <v>1.5359999999999998E-3</v>
      </c>
      <c r="H24" s="6">
        <f>'SCB (cb2)'!F336</f>
        <v>0</v>
      </c>
      <c r="I24" s="7">
        <f>'SCB (cb2)'!F392</f>
        <v>0</v>
      </c>
    </row>
    <row r="25" spans="1:9">
      <c r="A25" s="27"/>
      <c r="B25" s="16" t="s">
        <v>15</v>
      </c>
      <c r="C25" s="6">
        <f>'Always max (cb4)'!F56</f>
        <v>190.74969599999994</v>
      </c>
      <c r="D25" s="6">
        <f>'Always max (cb4)'!F112</f>
        <v>96.014592000000007</v>
      </c>
      <c r="E25" s="6">
        <f>'Always max (cb4)'!F168</f>
        <v>39.798527999999997</v>
      </c>
      <c r="F25" s="6">
        <f>'Always max (cb4)'!F224</f>
        <v>6.615552000000001</v>
      </c>
      <c r="G25" s="6">
        <f>'Always max (cb4)'!F280</f>
        <v>2.0405759999999997</v>
      </c>
      <c r="H25" s="6">
        <f>'Always max (cb4)'!F336</f>
        <v>1.4914560000000003</v>
      </c>
      <c r="I25" s="7">
        <f>'Always max (cb4)'!F392</f>
        <v>0.92039999999999988</v>
      </c>
    </row>
    <row r="26" spans="1:9" ht="15" thickBot="1">
      <c r="A26" s="28"/>
      <c r="B26" s="13" t="s">
        <v>18</v>
      </c>
      <c r="C26" s="8">
        <f>'Prob. Uniform (cb6)'!F56</f>
        <v>126.78067200000004</v>
      </c>
      <c r="D26" s="8">
        <f>'Prob. Uniform (cb6)'!F112</f>
        <v>84.705023999999995</v>
      </c>
      <c r="E26" s="8">
        <f>'Prob. Uniform (cb6)'!F168</f>
        <v>47.857151999999985</v>
      </c>
      <c r="F26" s="8">
        <f>'Prob. Uniform (cb6)'!F224</f>
        <v>8.3796479999999978</v>
      </c>
      <c r="G26" s="8">
        <f>'Prob. Uniform (cb6)'!F280</f>
        <v>2.50752</v>
      </c>
      <c r="H26" s="8">
        <f>'Prob. Uniform (cb6)'!F336</f>
        <v>1.2917760906240003</v>
      </c>
      <c r="I26" s="9">
        <f>'Prob. Uniform (cb6)'!F392</f>
        <v>0.77139999999999975</v>
      </c>
    </row>
    <row r="27" spans="1:9">
      <c r="A27" s="26" t="s">
        <v>1436</v>
      </c>
      <c r="B27" s="17" t="s">
        <v>16</v>
      </c>
      <c r="C27" s="4">
        <f>'Only primary (cb0)'!H56</f>
        <v>19.309999999999974</v>
      </c>
      <c r="D27" s="4">
        <f>'Only primary (cb0)'!H112</f>
        <v>17.518199999999993</v>
      </c>
      <c r="E27" s="4">
        <f>'Only primary (cb0)'!H168</f>
        <v>15.976599999999996</v>
      </c>
      <c r="F27" s="4">
        <f>'Only primary (cb0)'!H224</f>
        <v>13.032599999999997</v>
      </c>
      <c r="G27" s="4">
        <f>'Only primary (cb0)'!H280</f>
        <v>11.531799999999999</v>
      </c>
      <c r="H27" s="4">
        <f>'Only primary (cb0)'!H336</f>
        <v>10.082600000000001</v>
      </c>
      <c r="I27" s="5">
        <f>'Only primary (cb0)'!H392</f>
        <v>8.8423999999999978</v>
      </c>
    </row>
    <row r="28" spans="1:9">
      <c r="A28" s="27"/>
      <c r="B28" s="16" t="s">
        <v>17</v>
      </c>
      <c r="C28" s="6">
        <f>'SCB (cb2)'!H56</f>
        <v>56.185400000000016</v>
      </c>
      <c r="D28" s="6">
        <f>'SCB (cb2)'!H112</f>
        <v>33.437599999999996</v>
      </c>
      <c r="E28" s="6">
        <f>'SCB (cb2)'!H168</f>
        <v>24.394200000000001</v>
      </c>
      <c r="F28" s="6">
        <f>'SCB (cb2)'!H224</f>
        <v>14.755599999999992</v>
      </c>
      <c r="G28" s="6">
        <f>'SCB (cb2)'!H280</f>
        <v>10.317399999999997</v>
      </c>
      <c r="H28" s="6">
        <f>'SCB (cb2)'!H336</f>
        <v>8.4960000000000022</v>
      </c>
      <c r="I28" s="7">
        <f>'SCB (cb2)'!H392</f>
        <v>7.6743999999999968</v>
      </c>
    </row>
    <row r="29" spans="1:9">
      <c r="A29" s="27"/>
      <c r="B29" s="16" t="s">
        <v>15</v>
      </c>
      <c r="C29" s="6">
        <f>'Always max (cb4)'!H56</f>
        <v>58.502800000000022</v>
      </c>
      <c r="D29" s="6">
        <f>'Always max (cb4)'!H112</f>
        <v>38.468400000000003</v>
      </c>
      <c r="E29" s="6">
        <f>'Always max (cb4)'!H168</f>
        <v>29.269200000000005</v>
      </c>
      <c r="F29" s="6">
        <f>'Always max (cb4)'!H224</f>
        <v>19.092400000000001</v>
      </c>
      <c r="G29" s="6">
        <f>'Always max (cb4)'!H280</f>
        <v>14.830399999999999</v>
      </c>
      <c r="H29" s="6">
        <f>'Always max (cb4)'!H336</f>
        <v>12.348199999999999</v>
      </c>
      <c r="I29" s="7">
        <f>'Always max (cb4)'!H392</f>
        <v>10.536199999999999</v>
      </c>
    </row>
    <row r="30" spans="1:9" ht="15" thickBot="1">
      <c r="A30" s="28"/>
      <c r="B30" s="13" t="s">
        <v>18</v>
      </c>
      <c r="C30" s="8">
        <f>'Prob. Uniform (cb6)'!H56</f>
        <v>28.547399999999993</v>
      </c>
      <c r="D30" s="8">
        <f>'Prob. Uniform (cb6)'!H112</f>
        <v>22.883200000000002</v>
      </c>
      <c r="E30" s="8">
        <f>'Prob. Uniform (cb6)'!H168</f>
        <v>19.363199999999999</v>
      </c>
      <c r="F30" s="8">
        <f>'Prob. Uniform (cb6)'!H224</f>
        <v>14.681199999999999</v>
      </c>
      <c r="G30" s="8">
        <f>'Prob. Uniform (cb6)'!H280</f>
        <v>12.466600000000005</v>
      </c>
      <c r="H30" s="8">
        <f>'Prob. Uniform (cb6)'!H336</f>
        <v>10.755600000000001</v>
      </c>
      <c r="I30" s="9">
        <f>'Prob. Uniform (cb6)'!H392</f>
        <v>9.3411999999999971</v>
      </c>
    </row>
    <row r="36" spans="13:13">
      <c r="M36" s="2"/>
    </row>
  </sheetData>
  <mergeCells count="9">
    <mergeCell ref="A27:A30"/>
    <mergeCell ref="C1:I1"/>
    <mergeCell ref="B1:B2"/>
    <mergeCell ref="A3:A6"/>
    <mergeCell ref="A11:A14"/>
    <mergeCell ref="A19:A22"/>
    <mergeCell ref="A23:A26"/>
    <mergeCell ref="A7:A10"/>
    <mergeCell ref="A15:A1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M16" sqref="M16"/>
    </sheetView>
  </sheetViews>
  <sheetFormatPr defaultRowHeight="14.4"/>
  <cols>
    <col min="1" max="1" width="3" bestFit="1" customWidth="1"/>
    <col min="2" max="3" width="12" bestFit="1" customWidth="1"/>
    <col min="4" max="4" width="8.77734375" bestFit="1" customWidth="1"/>
    <col min="5" max="6" width="18.5546875" bestFit="1" customWidth="1"/>
  </cols>
  <sheetData>
    <row r="1" spans="1:11">
      <c r="A1" s="36" t="s">
        <v>1437</v>
      </c>
      <c r="B1" s="36"/>
      <c r="C1" s="36"/>
      <c r="D1" s="36"/>
      <c r="E1" s="36"/>
      <c r="F1" s="36"/>
      <c r="G1" s="1"/>
      <c r="H1" s="1"/>
      <c r="I1" s="1"/>
      <c r="J1" s="1"/>
      <c r="K1" s="1"/>
    </row>
    <row r="2" spans="1:11">
      <c r="A2" s="36"/>
      <c r="B2" s="36"/>
      <c r="C2" s="36"/>
      <c r="D2" s="36"/>
      <c r="E2" s="36"/>
      <c r="F2" s="36"/>
      <c r="G2" s="1"/>
      <c r="H2" s="1"/>
      <c r="I2" s="1"/>
      <c r="J2" s="1"/>
      <c r="K2" s="1"/>
    </row>
    <row r="3" spans="1:11">
      <c r="A3" s="34" t="s">
        <v>14</v>
      </c>
      <c r="B3" s="35" t="s">
        <v>1450</v>
      </c>
      <c r="C3" s="35"/>
      <c r="D3" s="34" t="s">
        <v>1438</v>
      </c>
      <c r="E3" s="34"/>
      <c r="F3" s="34"/>
      <c r="G3" s="1"/>
      <c r="H3" s="1"/>
      <c r="I3" s="1"/>
      <c r="J3" s="1"/>
      <c r="K3" s="1"/>
    </row>
    <row r="4" spans="1:11">
      <c r="A4" s="34"/>
      <c r="B4" s="2" t="s">
        <v>15</v>
      </c>
      <c r="C4" s="2" t="s">
        <v>18</v>
      </c>
      <c r="D4" s="2" t="s">
        <v>15</v>
      </c>
      <c r="E4" s="2" t="s">
        <v>18</v>
      </c>
      <c r="F4" s="2" t="s">
        <v>1439</v>
      </c>
      <c r="G4" s="1"/>
      <c r="H4" s="1"/>
      <c r="I4" s="1"/>
      <c r="J4" s="1"/>
      <c r="K4" s="1"/>
    </row>
    <row r="5" spans="1:11">
      <c r="A5" s="1">
        <v>2</v>
      </c>
      <c r="B5" s="1">
        <v>16.733400000000003</v>
      </c>
      <c r="C5" s="1">
        <v>16.3062</v>
      </c>
      <c r="D5" s="1" t="s">
        <v>1440</v>
      </c>
      <c r="E5" s="1" t="s">
        <v>1440</v>
      </c>
      <c r="F5" s="1" t="s">
        <v>1440</v>
      </c>
      <c r="G5" s="1"/>
      <c r="H5" s="1"/>
      <c r="I5" s="1"/>
      <c r="J5" s="1"/>
      <c r="K5" s="1"/>
    </row>
    <row r="6" spans="1:11">
      <c r="A6" s="1">
        <v>5</v>
      </c>
      <c r="B6" s="1">
        <v>41.016999999999996</v>
      </c>
      <c r="C6" s="1">
        <v>40.251399999999997</v>
      </c>
      <c r="D6" s="1" t="s">
        <v>1440</v>
      </c>
      <c r="E6" s="1" t="s">
        <v>1440</v>
      </c>
      <c r="F6" s="1" t="s">
        <v>1440</v>
      </c>
      <c r="G6" s="1"/>
      <c r="H6" s="1"/>
      <c r="I6" s="1"/>
      <c r="J6" s="1"/>
      <c r="K6" s="1"/>
    </row>
    <row r="7" spans="1:11">
      <c r="A7" s="1">
        <v>10</v>
      </c>
      <c r="B7" s="1">
        <v>80.505600000000001</v>
      </c>
      <c r="C7" s="1">
        <v>79.531200000000013</v>
      </c>
      <c r="D7" s="1" t="s">
        <v>1440</v>
      </c>
      <c r="E7" s="1" t="s">
        <v>1440</v>
      </c>
      <c r="F7" s="1" t="s">
        <v>1440</v>
      </c>
      <c r="G7" s="1"/>
      <c r="H7" s="1"/>
      <c r="I7" s="1"/>
      <c r="J7" s="1"/>
      <c r="K7" s="1"/>
    </row>
    <row r="8" spans="1:11">
      <c r="A8" s="1">
        <v>20</v>
      </c>
      <c r="B8" s="1">
        <f>AVERAGE('[1]Always max (cb4)'!D174:D181,'[1]Always max (cb4)'!D183:D199,'[1]Always max (cb4)'!D201:D208,'[1]Always max (cb4)'!D210:D223)</f>
        <v>156.33787234042558</v>
      </c>
      <c r="C8" s="1">
        <f>AVERAGE('[1]Prob. Uniform (cb6)'!D174:D181,'[1]Prob. Uniform (cb6)'!D183:D199,'[1]Prob. Uniform (cb6)'!D201:D208,'[1]Prob. Uniform (cb6)'!D210:D223)</f>
        <v>155.23702127659573</v>
      </c>
      <c r="D8" s="1" t="s">
        <v>1441</v>
      </c>
      <c r="E8" s="1" t="s">
        <v>1442</v>
      </c>
      <c r="F8" s="1" t="s">
        <v>1442</v>
      </c>
      <c r="G8" s="1"/>
      <c r="H8" s="1"/>
      <c r="I8" s="1"/>
      <c r="J8" s="1"/>
      <c r="K8" s="1"/>
    </row>
    <row r="9" spans="1:11">
      <c r="A9" s="1">
        <v>30</v>
      </c>
      <c r="B9" s="1">
        <f>AVERAGE('[1]Always max (cb4)'!D230,'[1]Always max (cb4)'!D232:D243,'[1]Always max (cb4)'!D245,'[1]Always max (cb4)'!D247:D248,'[1]Always max (cb4)'!D250:D256,'[1]Always max (cb4)'!D257,'[1]Always max (cb4)'!D257,'[1]Always max (cb4)'!D258:D266,'[1]Always max (cb4)'!D268:D279)</f>
        <v>230.37891304347832</v>
      </c>
      <c r="C9" s="1">
        <f>AVERAGE('[1]Prob. Uniform (cb6)'!D230,'[1]Prob. Uniform (cb6)'!D232:D243,'[1]Prob. Uniform (cb6)'!D245,'[1]Prob. Uniform (cb6)'!D247:D248,'[1]Prob. Uniform (cb6)'!D250:D256,'[1]Prob. Uniform (cb6)'!D258:D266,'[1]Prob. Uniform (cb6)'!D268:D279)</f>
        <v>229.60954545454541</v>
      </c>
      <c r="D9" s="1" t="s">
        <v>1443</v>
      </c>
      <c r="E9" s="1" t="s">
        <v>1444</v>
      </c>
      <c r="F9" s="1" t="s">
        <v>1445</v>
      </c>
      <c r="G9" s="1"/>
      <c r="H9" s="1"/>
      <c r="I9" s="1"/>
      <c r="J9" s="1"/>
      <c r="K9" s="1"/>
    </row>
    <row r="10" spans="1:11">
      <c r="A10" s="1">
        <v>40</v>
      </c>
      <c r="B10" s="1">
        <f>AVERAGE('[1]Always max (cb4)'!D286:D292,'[1]Always max (cb4)'!D294:D296,'[1]Always max (cb4)'!D298:D310,'[1]Always max (cb4)'!D312:D314,'[1]Always max (cb4)'!D316:D330,'[1]Always max (cb4)'!D333:D335)</f>
        <v>303.16977272727269</v>
      </c>
      <c r="C10" s="1">
        <f>AVERAGE('[1]Prob. Uniform (cb6)'!D286:D292,'[1]Prob. Uniform (cb6)'!D294:D296,'[1]Prob. Uniform (cb6)'!D298:D310,'[1]Prob. Uniform (cb6)'!D312:D314,'[1]Prob. Uniform (cb6)'!D316:D330,'[1]Prob. Uniform (cb6)'!D333:D335)</f>
        <v>302.27999999999997</v>
      </c>
      <c r="D10" s="1" t="s">
        <v>1446</v>
      </c>
      <c r="E10" s="1" t="s">
        <v>1447</v>
      </c>
      <c r="F10" s="1" t="s">
        <v>1448</v>
      </c>
      <c r="G10" s="1"/>
      <c r="H10" s="1"/>
      <c r="I10" s="1"/>
      <c r="J10" s="1"/>
      <c r="K10" s="1"/>
    </row>
    <row r="11" spans="1:11">
      <c r="A11" s="1">
        <v>50</v>
      </c>
      <c r="B11" s="1">
        <f>AVERAGE('[1]Always max (cb4)'!D343:D350,'[1]Always max (cb4)'!D352,'[1]Always max (cb4)'!D353:D354,'[1]Always max (cb4)'!D356:D367,'[1]Always max (cb4)'!D369:D381,'[1]Always max (cb4)'!D383,'[1]Always max (cb4)'!D385:D391)</f>
        <v>375.58636363636373</v>
      </c>
      <c r="C11" s="1">
        <f>AVERAGE('[1]Prob. Uniform (cb6)'!D343:D349,'[1]Prob. Uniform (cb6)'!D351,'[1]Prob. Uniform (cb6)'!D353:D354,'[1]Prob. Uniform (cb6)'!D356:D367,'[1]Prob. Uniform (cb6)'!D369:D381,'[1]Prob. Uniform (cb6)'!D383,'[1]Prob. Uniform (cb6)'!D385:D391)</f>
        <v>374.42116279069757</v>
      </c>
      <c r="D11" s="1">
        <v>14</v>
      </c>
      <c r="E11" s="1" t="s">
        <v>1449</v>
      </c>
      <c r="F11" s="1" t="s">
        <v>1449</v>
      </c>
      <c r="G11" s="1"/>
      <c r="H11" s="1"/>
      <c r="I11" s="1"/>
      <c r="J11" s="1"/>
      <c r="K11" s="1"/>
    </row>
  </sheetData>
  <mergeCells count="4">
    <mergeCell ref="A3:A4"/>
    <mergeCell ref="D3:F3"/>
    <mergeCell ref="B3:C3"/>
    <mergeCell ref="A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45"/>
  <sheetViews>
    <sheetView zoomScale="70" zoomScaleNormal="70" workbookViewId="0">
      <selection activeCell="L17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1853</v>
      </c>
      <c r="C1" s="25"/>
      <c r="D1" s="25"/>
    </row>
    <row r="2" spans="1:8">
      <c r="B2" s="25"/>
      <c r="C2" s="25"/>
      <c r="D2" s="25"/>
    </row>
    <row r="4" spans="1:8">
      <c r="H4" s="18" t="s">
        <v>1435</v>
      </c>
    </row>
    <row r="5" spans="1:8" ht="18">
      <c r="A5" s="18" t="s">
        <v>7</v>
      </c>
      <c r="B5" s="3" t="s">
        <v>0</v>
      </c>
      <c r="C5" s="18" t="s">
        <v>4</v>
      </c>
      <c r="D5" s="18" t="s">
        <v>322</v>
      </c>
      <c r="E5" s="18" t="s">
        <v>321</v>
      </c>
      <c r="F5" s="18" t="s">
        <v>324</v>
      </c>
      <c r="G5" s="18" t="s">
        <v>323</v>
      </c>
      <c r="H5" s="18" t="s">
        <v>1436</v>
      </c>
    </row>
    <row r="6" spans="1:8">
      <c r="A6" s="1">
        <v>1</v>
      </c>
      <c r="B6" t="s">
        <v>1453</v>
      </c>
      <c r="C6">
        <v>102.16</v>
      </c>
      <c r="D6">
        <v>16.02</v>
      </c>
      <c r="E6">
        <v>0.99998699999999996</v>
      </c>
      <c r="F6">
        <v>101.8</v>
      </c>
      <c r="G6">
        <v>2</v>
      </c>
      <c r="H6">
        <v>19.309999999999999</v>
      </c>
    </row>
    <row r="7" spans="1:8">
      <c r="A7" s="1">
        <v>2</v>
      </c>
      <c r="B7" t="s">
        <v>1456</v>
      </c>
      <c r="C7">
        <v>102.16</v>
      </c>
      <c r="D7">
        <v>16.02</v>
      </c>
      <c r="E7">
        <v>0.99998699999999996</v>
      </c>
      <c r="F7">
        <v>101.8</v>
      </c>
      <c r="G7">
        <v>2</v>
      </c>
      <c r="H7">
        <v>19.309999999999999</v>
      </c>
    </row>
    <row r="8" spans="1:8">
      <c r="A8" s="1">
        <v>3</v>
      </c>
      <c r="B8" t="s">
        <v>1459</v>
      </c>
      <c r="C8">
        <v>102.16</v>
      </c>
      <c r="D8">
        <v>16.02</v>
      </c>
      <c r="E8">
        <v>0.99998699999999996</v>
      </c>
      <c r="F8">
        <v>101.8</v>
      </c>
      <c r="G8">
        <v>2</v>
      </c>
      <c r="H8">
        <v>19.309999999999999</v>
      </c>
    </row>
    <row r="9" spans="1:8">
      <c r="A9" s="1">
        <v>4</v>
      </c>
      <c r="B9" t="s">
        <v>1462</v>
      </c>
      <c r="C9">
        <v>102.16</v>
      </c>
      <c r="D9">
        <v>16.02</v>
      </c>
      <c r="E9">
        <v>0.99998699999999996</v>
      </c>
      <c r="F9">
        <v>101.8</v>
      </c>
      <c r="G9">
        <v>2</v>
      </c>
      <c r="H9">
        <v>19.309999999999999</v>
      </c>
    </row>
    <row r="10" spans="1:8" s="19" customFormat="1">
      <c r="A10" s="19">
        <v>5</v>
      </c>
      <c r="B10" s="20" t="s">
        <v>1465</v>
      </c>
      <c r="C10" s="20">
        <v>53.64</v>
      </c>
      <c r="D10" s="20">
        <v>15.46</v>
      </c>
      <c r="E10" s="20">
        <v>0.99999199999999999</v>
      </c>
      <c r="F10" s="20">
        <v>53.49</v>
      </c>
      <c r="G10" s="20">
        <v>2</v>
      </c>
      <c r="H10" s="20">
        <v>10.19</v>
      </c>
    </row>
    <row r="11" spans="1:8">
      <c r="A11" s="1">
        <v>6</v>
      </c>
      <c r="B11" t="s">
        <v>1468</v>
      </c>
      <c r="C11">
        <v>102.16</v>
      </c>
      <c r="D11">
        <v>16.02</v>
      </c>
      <c r="E11">
        <v>0.99998699999999996</v>
      </c>
      <c r="F11">
        <v>101.8</v>
      </c>
      <c r="G11">
        <v>2</v>
      </c>
      <c r="H11">
        <v>19.309999999999999</v>
      </c>
    </row>
    <row r="12" spans="1:8">
      <c r="A12" s="1">
        <v>7</v>
      </c>
      <c r="B12" t="s">
        <v>1471</v>
      </c>
      <c r="C12">
        <v>102.16</v>
      </c>
      <c r="D12">
        <v>16.02</v>
      </c>
      <c r="E12">
        <v>0.99998699999999996</v>
      </c>
      <c r="F12">
        <v>101.8</v>
      </c>
      <c r="G12">
        <v>2</v>
      </c>
      <c r="H12">
        <v>19.309999999999999</v>
      </c>
    </row>
    <row r="13" spans="1:8">
      <c r="A13" s="1">
        <v>8</v>
      </c>
      <c r="B13" t="s">
        <v>1474</v>
      </c>
      <c r="C13">
        <v>53.64</v>
      </c>
      <c r="D13">
        <v>15.46</v>
      </c>
      <c r="E13">
        <v>0.99999199999999999</v>
      </c>
      <c r="F13">
        <v>53.49</v>
      </c>
      <c r="G13">
        <v>2</v>
      </c>
      <c r="H13">
        <v>10.19</v>
      </c>
    </row>
    <row r="14" spans="1:8">
      <c r="A14" s="1">
        <v>9</v>
      </c>
      <c r="B14" t="s">
        <v>1477</v>
      </c>
      <c r="C14">
        <v>51.55</v>
      </c>
      <c r="D14">
        <v>15.42</v>
      </c>
      <c r="E14">
        <v>0.99983</v>
      </c>
      <c r="F14">
        <v>50.88</v>
      </c>
      <c r="G14">
        <v>0</v>
      </c>
      <c r="H14">
        <v>9.69</v>
      </c>
    </row>
    <row r="15" spans="1:8">
      <c r="A15" s="1">
        <v>10</v>
      </c>
      <c r="B15" t="s">
        <v>1480</v>
      </c>
      <c r="C15">
        <v>53.64</v>
      </c>
      <c r="D15">
        <v>15.46</v>
      </c>
      <c r="E15">
        <v>0.99999199999999999</v>
      </c>
      <c r="F15">
        <v>53.49</v>
      </c>
      <c r="G15">
        <v>2</v>
      </c>
      <c r="H15">
        <v>10.19</v>
      </c>
    </row>
    <row r="16" spans="1:8">
      <c r="A16" s="1">
        <v>11</v>
      </c>
      <c r="B16" t="s">
        <v>1483</v>
      </c>
      <c r="C16">
        <v>102.16</v>
      </c>
      <c r="D16">
        <v>16.02</v>
      </c>
      <c r="E16">
        <v>0.99998699999999996</v>
      </c>
      <c r="F16">
        <v>101.8</v>
      </c>
      <c r="G16">
        <v>2</v>
      </c>
      <c r="H16">
        <v>19.309999999999999</v>
      </c>
    </row>
    <row r="17" spans="1:8">
      <c r="A17" s="1">
        <v>12</v>
      </c>
      <c r="B17" t="s">
        <v>1486</v>
      </c>
      <c r="C17">
        <v>102.16</v>
      </c>
      <c r="D17">
        <v>16.02</v>
      </c>
      <c r="E17">
        <v>0.99998699999999996</v>
      </c>
      <c r="F17">
        <v>101.8</v>
      </c>
      <c r="G17">
        <v>2</v>
      </c>
      <c r="H17">
        <v>19.309999999999999</v>
      </c>
    </row>
    <row r="18" spans="1:8">
      <c r="A18" s="1">
        <v>13</v>
      </c>
      <c r="B18" t="s">
        <v>1489</v>
      </c>
      <c r="C18">
        <v>102.16</v>
      </c>
      <c r="D18">
        <v>16.02</v>
      </c>
      <c r="E18">
        <v>0.99998699999999996</v>
      </c>
      <c r="F18">
        <v>101.8</v>
      </c>
      <c r="G18">
        <v>2</v>
      </c>
      <c r="H18">
        <v>19.309999999999999</v>
      </c>
    </row>
    <row r="19" spans="1:8">
      <c r="A19" s="1">
        <v>14</v>
      </c>
      <c r="B19" t="s">
        <v>1492</v>
      </c>
      <c r="C19">
        <v>102.16</v>
      </c>
      <c r="D19">
        <v>16.02</v>
      </c>
      <c r="E19">
        <v>0.99998699999999996</v>
      </c>
      <c r="F19">
        <v>101.8</v>
      </c>
      <c r="G19">
        <v>2</v>
      </c>
      <c r="H19">
        <v>19.309999999999999</v>
      </c>
    </row>
    <row r="20" spans="1:8">
      <c r="A20" s="1">
        <v>15</v>
      </c>
      <c r="B20" t="s">
        <v>1495</v>
      </c>
      <c r="C20">
        <v>53.64</v>
      </c>
      <c r="D20">
        <v>15.46</v>
      </c>
      <c r="E20">
        <v>0.99999199999999999</v>
      </c>
      <c r="F20">
        <v>53.49</v>
      </c>
      <c r="G20">
        <v>2</v>
      </c>
      <c r="H20">
        <v>10.19</v>
      </c>
    </row>
    <row r="21" spans="1:8">
      <c r="A21" s="1">
        <v>16</v>
      </c>
      <c r="B21" t="s">
        <v>1498</v>
      </c>
      <c r="C21">
        <v>102.16</v>
      </c>
      <c r="D21">
        <v>16.02</v>
      </c>
      <c r="E21">
        <v>0.99998699999999996</v>
      </c>
      <c r="F21">
        <v>101.8</v>
      </c>
      <c r="G21">
        <v>2</v>
      </c>
      <c r="H21">
        <v>19.309999999999999</v>
      </c>
    </row>
    <row r="22" spans="1:8">
      <c r="A22" s="1">
        <v>17</v>
      </c>
      <c r="B22" t="s">
        <v>1501</v>
      </c>
      <c r="C22">
        <v>53.64</v>
      </c>
      <c r="D22">
        <v>15.46</v>
      </c>
      <c r="E22">
        <v>0.99999199999999999</v>
      </c>
      <c r="F22">
        <v>53.49</v>
      </c>
      <c r="G22">
        <v>2</v>
      </c>
      <c r="H22">
        <v>10.19</v>
      </c>
    </row>
    <row r="23" spans="1:8">
      <c r="A23" s="1">
        <v>18</v>
      </c>
      <c r="B23" t="s">
        <v>1504</v>
      </c>
      <c r="C23">
        <v>102.16</v>
      </c>
      <c r="D23">
        <v>16.02</v>
      </c>
      <c r="E23">
        <v>0.99998699999999996</v>
      </c>
      <c r="F23">
        <v>101.8</v>
      </c>
      <c r="G23">
        <v>2</v>
      </c>
      <c r="H23">
        <v>19.309999999999999</v>
      </c>
    </row>
    <row r="24" spans="1:8">
      <c r="A24" s="1">
        <v>19</v>
      </c>
      <c r="B24" t="s">
        <v>1507</v>
      </c>
      <c r="C24">
        <v>102.16</v>
      </c>
      <c r="D24">
        <v>16.02</v>
      </c>
      <c r="E24">
        <v>0.99998699999999996</v>
      </c>
      <c r="F24">
        <v>101.8</v>
      </c>
      <c r="G24">
        <v>2</v>
      </c>
      <c r="H24">
        <v>19.309999999999999</v>
      </c>
    </row>
    <row r="25" spans="1:8">
      <c r="A25" s="1">
        <v>20</v>
      </c>
      <c r="B25" t="s">
        <v>1510</v>
      </c>
      <c r="C25">
        <v>53.64</v>
      </c>
      <c r="D25">
        <v>15.46</v>
      </c>
      <c r="E25">
        <v>0.99999199999999999</v>
      </c>
      <c r="F25">
        <v>53.49</v>
      </c>
      <c r="G25">
        <v>2</v>
      </c>
      <c r="H25">
        <v>10.19</v>
      </c>
    </row>
    <row r="26" spans="1:8">
      <c r="A26" s="1">
        <v>21</v>
      </c>
      <c r="B26" t="s">
        <v>1513</v>
      </c>
      <c r="C26">
        <v>102.16</v>
      </c>
      <c r="D26">
        <v>16.02</v>
      </c>
      <c r="E26">
        <v>0.99998699999999996</v>
      </c>
      <c r="F26">
        <v>101.8</v>
      </c>
      <c r="G26">
        <v>2</v>
      </c>
      <c r="H26">
        <v>19.309999999999999</v>
      </c>
    </row>
    <row r="27" spans="1:8">
      <c r="A27" s="1">
        <v>22</v>
      </c>
      <c r="B27" t="s">
        <v>1516</v>
      </c>
      <c r="C27">
        <v>102.16</v>
      </c>
      <c r="D27">
        <v>16.02</v>
      </c>
      <c r="E27">
        <v>0.99998699999999996</v>
      </c>
      <c r="F27">
        <v>101.8</v>
      </c>
      <c r="G27">
        <v>2</v>
      </c>
      <c r="H27">
        <v>19.309999999999999</v>
      </c>
    </row>
    <row r="28" spans="1:8">
      <c r="A28" s="1">
        <v>23</v>
      </c>
      <c r="B28" t="s">
        <v>1519</v>
      </c>
      <c r="C28">
        <v>51.55</v>
      </c>
      <c r="D28">
        <v>15.42</v>
      </c>
      <c r="E28">
        <v>0.99983</v>
      </c>
      <c r="F28">
        <v>50.88</v>
      </c>
      <c r="G28">
        <v>0</v>
      </c>
      <c r="H28">
        <v>9.69</v>
      </c>
    </row>
    <row r="29" spans="1:8">
      <c r="A29" s="1">
        <v>24</v>
      </c>
      <c r="B29" t="s">
        <v>1522</v>
      </c>
      <c r="C29">
        <v>102.16</v>
      </c>
      <c r="D29">
        <v>16.02</v>
      </c>
      <c r="E29">
        <v>0.99998699999999996</v>
      </c>
      <c r="F29">
        <v>101.8</v>
      </c>
      <c r="G29">
        <v>2</v>
      </c>
      <c r="H29">
        <v>19.309999999999999</v>
      </c>
    </row>
    <row r="30" spans="1:8">
      <c r="A30" s="1">
        <v>25</v>
      </c>
      <c r="B30" t="s">
        <v>1525</v>
      </c>
      <c r="C30">
        <v>102.16</v>
      </c>
      <c r="D30">
        <v>16.02</v>
      </c>
      <c r="E30">
        <v>0.99998699999999996</v>
      </c>
      <c r="F30">
        <v>101.8</v>
      </c>
      <c r="G30">
        <v>2</v>
      </c>
      <c r="H30">
        <v>19.309999999999999</v>
      </c>
    </row>
    <row r="31" spans="1:8">
      <c r="A31" s="1">
        <v>26</v>
      </c>
      <c r="B31" t="s">
        <v>1528</v>
      </c>
      <c r="C31">
        <v>102.16</v>
      </c>
      <c r="D31">
        <v>16.02</v>
      </c>
      <c r="E31">
        <v>0.99998699999999996</v>
      </c>
      <c r="F31">
        <v>101.8</v>
      </c>
      <c r="G31">
        <v>2</v>
      </c>
      <c r="H31">
        <v>19.309999999999999</v>
      </c>
    </row>
    <row r="32" spans="1:8">
      <c r="A32" s="1">
        <v>27</v>
      </c>
      <c r="B32" t="s">
        <v>1531</v>
      </c>
      <c r="C32">
        <v>102.16</v>
      </c>
      <c r="D32">
        <v>16.02</v>
      </c>
      <c r="E32">
        <v>0.99998699999999996</v>
      </c>
      <c r="F32">
        <v>101.8</v>
      </c>
      <c r="G32">
        <v>2</v>
      </c>
      <c r="H32">
        <v>19.309999999999999</v>
      </c>
    </row>
    <row r="33" spans="1:8">
      <c r="A33" s="1">
        <v>28</v>
      </c>
      <c r="B33" t="s">
        <v>1534</v>
      </c>
      <c r="C33">
        <v>102.16</v>
      </c>
      <c r="D33">
        <v>16.02</v>
      </c>
      <c r="E33">
        <v>0.99998699999999996</v>
      </c>
      <c r="F33">
        <v>101.8</v>
      </c>
      <c r="G33">
        <v>2</v>
      </c>
      <c r="H33">
        <v>19.309999999999999</v>
      </c>
    </row>
    <row r="34" spans="1:8">
      <c r="A34" s="1">
        <v>29</v>
      </c>
      <c r="B34" t="s">
        <v>1537</v>
      </c>
      <c r="C34">
        <v>102.16</v>
      </c>
      <c r="D34">
        <v>16.02</v>
      </c>
      <c r="E34">
        <v>0.99998699999999996</v>
      </c>
      <c r="F34">
        <v>101.8</v>
      </c>
      <c r="G34">
        <v>2</v>
      </c>
      <c r="H34">
        <v>19.309999999999999</v>
      </c>
    </row>
    <row r="35" spans="1:8">
      <c r="A35" s="1">
        <v>30</v>
      </c>
      <c r="B35" t="s">
        <v>1540</v>
      </c>
      <c r="C35">
        <v>102.16</v>
      </c>
      <c r="D35">
        <v>16.02</v>
      </c>
      <c r="E35">
        <v>0.99998699999999996</v>
      </c>
      <c r="F35">
        <v>101.8</v>
      </c>
      <c r="G35">
        <v>2</v>
      </c>
      <c r="H35">
        <v>19.309999999999999</v>
      </c>
    </row>
    <row r="36" spans="1:8">
      <c r="A36" s="1">
        <v>31</v>
      </c>
      <c r="B36" t="s">
        <v>1543</v>
      </c>
      <c r="C36">
        <v>102.16</v>
      </c>
      <c r="D36">
        <v>16.02</v>
      </c>
      <c r="E36">
        <v>0.99998699999999996</v>
      </c>
      <c r="F36">
        <v>101.8</v>
      </c>
      <c r="G36">
        <v>2</v>
      </c>
      <c r="H36">
        <v>19.309999999999999</v>
      </c>
    </row>
    <row r="37" spans="1:8">
      <c r="A37" s="1">
        <v>32</v>
      </c>
      <c r="B37" t="s">
        <v>1546</v>
      </c>
      <c r="C37">
        <v>102.16</v>
      </c>
      <c r="D37">
        <v>16.02</v>
      </c>
      <c r="E37">
        <v>0.99998699999999996</v>
      </c>
      <c r="F37">
        <v>101.8</v>
      </c>
      <c r="G37">
        <v>2</v>
      </c>
      <c r="H37">
        <v>19.309999999999999</v>
      </c>
    </row>
    <row r="38" spans="1:8">
      <c r="A38" s="1">
        <v>33</v>
      </c>
      <c r="B38" t="s">
        <v>1549</v>
      </c>
      <c r="C38">
        <v>51.23</v>
      </c>
      <c r="D38">
        <v>15.41</v>
      </c>
      <c r="E38">
        <v>0.98211899999999996</v>
      </c>
      <c r="F38">
        <v>44.31</v>
      </c>
      <c r="G38">
        <v>0</v>
      </c>
      <c r="H38">
        <v>9.7100000000000009</v>
      </c>
    </row>
    <row r="39" spans="1:8">
      <c r="A39" s="1">
        <v>34</v>
      </c>
      <c r="B39" t="s">
        <v>1552</v>
      </c>
      <c r="C39">
        <v>102.16</v>
      </c>
      <c r="D39">
        <v>16.02</v>
      </c>
      <c r="E39">
        <v>0.99998699999999996</v>
      </c>
      <c r="F39">
        <v>101.8</v>
      </c>
      <c r="G39">
        <v>2</v>
      </c>
      <c r="H39">
        <v>19.309999999999999</v>
      </c>
    </row>
    <row r="40" spans="1:8">
      <c r="A40" s="1">
        <v>35</v>
      </c>
      <c r="B40" t="s">
        <v>1555</v>
      </c>
      <c r="C40">
        <v>102.16</v>
      </c>
      <c r="D40">
        <v>16.02</v>
      </c>
      <c r="E40">
        <v>0.99998699999999996</v>
      </c>
      <c r="F40">
        <v>101.8</v>
      </c>
      <c r="G40">
        <v>2</v>
      </c>
      <c r="H40">
        <v>19.309999999999999</v>
      </c>
    </row>
    <row r="41" spans="1:8">
      <c r="A41" s="1">
        <v>36</v>
      </c>
      <c r="B41" t="s">
        <v>1558</v>
      </c>
      <c r="C41">
        <v>53.64</v>
      </c>
      <c r="D41">
        <v>15.46</v>
      </c>
      <c r="E41">
        <v>0.99999199999999999</v>
      </c>
      <c r="F41">
        <v>53.49</v>
      </c>
      <c r="G41">
        <v>2</v>
      </c>
      <c r="H41">
        <v>10.19</v>
      </c>
    </row>
    <row r="42" spans="1:8">
      <c r="A42" s="1">
        <v>37</v>
      </c>
      <c r="B42" t="s">
        <v>1561</v>
      </c>
      <c r="C42">
        <v>53.64</v>
      </c>
      <c r="D42">
        <v>15.46</v>
      </c>
      <c r="E42">
        <v>0.99999199999999999</v>
      </c>
      <c r="F42">
        <v>53.49</v>
      </c>
      <c r="G42">
        <v>2</v>
      </c>
      <c r="H42">
        <v>10.19</v>
      </c>
    </row>
    <row r="43" spans="1:8">
      <c r="A43" s="1">
        <v>38</v>
      </c>
      <c r="B43" t="s">
        <v>1564</v>
      </c>
      <c r="C43">
        <v>51.55</v>
      </c>
      <c r="D43">
        <v>15.42</v>
      </c>
      <c r="E43">
        <v>0.99983</v>
      </c>
      <c r="F43">
        <v>50.88</v>
      </c>
      <c r="G43">
        <v>0</v>
      </c>
      <c r="H43">
        <v>9.69</v>
      </c>
    </row>
    <row r="44" spans="1:8">
      <c r="A44" s="1">
        <v>39</v>
      </c>
      <c r="B44" t="s">
        <v>1567</v>
      </c>
      <c r="C44">
        <v>102.16</v>
      </c>
      <c r="D44">
        <v>16.02</v>
      </c>
      <c r="E44">
        <v>0.99998699999999996</v>
      </c>
      <c r="F44">
        <v>101.8</v>
      </c>
      <c r="G44">
        <v>2</v>
      </c>
      <c r="H44">
        <v>19.309999999999999</v>
      </c>
    </row>
    <row r="45" spans="1:8">
      <c r="A45" s="1">
        <v>40</v>
      </c>
      <c r="B45" t="s">
        <v>1570</v>
      </c>
      <c r="C45">
        <v>53.64</v>
      </c>
      <c r="D45">
        <v>15.46</v>
      </c>
      <c r="E45">
        <v>0.99999199999999999</v>
      </c>
      <c r="F45">
        <v>53.49</v>
      </c>
      <c r="G45">
        <v>2</v>
      </c>
      <c r="H45">
        <v>10.19</v>
      </c>
    </row>
    <row r="46" spans="1:8">
      <c r="A46" s="1">
        <v>41</v>
      </c>
      <c r="B46" t="s">
        <v>1573</v>
      </c>
      <c r="C46">
        <v>102.16</v>
      </c>
      <c r="D46">
        <v>16.02</v>
      </c>
      <c r="E46">
        <v>0.99998699999999996</v>
      </c>
      <c r="F46">
        <v>101.8</v>
      </c>
      <c r="G46">
        <v>2</v>
      </c>
      <c r="H46">
        <v>19.309999999999999</v>
      </c>
    </row>
    <row r="47" spans="1:8">
      <c r="A47" s="1">
        <v>42</v>
      </c>
      <c r="B47" t="s">
        <v>1576</v>
      </c>
      <c r="C47">
        <v>53.64</v>
      </c>
      <c r="D47">
        <v>15.46</v>
      </c>
      <c r="E47">
        <v>0.99999199999999999</v>
      </c>
      <c r="F47">
        <v>53.49</v>
      </c>
      <c r="G47">
        <v>2</v>
      </c>
      <c r="H47">
        <v>10.19</v>
      </c>
    </row>
    <row r="48" spans="1:8">
      <c r="A48" s="1">
        <v>43</v>
      </c>
      <c r="B48" t="s">
        <v>1579</v>
      </c>
      <c r="C48">
        <v>102.16</v>
      </c>
      <c r="D48">
        <v>16.02</v>
      </c>
      <c r="E48">
        <v>0.99998699999999996</v>
      </c>
      <c r="F48">
        <v>101.8</v>
      </c>
      <c r="G48">
        <v>2</v>
      </c>
      <c r="H48">
        <v>19.309999999999999</v>
      </c>
    </row>
    <row r="49" spans="1:8">
      <c r="A49" s="1">
        <v>44</v>
      </c>
      <c r="B49" t="s">
        <v>1582</v>
      </c>
      <c r="C49">
        <v>102.16</v>
      </c>
      <c r="D49">
        <v>16.02</v>
      </c>
      <c r="E49">
        <v>0.99998699999999996</v>
      </c>
      <c r="F49">
        <v>101.8</v>
      </c>
      <c r="G49">
        <v>2</v>
      </c>
      <c r="H49">
        <v>19.309999999999999</v>
      </c>
    </row>
    <row r="50" spans="1:8">
      <c r="A50" s="1">
        <v>45</v>
      </c>
      <c r="B50" t="s">
        <v>1585</v>
      </c>
      <c r="C50">
        <v>102.16</v>
      </c>
      <c r="D50">
        <v>16.02</v>
      </c>
      <c r="E50">
        <v>0.99998699999999996</v>
      </c>
      <c r="F50">
        <v>101.8</v>
      </c>
      <c r="G50">
        <v>2</v>
      </c>
      <c r="H50">
        <v>19.309999999999999</v>
      </c>
    </row>
    <row r="51" spans="1:8">
      <c r="A51" s="1">
        <v>46</v>
      </c>
      <c r="B51" t="s">
        <v>1588</v>
      </c>
      <c r="C51">
        <v>102.16</v>
      </c>
      <c r="D51">
        <v>16.02</v>
      </c>
      <c r="E51">
        <v>0.99998699999999996</v>
      </c>
      <c r="F51">
        <v>101.8</v>
      </c>
      <c r="G51">
        <v>2</v>
      </c>
      <c r="H51">
        <v>19.309999999999999</v>
      </c>
    </row>
    <row r="52" spans="1:8">
      <c r="A52" s="1">
        <v>47</v>
      </c>
      <c r="B52" t="s">
        <v>1591</v>
      </c>
      <c r="C52">
        <v>53.64</v>
      </c>
      <c r="D52">
        <v>15.46</v>
      </c>
      <c r="E52">
        <v>0.99999199999999999</v>
      </c>
      <c r="F52">
        <v>53.49</v>
      </c>
      <c r="G52">
        <v>2</v>
      </c>
      <c r="H52">
        <v>10.19</v>
      </c>
    </row>
    <row r="53" spans="1:8">
      <c r="A53" s="1">
        <v>48</v>
      </c>
      <c r="B53" t="s">
        <v>1594</v>
      </c>
      <c r="C53">
        <v>51.55</v>
      </c>
      <c r="D53">
        <v>15.42</v>
      </c>
      <c r="E53">
        <v>0.99983</v>
      </c>
      <c r="F53">
        <v>50.88</v>
      </c>
      <c r="G53">
        <v>0</v>
      </c>
      <c r="H53">
        <v>9.69</v>
      </c>
    </row>
    <row r="54" spans="1:8">
      <c r="A54" s="1">
        <v>49</v>
      </c>
      <c r="B54" t="s">
        <v>1597</v>
      </c>
      <c r="C54">
        <v>102.16</v>
      </c>
      <c r="D54">
        <v>16.02</v>
      </c>
      <c r="E54">
        <v>0.99998699999999996</v>
      </c>
      <c r="F54">
        <v>101.8</v>
      </c>
      <c r="G54">
        <v>2</v>
      </c>
      <c r="H54">
        <v>19.309999999999999</v>
      </c>
    </row>
    <row r="55" spans="1:8">
      <c r="A55" s="1">
        <v>50</v>
      </c>
      <c r="B55" t="s">
        <v>1600</v>
      </c>
      <c r="C55">
        <v>53.64</v>
      </c>
      <c r="D55">
        <v>15.46</v>
      </c>
      <c r="E55">
        <v>0.99999199999999999</v>
      </c>
      <c r="F55">
        <v>53.49</v>
      </c>
      <c r="G55">
        <v>2</v>
      </c>
      <c r="H55">
        <v>10.19</v>
      </c>
    </row>
    <row r="56" spans="1:8">
      <c r="B56" s="1" t="s">
        <v>19</v>
      </c>
      <c r="C56" s="1">
        <f>AVERAGE(C6:C55)</f>
        <v>85.447799999999958</v>
      </c>
      <c r="D56" s="1">
        <f t="shared" ref="D56:H56" si="0">AVERAGE(D6:D55)</f>
        <v>15.825399999999995</v>
      </c>
      <c r="E56" s="1">
        <f t="shared" si="0"/>
        <v>0.99961827999999964</v>
      </c>
      <c r="F56" s="1">
        <f t="shared" si="0"/>
        <v>84.982200000000034</v>
      </c>
      <c r="H56" s="1">
        <f t="shared" si="0"/>
        <v>16.159599999999998</v>
      </c>
    </row>
    <row r="57" spans="1:8">
      <c r="B57" s="1" t="s">
        <v>20</v>
      </c>
      <c r="C57" s="1">
        <f>MIN(C5:C55)</f>
        <v>51.23</v>
      </c>
      <c r="D57" s="1">
        <f t="shared" ref="D57:H57" si="1">MIN(D5:D55)</f>
        <v>15.41</v>
      </c>
      <c r="E57" s="1">
        <f t="shared" si="1"/>
        <v>0.98211899999999996</v>
      </c>
      <c r="F57" s="1">
        <f t="shared" si="1"/>
        <v>44.31</v>
      </c>
      <c r="H57" s="1">
        <f t="shared" si="1"/>
        <v>9.69</v>
      </c>
    </row>
    <row r="58" spans="1:8">
      <c r="B58" s="1" t="s">
        <v>3</v>
      </c>
      <c r="C58" s="1">
        <f>STDEV(C6:C55)</f>
        <v>23.527993165762624</v>
      </c>
      <c r="D58" s="1">
        <f t="shared" ref="D58:E58" si="2">STDEV(D6:D55)</f>
        <v>0.27411609338621523</v>
      </c>
      <c r="E58" s="1">
        <f t="shared" si="2"/>
        <v>2.5256504439248838E-3</v>
      </c>
      <c r="F58" s="1">
        <f>STDEV(F6:F55)</f>
        <v>23.707761175597632</v>
      </c>
      <c r="H58" s="1">
        <f>STDEV(H6:H55)</f>
        <v>4.4358911673957371</v>
      </c>
    </row>
    <row r="60" spans="1:8">
      <c r="H60" s="18" t="s">
        <v>1435</v>
      </c>
    </row>
    <row r="61" spans="1:8" ht="18">
      <c r="A61" s="18" t="s">
        <v>7</v>
      </c>
      <c r="B61" s="3" t="s">
        <v>8</v>
      </c>
      <c r="C61" s="18" t="s">
        <v>4</v>
      </c>
      <c r="D61" s="18" t="s">
        <v>322</v>
      </c>
      <c r="E61" s="18" t="s">
        <v>321</v>
      </c>
      <c r="F61" s="18" t="s">
        <v>324</v>
      </c>
      <c r="G61" s="18" t="s">
        <v>323</v>
      </c>
      <c r="H61" s="18" t="s">
        <v>1436</v>
      </c>
    </row>
    <row r="62" spans="1:8">
      <c r="A62" s="1">
        <v>1</v>
      </c>
      <c r="B62" t="s">
        <v>1803</v>
      </c>
      <c r="C62">
        <v>62.08</v>
      </c>
      <c r="D62">
        <v>38.869999999999997</v>
      </c>
      <c r="E62">
        <v>0.90414499999999998</v>
      </c>
      <c r="F62">
        <v>50.61</v>
      </c>
      <c r="G62">
        <v>4</v>
      </c>
      <c r="H62">
        <v>11.8</v>
      </c>
    </row>
    <row r="63" spans="1:8">
      <c r="A63" s="1">
        <v>2</v>
      </c>
      <c r="B63" t="s">
        <v>1804</v>
      </c>
      <c r="C63">
        <v>63.48</v>
      </c>
      <c r="D63">
        <v>38.94</v>
      </c>
      <c r="E63">
        <v>0.91931499999999999</v>
      </c>
      <c r="F63">
        <v>52.92</v>
      </c>
      <c r="G63">
        <v>8</v>
      </c>
      <c r="H63">
        <v>12.06</v>
      </c>
    </row>
    <row r="64" spans="1:8">
      <c r="A64" s="1">
        <v>3</v>
      </c>
      <c r="B64" t="s">
        <v>1805</v>
      </c>
      <c r="C64">
        <v>63.29</v>
      </c>
      <c r="D64">
        <v>38.93</v>
      </c>
      <c r="E64">
        <v>0.91671899999999995</v>
      </c>
      <c r="F64">
        <v>52.03</v>
      </c>
      <c r="G64">
        <v>4</v>
      </c>
      <c r="H64">
        <v>12.03</v>
      </c>
    </row>
    <row r="65" spans="1:8">
      <c r="A65" s="1">
        <v>4</v>
      </c>
      <c r="B65" t="s">
        <v>1806</v>
      </c>
      <c r="C65">
        <v>60.61</v>
      </c>
      <c r="D65">
        <v>37.64</v>
      </c>
      <c r="E65">
        <v>0.72849200000000003</v>
      </c>
      <c r="F65">
        <v>1.73</v>
      </c>
      <c r="G65">
        <v>4</v>
      </c>
      <c r="H65">
        <v>11.55</v>
      </c>
    </row>
    <row r="66" spans="1:8">
      <c r="A66" s="1">
        <v>5</v>
      </c>
      <c r="B66" t="s">
        <v>1807</v>
      </c>
      <c r="C66">
        <v>63.74</v>
      </c>
      <c r="D66">
        <v>38.94</v>
      </c>
      <c r="E66">
        <v>0.91729700000000003</v>
      </c>
      <c r="F66">
        <v>53.34</v>
      </c>
      <c r="G66">
        <v>2</v>
      </c>
      <c r="H66">
        <v>12.08</v>
      </c>
    </row>
    <row r="67" spans="1:8">
      <c r="A67" s="1">
        <v>6</v>
      </c>
      <c r="B67" t="s">
        <v>1808</v>
      </c>
      <c r="C67">
        <v>62.88</v>
      </c>
      <c r="D67">
        <v>38.700000000000003</v>
      </c>
      <c r="E67">
        <v>0.78955200000000003</v>
      </c>
      <c r="F67">
        <v>32.79</v>
      </c>
      <c r="G67">
        <v>4</v>
      </c>
      <c r="H67">
        <v>11.85</v>
      </c>
    </row>
    <row r="68" spans="1:8">
      <c r="A68" s="1">
        <v>7</v>
      </c>
      <c r="B68" t="s">
        <v>1809</v>
      </c>
      <c r="C68">
        <v>42.54</v>
      </c>
      <c r="D68">
        <v>38.08</v>
      </c>
      <c r="E68">
        <v>0.94967500000000005</v>
      </c>
      <c r="F68">
        <v>30.22</v>
      </c>
      <c r="G68">
        <v>8</v>
      </c>
      <c r="H68">
        <v>8.14</v>
      </c>
    </row>
    <row r="69" spans="1:8">
      <c r="A69" s="1">
        <v>8</v>
      </c>
      <c r="B69" t="s">
        <v>1810</v>
      </c>
      <c r="C69">
        <v>62.55</v>
      </c>
      <c r="D69">
        <v>38.69</v>
      </c>
      <c r="E69">
        <v>0.78905000000000003</v>
      </c>
      <c r="F69">
        <v>33.520000000000003</v>
      </c>
      <c r="G69">
        <v>8</v>
      </c>
      <c r="H69">
        <v>11.84</v>
      </c>
    </row>
    <row r="70" spans="1:8">
      <c r="A70" s="1">
        <v>9</v>
      </c>
      <c r="B70" t="s">
        <v>1811</v>
      </c>
      <c r="C70">
        <v>82.54</v>
      </c>
      <c r="D70">
        <v>39.49</v>
      </c>
      <c r="E70">
        <v>0.92842100000000005</v>
      </c>
      <c r="F70">
        <v>54.41</v>
      </c>
      <c r="G70">
        <v>0</v>
      </c>
      <c r="H70">
        <v>15.7</v>
      </c>
    </row>
    <row r="71" spans="1:8">
      <c r="A71" s="1">
        <v>10</v>
      </c>
      <c r="B71" t="s">
        <v>1812</v>
      </c>
      <c r="C71">
        <v>42.31</v>
      </c>
      <c r="D71">
        <v>37.75</v>
      </c>
      <c r="E71">
        <v>0.66973199999999999</v>
      </c>
      <c r="F71">
        <v>24.73</v>
      </c>
      <c r="G71">
        <v>2</v>
      </c>
      <c r="H71">
        <v>8.08</v>
      </c>
    </row>
    <row r="72" spans="1:8">
      <c r="A72" s="1">
        <v>11</v>
      </c>
      <c r="B72" t="s">
        <v>1813</v>
      </c>
      <c r="C72">
        <v>62.48</v>
      </c>
      <c r="D72">
        <v>38.880000000000003</v>
      </c>
      <c r="E72">
        <v>0.90479200000000004</v>
      </c>
      <c r="F72">
        <v>44.77</v>
      </c>
      <c r="G72">
        <v>6</v>
      </c>
      <c r="H72">
        <v>11.82</v>
      </c>
    </row>
    <row r="73" spans="1:8">
      <c r="A73" s="1">
        <v>12</v>
      </c>
      <c r="B73" t="s">
        <v>1814</v>
      </c>
      <c r="C73">
        <v>62.48</v>
      </c>
      <c r="D73">
        <v>38.68</v>
      </c>
      <c r="E73">
        <v>0.788547</v>
      </c>
      <c r="F73">
        <v>30.64</v>
      </c>
      <c r="G73">
        <v>8</v>
      </c>
      <c r="H73">
        <v>11.91</v>
      </c>
    </row>
    <row r="74" spans="1:8">
      <c r="A74" s="1">
        <v>13</v>
      </c>
      <c r="B74" t="s">
        <v>1815</v>
      </c>
      <c r="C74">
        <v>62.62</v>
      </c>
      <c r="D74">
        <v>38.68</v>
      </c>
      <c r="E74">
        <v>0.78899300000000006</v>
      </c>
      <c r="F74">
        <v>30.91</v>
      </c>
      <c r="G74">
        <v>6</v>
      </c>
      <c r="H74">
        <v>11.85</v>
      </c>
    </row>
    <row r="75" spans="1:8">
      <c r="A75" s="1">
        <v>14</v>
      </c>
      <c r="B75" t="s">
        <v>1816</v>
      </c>
      <c r="C75">
        <v>60.5</v>
      </c>
      <c r="D75">
        <v>36.479999999999997</v>
      </c>
      <c r="E75">
        <v>0.61399999999999999</v>
      </c>
      <c r="F75">
        <v>1.54</v>
      </c>
      <c r="G75">
        <v>4</v>
      </c>
      <c r="H75">
        <v>11.47</v>
      </c>
    </row>
    <row r="76" spans="1:8">
      <c r="A76" s="1">
        <v>15</v>
      </c>
      <c r="B76" t="s">
        <v>1817</v>
      </c>
      <c r="C76">
        <v>62.13</v>
      </c>
      <c r="D76">
        <v>38.79</v>
      </c>
      <c r="E76">
        <v>0.86358599999999996</v>
      </c>
      <c r="F76">
        <v>34.64</v>
      </c>
      <c r="G76">
        <v>0</v>
      </c>
      <c r="H76">
        <v>11.85</v>
      </c>
    </row>
    <row r="77" spans="1:8">
      <c r="A77" s="1">
        <v>16</v>
      </c>
      <c r="B77" t="s">
        <v>1818</v>
      </c>
      <c r="C77">
        <v>60.68</v>
      </c>
      <c r="D77">
        <v>37.49</v>
      </c>
      <c r="E77">
        <v>0.72609400000000002</v>
      </c>
      <c r="F77">
        <v>1.19</v>
      </c>
      <c r="G77">
        <v>8</v>
      </c>
      <c r="H77">
        <v>11.56</v>
      </c>
    </row>
    <row r="78" spans="1:8">
      <c r="A78" s="1">
        <v>17</v>
      </c>
      <c r="B78" t="s">
        <v>1819</v>
      </c>
      <c r="C78">
        <v>62.27</v>
      </c>
      <c r="D78">
        <v>36.76</v>
      </c>
      <c r="E78">
        <v>0.73098700000000005</v>
      </c>
      <c r="F78">
        <v>0.19</v>
      </c>
      <c r="G78">
        <v>2</v>
      </c>
      <c r="H78">
        <v>11.79</v>
      </c>
    </row>
    <row r="79" spans="1:8">
      <c r="A79" s="1">
        <v>18</v>
      </c>
      <c r="B79" t="s">
        <v>1820</v>
      </c>
      <c r="C79">
        <v>60.6</v>
      </c>
      <c r="D79">
        <v>36.590000000000003</v>
      </c>
      <c r="E79">
        <v>0.61566200000000004</v>
      </c>
      <c r="F79">
        <v>1.96</v>
      </c>
      <c r="G79">
        <v>2</v>
      </c>
      <c r="H79">
        <v>11.46</v>
      </c>
    </row>
    <row r="80" spans="1:8">
      <c r="A80" s="1">
        <v>19</v>
      </c>
      <c r="B80" t="s">
        <v>1821</v>
      </c>
      <c r="C80">
        <v>81.02</v>
      </c>
      <c r="D80">
        <v>38.520000000000003</v>
      </c>
      <c r="E80">
        <v>0.81234300000000004</v>
      </c>
      <c r="F80">
        <v>3.23</v>
      </c>
      <c r="G80">
        <v>0</v>
      </c>
      <c r="H80">
        <v>15.34</v>
      </c>
    </row>
    <row r="81" spans="1:8">
      <c r="A81" s="1">
        <v>20</v>
      </c>
      <c r="B81" t="s">
        <v>1822</v>
      </c>
      <c r="C81">
        <v>62.82</v>
      </c>
      <c r="D81">
        <v>38.81</v>
      </c>
      <c r="E81">
        <v>0.86302800000000002</v>
      </c>
      <c r="F81">
        <v>34.869999999999997</v>
      </c>
      <c r="G81">
        <v>6</v>
      </c>
      <c r="H81">
        <v>11.89</v>
      </c>
    </row>
    <row r="82" spans="1:8">
      <c r="A82" s="1">
        <v>21</v>
      </c>
      <c r="B82" t="s">
        <v>1823</v>
      </c>
      <c r="C82">
        <v>41.98</v>
      </c>
      <c r="D82">
        <v>38.07</v>
      </c>
      <c r="E82">
        <v>0.963198</v>
      </c>
      <c r="F82">
        <v>29.68</v>
      </c>
      <c r="G82">
        <v>2</v>
      </c>
      <c r="H82">
        <v>8</v>
      </c>
    </row>
    <row r="83" spans="1:8">
      <c r="A83" s="1">
        <v>22</v>
      </c>
      <c r="B83" t="s">
        <v>1824</v>
      </c>
      <c r="C83">
        <v>62.77</v>
      </c>
      <c r="D83">
        <v>38.89</v>
      </c>
      <c r="E83">
        <v>0.902617</v>
      </c>
      <c r="F83">
        <v>44.7</v>
      </c>
      <c r="G83">
        <v>6</v>
      </c>
      <c r="H83">
        <v>11.82</v>
      </c>
    </row>
    <row r="84" spans="1:8">
      <c r="A84" s="1">
        <v>23</v>
      </c>
      <c r="B84" t="s">
        <v>1825</v>
      </c>
      <c r="C84">
        <v>42.16</v>
      </c>
      <c r="D84">
        <v>37.68</v>
      </c>
      <c r="E84">
        <v>0.65266500000000005</v>
      </c>
      <c r="F84">
        <v>18.16</v>
      </c>
      <c r="G84">
        <v>0</v>
      </c>
      <c r="H84">
        <v>7.98</v>
      </c>
    </row>
    <row r="85" spans="1:8">
      <c r="A85" s="1">
        <v>24</v>
      </c>
      <c r="B85" t="s">
        <v>1826</v>
      </c>
      <c r="C85">
        <v>60.74</v>
      </c>
      <c r="D85">
        <v>37.46</v>
      </c>
      <c r="E85">
        <v>0.72483500000000001</v>
      </c>
      <c r="F85">
        <v>1.1100000000000001</v>
      </c>
      <c r="G85">
        <v>4</v>
      </c>
      <c r="H85">
        <v>11.56</v>
      </c>
    </row>
    <row r="86" spans="1:8">
      <c r="A86" s="1">
        <v>25</v>
      </c>
      <c r="B86" t="s">
        <v>1827</v>
      </c>
      <c r="C86">
        <v>40.9</v>
      </c>
      <c r="D86">
        <v>37.979999999999997</v>
      </c>
      <c r="E86">
        <v>0.93245400000000001</v>
      </c>
      <c r="F86">
        <v>27</v>
      </c>
      <c r="G86">
        <v>0</v>
      </c>
      <c r="H86">
        <v>7.77</v>
      </c>
    </row>
    <row r="87" spans="1:8">
      <c r="A87" s="1">
        <v>26</v>
      </c>
      <c r="B87" t="s">
        <v>1828</v>
      </c>
      <c r="C87">
        <v>60.71</v>
      </c>
      <c r="D87">
        <v>34.69</v>
      </c>
      <c r="E87">
        <v>0.60181099999999998</v>
      </c>
      <c r="F87">
        <v>0.15</v>
      </c>
      <c r="G87">
        <v>4</v>
      </c>
      <c r="H87">
        <v>11.57</v>
      </c>
    </row>
    <row r="88" spans="1:8">
      <c r="A88" s="1">
        <v>27</v>
      </c>
      <c r="B88" t="s">
        <v>1829</v>
      </c>
      <c r="C88">
        <v>42.33</v>
      </c>
      <c r="D88">
        <v>37.69</v>
      </c>
      <c r="E88">
        <v>0.652783</v>
      </c>
      <c r="F88">
        <v>20.74</v>
      </c>
      <c r="G88">
        <v>8</v>
      </c>
      <c r="H88">
        <v>7.99</v>
      </c>
    </row>
    <row r="89" spans="1:8">
      <c r="A89" s="1">
        <v>28</v>
      </c>
      <c r="B89" t="s">
        <v>1830</v>
      </c>
      <c r="C89">
        <v>61.82</v>
      </c>
      <c r="D89">
        <v>38.07</v>
      </c>
      <c r="E89">
        <v>0.756687</v>
      </c>
      <c r="F89">
        <v>4.1500000000000004</v>
      </c>
      <c r="G89">
        <v>8</v>
      </c>
      <c r="H89">
        <v>11.7</v>
      </c>
    </row>
    <row r="90" spans="1:8">
      <c r="A90" s="1">
        <v>29</v>
      </c>
      <c r="B90" t="s">
        <v>1831</v>
      </c>
      <c r="C90">
        <v>61.33</v>
      </c>
      <c r="D90">
        <v>38.840000000000003</v>
      </c>
      <c r="E90">
        <v>0.89905900000000005</v>
      </c>
      <c r="F90">
        <v>48.12</v>
      </c>
      <c r="G90">
        <v>4</v>
      </c>
      <c r="H90">
        <v>11.61</v>
      </c>
    </row>
    <row r="91" spans="1:8">
      <c r="A91" s="1">
        <v>30</v>
      </c>
      <c r="B91" t="s">
        <v>1832</v>
      </c>
      <c r="C91">
        <v>22.36</v>
      </c>
      <c r="D91">
        <v>36.700000000000003</v>
      </c>
      <c r="E91">
        <v>0.96351399999999998</v>
      </c>
      <c r="F91">
        <v>16.86</v>
      </c>
      <c r="G91">
        <v>6</v>
      </c>
      <c r="H91">
        <v>4.2300000000000004</v>
      </c>
    </row>
    <row r="92" spans="1:8">
      <c r="A92" s="1">
        <v>31</v>
      </c>
      <c r="B92" t="s">
        <v>1833</v>
      </c>
      <c r="C92">
        <v>41.31</v>
      </c>
      <c r="D92">
        <v>37.64</v>
      </c>
      <c r="E92">
        <v>0.64583800000000002</v>
      </c>
      <c r="F92">
        <v>20.39</v>
      </c>
      <c r="G92">
        <v>4</v>
      </c>
      <c r="H92">
        <v>7.84</v>
      </c>
    </row>
    <row r="93" spans="1:8">
      <c r="A93" s="1">
        <v>32</v>
      </c>
      <c r="B93" t="s">
        <v>1834</v>
      </c>
      <c r="C93">
        <v>62.98</v>
      </c>
      <c r="D93">
        <v>38.69</v>
      </c>
      <c r="E93">
        <v>0.78615299999999999</v>
      </c>
      <c r="F93">
        <v>31.07</v>
      </c>
      <c r="G93">
        <v>6</v>
      </c>
      <c r="H93">
        <v>11.85</v>
      </c>
    </row>
    <row r="94" spans="1:8">
      <c r="A94" s="1">
        <v>33</v>
      </c>
      <c r="B94" t="s">
        <v>1835</v>
      </c>
      <c r="C94">
        <v>62.78</v>
      </c>
      <c r="D94">
        <v>38.81</v>
      </c>
      <c r="E94">
        <v>0.86350499999999997</v>
      </c>
      <c r="F94">
        <v>35.14</v>
      </c>
      <c r="G94">
        <v>2</v>
      </c>
      <c r="H94">
        <v>11.89</v>
      </c>
    </row>
    <row r="95" spans="1:8">
      <c r="A95" s="1">
        <v>34</v>
      </c>
      <c r="B95" t="s">
        <v>1836</v>
      </c>
      <c r="C95">
        <v>62.09</v>
      </c>
      <c r="D95">
        <v>38.68</v>
      </c>
      <c r="E95">
        <v>0.79183199999999998</v>
      </c>
      <c r="F95">
        <v>30.95</v>
      </c>
      <c r="G95">
        <v>0</v>
      </c>
      <c r="H95">
        <v>11.86</v>
      </c>
    </row>
    <row r="96" spans="1:8">
      <c r="A96" s="1">
        <v>35</v>
      </c>
      <c r="B96" t="s">
        <v>1837</v>
      </c>
      <c r="C96">
        <v>62.24</v>
      </c>
      <c r="D96">
        <v>38.880000000000003</v>
      </c>
      <c r="E96">
        <v>0.90888500000000005</v>
      </c>
      <c r="F96">
        <v>51.49</v>
      </c>
      <c r="G96">
        <v>4</v>
      </c>
      <c r="H96">
        <v>11.8</v>
      </c>
    </row>
    <row r="97" spans="1:8">
      <c r="A97" s="1">
        <v>36</v>
      </c>
      <c r="B97" t="s">
        <v>1838</v>
      </c>
      <c r="C97">
        <v>62.84</v>
      </c>
      <c r="D97">
        <v>38.9</v>
      </c>
      <c r="E97">
        <v>0.90766899999999995</v>
      </c>
      <c r="F97">
        <v>46.43</v>
      </c>
      <c r="G97">
        <v>4</v>
      </c>
      <c r="H97">
        <v>11.86</v>
      </c>
    </row>
    <row r="98" spans="1:8">
      <c r="A98" s="1">
        <v>37</v>
      </c>
      <c r="B98" t="s">
        <v>1839</v>
      </c>
      <c r="C98">
        <v>60.09</v>
      </c>
      <c r="D98">
        <v>36.83</v>
      </c>
      <c r="E98">
        <v>0.620946</v>
      </c>
      <c r="F98">
        <v>2.57</v>
      </c>
      <c r="G98">
        <v>0</v>
      </c>
      <c r="H98">
        <v>11.42</v>
      </c>
    </row>
    <row r="99" spans="1:8">
      <c r="A99" s="1">
        <v>38</v>
      </c>
      <c r="B99" t="s">
        <v>1840</v>
      </c>
      <c r="C99">
        <v>59.82</v>
      </c>
      <c r="D99">
        <v>36.92</v>
      </c>
      <c r="E99">
        <v>0.62411099999999997</v>
      </c>
      <c r="F99">
        <v>2.65</v>
      </c>
      <c r="G99">
        <v>4</v>
      </c>
      <c r="H99">
        <v>11.39</v>
      </c>
    </row>
    <row r="100" spans="1:8">
      <c r="A100" s="1">
        <v>39</v>
      </c>
      <c r="B100" t="s">
        <v>1841</v>
      </c>
      <c r="C100">
        <v>61.15</v>
      </c>
      <c r="D100">
        <v>38.840000000000003</v>
      </c>
      <c r="E100">
        <v>0.90150399999999997</v>
      </c>
      <c r="F100">
        <v>50.69</v>
      </c>
      <c r="G100">
        <v>6</v>
      </c>
      <c r="H100">
        <v>11.61</v>
      </c>
    </row>
    <row r="101" spans="1:8">
      <c r="A101" s="1">
        <v>40</v>
      </c>
      <c r="B101" t="s">
        <v>1842</v>
      </c>
      <c r="C101">
        <v>40.5</v>
      </c>
      <c r="D101">
        <v>37.619999999999997</v>
      </c>
      <c r="E101">
        <v>0.78911799999999999</v>
      </c>
      <c r="F101">
        <v>10.14</v>
      </c>
      <c r="G101">
        <v>2</v>
      </c>
      <c r="H101">
        <v>7.65</v>
      </c>
    </row>
    <row r="102" spans="1:8">
      <c r="A102" s="1">
        <v>41</v>
      </c>
      <c r="B102" t="s">
        <v>1843</v>
      </c>
      <c r="C102">
        <v>42.6</v>
      </c>
      <c r="D102">
        <v>37.770000000000003</v>
      </c>
      <c r="E102">
        <v>0.67339400000000005</v>
      </c>
      <c r="F102">
        <v>22.69</v>
      </c>
      <c r="G102">
        <v>8</v>
      </c>
      <c r="H102">
        <v>8.1199999999999992</v>
      </c>
    </row>
    <row r="103" spans="1:8">
      <c r="A103" s="1">
        <v>42</v>
      </c>
      <c r="B103" t="s">
        <v>1844</v>
      </c>
      <c r="C103">
        <v>61.01</v>
      </c>
      <c r="D103">
        <v>37.29</v>
      </c>
      <c r="E103">
        <v>0.72368600000000005</v>
      </c>
      <c r="F103">
        <v>0.73</v>
      </c>
      <c r="G103">
        <v>0</v>
      </c>
      <c r="H103">
        <v>11.57</v>
      </c>
    </row>
    <row r="104" spans="1:8">
      <c r="A104" s="1">
        <v>43</v>
      </c>
      <c r="B104" t="s">
        <v>1845</v>
      </c>
      <c r="C104">
        <v>58.31</v>
      </c>
      <c r="D104">
        <v>38.58</v>
      </c>
      <c r="E104">
        <v>0.81576000000000004</v>
      </c>
      <c r="F104">
        <v>31.83</v>
      </c>
      <c r="G104">
        <v>0</v>
      </c>
      <c r="H104">
        <v>11.1</v>
      </c>
    </row>
    <row r="105" spans="1:8">
      <c r="A105" s="1">
        <v>44</v>
      </c>
      <c r="B105" t="s">
        <v>1846</v>
      </c>
      <c r="C105">
        <v>61.22</v>
      </c>
      <c r="D105">
        <v>37.130000000000003</v>
      </c>
      <c r="E105">
        <v>0.72201700000000002</v>
      </c>
      <c r="F105">
        <v>0.5</v>
      </c>
      <c r="G105">
        <v>4</v>
      </c>
      <c r="H105">
        <v>11.58</v>
      </c>
    </row>
    <row r="106" spans="1:8">
      <c r="A106" s="1">
        <v>45</v>
      </c>
      <c r="B106" t="s">
        <v>1847</v>
      </c>
      <c r="C106">
        <v>80.84</v>
      </c>
      <c r="D106">
        <v>38.19</v>
      </c>
      <c r="E106">
        <v>0.80585499999999999</v>
      </c>
      <c r="F106">
        <v>1.5</v>
      </c>
      <c r="G106">
        <v>6</v>
      </c>
      <c r="H106">
        <v>15.39</v>
      </c>
    </row>
    <row r="107" spans="1:8">
      <c r="A107" s="1">
        <v>46</v>
      </c>
      <c r="B107" t="s">
        <v>1848</v>
      </c>
      <c r="C107">
        <v>46.03</v>
      </c>
      <c r="D107">
        <v>38.21</v>
      </c>
      <c r="E107">
        <v>0.90416600000000003</v>
      </c>
      <c r="F107">
        <v>31.68</v>
      </c>
      <c r="G107">
        <v>2</v>
      </c>
      <c r="H107">
        <v>8.67</v>
      </c>
    </row>
    <row r="108" spans="1:8">
      <c r="A108" s="1">
        <v>47</v>
      </c>
      <c r="B108" t="s">
        <v>1849</v>
      </c>
      <c r="C108">
        <v>62.3</v>
      </c>
      <c r="D108">
        <v>37.630000000000003</v>
      </c>
      <c r="E108">
        <v>0.74076699999999995</v>
      </c>
      <c r="F108">
        <v>1.42</v>
      </c>
      <c r="G108">
        <v>0</v>
      </c>
      <c r="H108">
        <v>11.79</v>
      </c>
    </row>
    <row r="109" spans="1:8">
      <c r="A109" s="1">
        <v>48</v>
      </c>
      <c r="B109" t="s">
        <v>1850</v>
      </c>
      <c r="C109">
        <v>60.98</v>
      </c>
      <c r="D109">
        <v>34.57</v>
      </c>
      <c r="E109">
        <v>0.60150899999999996</v>
      </c>
      <c r="F109">
        <v>0.15</v>
      </c>
      <c r="G109">
        <v>6</v>
      </c>
      <c r="H109">
        <v>11.57</v>
      </c>
    </row>
    <row r="110" spans="1:8">
      <c r="A110" s="1">
        <v>49</v>
      </c>
      <c r="B110" t="s">
        <v>1851</v>
      </c>
      <c r="C110">
        <v>62.4</v>
      </c>
      <c r="D110">
        <v>38.89</v>
      </c>
      <c r="E110">
        <v>0.91177900000000001</v>
      </c>
      <c r="F110">
        <v>50.27</v>
      </c>
      <c r="G110">
        <v>4</v>
      </c>
      <c r="H110">
        <v>11.84</v>
      </c>
    </row>
    <row r="111" spans="1:8">
      <c r="A111" s="1">
        <v>50</v>
      </c>
      <c r="B111" t="s">
        <v>1852</v>
      </c>
      <c r="C111">
        <v>60.93</v>
      </c>
      <c r="D111">
        <v>37.47</v>
      </c>
      <c r="E111">
        <v>0.72675100000000004</v>
      </c>
      <c r="F111">
        <v>1.1100000000000001</v>
      </c>
      <c r="G111">
        <v>0</v>
      </c>
      <c r="H111">
        <v>11.57</v>
      </c>
    </row>
    <row r="112" spans="1:8">
      <c r="B112" s="1" t="s">
        <v>19</v>
      </c>
      <c r="C112" s="1">
        <f>AVERAGE(C62:C111)</f>
        <v>58.262800000000006</v>
      </c>
      <c r="D112" s="1">
        <f t="shared" ref="D112:F112" si="3">AVERAGE(D62:D111)</f>
        <v>37.98640000000001</v>
      </c>
      <c r="E112" s="1">
        <f t="shared" si="3"/>
        <v>0.79470596000000004</v>
      </c>
      <c r="F112" s="1">
        <f t="shared" si="3"/>
        <v>24.086200000000009</v>
      </c>
      <c r="H112" s="1">
        <f t="shared" ref="H112" si="4">AVERAGE(H62:H111)</f>
        <v>11.053400000000003</v>
      </c>
    </row>
    <row r="113" spans="1:8">
      <c r="B113" s="1" t="s">
        <v>20</v>
      </c>
      <c r="C113" s="1">
        <f>MIN(C61:C111)</f>
        <v>22.36</v>
      </c>
      <c r="D113" s="1">
        <f t="shared" ref="D113:F113" si="5">MIN(D61:D111)</f>
        <v>34.57</v>
      </c>
      <c r="E113" s="1">
        <f t="shared" si="5"/>
        <v>0.60150899999999996</v>
      </c>
      <c r="F113" s="1">
        <f t="shared" si="5"/>
        <v>0.15</v>
      </c>
      <c r="H113" s="1">
        <f t="shared" ref="H113" si="6">MIN(H61:H111)</f>
        <v>4.2300000000000004</v>
      </c>
    </row>
    <row r="114" spans="1:8">
      <c r="B114" s="1" t="s">
        <v>3</v>
      </c>
      <c r="C114" s="1">
        <f>STDEV(C62:C111)</f>
        <v>11.044566313858697</v>
      </c>
      <c r="D114" s="1">
        <f t="shared" ref="D114:E114" si="7">STDEV(D62:D111)</f>
        <v>1.0316793521797143</v>
      </c>
      <c r="E114" s="1">
        <f t="shared" si="7"/>
        <v>0.11218374898643491</v>
      </c>
      <c r="F114" s="1">
        <f>STDEV(F62:F111)</f>
        <v>19.189912197904004</v>
      </c>
      <c r="H114" s="1">
        <f>STDEV(H62:H111)</f>
        <v>2.0953121729328799</v>
      </c>
    </row>
    <row r="116" spans="1:8">
      <c r="H116" s="18" t="s">
        <v>1435</v>
      </c>
    </row>
    <row r="117" spans="1:8" ht="18">
      <c r="A117" s="18" t="s">
        <v>7</v>
      </c>
      <c r="B117" s="3" t="s">
        <v>1</v>
      </c>
      <c r="C117" s="18" t="s">
        <v>4</v>
      </c>
      <c r="D117" s="18" t="s">
        <v>322</v>
      </c>
      <c r="E117" s="18" t="s">
        <v>321</v>
      </c>
      <c r="F117" s="18" t="s">
        <v>324</v>
      </c>
      <c r="G117" s="18" t="s">
        <v>323</v>
      </c>
      <c r="H117" s="18" t="s">
        <v>1436</v>
      </c>
    </row>
    <row r="118" spans="1:8">
      <c r="A118" s="1">
        <v>1</v>
      </c>
      <c r="B118" t="s">
        <v>1603</v>
      </c>
      <c r="C118">
        <v>41.99</v>
      </c>
      <c r="D118">
        <v>73.69</v>
      </c>
      <c r="E118">
        <v>0.63286100000000001</v>
      </c>
      <c r="F118">
        <v>0.23</v>
      </c>
      <c r="G118">
        <v>12</v>
      </c>
      <c r="H118">
        <v>7.96</v>
      </c>
    </row>
    <row r="119" spans="1:8">
      <c r="A119" s="1">
        <v>2</v>
      </c>
      <c r="B119" t="s">
        <v>1604</v>
      </c>
      <c r="C119">
        <v>41.4</v>
      </c>
      <c r="D119">
        <v>72.599999999999994</v>
      </c>
      <c r="E119">
        <v>0.58647499999999997</v>
      </c>
      <c r="F119">
        <v>1.08</v>
      </c>
      <c r="G119">
        <v>16</v>
      </c>
      <c r="H119">
        <v>7.81</v>
      </c>
    </row>
    <row r="120" spans="1:8">
      <c r="A120" s="1">
        <v>3</v>
      </c>
      <c r="B120" t="s">
        <v>1605</v>
      </c>
      <c r="C120">
        <v>40.56</v>
      </c>
      <c r="D120">
        <v>71.69</v>
      </c>
      <c r="E120">
        <v>0.50559600000000005</v>
      </c>
      <c r="F120">
        <v>2.15</v>
      </c>
      <c r="G120">
        <v>2</v>
      </c>
      <c r="H120">
        <v>7.7</v>
      </c>
    </row>
    <row r="121" spans="1:8">
      <c r="A121" s="1">
        <v>4</v>
      </c>
      <c r="B121" t="s">
        <v>1606</v>
      </c>
      <c r="C121">
        <v>32.53</v>
      </c>
      <c r="D121">
        <v>74.8</v>
      </c>
      <c r="E121">
        <v>0.84143299999999999</v>
      </c>
      <c r="F121">
        <v>17.89</v>
      </c>
      <c r="G121">
        <v>18</v>
      </c>
      <c r="H121">
        <v>6.16</v>
      </c>
    </row>
    <row r="122" spans="1:8">
      <c r="A122" s="1">
        <v>5</v>
      </c>
      <c r="B122" t="s">
        <v>1607</v>
      </c>
      <c r="C122">
        <v>39.11</v>
      </c>
      <c r="D122">
        <v>72.77</v>
      </c>
      <c r="E122">
        <v>0.494892</v>
      </c>
      <c r="F122">
        <v>5.64</v>
      </c>
      <c r="G122">
        <v>6</v>
      </c>
      <c r="H122">
        <v>7.41</v>
      </c>
    </row>
    <row r="123" spans="1:8">
      <c r="A123" s="1">
        <v>6</v>
      </c>
      <c r="B123" t="s">
        <v>1608</v>
      </c>
      <c r="C123">
        <v>40.65</v>
      </c>
      <c r="D123">
        <v>73.819999999999993</v>
      </c>
      <c r="E123">
        <v>0.69469999999999998</v>
      </c>
      <c r="F123">
        <v>1.61</v>
      </c>
      <c r="G123">
        <v>18</v>
      </c>
      <c r="H123">
        <v>7.71</v>
      </c>
    </row>
    <row r="124" spans="1:8">
      <c r="A124" s="1">
        <v>7</v>
      </c>
      <c r="B124" t="s">
        <v>1609</v>
      </c>
      <c r="C124">
        <v>50.28</v>
      </c>
      <c r="D124">
        <v>72.23</v>
      </c>
      <c r="E124">
        <v>0.57406999999999997</v>
      </c>
      <c r="F124">
        <v>1.5</v>
      </c>
      <c r="G124">
        <v>2</v>
      </c>
      <c r="H124">
        <v>9.58</v>
      </c>
    </row>
    <row r="125" spans="1:8">
      <c r="A125" s="1">
        <v>8</v>
      </c>
      <c r="B125" t="s">
        <v>1610</v>
      </c>
      <c r="C125">
        <v>40.619999999999997</v>
      </c>
      <c r="D125">
        <v>72.33</v>
      </c>
      <c r="E125">
        <v>0.57118999999999998</v>
      </c>
      <c r="F125">
        <v>1.19</v>
      </c>
      <c r="G125">
        <v>6</v>
      </c>
      <c r="H125">
        <v>7.71</v>
      </c>
    </row>
    <row r="126" spans="1:8">
      <c r="A126" s="1">
        <v>9</v>
      </c>
      <c r="B126" t="s">
        <v>1611</v>
      </c>
      <c r="C126">
        <v>40.51</v>
      </c>
      <c r="D126">
        <v>69.36</v>
      </c>
      <c r="E126">
        <v>0.48774499999999998</v>
      </c>
      <c r="F126">
        <v>0.15</v>
      </c>
      <c r="G126">
        <v>0</v>
      </c>
      <c r="H126">
        <v>7.69</v>
      </c>
    </row>
    <row r="127" spans="1:8">
      <c r="A127" s="1">
        <v>10</v>
      </c>
      <c r="B127" t="s">
        <v>1612</v>
      </c>
      <c r="C127">
        <v>42.06</v>
      </c>
      <c r="D127">
        <v>74.73</v>
      </c>
      <c r="E127">
        <v>0.74154900000000001</v>
      </c>
      <c r="F127">
        <v>1.1499999999999999</v>
      </c>
      <c r="G127">
        <v>16</v>
      </c>
      <c r="H127">
        <v>7.97</v>
      </c>
    </row>
    <row r="128" spans="1:8">
      <c r="A128" s="1">
        <v>11</v>
      </c>
      <c r="B128" t="s">
        <v>1613</v>
      </c>
      <c r="C128">
        <v>32.11</v>
      </c>
      <c r="D128">
        <v>74.7</v>
      </c>
      <c r="E128">
        <v>0.86403099999999999</v>
      </c>
      <c r="F128">
        <v>14.25</v>
      </c>
      <c r="G128">
        <v>4</v>
      </c>
      <c r="H128">
        <v>6.08</v>
      </c>
    </row>
    <row r="129" spans="1:8">
      <c r="A129" s="1">
        <v>12</v>
      </c>
      <c r="B129" t="s">
        <v>1614</v>
      </c>
      <c r="C129">
        <v>41.84</v>
      </c>
      <c r="D129">
        <v>75.73</v>
      </c>
      <c r="E129">
        <v>0.82188000000000005</v>
      </c>
      <c r="F129">
        <v>14.48</v>
      </c>
      <c r="G129">
        <v>12</v>
      </c>
      <c r="H129">
        <v>7.91</v>
      </c>
    </row>
    <row r="130" spans="1:8">
      <c r="A130" s="1">
        <v>13</v>
      </c>
      <c r="B130" t="s">
        <v>1615</v>
      </c>
      <c r="C130">
        <v>38.83</v>
      </c>
      <c r="D130">
        <v>74.44</v>
      </c>
      <c r="E130">
        <v>0.76975800000000005</v>
      </c>
      <c r="F130">
        <v>1.73</v>
      </c>
      <c r="G130">
        <v>14</v>
      </c>
      <c r="H130">
        <v>7.34</v>
      </c>
    </row>
    <row r="131" spans="1:8">
      <c r="A131" s="1">
        <v>14</v>
      </c>
      <c r="B131" t="s">
        <v>1616</v>
      </c>
      <c r="C131">
        <v>28.86</v>
      </c>
      <c r="D131">
        <v>73.61</v>
      </c>
      <c r="E131">
        <v>0.76011899999999999</v>
      </c>
      <c r="F131">
        <v>4.42</v>
      </c>
      <c r="G131">
        <v>4</v>
      </c>
      <c r="H131">
        <v>5.46</v>
      </c>
    </row>
    <row r="132" spans="1:8">
      <c r="A132" s="1">
        <v>15</v>
      </c>
      <c r="B132" t="s">
        <v>1617</v>
      </c>
      <c r="C132">
        <v>41.51</v>
      </c>
      <c r="D132">
        <v>71.81</v>
      </c>
      <c r="E132">
        <v>0.57904900000000004</v>
      </c>
      <c r="F132">
        <v>0.46</v>
      </c>
      <c r="G132">
        <v>4</v>
      </c>
      <c r="H132">
        <v>7.86</v>
      </c>
    </row>
    <row r="133" spans="1:8">
      <c r="A133" s="1">
        <v>16</v>
      </c>
      <c r="B133" t="s">
        <v>1618</v>
      </c>
      <c r="C133">
        <v>41.37</v>
      </c>
      <c r="D133">
        <v>73.760000000000005</v>
      </c>
      <c r="E133">
        <v>0.61999300000000002</v>
      </c>
      <c r="F133">
        <v>0.35</v>
      </c>
      <c r="G133">
        <v>18</v>
      </c>
      <c r="H133">
        <v>7.89</v>
      </c>
    </row>
    <row r="134" spans="1:8">
      <c r="A134" s="1">
        <v>17</v>
      </c>
      <c r="B134" t="s">
        <v>1619</v>
      </c>
      <c r="C134">
        <v>32.83</v>
      </c>
      <c r="D134">
        <v>75.03</v>
      </c>
      <c r="E134">
        <v>0.94459199999999999</v>
      </c>
      <c r="F134">
        <v>19.62</v>
      </c>
      <c r="G134">
        <v>4</v>
      </c>
      <c r="H134">
        <v>6.23</v>
      </c>
    </row>
    <row r="135" spans="1:8">
      <c r="A135" s="1">
        <v>18</v>
      </c>
      <c r="B135" t="s">
        <v>1620</v>
      </c>
      <c r="C135">
        <v>23.55</v>
      </c>
      <c r="D135">
        <v>73.48</v>
      </c>
      <c r="E135">
        <v>0.90163400000000005</v>
      </c>
      <c r="F135">
        <v>12.94</v>
      </c>
      <c r="G135">
        <v>12</v>
      </c>
      <c r="H135">
        <v>4.45</v>
      </c>
    </row>
    <row r="136" spans="1:8">
      <c r="A136" s="1">
        <v>19</v>
      </c>
      <c r="B136" t="s">
        <v>1621</v>
      </c>
      <c r="C136">
        <v>34.07</v>
      </c>
      <c r="D136">
        <v>74.11</v>
      </c>
      <c r="E136">
        <v>0.62309499999999995</v>
      </c>
      <c r="F136">
        <v>10.29</v>
      </c>
      <c r="G136">
        <v>12</v>
      </c>
      <c r="H136">
        <v>6.51</v>
      </c>
    </row>
    <row r="137" spans="1:8">
      <c r="A137" s="1">
        <v>20</v>
      </c>
      <c r="B137" t="s">
        <v>1622</v>
      </c>
      <c r="C137">
        <v>32.24</v>
      </c>
      <c r="D137">
        <v>74.760000000000005</v>
      </c>
      <c r="E137">
        <v>0.86402100000000004</v>
      </c>
      <c r="F137">
        <v>17.63</v>
      </c>
      <c r="G137">
        <v>16</v>
      </c>
      <c r="H137">
        <v>6.12</v>
      </c>
    </row>
    <row r="138" spans="1:8">
      <c r="A138" s="1">
        <v>21</v>
      </c>
      <c r="B138" t="s">
        <v>1623</v>
      </c>
      <c r="C138">
        <v>40.83</v>
      </c>
      <c r="D138">
        <v>72.55</v>
      </c>
      <c r="E138">
        <v>0.687384</v>
      </c>
      <c r="F138">
        <v>0.35</v>
      </c>
      <c r="G138">
        <v>16</v>
      </c>
      <c r="H138">
        <v>7.73</v>
      </c>
    </row>
    <row r="139" spans="1:8">
      <c r="A139" s="1">
        <v>22</v>
      </c>
      <c r="B139" t="s">
        <v>1624</v>
      </c>
      <c r="C139">
        <v>41.56</v>
      </c>
      <c r="D139">
        <v>74.3</v>
      </c>
      <c r="E139">
        <v>0.71794100000000005</v>
      </c>
      <c r="F139">
        <v>0.61</v>
      </c>
      <c r="G139">
        <v>16</v>
      </c>
      <c r="H139">
        <v>7.87</v>
      </c>
    </row>
    <row r="140" spans="1:8">
      <c r="A140" s="1">
        <v>23</v>
      </c>
      <c r="B140" t="s">
        <v>1625</v>
      </c>
      <c r="C140">
        <v>38.47</v>
      </c>
      <c r="D140">
        <v>72.510000000000005</v>
      </c>
      <c r="E140">
        <v>0.52396299999999996</v>
      </c>
      <c r="F140">
        <v>1.1100000000000001</v>
      </c>
      <c r="G140">
        <v>18</v>
      </c>
      <c r="H140">
        <v>7.29</v>
      </c>
    </row>
    <row r="141" spans="1:8">
      <c r="A141" s="1">
        <v>24</v>
      </c>
      <c r="B141" t="s">
        <v>1626</v>
      </c>
      <c r="C141">
        <v>42.19</v>
      </c>
      <c r="D141">
        <v>74.56</v>
      </c>
      <c r="E141">
        <v>0.74173699999999998</v>
      </c>
      <c r="F141">
        <v>0.73</v>
      </c>
      <c r="G141">
        <v>12</v>
      </c>
      <c r="H141">
        <v>8</v>
      </c>
    </row>
    <row r="142" spans="1:8">
      <c r="A142" s="1">
        <v>25</v>
      </c>
      <c r="B142" t="s">
        <v>1627</v>
      </c>
      <c r="C142">
        <v>40.81</v>
      </c>
      <c r="D142">
        <v>73.42</v>
      </c>
      <c r="E142">
        <v>0.59419</v>
      </c>
      <c r="F142">
        <v>2.73</v>
      </c>
      <c r="G142">
        <v>12</v>
      </c>
      <c r="H142">
        <v>7.73</v>
      </c>
    </row>
    <row r="143" spans="1:8">
      <c r="A143" s="1">
        <v>26</v>
      </c>
      <c r="B143" t="s">
        <v>1628</v>
      </c>
      <c r="C143">
        <v>40.880000000000003</v>
      </c>
      <c r="D143">
        <v>73.22</v>
      </c>
      <c r="E143">
        <v>0.68302700000000005</v>
      </c>
      <c r="F143">
        <v>0.65</v>
      </c>
      <c r="G143">
        <v>0</v>
      </c>
      <c r="H143">
        <v>7.73</v>
      </c>
    </row>
    <row r="144" spans="1:8">
      <c r="A144" s="1">
        <v>27</v>
      </c>
      <c r="B144" t="s">
        <v>1629</v>
      </c>
      <c r="C144">
        <v>31.3</v>
      </c>
      <c r="D144">
        <v>73.260000000000005</v>
      </c>
      <c r="E144">
        <v>0.60657099999999997</v>
      </c>
      <c r="F144">
        <v>1.04</v>
      </c>
      <c r="G144">
        <v>14</v>
      </c>
      <c r="H144">
        <v>5.97</v>
      </c>
    </row>
    <row r="145" spans="1:8">
      <c r="A145" s="1">
        <v>28</v>
      </c>
      <c r="B145" t="s">
        <v>1630</v>
      </c>
      <c r="C145">
        <v>40.99</v>
      </c>
      <c r="D145">
        <v>75.599999999999994</v>
      </c>
      <c r="E145">
        <v>0.79497099999999998</v>
      </c>
      <c r="F145">
        <v>16.09</v>
      </c>
      <c r="G145">
        <v>6</v>
      </c>
      <c r="H145">
        <v>7.76</v>
      </c>
    </row>
    <row r="146" spans="1:8">
      <c r="A146" s="1">
        <v>29</v>
      </c>
      <c r="B146" t="s">
        <v>1631</v>
      </c>
      <c r="C146">
        <v>40.53</v>
      </c>
      <c r="D146">
        <v>71.099999999999994</v>
      </c>
      <c r="E146">
        <v>0.54472500000000001</v>
      </c>
      <c r="F146">
        <v>0.92</v>
      </c>
      <c r="G146">
        <v>4</v>
      </c>
      <c r="H146">
        <v>7.68</v>
      </c>
    </row>
    <row r="147" spans="1:8">
      <c r="A147" s="1">
        <v>30</v>
      </c>
      <c r="B147" t="s">
        <v>1632</v>
      </c>
      <c r="C147">
        <v>36.03</v>
      </c>
      <c r="D147">
        <v>73.319999999999993</v>
      </c>
      <c r="E147">
        <v>0.61325099999999999</v>
      </c>
      <c r="F147">
        <v>0.5</v>
      </c>
      <c r="G147">
        <v>12</v>
      </c>
      <c r="H147">
        <v>6.84</v>
      </c>
    </row>
    <row r="148" spans="1:8">
      <c r="A148" s="1">
        <v>31</v>
      </c>
      <c r="B148" t="s">
        <v>1633</v>
      </c>
      <c r="C148">
        <v>42.49</v>
      </c>
      <c r="D148">
        <v>74.81</v>
      </c>
      <c r="E148">
        <v>0.73227900000000001</v>
      </c>
      <c r="F148">
        <v>1.42</v>
      </c>
      <c r="G148">
        <v>2</v>
      </c>
      <c r="H148">
        <v>8.0299999999999994</v>
      </c>
    </row>
    <row r="149" spans="1:8">
      <c r="A149" s="1">
        <v>32</v>
      </c>
      <c r="B149" t="s">
        <v>1634</v>
      </c>
      <c r="C149">
        <v>41.82</v>
      </c>
      <c r="D149">
        <v>75.27</v>
      </c>
      <c r="E149">
        <v>0.66860399999999998</v>
      </c>
      <c r="F149">
        <v>15.74</v>
      </c>
      <c r="G149">
        <v>18</v>
      </c>
      <c r="H149">
        <v>7.93</v>
      </c>
    </row>
    <row r="150" spans="1:8">
      <c r="A150" s="1">
        <v>33</v>
      </c>
      <c r="B150" t="s">
        <v>1635</v>
      </c>
      <c r="C150">
        <v>39.950000000000003</v>
      </c>
      <c r="D150">
        <v>72.510000000000005</v>
      </c>
      <c r="E150">
        <v>0.57163299999999995</v>
      </c>
      <c r="F150">
        <v>2.61</v>
      </c>
      <c r="G150">
        <v>0</v>
      </c>
      <c r="H150">
        <v>7.62</v>
      </c>
    </row>
    <row r="151" spans="1:8">
      <c r="A151" s="1">
        <v>34</v>
      </c>
      <c r="B151" t="s">
        <v>1636</v>
      </c>
      <c r="C151">
        <v>41.36</v>
      </c>
      <c r="D151">
        <v>75.209999999999994</v>
      </c>
      <c r="E151">
        <v>0.63815</v>
      </c>
      <c r="F151">
        <v>19.16</v>
      </c>
      <c r="G151">
        <v>14</v>
      </c>
      <c r="H151">
        <v>7.87</v>
      </c>
    </row>
    <row r="152" spans="1:8">
      <c r="A152" s="1">
        <v>35</v>
      </c>
      <c r="B152" t="s">
        <v>1637</v>
      </c>
      <c r="C152">
        <v>32.14</v>
      </c>
      <c r="D152">
        <v>74.2</v>
      </c>
      <c r="E152">
        <v>0.622784</v>
      </c>
      <c r="F152">
        <v>13.4</v>
      </c>
      <c r="G152">
        <v>4</v>
      </c>
      <c r="H152">
        <v>6.12</v>
      </c>
    </row>
    <row r="153" spans="1:8">
      <c r="A153" s="1">
        <v>36</v>
      </c>
      <c r="B153" t="s">
        <v>1638</v>
      </c>
      <c r="C153">
        <v>40.92</v>
      </c>
      <c r="D153">
        <v>69.3</v>
      </c>
      <c r="E153">
        <v>0.47620499999999999</v>
      </c>
      <c r="F153">
        <v>0.61</v>
      </c>
      <c r="G153">
        <v>12</v>
      </c>
      <c r="H153">
        <v>7.78</v>
      </c>
    </row>
    <row r="154" spans="1:8">
      <c r="A154" s="1">
        <v>37</v>
      </c>
      <c r="B154" t="s">
        <v>1639</v>
      </c>
      <c r="C154">
        <v>32.979999999999997</v>
      </c>
      <c r="D154">
        <v>74.86</v>
      </c>
      <c r="E154">
        <v>0.86721000000000004</v>
      </c>
      <c r="F154">
        <v>19.350000000000001</v>
      </c>
      <c r="G154">
        <v>4</v>
      </c>
      <c r="H154">
        <v>6.23</v>
      </c>
    </row>
    <row r="155" spans="1:8">
      <c r="A155" s="1">
        <v>38</v>
      </c>
      <c r="B155" t="s">
        <v>1640</v>
      </c>
      <c r="C155">
        <v>42.14</v>
      </c>
      <c r="D155">
        <v>75.680000000000007</v>
      </c>
      <c r="E155">
        <v>0.80537999999999998</v>
      </c>
      <c r="F155">
        <v>15.63</v>
      </c>
      <c r="G155">
        <v>14</v>
      </c>
      <c r="H155">
        <v>8</v>
      </c>
    </row>
    <row r="156" spans="1:8">
      <c r="A156" s="1">
        <v>39</v>
      </c>
      <c r="B156" t="s">
        <v>1641</v>
      </c>
      <c r="C156">
        <v>41.83</v>
      </c>
      <c r="D156">
        <v>74.17</v>
      </c>
      <c r="E156">
        <v>0.6321</v>
      </c>
      <c r="F156">
        <v>0.73</v>
      </c>
      <c r="G156">
        <v>0</v>
      </c>
      <c r="H156">
        <v>7.93</v>
      </c>
    </row>
    <row r="157" spans="1:8">
      <c r="A157" s="1">
        <v>40</v>
      </c>
      <c r="B157" t="s">
        <v>1642</v>
      </c>
      <c r="C157">
        <v>39.130000000000003</v>
      </c>
      <c r="D157">
        <v>75.069999999999993</v>
      </c>
      <c r="E157">
        <v>0.71676099999999998</v>
      </c>
      <c r="F157">
        <v>10.6</v>
      </c>
      <c r="G157">
        <v>2</v>
      </c>
      <c r="H157">
        <v>7.44</v>
      </c>
    </row>
    <row r="158" spans="1:8">
      <c r="A158" s="1">
        <v>41</v>
      </c>
      <c r="B158" t="s">
        <v>1643</v>
      </c>
      <c r="C158">
        <v>40.56</v>
      </c>
      <c r="D158">
        <v>74.59</v>
      </c>
      <c r="E158">
        <v>0.74374300000000004</v>
      </c>
      <c r="F158">
        <v>1.04</v>
      </c>
      <c r="G158">
        <v>14</v>
      </c>
      <c r="H158">
        <v>7.73</v>
      </c>
    </row>
    <row r="159" spans="1:8">
      <c r="A159" s="1">
        <v>42</v>
      </c>
      <c r="B159" t="s">
        <v>1644</v>
      </c>
      <c r="C159">
        <v>32.020000000000003</v>
      </c>
      <c r="D159">
        <v>74.8</v>
      </c>
      <c r="E159">
        <v>0.88971599999999995</v>
      </c>
      <c r="F159">
        <v>18.09</v>
      </c>
      <c r="G159">
        <v>12</v>
      </c>
      <c r="H159">
        <v>6.07</v>
      </c>
    </row>
    <row r="160" spans="1:8">
      <c r="A160" s="1">
        <v>43</v>
      </c>
      <c r="B160" t="s">
        <v>1645</v>
      </c>
      <c r="C160">
        <v>33.28</v>
      </c>
      <c r="D160">
        <v>74.7</v>
      </c>
      <c r="E160">
        <v>0.84535300000000002</v>
      </c>
      <c r="F160">
        <v>11.75</v>
      </c>
      <c r="G160">
        <v>10</v>
      </c>
      <c r="H160">
        <v>6.32</v>
      </c>
    </row>
    <row r="161" spans="1:8">
      <c r="A161" s="1">
        <v>44</v>
      </c>
      <c r="B161" t="s">
        <v>1646</v>
      </c>
      <c r="C161">
        <v>30.15</v>
      </c>
      <c r="D161">
        <v>65.02</v>
      </c>
      <c r="E161">
        <v>0.31128899999999998</v>
      </c>
      <c r="F161">
        <v>0.5</v>
      </c>
      <c r="G161">
        <v>18</v>
      </c>
      <c r="H161">
        <v>5.73</v>
      </c>
    </row>
    <row r="162" spans="1:8">
      <c r="A162" s="1">
        <v>45</v>
      </c>
      <c r="B162" t="s">
        <v>1647</v>
      </c>
      <c r="C162">
        <v>41.06</v>
      </c>
      <c r="D162">
        <v>72.31</v>
      </c>
      <c r="E162">
        <v>0.58191300000000001</v>
      </c>
      <c r="F162">
        <v>1.19</v>
      </c>
      <c r="G162">
        <v>0</v>
      </c>
      <c r="H162">
        <v>7.76</v>
      </c>
    </row>
    <row r="163" spans="1:8">
      <c r="A163" s="1">
        <v>46</v>
      </c>
      <c r="B163" t="s">
        <v>1648</v>
      </c>
      <c r="C163">
        <v>41.35</v>
      </c>
      <c r="D163">
        <v>73.209999999999994</v>
      </c>
      <c r="E163">
        <v>0.59225399999999995</v>
      </c>
      <c r="F163">
        <v>1.65</v>
      </c>
      <c r="G163">
        <v>16</v>
      </c>
      <c r="H163">
        <v>7.81</v>
      </c>
    </row>
    <row r="164" spans="1:8">
      <c r="A164" s="1">
        <v>47</v>
      </c>
      <c r="B164" t="s">
        <v>1649</v>
      </c>
      <c r="C164">
        <v>31.92</v>
      </c>
      <c r="D164">
        <v>74.45</v>
      </c>
      <c r="E164">
        <v>0.76702599999999999</v>
      </c>
      <c r="F164">
        <v>11.52</v>
      </c>
      <c r="G164">
        <v>0</v>
      </c>
      <c r="H164">
        <v>6.06</v>
      </c>
    </row>
    <row r="165" spans="1:8">
      <c r="A165" s="1">
        <v>48</v>
      </c>
      <c r="B165" t="s">
        <v>1650</v>
      </c>
      <c r="C165">
        <v>40.630000000000003</v>
      </c>
      <c r="D165">
        <v>72.25</v>
      </c>
      <c r="E165">
        <v>0.65061800000000003</v>
      </c>
      <c r="F165">
        <v>0.69</v>
      </c>
      <c r="G165">
        <v>2</v>
      </c>
      <c r="H165">
        <v>7.7</v>
      </c>
    </row>
    <row r="166" spans="1:8">
      <c r="A166" s="1">
        <v>49</v>
      </c>
      <c r="B166" t="s">
        <v>1651</v>
      </c>
      <c r="C166">
        <v>40.799999999999997</v>
      </c>
      <c r="D166">
        <v>70.77</v>
      </c>
      <c r="E166">
        <v>0.488479</v>
      </c>
      <c r="F166">
        <v>0.84</v>
      </c>
      <c r="G166">
        <v>16</v>
      </c>
      <c r="H166">
        <v>7.69</v>
      </c>
    </row>
    <row r="167" spans="1:8">
      <c r="A167" s="1">
        <v>50</v>
      </c>
      <c r="B167" t="s">
        <v>1652</v>
      </c>
      <c r="C167">
        <v>41.92</v>
      </c>
      <c r="D167">
        <v>75.89</v>
      </c>
      <c r="E167">
        <v>0.85623400000000005</v>
      </c>
      <c r="F167">
        <v>24.96</v>
      </c>
      <c r="G167">
        <v>16</v>
      </c>
      <c r="H167">
        <v>7.95</v>
      </c>
    </row>
    <row r="168" spans="1:8">
      <c r="B168" s="1" t="s">
        <v>19</v>
      </c>
      <c r="C168" s="1">
        <f>AVERAGE(C118:C167)</f>
        <v>38.379200000000012</v>
      </c>
      <c r="D168" s="1">
        <f t="shared" ref="D168:F168" si="8">AVERAGE(D118:D167)</f>
        <v>73.447200000000009</v>
      </c>
      <c r="E168" s="1">
        <f t="shared" si="8"/>
        <v>0.67688347999999987</v>
      </c>
      <c r="F168" s="1">
        <f t="shared" si="8"/>
        <v>6.499399999999997</v>
      </c>
      <c r="H168" s="1">
        <f t="shared" ref="H168" si="9">AVERAGE(H118:H167)</f>
        <v>7.2783999999999995</v>
      </c>
    </row>
    <row r="169" spans="1:8">
      <c r="B169" s="1" t="s">
        <v>20</v>
      </c>
      <c r="C169" s="1">
        <f>MIN(C117:C167)</f>
        <v>23.55</v>
      </c>
      <c r="D169" s="1">
        <f>MIN(D117:D167)</f>
        <v>65.02</v>
      </c>
      <c r="E169" s="1">
        <f>MIN(E117:E167)</f>
        <v>0.31128899999999998</v>
      </c>
      <c r="F169" s="1">
        <f>MIN(F117:F167)</f>
        <v>0.15</v>
      </c>
      <c r="H169" s="1">
        <f>MIN(H117:H167)</f>
        <v>4.45</v>
      </c>
    </row>
    <row r="170" spans="1:8">
      <c r="B170" s="1" t="s">
        <v>3</v>
      </c>
      <c r="C170" s="1">
        <f>STDEV(C118:C167)</f>
        <v>4.8877442900480084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18" t="s">
        <v>1435</v>
      </c>
    </row>
    <row r="173" spans="1:8" ht="18">
      <c r="A173" s="18" t="s">
        <v>7</v>
      </c>
      <c r="B173" s="3" t="s">
        <v>9</v>
      </c>
      <c r="C173" s="18" t="s">
        <v>4</v>
      </c>
      <c r="D173" s="18" t="s">
        <v>322</v>
      </c>
      <c r="E173" s="18" t="s">
        <v>321</v>
      </c>
      <c r="F173" s="18" t="s">
        <v>324</v>
      </c>
      <c r="G173" s="18" t="s">
        <v>323</v>
      </c>
      <c r="H173" s="18" t="s">
        <v>1436</v>
      </c>
    </row>
    <row r="174" spans="1:8">
      <c r="A174" s="1">
        <v>1</v>
      </c>
      <c r="B174" t="s">
        <v>1653</v>
      </c>
      <c r="C174">
        <v>24</v>
      </c>
      <c r="D174">
        <v>144.28</v>
      </c>
      <c r="E174">
        <v>0.54326200000000002</v>
      </c>
      <c r="F174">
        <v>1.84</v>
      </c>
      <c r="G174">
        <v>24</v>
      </c>
      <c r="H174">
        <v>4.57</v>
      </c>
    </row>
    <row r="175" spans="1:8">
      <c r="A175" s="1">
        <v>2</v>
      </c>
      <c r="B175" t="s">
        <v>1654</v>
      </c>
      <c r="C175">
        <v>20.260000000000002</v>
      </c>
      <c r="D175">
        <v>143.13</v>
      </c>
      <c r="E175">
        <v>0.67605800000000005</v>
      </c>
      <c r="F175">
        <v>1.61</v>
      </c>
      <c r="G175">
        <v>24</v>
      </c>
      <c r="H175">
        <v>3.84</v>
      </c>
    </row>
    <row r="176" spans="1:8">
      <c r="A176" s="1">
        <v>3</v>
      </c>
      <c r="B176" t="s">
        <v>1655</v>
      </c>
      <c r="C176">
        <v>20.99</v>
      </c>
      <c r="D176">
        <v>141.72</v>
      </c>
      <c r="E176">
        <v>0.77969900000000003</v>
      </c>
      <c r="F176">
        <v>0.46</v>
      </c>
      <c r="G176">
        <v>28</v>
      </c>
      <c r="H176">
        <v>3.99</v>
      </c>
    </row>
    <row r="177" spans="1:8">
      <c r="A177" s="1">
        <v>4</v>
      </c>
      <c r="B177" t="s">
        <v>1656</v>
      </c>
      <c r="C177">
        <v>25.13</v>
      </c>
      <c r="D177">
        <v>135.57</v>
      </c>
      <c r="E177">
        <v>0.380884</v>
      </c>
      <c r="F177">
        <v>0.23</v>
      </c>
      <c r="G177">
        <v>2</v>
      </c>
      <c r="H177">
        <v>4.76</v>
      </c>
    </row>
    <row r="178" spans="1:8">
      <c r="A178" s="1">
        <v>5</v>
      </c>
      <c r="B178" t="s">
        <v>1657</v>
      </c>
      <c r="C178">
        <v>22.21</v>
      </c>
      <c r="D178">
        <v>143.62</v>
      </c>
      <c r="E178">
        <v>0.51339299999999999</v>
      </c>
      <c r="F178">
        <v>2.96</v>
      </c>
      <c r="G178">
        <v>4</v>
      </c>
      <c r="H178">
        <v>4.2300000000000004</v>
      </c>
    </row>
    <row r="179" spans="1:8">
      <c r="A179" s="1">
        <v>6</v>
      </c>
      <c r="B179" t="s">
        <v>1658</v>
      </c>
      <c r="C179">
        <v>24.78</v>
      </c>
      <c r="D179">
        <v>142.16999999999999</v>
      </c>
      <c r="E179">
        <v>0.48083700000000001</v>
      </c>
      <c r="F179">
        <v>2.46</v>
      </c>
      <c r="G179">
        <v>20</v>
      </c>
      <c r="H179">
        <v>4.68</v>
      </c>
    </row>
    <row r="180" spans="1:8">
      <c r="A180" s="1">
        <v>7</v>
      </c>
      <c r="B180" t="s">
        <v>1659</v>
      </c>
      <c r="C180">
        <v>21.42</v>
      </c>
      <c r="D180">
        <v>144.68</v>
      </c>
      <c r="E180">
        <v>0.64498800000000001</v>
      </c>
      <c r="F180">
        <v>4.99</v>
      </c>
      <c r="G180">
        <v>20</v>
      </c>
      <c r="H180">
        <v>4.08</v>
      </c>
    </row>
    <row r="181" spans="1:8">
      <c r="A181" s="1">
        <v>8</v>
      </c>
      <c r="B181" t="s">
        <v>1660</v>
      </c>
      <c r="C181">
        <v>23.72</v>
      </c>
      <c r="D181">
        <v>143.63999999999999</v>
      </c>
      <c r="E181">
        <v>0.52560099999999998</v>
      </c>
      <c r="F181">
        <v>2.88</v>
      </c>
      <c r="G181">
        <v>20</v>
      </c>
      <c r="H181">
        <v>4.5199999999999996</v>
      </c>
    </row>
    <row r="182" spans="1:8">
      <c r="A182" s="1">
        <v>9</v>
      </c>
      <c r="B182" t="s">
        <v>1661</v>
      </c>
      <c r="C182">
        <v>22.54</v>
      </c>
      <c r="D182">
        <v>143.56</v>
      </c>
      <c r="E182">
        <v>0.58873399999999998</v>
      </c>
      <c r="F182">
        <v>2.38</v>
      </c>
      <c r="G182">
        <v>28</v>
      </c>
      <c r="H182">
        <v>4.28</v>
      </c>
    </row>
    <row r="183" spans="1:8">
      <c r="A183" s="1">
        <v>10</v>
      </c>
      <c r="B183" t="s">
        <v>1662</v>
      </c>
      <c r="C183">
        <v>21.54</v>
      </c>
      <c r="D183">
        <v>144.41999999999999</v>
      </c>
      <c r="E183">
        <v>0.56891400000000003</v>
      </c>
      <c r="F183">
        <v>6.03</v>
      </c>
      <c r="G183">
        <v>36</v>
      </c>
      <c r="H183">
        <v>4.08</v>
      </c>
    </row>
    <row r="184" spans="1:8">
      <c r="A184" s="1">
        <v>11</v>
      </c>
      <c r="B184" t="s">
        <v>1663</v>
      </c>
      <c r="C184">
        <v>24.82</v>
      </c>
      <c r="D184">
        <v>137.4</v>
      </c>
      <c r="E184">
        <v>0.42067100000000002</v>
      </c>
      <c r="F184">
        <v>0.19</v>
      </c>
      <c r="G184">
        <v>10</v>
      </c>
      <c r="H184">
        <v>4.74</v>
      </c>
    </row>
    <row r="185" spans="1:8">
      <c r="A185" s="1">
        <v>12</v>
      </c>
      <c r="B185" t="s">
        <v>1664</v>
      </c>
      <c r="C185">
        <v>21.12</v>
      </c>
      <c r="D185">
        <v>144.32</v>
      </c>
      <c r="E185">
        <v>0.649142</v>
      </c>
      <c r="F185">
        <v>2.73</v>
      </c>
      <c r="G185">
        <v>34</v>
      </c>
      <c r="H185">
        <v>4.01</v>
      </c>
    </row>
    <row r="186" spans="1:8">
      <c r="A186" s="1">
        <v>13</v>
      </c>
      <c r="B186" t="s">
        <v>1665</v>
      </c>
      <c r="C186">
        <v>21.22</v>
      </c>
      <c r="D186">
        <v>144.11000000000001</v>
      </c>
      <c r="E186">
        <v>0.60984099999999997</v>
      </c>
      <c r="F186">
        <v>5.34</v>
      </c>
      <c r="G186">
        <v>32</v>
      </c>
      <c r="H186">
        <v>4</v>
      </c>
    </row>
    <row r="187" spans="1:8">
      <c r="A187" s="1">
        <v>14</v>
      </c>
      <c r="B187" t="s">
        <v>1666</v>
      </c>
      <c r="C187">
        <v>25.24</v>
      </c>
      <c r="D187">
        <v>136.97999999999999</v>
      </c>
      <c r="E187">
        <v>0.38109199999999999</v>
      </c>
      <c r="F187">
        <v>0.23</v>
      </c>
      <c r="G187">
        <v>16</v>
      </c>
      <c r="H187">
        <v>4.79</v>
      </c>
    </row>
    <row r="188" spans="1:8">
      <c r="A188" s="1">
        <v>15</v>
      </c>
      <c r="B188" t="s">
        <v>1667</v>
      </c>
      <c r="C188">
        <v>20.77</v>
      </c>
      <c r="D188">
        <v>142.22</v>
      </c>
      <c r="E188">
        <v>0.57930400000000004</v>
      </c>
      <c r="F188">
        <v>1.34</v>
      </c>
      <c r="G188">
        <v>14</v>
      </c>
      <c r="H188">
        <v>3.93</v>
      </c>
    </row>
    <row r="189" spans="1:8">
      <c r="A189" s="1">
        <v>16</v>
      </c>
      <c r="B189" t="s">
        <v>1668</v>
      </c>
      <c r="C189">
        <v>24.11</v>
      </c>
      <c r="D189">
        <v>145.46</v>
      </c>
      <c r="E189">
        <v>0.60610399999999998</v>
      </c>
      <c r="F189">
        <v>4.1900000000000004</v>
      </c>
      <c r="G189">
        <v>8</v>
      </c>
      <c r="H189">
        <v>4.57</v>
      </c>
    </row>
    <row r="190" spans="1:8">
      <c r="A190" s="1">
        <v>17</v>
      </c>
      <c r="B190" t="s">
        <v>1669</v>
      </c>
      <c r="C190">
        <v>23.07</v>
      </c>
      <c r="D190">
        <v>145.35</v>
      </c>
      <c r="E190">
        <v>0.78192099999999998</v>
      </c>
      <c r="F190">
        <v>0.61</v>
      </c>
      <c r="G190">
        <v>6</v>
      </c>
      <c r="H190">
        <v>4.38</v>
      </c>
    </row>
    <row r="191" spans="1:8">
      <c r="A191" s="1">
        <v>18</v>
      </c>
      <c r="B191" t="s">
        <v>1670</v>
      </c>
      <c r="C191">
        <v>21.36</v>
      </c>
      <c r="D191">
        <v>138.24</v>
      </c>
      <c r="E191">
        <v>0.58535300000000001</v>
      </c>
      <c r="F191">
        <v>0.23</v>
      </c>
      <c r="G191">
        <v>4</v>
      </c>
      <c r="H191">
        <v>4.07</v>
      </c>
    </row>
    <row r="192" spans="1:8">
      <c r="A192" s="1">
        <v>19</v>
      </c>
      <c r="B192" t="s">
        <v>1671</v>
      </c>
      <c r="C192">
        <v>21.06</v>
      </c>
      <c r="D192">
        <v>145.13</v>
      </c>
      <c r="E192">
        <v>0.72279800000000005</v>
      </c>
      <c r="F192">
        <v>8.76</v>
      </c>
      <c r="G192">
        <v>2</v>
      </c>
      <c r="H192">
        <v>4</v>
      </c>
    </row>
    <row r="193" spans="1:8">
      <c r="A193" s="1">
        <v>20</v>
      </c>
      <c r="B193" t="s">
        <v>1672</v>
      </c>
      <c r="C193">
        <v>23.03</v>
      </c>
      <c r="D193">
        <v>145.1</v>
      </c>
      <c r="E193">
        <v>0.64607199999999998</v>
      </c>
      <c r="F193">
        <v>7.1</v>
      </c>
      <c r="G193">
        <v>24</v>
      </c>
      <c r="H193">
        <v>4.3899999999999997</v>
      </c>
    </row>
    <row r="194" spans="1:8">
      <c r="A194" s="1">
        <v>21</v>
      </c>
      <c r="B194" t="s">
        <v>1673</v>
      </c>
      <c r="C194">
        <v>21.18</v>
      </c>
      <c r="D194">
        <v>145.62</v>
      </c>
      <c r="E194">
        <v>0.83646200000000004</v>
      </c>
      <c r="F194">
        <v>7.37</v>
      </c>
      <c r="G194">
        <v>24</v>
      </c>
      <c r="H194">
        <v>4.01</v>
      </c>
    </row>
    <row r="195" spans="1:8">
      <c r="A195" s="1">
        <v>22</v>
      </c>
      <c r="B195" t="s">
        <v>1674</v>
      </c>
      <c r="C195">
        <v>20.57</v>
      </c>
      <c r="D195">
        <v>143.36000000000001</v>
      </c>
      <c r="E195">
        <v>0.69424399999999997</v>
      </c>
      <c r="F195">
        <v>2.5299999999999998</v>
      </c>
      <c r="G195">
        <v>4</v>
      </c>
      <c r="H195">
        <v>3.9</v>
      </c>
    </row>
    <row r="196" spans="1:8">
      <c r="A196" s="1">
        <v>23</v>
      </c>
      <c r="B196" t="s">
        <v>1675</v>
      </c>
      <c r="C196">
        <v>21.24</v>
      </c>
      <c r="D196">
        <v>145.55000000000001</v>
      </c>
      <c r="E196">
        <v>0.85062599999999999</v>
      </c>
      <c r="F196">
        <v>3.88</v>
      </c>
      <c r="G196">
        <v>38</v>
      </c>
      <c r="H196">
        <v>4.03</v>
      </c>
    </row>
    <row r="197" spans="1:8">
      <c r="A197" s="1">
        <v>24</v>
      </c>
      <c r="B197" t="s">
        <v>1676</v>
      </c>
      <c r="C197">
        <v>22.92</v>
      </c>
      <c r="D197">
        <v>144.05000000000001</v>
      </c>
      <c r="E197">
        <v>0.64519400000000005</v>
      </c>
      <c r="F197">
        <v>0.38</v>
      </c>
      <c r="G197">
        <v>38</v>
      </c>
      <c r="H197">
        <v>4.3499999999999996</v>
      </c>
    </row>
    <row r="198" spans="1:8">
      <c r="A198" s="1">
        <v>25</v>
      </c>
      <c r="B198" t="s">
        <v>1677</v>
      </c>
      <c r="C198">
        <v>21.54</v>
      </c>
      <c r="D198">
        <v>144.72</v>
      </c>
      <c r="E198">
        <v>0.74803699999999995</v>
      </c>
      <c r="F198">
        <v>4.03</v>
      </c>
      <c r="G198">
        <v>8</v>
      </c>
      <c r="H198">
        <v>4.08</v>
      </c>
    </row>
    <row r="199" spans="1:8">
      <c r="A199" s="1">
        <v>26</v>
      </c>
      <c r="B199" t="s">
        <v>1678</v>
      </c>
      <c r="C199">
        <v>25.21</v>
      </c>
      <c r="D199">
        <v>136.36000000000001</v>
      </c>
      <c r="E199">
        <v>0.37451499999999999</v>
      </c>
      <c r="F199">
        <v>0.61</v>
      </c>
      <c r="G199">
        <v>2</v>
      </c>
      <c r="H199">
        <v>4.79</v>
      </c>
    </row>
    <row r="200" spans="1:8">
      <c r="A200" s="1">
        <v>27</v>
      </c>
      <c r="B200" t="s">
        <v>1679</v>
      </c>
      <c r="C200">
        <v>21.29</v>
      </c>
      <c r="D200">
        <v>144.16</v>
      </c>
      <c r="E200">
        <v>0.79256800000000005</v>
      </c>
      <c r="F200">
        <v>0.27</v>
      </c>
      <c r="G200">
        <v>0</v>
      </c>
      <c r="H200">
        <v>4.04</v>
      </c>
    </row>
    <row r="201" spans="1:8">
      <c r="A201" s="1">
        <v>28</v>
      </c>
      <c r="B201" t="s">
        <v>1680</v>
      </c>
      <c r="C201">
        <v>25.03</v>
      </c>
      <c r="D201">
        <v>133.97</v>
      </c>
      <c r="E201">
        <v>0.37814500000000001</v>
      </c>
      <c r="F201">
        <v>0.04</v>
      </c>
      <c r="G201">
        <v>14</v>
      </c>
      <c r="H201">
        <v>4.75</v>
      </c>
    </row>
    <row r="202" spans="1:8">
      <c r="A202" s="1">
        <v>29</v>
      </c>
      <c r="B202" t="s">
        <v>1681</v>
      </c>
      <c r="C202">
        <v>21.54</v>
      </c>
      <c r="D202">
        <v>145.05000000000001</v>
      </c>
      <c r="E202">
        <v>0.74890199999999996</v>
      </c>
      <c r="F202">
        <v>5.45</v>
      </c>
      <c r="G202">
        <v>0</v>
      </c>
      <c r="H202">
        <v>4.0999999999999996</v>
      </c>
    </row>
    <row r="203" spans="1:8">
      <c r="A203" s="1">
        <v>30</v>
      </c>
      <c r="B203" t="s">
        <v>1682</v>
      </c>
      <c r="C203">
        <v>21.15</v>
      </c>
      <c r="D203">
        <v>141.37</v>
      </c>
      <c r="E203">
        <v>0.55520899999999995</v>
      </c>
      <c r="F203">
        <v>0.69</v>
      </c>
      <c r="G203">
        <v>10</v>
      </c>
      <c r="H203">
        <v>4.0199999999999996</v>
      </c>
    </row>
    <row r="204" spans="1:8">
      <c r="A204" s="1">
        <v>31</v>
      </c>
      <c r="B204" t="s">
        <v>1683</v>
      </c>
      <c r="C204">
        <v>20.49</v>
      </c>
      <c r="D204">
        <v>143.80000000000001</v>
      </c>
      <c r="E204">
        <v>0.65332800000000002</v>
      </c>
      <c r="F204">
        <v>2.73</v>
      </c>
      <c r="G204">
        <v>8</v>
      </c>
      <c r="H204">
        <v>3.9</v>
      </c>
    </row>
    <row r="205" spans="1:8">
      <c r="A205" s="1">
        <v>32</v>
      </c>
      <c r="B205" t="s">
        <v>1684</v>
      </c>
      <c r="C205">
        <v>21.29</v>
      </c>
      <c r="D205">
        <v>145.16999999999999</v>
      </c>
      <c r="E205">
        <v>0.80302399999999996</v>
      </c>
      <c r="F205">
        <v>3.72</v>
      </c>
      <c r="G205">
        <v>6</v>
      </c>
      <c r="H205">
        <v>4.05</v>
      </c>
    </row>
    <row r="206" spans="1:8">
      <c r="A206" s="1">
        <v>33</v>
      </c>
      <c r="B206" t="s">
        <v>1685</v>
      </c>
      <c r="C206">
        <v>25.53</v>
      </c>
      <c r="D206">
        <v>140.93</v>
      </c>
      <c r="E206">
        <v>0.46852300000000002</v>
      </c>
      <c r="F206">
        <v>1.38</v>
      </c>
      <c r="G206">
        <v>34</v>
      </c>
      <c r="H206">
        <v>4.82</v>
      </c>
    </row>
    <row r="207" spans="1:8">
      <c r="A207" s="1">
        <v>34</v>
      </c>
      <c r="B207" t="s">
        <v>1686</v>
      </c>
      <c r="C207">
        <v>21.24</v>
      </c>
      <c r="D207">
        <v>143.72</v>
      </c>
      <c r="E207">
        <v>0.584476</v>
      </c>
      <c r="F207">
        <v>1.88</v>
      </c>
      <c r="G207">
        <v>38</v>
      </c>
      <c r="H207">
        <v>4.03</v>
      </c>
    </row>
    <row r="208" spans="1:8">
      <c r="A208" s="1">
        <v>35</v>
      </c>
      <c r="B208" t="s">
        <v>1687</v>
      </c>
      <c r="C208">
        <v>21.29</v>
      </c>
      <c r="D208">
        <v>145.6</v>
      </c>
      <c r="E208">
        <v>0.85402699999999998</v>
      </c>
      <c r="F208">
        <v>4.1900000000000004</v>
      </c>
      <c r="G208">
        <v>4</v>
      </c>
      <c r="H208">
        <v>4.05</v>
      </c>
    </row>
    <row r="209" spans="1:8">
      <c r="A209" s="1">
        <v>36</v>
      </c>
      <c r="B209" t="s">
        <v>1688</v>
      </c>
      <c r="C209">
        <v>25.53</v>
      </c>
      <c r="D209">
        <v>141.38</v>
      </c>
      <c r="E209">
        <v>0.46462100000000001</v>
      </c>
      <c r="F209">
        <v>0.27</v>
      </c>
      <c r="G209">
        <v>36</v>
      </c>
      <c r="H209">
        <v>4.8600000000000003</v>
      </c>
    </row>
    <row r="210" spans="1:8">
      <c r="A210" s="1">
        <v>37</v>
      </c>
      <c r="B210" t="s">
        <v>1689</v>
      </c>
      <c r="C210">
        <v>19.95</v>
      </c>
      <c r="D210">
        <v>129.96</v>
      </c>
      <c r="E210">
        <v>0.26699899999999999</v>
      </c>
      <c r="F210">
        <v>0.12</v>
      </c>
      <c r="G210">
        <v>18</v>
      </c>
      <c r="H210">
        <v>3.8</v>
      </c>
    </row>
    <row r="211" spans="1:8">
      <c r="A211" s="1">
        <v>38</v>
      </c>
      <c r="B211" t="s">
        <v>1690</v>
      </c>
      <c r="C211">
        <v>17.899999999999999</v>
      </c>
      <c r="D211">
        <v>143.63999999999999</v>
      </c>
      <c r="E211">
        <v>0.69425300000000001</v>
      </c>
      <c r="F211">
        <v>6.34</v>
      </c>
      <c r="G211">
        <v>32</v>
      </c>
      <c r="H211">
        <v>3.41</v>
      </c>
    </row>
    <row r="212" spans="1:8">
      <c r="A212" s="1">
        <v>39</v>
      </c>
      <c r="B212" t="s">
        <v>1691</v>
      </c>
      <c r="C212">
        <v>21.2</v>
      </c>
      <c r="D212">
        <v>143.52000000000001</v>
      </c>
      <c r="E212">
        <v>0.70307600000000003</v>
      </c>
      <c r="F212">
        <v>2.5</v>
      </c>
      <c r="G212">
        <v>22</v>
      </c>
      <c r="H212">
        <v>4.0199999999999996</v>
      </c>
    </row>
    <row r="213" spans="1:8">
      <c r="A213" s="1">
        <v>40</v>
      </c>
      <c r="B213" t="s">
        <v>1692</v>
      </c>
      <c r="C213">
        <v>20.54</v>
      </c>
      <c r="D213">
        <v>141.25</v>
      </c>
      <c r="E213">
        <v>0.63868999999999998</v>
      </c>
      <c r="F213">
        <v>0.96</v>
      </c>
      <c r="G213">
        <v>34</v>
      </c>
      <c r="H213">
        <v>3.9</v>
      </c>
    </row>
    <row r="214" spans="1:8">
      <c r="A214" s="1">
        <v>41</v>
      </c>
      <c r="B214" t="s">
        <v>1693</v>
      </c>
      <c r="C214">
        <v>24.87</v>
      </c>
      <c r="D214">
        <v>140.1</v>
      </c>
      <c r="E214">
        <v>0.43612299999999998</v>
      </c>
      <c r="F214">
        <v>1.38</v>
      </c>
      <c r="G214">
        <v>16</v>
      </c>
      <c r="H214">
        <v>4.7300000000000004</v>
      </c>
    </row>
    <row r="215" spans="1:8">
      <c r="A215" s="1">
        <v>42</v>
      </c>
      <c r="B215" t="s">
        <v>1694</v>
      </c>
      <c r="C215">
        <v>24.07</v>
      </c>
      <c r="D215">
        <v>139.54</v>
      </c>
      <c r="E215">
        <v>0.40500199999999997</v>
      </c>
      <c r="F215">
        <v>0.57999999999999996</v>
      </c>
      <c r="G215">
        <v>2</v>
      </c>
      <c r="H215">
        <v>4.5599999999999996</v>
      </c>
    </row>
    <row r="216" spans="1:8">
      <c r="A216" s="1">
        <v>43</v>
      </c>
      <c r="B216" t="s">
        <v>1695</v>
      </c>
      <c r="C216">
        <v>25.68</v>
      </c>
      <c r="D216">
        <v>138.88</v>
      </c>
      <c r="E216">
        <v>0.454154</v>
      </c>
      <c r="F216">
        <v>0.19</v>
      </c>
      <c r="G216">
        <v>2</v>
      </c>
      <c r="H216">
        <v>4.8600000000000003</v>
      </c>
    </row>
    <row r="217" spans="1:8">
      <c r="A217" s="1">
        <v>44</v>
      </c>
      <c r="B217" t="s">
        <v>1696</v>
      </c>
      <c r="C217">
        <v>21.57</v>
      </c>
      <c r="D217">
        <v>144.05000000000001</v>
      </c>
      <c r="E217">
        <v>0.63366</v>
      </c>
      <c r="F217">
        <v>3.42</v>
      </c>
      <c r="G217">
        <v>10</v>
      </c>
      <c r="H217">
        <v>4.07</v>
      </c>
    </row>
    <row r="218" spans="1:8">
      <c r="A218" s="1">
        <v>45</v>
      </c>
      <c r="B218" t="s">
        <v>1697</v>
      </c>
      <c r="C218">
        <v>21.39</v>
      </c>
      <c r="D218">
        <v>144.1</v>
      </c>
      <c r="E218">
        <v>0.62049600000000005</v>
      </c>
      <c r="F218">
        <v>3.15</v>
      </c>
      <c r="G218">
        <v>6</v>
      </c>
      <c r="H218">
        <v>4.07</v>
      </c>
    </row>
    <row r="219" spans="1:8">
      <c r="A219" s="1">
        <v>46</v>
      </c>
      <c r="B219" t="s">
        <v>1698</v>
      </c>
      <c r="C219">
        <v>26.68</v>
      </c>
      <c r="D219">
        <v>137.87</v>
      </c>
      <c r="E219">
        <v>0.44468099999999999</v>
      </c>
      <c r="F219">
        <v>0.46</v>
      </c>
      <c r="G219">
        <v>24</v>
      </c>
      <c r="H219">
        <v>5.08</v>
      </c>
    </row>
    <row r="220" spans="1:8">
      <c r="A220" s="1">
        <v>47</v>
      </c>
      <c r="B220" t="s">
        <v>1699</v>
      </c>
      <c r="C220">
        <v>21.6</v>
      </c>
      <c r="D220">
        <v>145.72999999999999</v>
      </c>
      <c r="E220">
        <v>0.83686000000000005</v>
      </c>
      <c r="F220">
        <v>9.25</v>
      </c>
      <c r="G220">
        <v>14</v>
      </c>
      <c r="H220">
        <v>4.08</v>
      </c>
    </row>
    <row r="221" spans="1:8">
      <c r="A221" s="1">
        <v>48</v>
      </c>
      <c r="B221" t="s">
        <v>1700</v>
      </c>
      <c r="C221">
        <v>21.04</v>
      </c>
      <c r="D221">
        <v>136.32</v>
      </c>
      <c r="E221">
        <v>0.44722600000000001</v>
      </c>
      <c r="F221">
        <v>0.12</v>
      </c>
      <c r="G221">
        <v>26</v>
      </c>
      <c r="H221">
        <v>4</v>
      </c>
    </row>
    <row r="222" spans="1:8">
      <c r="A222" s="1">
        <v>49</v>
      </c>
      <c r="B222" t="s">
        <v>1701</v>
      </c>
      <c r="C222">
        <v>23.02</v>
      </c>
      <c r="D222">
        <v>146.09</v>
      </c>
      <c r="E222">
        <v>0.77639899999999995</v>
      </c>
      <c r="F222">
        <v>9.33</v>
      </c>
      <c r="G222">
        <v>16</v>
      </c>
      <c r="H222">
        <v>4.3600000000000003</v>
      </c>
    </row>
    <row r="223" spans="1:8">
      <c r="A223" s="1">
        <v>50</v>
      </c>
      <c r="B223" t="s">
        <v>1702</v>
      </c>
      <c r="C223">
        <v>23.71</v>
      </c>
      <c r="D223">
        <v>143.21</v>
      </c>
      <c r="E223">
        <v>0.49840400000000001</v>
      </c>
      <c r="F223">
        <v>1.77</v>
      </c>
      <c r="G223">
        <v>8</v>
      </c>
      <c r="H223">
        <v>4.5</v>
      </c>
    </row>
    <row r="224" spans="1:8">
      <c r="B224" s="1" t="s">
        <v>19</v>
      </c>
      <c r="C224" s="1">
        <f>AVERAGE(C174:C223)</f>
        <v>22.452999999999992</v>
      </c>
      <c r="D224" s="1" t="e">
        <f>AVERAGE(#REF!)</f>
        <v>#REF!</v>
      </c>
      <c r="E224" s="1" t="e">
        <f>AVERAGE(#REF!)</f>
        <v>#REF!</v>
      </c>
      <c r="F224" s="1" t="e">
        <f>AVERAGE(#REF!)</f>
        <v>#REF!</v>
      </c>
      <c r="H224" s="1" t="e">
        <f>AVERAGE(#REF!)</f>
        <v>#REF!</v>
      </c>
    </row>
    <row r="225" spans="1:8">
      <c r="B225" s="1" t="s">
        <v>20</v>
      </c>
      <c r="C225" s="1">
        <f>MIN(C173:C223)</f>
        <v>17.899999999999999</v>
      </c>
      <c r="D225" s="1">
        <f>MIN(D173:D223)</f>
        <v>129.96</v>
      </c>
      <c r="E225" s="1">
        <f>MIN(E173:E223)</f>
        <v>0.26699899999999999</v>
      </c>
      <c r="F225" s="1">
        <f>MIN(F173:F223)</f>
        <v>0.04</v>
      </c>
      <c r="H225" s="1">
        <f>MIN(H173:H223)</f>
        <v>3.41</v>
      </c>
    </row>
    <row r="226" spans="1:8">
      <c r="B226" s="1" t="s">
        <v>3</v>
      </c>
      <c r="C226" s="1">
        <f>STDEV(C174:C223)</f>
        <v>1.9159323941036726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18" t="s">
        <v>1435</v>
      </c>
    </row>
    <row r="229" spans="1:8" ht="18">
      <c r="A229" s="18" t="s">
        <v>7</v>
      </c>
      <c r="B229" s="3" t="s">
        <v>2</v>
      </c>
      <c r="C229" s="18" t="s">
        <v>4</v>
      </c>
      <c r="D229" s="18" t="s">
        <v>322</v>
      </c>
      <c r="E229" s="18" t="s">
        <v>321</v>
      </c>
      <c r="F229" s="18" t="s">
        <v>324</v>
      </c>
      <c r="G229" s="18" t="s">
        <v>323</v>
      </c>
      <c r="H229" s="18" t="s">
        <v>1436</v>
      </c>
    </row>
    <row r="230" spans="1:8">
      <c r="A230" s="1">
        <v>1</v>
      </c>
      <c r="B230" t="s">
        <v>1954</v>
      </c>
      <c r="C230">
        <v>17.41</v>
      </c>
      <c r="D230">
        <v>208.45</v>
      </c>
      <c r="E230">
        <v>0.458123</v>
      </c>
      <c r="F230">
        <v>0.5</v>
      </c>
      <c r="G230">
        <v>30</v>
      </c>
      <c r="H230">
        <v>3.31</v>
      </c>
    </row>
    <row r="231" spans="1:8">
      <c r="A231" s="1">
        <v>2</v>
      </c>
      <c r="B231" t="s">
        <v>1955</v>
      </c>
      <c r="C231">
        <v>17.45</v>
      </c>
      <c r="D231">
        <v>211.34</v>
      </c>
      <c r="E231">
        <v>0.58677299999999999</v>
      </c>
      <c r="F231">
        <v>0.81</v>
      </c>
      <c r="G231">
        <v>32</v>
      </c>
      <c r="H231">
        <v>3.34</v>
      </c>
    </row>
    <row r="232" spans="1:8">
      <c r="A232" s="1">
        <v>3</v>
      </c>
      <c r="B232" t="s">
        <v>1956</v>
      </c>
      <c r="C232">
        <v>17.97</v>
      </c>
      <c r="D232">
        <v>209.75</v>
      </c>
      <c r="E232">
        <v>0.54717000000000005</v>
      </c>
      <c r="F232">
        <v>0.08</v>
      </c>
      <c r="G232">
        <v>4</v>
      </c>
      <c r="H232">
        <v>3.42</v>
      </c>
    </row>
    <row r="233" spans="1:8">
      <c r="A233" s="1">
        <v>4</v>
      </c>
      <c r="B233" t="s">
        <v>1957</v>
      </c>
      <c r="C233">
        <v>18.760000000000002</v>
      </c>
      <c r="D233">
        <v>206.07</v>
      </c>
      <c r="E233">
        <v>0.464756</v>
      </c>
      <c r="F233">
        <v>0.27</v>
      </c>
      <c r="G233">
        <v>0</v>
      </c>
      <c r="H233">
        <v>3.56</v>
      </c>
    </row>
    <row r="234" spans="1:8">
      <c r="A234" s="1">
        <v>5</v>
      </c>
      <c r="B234" t="s">
        <v>1958</v>
      </c>
      <c r="C234">
        <v>17.25</v>
      </c>
      <c r="D234">
        <v>212.7</v>
      </c>
      <c r="E234">
        <v>0.66732400000000003</v>
      </c>
      <c r="F234">
        <v>0.84</v>
      </c>
      <c r="G234">
        <v>8</v>
      </c>
      <c r="H234">
        <v>3.28</v>
      </c>
    </row>
    <row r="235" spans="1:8">
      <c r="A235" s="1">
        <v>6</v>
      </c>
      <c r="B235" t="s">
        <v>1959</v>
      </c>
      <c r="C235">
        <v>13.33</v>
      </c>
      <c r="D235">
        <v>206</v>
      </c>
      <c r="E235">
        <v>0.45474199999999998</v>
      </c>
      <c r="F235">
        <v>0.46</v>
      </c>
      <c r="G235">
        <v>46</v>
      </c>
      <c r="H235">
        <v>2.56</v>
      </c>
    </row>
    <row r="236" spans="1:8">
      <c r="A236" s="1">
        <v>7</v>
      </c>
      <c r="B236" t="s">
        <v>1960</v>
      </c>
      <c r="C236">
        <v>17.41</v>
      </c>
      <c r="D236">
        <v>210.91</v>
      </c>
      <c r="E236">
        <v>0.60504999999999998</v>
      </c>
      <c r="F236">
        <v>0.12</v>
      </c>
      <c r="G236">
        <v>32</v>
      </c>
      <c r="H236">
        <v>3.33</v>
      </c>
    </row>
    <row r="237" spans="1:8">
      <c r="A237" s="1">
        <v>8</v>
      </c>
      <c r="B237" t="s">
        <v>1961</v>
      </c>
      <c r="C237">
        <v>17.12</v>
      </c>
      <c r="D237">
        <v>199.72</v>
      </c>
      <c r="E237">
        <v>0.26583800000000002</v>
      </c>
      <c r="F237">
        <v>0.08</v>
      </c>
      <c r="G237">
        <v>54</v>
      </c>
      <c r="H237">
        <v>3.27</v>
      </c>
    </row>
    <row r="238" spans="1:8">
      <c r="A238" s="1">
        <v>9</v>
      </c>
      <c r="B238" t="s">
        <v>1962</v>
      </c>
      <c r="C238">
        <v>16.88</v>
      </c>
      <c r="D238">
        <v>214.54</v>
      </c>
      <c r="E238">
        <v>0.74996600000000002</v>
      </c>
      <c r="F238">
        <v>3.88</v>
      </c>
      <c r="G238">
        <v>18</v>
      </c>
      <c r="H238">
        <v>3.23</v>
      </c>
    </row>
    <row r="239" spans="1:8">
      <c r="A239" s="1">
        <v>10</v>
      </c>
      <c r="B239" t="s">
        <v>1963</v>
      </c>
      <c r="C239">
        <v>17.66</v>
      </c>
      <c r="D239">
        <v>208.42</v>
      </c>
      <c r="E239">
        <v>0.459594</v>
      </c>
      <c r="F239">
        <v>0.84</v>
      </c>
      <c r="G239">
        <v>58</v>
      </c>
      <c r="H239">
        <v>3.36</v>
      </c>
    </row>
    <row r="240" spans="1:8">
      <c r="A240" s="1">
        <v>11</v>
      </c>
      <c r="B240" t="s">
        <v>1964</v>
      </c>
      <c r="C240">
        <v>17.579999999999998</v>
      </c>
      <c r="D240">
        <v>210.79</v>
      </c>
      <c r="E240">
        <v>0.6552</v>
      </c>
      <c r="F240">
        <v>0.54</v>
      </c>
      <c r="G240">
        <v>50</v>
      </c>
      <c r="H240">
        <v>3.34</v>
      </c>
    </row>
    <row r="241" spans="1:8">
      <c r="A241" s="1">
        <v>12</v>
      </c>
      <c r="B241" t="s">
        <v>1965</v>
      </c>
      <c r="C241">
        <v>17.48</v>
      </c>
      <c r="D241" t="e">
        <f>-inf</f>
        <v>#NAME?</v>
      </c>
      <c r="E241">
        <v>0.48812499999999998</v>
      </c>
      <c r="F241">
        <v>0</v>
      </c>
      <c r="G241">
        <v>52</v>
      </c>
      <c r="H241">
        <v>3.31</v>
      </c>
    </row>
    <row r="242" spans="1:8">
      <c r="A242" s="1">
        <v>13</v>
      </c>
      <c r="B242" t="s">
        <v>1966</v>
      </c>
      <c r="C242">
        <v>17.36</v>
      </c>
      <c r="D242">
        <v>212.99</v>
      </c>
      <c r="E242">
        <v>0.54787300000000005</v>
      </c>
      <c r="F242">
        <v>2.38</v>
      </c>
      <c r="G242">
        <v>18</v>
      </c>
      <c r="H242">
        <v>3.31</v>
      </c>
    </row>
    <row r="243" spans="1:8">
      <c r="A243" s="1">
        <v>14</v>
      </c>
      <c r="B243" t="s">
        <v>1967</v>
      </c>
      <c r="C243">
        <v>16.59</v>
      </c>
      <c r="D243">
        <v>209.49</v>
      </c>
      <c r="E243">
        <v>0.57954600000000001</v>
      </c>
      <c r="F243">
        <v>0.65</v>
      </c>
      <c r="G243">
        <v>10</v>
      </c>
      <c r="H243">
        <v>3.15</v>
      </c>
    </row>
    <row r="244" spans="1:8">
      <c r="A244" s="1">
        <v>15</v>
      </c>
      <c r="B244" t="s">
        <v>1968</v>
      </c>
      <c r="C244">
        <v>16.329999999999998</v>
      </c>
      <c r="D244">
        <v>211.51</v>
      </c>
      <c r="E244">
        <v>0.62217199999999995</v>
      </c>
      <c r="F244">
        <v>1.1499999999999999</v>
      </c>
      <c r="G244">
        <v>0</v>
      </c>
      <c r="H244">
        <v>3.13</v>
      </c>
    </row>
    <row r="245" spans="1:8">
      <c r="A245" s="1">
        <v>16</v>
      </c>
      <c r="B245" t="s">
        <v>1969</v>
      </c>
      <c r="C245">
        <v>17.41</v>
      </c>
      <c r="D245">
        <v>210.61</v>
      </c>
      <c r="E245">
        <v>0.53929700000000003</v>
      </c>
      <c r="F245">
        <v>1.08</v>
      </c>
      <c r="G245">
        <v>14</v>
      </c>
      <c r="H245">
        <v>3.31</v>
      </c>
    </row>
    <row r="246" spans="1:8">
      <c r="A246" s="1">
        <v>17</v>
      </c>
      <c r="B246" t="s">
        <v>1970</v>
      </c>
      <c r="C246">
        <v>17.079999999999998</v>
      </c>
      <c r="D246">
        <v>212.04</v>
      </c>
      <c r="E246">
        <v>0.511799</v>
      </c>
      <c r="F246">
        <v>2.96</v>
      </c>
      <c r="G246">
        <v>40</v>
      </c>
      <c r="H246">
        <v>3.25</v>
      </c>
    </row>
    <row r="247" spans="1:8">
      <c r="A247" s="1">
        <v>18</v>
      </c>
      <c r="B247" t="s">
        <v>1971</v>
      </c>
      <c r="C247">
        <v>15.6</v>
      </c>
      <c r="D247">
        <v>210.82</v>
      </c>
      <c r="E247">
        <v>0.74341199999999996</v>
      </c>
      <c r="F247">
        <v>0.12</v>
      </c>
      <c r="G247">
        <v>34</v>
      </c>
      <c r="H247">
        <v>2.99</v>
      </c>
    </row>
    <row r="248" spans="1:8">
      <c r="A248" s="1">
        <v>19</v>
      </c>
      <c r="B248" t="s">
        <v>1972</v>
      </c>
      <c r="C248">
        <v>16.350000000000001</v>
      </c>
      <c r="D248">
        <v>211.48</v>
      </c>
      <c r="E248">
        <v>0.68053900000000001</v>
      </c>
      <c r="F248">
        <v>0.42</v>
      </c>
      <c r="G248">
        <v>34</v>
      </c>
      <c r="H248">
        <v>3.12</v>
      </c>
    </row>
    <row r="249" spans="1:8">
      <c r="A249" s="1">
        <v>20</v>
      </c>
      <c r="B249" t="s">
        <v>1973</v>
      </c>
      <c r="C249">
        <v>17.489999999999998</v>
      </c>
      <c r="D249">
        <v>211.49</v>
      </c>
      <c r="E249">
        <v>0.55107799999999996</v>
      </c>
      <c r="F249">
        <v>0.46</v>
      </c>
      <c r="G249">
        <v>32</v>
      </c>
      <c r="H249">
        <v>3.34</v>
      </c>
    </row>
    <row r="250" spans="1:8">
      <c r="A250" s="1">
        <v>21</v>
      </c>
      <c r="B250" t="s">
        <v>1974</v>
      </c>
      <c r="C250">
        <v>16.91</v>
      </c>
      <c r="D250">
        <v>210.48</v>
      </c>
      <c r="E250">
        <v>0.43649700000000002</v>
      </c>
      <c r="F250">
        <v>1.23</v>
      </c>
      <c r="G250">
        <v>58</v>
      </c>
      <c r="H250">
        <v>3.23</v>
      </c>
    </row>
    <row r="251" spans="1:8">
      <c r="A251" s="1">
        <v>22</v>
      </c>
      <c r="B251" t="s">
        <v>1975</v>
      </c>
      <c r="C251">
        <v>17.170000000000002</v>
      </c>
      <c r="D251">
        <v>214.35</v>
      </c>
      <c r="E251">
        <v>0.76200000000000001</v>
      </c>
      <c r="F251">
        <v>1.77</v>
      </c>
      <c r="G251">
        <v>24</v>
      </c>
      <c r="H251">
        <v>3.29</v>
      </c>
    </row>
    <row r="252" spans="1:8">
      <c r="A252" s="1">
        <v>23</v>
      </c>
      <c r="B252" t="s">
        <v>1976</v>
      </c>
      <c r="C252">
        <v>18.88</v>
      </c>
      <c r="D252">
        <v>212.88</v>
      </c>
      <c r="E252">
        <v>0.610788</v>
      </c>
      <c r="F252">
        <v>1.61</v>
      </c>
      <c r="G252">
        <v>50</v>
      </c>
      <c r="H252">
        <v>3.59</v>
      </c>
    </row>
    <row r="253" spans="1:8">
      <c r="A253" s="1">
        <v>24</v>
      </c>
      <c r="B253" t="s">
        <v>1977</v>
      </c>
      <c r="C253">
        <v>17.14</v>
      </c>
      <c r="D253">
        <v>195.34</v>
      </c>
      <c r="E253">
        <v>0.29776900000000001</v>
      </c>
      <c r="F253">
        <v>0.12</v>
      </c>
      <c r="G253">
        <v>54</v>
      </c>
      <c r="H253">
        <v>3.27</v>
      </c>
    </row>
    <row r="254" spans="1:8">
      <c r="A254" s="1">
        <v>25</v>
      </c>
      <c r="B254" t="s">
        <v>1978</v>
      </c>
      <c r="C254">
        <v>17.88</v>
      </c>
      <c r="D254">
        <v>212.3</v>
      </c>
      <c r="E254">
        <v>0.61912</v>
      </c>
      <c r="F254">
        <v>0.46</v>
      </c>
      <c r="G254">
        <v>6</v>
      </c>
      <c r="H254">
        <v>3.4</v>
      </c>
    </row>
    <row r="255" spans="1:8">
      <c r="A255" s="1">
        <v>26</v>
      </c>
      <c r="B255" t="s">
        <v>1979</v>
      </c>
      <c r="C255">
        <v>17</v>
      </c>
      <c r="D255">
        <v>212.06</v>
      </c>
      <c r="E255">
        <v>0.66843300000000005</v>
      </c>
      <c r="F255">
        <v>0.27</v>
      </c>
      <c r="G255">
        <v>24</v>
      </c>
      <c r="H255">
        <v>3.24</v>
      </c>
    </row>
    <row r="256" spans="1:8">
      <c r="A256" s="1">
        <v>27</v>
      </c>
      <c r="B256" t="s">
        <v>1980</v>
      </c>
      <c r="C256">
        <v>18.079999999999998</v>
      </c>
      <c r="D256">
        <v>209.9</v>
      </c>
      <c r="E256">
        <v>0.402476</v>
      </c>
      <c r="F256">
        <v>0.96</v>
      </c>
      <c r="G256">
        <v>14</v>
      </c>
      <c r="H256">
        <v>3.45</v>
      </c>
    </row>
    <row r="257" spans="1:8">
      <c r="A257" s="1">
        <v>28</v>
      </c>
      <c r="B257" t="s">
        <v>1981</v>
      </c>
      <c r="C257">
        <v>17.21</v>
      </c>
      <c r="D257">
        <v>209.14</v>
      </c>
      <c r="E257">
        <v>0.55115599999999998</v>
      </c>
      <c r="F257">
        <v>0.19</v>
      </c>
      <c r="G257">
        <v>48</v>
      </c>
      <c r="H257">
        <v>3.29</v>
      </c>
    </row>
    <row r="258" spans="1:8">
      <c r="A258" s="1">
        <v>29</v>
      </c>
      <c r="B258" t="s">
        <v>1982</v>
      </c>
      <c r="C258">
        <v>17.41</v>
      </c>
      <c r="D258">
        <v>214.16</v>
      </c>
      <c r="E258">
        <v>0.65958499999999998</v>
      </c>
      <c r="F258">
        <v>3.65</v>
      </c>
      <c r="G258">
        <v>58</v>
      </c>
      <c r="H258">
        <v>3.32</v>
      </c>
    </row>
    <row r="259" spans="1:8">
      <c r="A259" s="1">
        <v>30</v>
      </c>
      <c r="B259" t="s">
        <v>1983</v>
      </c>
      <c r="C259">
        <v>16.95</v>
      </c>
      <c r="D259">
        <v>210.09</v>
      </c>
      <c r="E259">
        <v>0.59639900000000001</v>
      </c>
      <c r="F259">
        <v>0.84</v>
      </c>
      <c r="G259">
        <v>56</v>
      </c>
      <c r="H259">
        <v>3.22</v>
      </c>
    </row>
    <row r="260" spans="1:8">
      <c r="A260" s="1">
        <v>31</v>
      </c>
      <c r="B260" t="s">
        <v>1984</v>
      </c>
      <c r="C260">
        <v>16.7</v>
      </c>
      <c r="D260">
        <v>214.04</v>
      </c>
      <c r="E260">
        <v>0.68722000000000005</v>
      </c>
      <c r="F260">
        <v>2.84</v>
      </c>
      <c r="G260">
        <v>12</v>
      </c>
      <c r="H260">
        <v>3.2</v>
      </c>
    </row>
    <row r="261" spans="1:8">
      <c r="A261" s="1">
        <v>32</v>
      </c>
      <c r="B261" t="s">
        <v>1985</v>
      </c>
      <c r="C261">
        <v>17.97</v>
      </c>
      <c r="D261">
        <v>205.79</v>
      </c>
      <c r="E261">
        <v>0.48735699999999998</v>
      </c>
      <c r="F261">
        <v>0.27</v>
      </c>
      <c r="G261">
        <v>40</v>
      </c>
      <c r="H261">
        <v>3.4</v>
      </c>
    </row>
    <row r="262" spans="1:8">
      <c r="A262" s="1">
        <v>33</v>
      </c>
      <c r="B262" t="s">
        <v>1986</v>
      </c>
      <c r="C262">
        <v>17.920000000000002</v>
      </c>
      <c r="D262">
        <v>213.1</v>
      </c>
      <c r="E262">
        <v>0.52844899999999995</v>
      </c>
      <c r="F262">
        <v>1.65</v>
      </c>
      <c r="G262">
        <v>54</v>
      </c>
      <c r="H262">
        <v>3.41</v>
      </c>
    </row>
    <row r="263" spans="1:8">
      <c r="A263" s="1">
        <v>34</v>
      </c>
      <c r="B263" t="s">
        <v>1987</v>
      </c>
      <c r="C263">
        <v>16.920000000000002</v>
      </c>
      <c r="D263">
        <v>210.8</v>
      </c>
      <c r="E263">
        <v>0.54632000000000003</v>
      </c>
      <c r="F263">
        <v>0.92</v>
      </c>
      <c r="G263">
        <v>56</v>
      </c>
      <c r="H263">
        <v>3.23</v>
      </c>
    </row>
    <row r="264" spans="1:8">
      <c r="A264" s="1">
        <v>35</v>
      </c>
      <c r="B264" t="s">
        <v>1988</v>
      </c>
      <c r="C264">
        <v>17.32</v>
      </c>
      <c r="D264">
        <v>213.08</v>
      </c>
      <c r="E264">
        <v>0.58221999999999996</v>
      </c>
      <c r="F264">
        <v>0.57999999999999996</v>
      </c>
      <c r="G264">
        <v>24</v>
      </c>
      <c r="H264">
        <v>3.29</v>
      </c>
    </row>
    <row r="265" spans="1:8">
      <c r="A265" s="1">
        <v>36</v>
      </c>
      <c r="B265" t="s">
        <v>1989</v>
      </c>
      <c r="C265">
        <v>18.63</v>
      </c>
      <c r="D265">
        <v>210.74</v>
      </c>
      <c r="E265">
        <v>0.50549699999999997</v>
      </c>
      <c r="F265">
        <v>1.57</v>
      </c>
      <c r="G265">
        <v>54</v>
      </c>
      <c r="H265">
        <v>3.57</v>
      </c>
    </row>
    <row r="266" spans="1:8">
      <c r="A266" s="1">
        <v>37</v>
      </c>
      <c r="B266" t="s">
        <v>1990</v>
      </c>
      <c r="C266">
        <v>16.66</v>
      </c>
      <c r="D266">
        <v>213.51</v>
      </c>
      <c r="E266">
        <v>0.73612100000000003</v>
      </c>
      <c r="F266">
        <v>0.54</v>
      </c>
      <c r="G266">
        <v>12</v>
      </c>
      <c r="H266">
        <v>3.18</v>
      </c>
    </row>
    <row r="267" spans="1:8">
      <c r="A267" s="1">
        <v>38</v>
      </c>
      <c r="B267" t="s">
        <v>1991</v>
      </c>
      <c r="C267">
        <v>17.27</v>
      </c>
      <c r="D267">
        <v>213.45</v>
      </c>
      <c r="E267">
        <v>0.642011</v>
      </c>
      <c r="F267">
        <v>2.96</v>
      </c>
      <c r="G267">
        <v>42</v>
      </c>
      <c r="H267">
        <v>3.29</v>
      </c>
    </row>
    <row r="268" spans="1:8">
      <c r="A268" s="1">
        <v>39</v>
      </c>
      <c r="B268" t="s">
        <v>1992</v>
      </c>
      <c r="C268">
        <v>17.46</v>
      </c>
      <c r="D268">
        <v>211</v>
      </c>
      <c r="E268">
        <v>0.59764399999999995</v>
      </c>
      <c r="F268">
        <v>0.5</v>
      </c>
      <c r="G268">
        <v>10</v>
      </c>
      <c r="H268">
        <v>3.32</v>
      </c>
    </row>
    <row r="269" spans="1:8">
      <c r="A269" s="1">
        <v>40</v>
      </c>
      <c r="B269" t="s">
        <v>1993</v>
      </c>
      <c r="C269">
        <v>17.46</v>
      </c>
      <c r="D269">
        <v>210.5</v>
      </c>
      <c r="E269">
        <v>0.51623699999999995</v>
      </c>
      <c r="F269">
        <v>1.19</v>
      </c>
      <c r="G269">
        <v>58</v>
      </c>
      <c r="H269">
        <v>3.33</v>
      </c>
    </row>
    <row r="270" spans="1:8">
      <c r="A270" s="1">
        <v>41</v>
      </c>
      <c r="B270" t="s">
        <v>1994</v>
      </c>
      <c r="C270">
        <v>17.16</v>
      </c>
      <c r="D270">
        <v>211.66</v>
      </c>
      <c r="E270">
        <v>0.529779</v>
      </c>
      <c r="F270">
        <v>2.8</v>
      </c>
      <c r="G270">
        <v>6</v>
      </c>
      <c r="H270">
        <v>3.28</v>
      </c>
    </row>
    <row r="271" spans="1:8">
      <c r="A271" s="1">
        <v>42</v>
      </c>
      <c r="B271" t="s">
        <v>1995</v>
      </c>
      <c r="C271">
        <v>16.89</v>
      </c>
      <c r="D271">
        <v>204.88</v>
      </c>
      <c r="E271">
        <v>0.35972100000000001</v>
      </c>
      <c r="F271">
        <v>0.35</v>
      </c>
      <c r="G271">
        <v>10</v>
      </c>
      <c r="H271">
        <v>3.21</v>
      </c>
    </row>
    <row r="272" spans="1:8">
      <c r="A272" s="1">
        <v>43</v>
      </c>
      <c r="B272" t="s">
        <v>1996</v>
      </c>
      <c r="C272">
        <v>17.63</v>
      </c>
      <c r="D272">
        <v>212.13</v>
      </c>
      <c r="E272">
        <v>0.68947899999999995</v>
      </c>
      <c r="F272">
        <v>0.15</v>
      </c>
      <c r="G272">
        <v>22</v>
      </c>
      <c r="H272">
        <v>3.37</v>
      </c>
    </row>
    <row r="273" spans="1:8">
      <c r="A273" s="1">
        <v>44</v>
      </c>
      <c r="B273" t="s">
        <v>1997</v>
      </c>
      <c r="C273">
        <v>18.16</v>
      </c>
      <c r="D273">
        <v>211.94</v>
      </c>
      <c r="E273">
        <v>0.47995300000000002</v>
      </c>
      <c r="F273">
        <v>1.5</v>
      </c>
      <c r="G273">
        <v>10</v>
      </c>
      <c r="H273">
        <v>3.45</v>
      </c>
    </row>
    <row r="274" spans="1:8">
      <c r="A274" s="1">
        <v>45</v>
      </c>
      <c r="B274" t="s">
        <v>1998</v>
      </c>
      <c r="C274">
        <v>19.25</v>
      </c>
      <c r="D274">
        <v>209.88</v>
      </c>
      <c r="E274">
        <v>0.43146600000000002</v>
      </c>
      <c r="F274">
        <v>1.04</v>
      </c>
      <c r="G274">
        <v>6</v>
      </c>
      <c r="H274">
        <v>3.67</v>
      </c>
    </row>
    <row r="275" spans="1:8">
      <c r="A275" s="1">
        <v>46</v>
      </c>
      <c r="B275" t="s">
        <v>1999</v>
      </c>
      <c r="C275">
        <v>17.97</v>
      </c>
      <c r="D275">
        <v>212.61</v>
      </c>
      <c r="E275">
        <v>0.63131499999999996</v>
      </c>
      <c r="F275">
        <v>1</v>
      </c>
      <c r="G275">
        <v>40</v>
      </c>
      <c r="H275">
        <v>3.4</v>
      </c>
    </row>
    <row r="276" spans="1:8">
      <c r="A276" s="1">
        <v>47</v>
      </c>
      <c r="B276" t="s">
        <v>2000</v>
      </c>
      <c r="C276">
        <v>19.03</v>
      </c>
      <c r="D276">
        <v>207.38</v>
      </c>
      <c r="E276">
        <v>0.34621400000000002</v>
      </c>
      <c r="F276">
        <v>1</v>
      </c>
      <c r="G276">
        <v>32</v>
      </c>
      <c r="H276">
        <v>3.62</v>
      </c>
    </row>
    <row r="277" spans="1:8">
      <c r="A277" s="1">
        <v>48</v>
      </c>
      <c r="B277" t="s">
        <v>2001</v>
      </c>
      <c r="C277">
        <v>18.399999999999999</v>
      </c>
      <c r="D277">
        <v>210.23</v>
      </c>
      <c r="E277">
        <v>0.46706199999999998</v>
      </c>
      <c r="F277">
        <v>0.81</v>
      </c>
      <c r="G277">
        <v>56</v>
      </c>
      <c r="H277">
        <v>3.51</v>
      </c>
    </row>
    <row r="278" spans="1:8">
      <c r="A278" s="1">
        <v>49</v>
      </c>
      <c r="B278" t="s">
        <v>2002</v>
      </c>
      <c r="C278">
        <v>16.170000000000002</v>
      </c>
      <c r="D278">
        <v>210.53</v>
      </c>
      <c r="E278">
        <v>0.58835700000000002</v>
      </c>
      <c r="F278">
        <v>0.38</v>
      </c>
      <c r="G278">
        <v>54</v>
      </c>
      <c r="H278">
        <v>3.09</v>
      </c>
    </row>
    <row r="279" spans="1:8">
      <c r="A279" s="1">
        <v>50</v>
      </c>
      <c r="B279" t="s">
        <v>2003</v>
      </c>
      <c r="C279">
        <v>17.52</v>
      </c>
      <c r="D279">
        <v>212.16</v>
      </c>
      <c r="E279">
        <v>0.590472</v>
      </c>
      <c r="F279">
        <v>0.42</v>
      </c>
      <c r="G279">
        <v>10</v>
      </c>
      <c r="H279">
        <v>3.32</v>
      </c>
    </row>
    <row r="280" spans="1:8">
      <c r="B280" s="1" t="s">
        <v>19</v>
      </c>
      <c r="C280" s="1">
        <f>AVERAGE(C230:C279)</f>
        <v>17.352599999999999</v>
      </c>
      <c r="D280" s="1" t="e">
        <f>AVERAGE(#REF!)</f>
        <v>#REF!</v>
      </c>
      <c r="E280" s="1" t="e">
        <f>AVERAGE(#REF!)</f>
        <v>#REF!</v>
      </c>
      <c r="F280" s="1" t="e">
        <f>AVERAGE(#REF!)</f>
        <v>#REF!</v>
      </c>
      <c r="H280" s="1" t="e">
        <f>AVERAGE(#REF!)</f>
        <v>#REF!</v>
      </c>
    </row>
    <row r="281" spans="1:8">
      <c r="B281" s="1" t="s">
        <v>20</v>
      </c>
      <c r="C281" s="1">
        <f>MIN(C229:C279)</f>
        <v>13.33</v>
      </c>
      <c r="D281" s="1" t="e">
        <f>MIN(D229:D279)</f>
        <v>#NAME?</v>
      </c>
      <c r="E281" s="1">
        <f>MIN(E229:E279)</f>
        <v>0.26583800000000002</v>
      </c>
      <c r="F281" s="1">
        <f>MIN(F229:F279)</f>
        <v>0</v>
      </c>
      <c r="H281" s="1">
        <f>MIN(H229:H279)</f>
        <v>2.56</v>
      </c>
    </row>
    <row r="282" spans="1:8">
      <c r="B282" s="1" t="s">
        <v>3</v>
      </c>
      <c r="C282" s="1" t="e">
        <f>STDEV(#REF!)</f>
        <v>#REF!</v>
      </c>
      <c r="D282" s="1" t="e">
        <f>STDEV(#REF!)</f>
        <v>#REF!</v>
      </c>
      <c r="E282" s="1" t="e">
        <f>STDEV(#REF!)</f>
        <v>#REF!</v>
      </c>
      <c r="F282" s="1" t="e">
        <f>STDEV(#REF!)</f>
        <v>#REF!</v>
      </c>
      <c r="H282" s="1" t="e">
        <f>STDEV(#REF!)</f>
        <v>#REF!</v>
      </c>
    </row>
    <row r="284" spans="1:8">
      <c r="H284" s="18" t="s">
        <v>1435</v>
      </c>
    </row>
    <row r="285" spans="1:8" ht="18">
      <c r="A285" s="18" t="s">
        <v>7</v>
      </c>
      <c r="B285" s="3" t="s">
        <v>10</v>
      </c>
      <c r="C285" s="18" t="s">
        <v>4</v>
      </c>
      <c r="D285" s="18" t="s">
        <v>322</v>
      </c>
      <c r="E285" s="18" t="s">
        <v>321</v>
      </c>
      <c r="F285" s="18" t="s">
        <v>324</v>
      </c>
      <c r="G285" s="18" t="s">
        <v>323</v>
      </c>
      <c r="H285" s="18" t="s">
        <v>1436</v>
      </c>
    </row>
    <row r="286" spans="1:8">
      <c r="A286" s="1">
        <v>1</v>
      </c>
      <c r="B286" t="s">
        <v>1753</v>
      </c>
      <c r="C286">
        <v>12.48</v>
      </c>
      <c r="D286">
        <v>278.07</v>
      </c>
      <c r="E286">
        <v>0.60972099999999996</v>
      </c>
      <c r="F286">
        <v>1.54</v>
      </c>
      <c r="G286">
        <v>70</v>
      </c>
      <c r="H286">
        <v>2.37</v>
      </c>
    </row>
    <row r="287" spans="1:8">
      <c r="A287" s="1">
        <v>2</v>
      </c>
      <c r="B287" t="s">
        <v>1754</v>
      </c>
      <c r="C287">
        <v>12.2</v>
      </c>
      <c r="D287">
        <v>280.05</v>
      </c>
      <c r="E287">
        <v>0.72911000000000004</v>
      </c>
      <c r="F287">
        <v>2.8</v>
      </c>
      <c r="G287">
        <v>20</v>
      </c>
      <c r="H287">
        <v>2.31</v>
      </c>
    </row>
    <row r="288" spans="1:8">
      <c r="A288" s="1">
        <v>3</v>
      </c>
      <c r="B288" t="s">
        <v>1755</v>
      </c>
      <c r="C288">
        <v>12.81</v>
      </c>
      <c r="D288">
        <v>274.45</v>
      </c>
      <c r="E288">
        <v>0.51427800000000001</v>
      </c>
      <c r="F288">
        <v>0.5</v>
      </c>
      <c r="G288">
        <v>20</v>
      </c>
      <c r="H288">
        <v>2.4300000000000002</v>
      </c>
    </row>
    <row r="289" spans="1:8">
      <c r="A289" s="1">
        <v>4</v>
      </c>
      <c r="B289" t="s">
        <v>1756</v>
      </c>
      <c r="C289">
        <v>13.21</v>
      </c>
      <c r="D289">
        <v>277.73</v>
      </c>
      <c r="E289">
        <v>0.66567399999999999</v>
      </c>
      <c r="F289">
        <v>0.46</v>
      </c>
      <c r="G289">
        <v>76</v>
      </c>
      <c r="H289">
        <v>2.5</v>
      </c>
    </row>
    <row r="290" spans="1:8">
      <c r="A290" s="1">
        <v>5</v>
      </c>
      <c r="B290" t="s">
        <v>1757</v>
      </c>
      <c r="C290">
        <v>12.21</v>
      </c>
      <c r="D290">
        <v>277.31</v>
      </c>
      <c r="E290">
        <v>0.57091800000000004</v>
      </c>
      <c r="F290">
        <v>2.04</v>
      </c>
      <c r="G290">
        <v>50</v>
      </c>
      <c r="H290">
        <v>2.3199999999999998</v>
      </c>
    </row>
    <row r="291" spans="1:8">
      <c r="A291" s="1">
        <v>6</v>
      </c>
      <c r="B291" t="s">
        <v>1758</v>
      </c>
      <c r="C291">
        <v>13.25</v>
      </c>
      <c r="D291">
        <v>269.27999999999997</v>
      </c>
      <c r="E291">
        <v>0.49492599999999998</v>
      </c>
      <c r="F291">
        <v>0.12</v>
      </c>
      <c r="G291">
        <v>24</v>
      </c>
      <c r="H291">
        <v>2.52</v>
      </c>
    </row>
    <row r="292" spans="1:8">
      <c r="A292" s="1">
        <v>7</v>
      </c>
      <c r="B292" t="s">
        <v>1759</v>
      </c>
      <c r="C292">
        <v>13.13</v>
      </c>
      <c r="D292">
        <v>279.93</v>
      </c>
      <c r="E292">
        <v>0.60661699999999996</v>
      </c>
      <c r="F292">
        <v>3.07</v>
      </c>
      <c r="G292">
        <v>42</v>
      </c>
      <c r="H292">
        <v>2.48</v>
      </c>
    </row>
    <row r="293" spans="1:8">
      <c r="A293" s="1">
        <v>8</v>
      </c>
      <c r="B293" t="s">
        <v>1760</v>
      </c>
      <c r="C293">
        <v>12.16</v>
      </c>
      <c r="D293">
        <v>274.87</v>
      </c>
      <c r="E293">
        <v>0.56005899999999997</v>
      </c>
      <c r="F293">
        <v>0.81</v>
      </c>
      <c r="G293">
        <v>68</v>
      </c>
      <c r="H293">
        <v>2.31</v>
      </c>
    </row>
    <row r="294" spans="1:8">
      <c r="A294" s="1">
        <v>9</v>
      </c>
      <c r="B294" t="s">
        <v>1761</v>
      </c>
      <c r="C294">
        <v>13.31</v>
      </c>
      <c r="D294">
        <v>277.95999999999998</v>
      </c>
      <c r="E294">
        <v>0.55757100000000004</v>
      </c>
      <c r="F294">
        <v>0.81</v>
      </c>
      <c r="G294">
        <v>32</v>
      </c>
      <c r="H294">
        <v>2.5299999999999998</v>
      </c>
    </row>
    <row r="295" spans="1:8">
      <c r="A295" s="1">
        <v>10</v>
      </c>
      <c r="B295" t="s">
        <v>1762</v>
      </c>
      <c r="C295">
        <v>12.5</v>
      </c>
      <c r="D295">
        <v>277.74</v>
      </c>
      <c r="E295">
        <v>0.61154799999999998</v>
      </c>
      <c r="F295">
        <v>0.96</v>
      </c>
      <c r="G295">
        <v>2</v>
      </c>
      <c r="H295">
        <v>2.38</v>
      </c>
    </row>
    <row r="296" spans="1:8">
      <c r="A296" s="1">
        <v>11</v>
      </c>
      <c r="B296" t="s">
        <v>1763</v>
      </c>
      <c r="C296">
        <v>12.21</v>
      </c>
      <c r="D296">
        <v>277.19</v>
      </c>
      <c r="E296">
        <v>0.62454600000000005</v>
      </c>
      <c r="F296">
        <v>1.08</v>
      </c>
      <c r="G296">
        <v>48</v>
      </c>
      <c r="H296">
        <v>2.33</v>
      </c>
    </row>
    <row r="297" spans="1:8">
      <c r="A297" s="1">
        <v>12</v>
      </c>
      <c r="B297" t="s">
        <v>1764</v>
      </c>
      <c r="C297">
        <v>11.98</v>
      </c>
      <c r="D297">
        <v>278.12</v>
      </c>
      <c r="E297">
        <v>0.674956</v>
      </c>
      <c r="F297">
        <v>1.38</v>
      </c>
      <c r="G297">
        <v>48</v>
      </c>
      <c r="H297">
        <v>2.2799999999999998</v>
      </c>
    </row>
    <row r="298" spans="1:8">
      <c r="A298" s="1">
        <v>13</v>
      </c>
      <c r="B298" t="s">
        <v>1765</v>
      </c>
      <c r="C298">
        <v>12.62</v>
      </c>
      <c r="D298">
        <v>277.43</v>
      </c>
      <c r="E298">
        <v>0.57763600000000004</v>
      </c>
      <c r="F298">
        <v>0.54</v>
      </c>
      <c r="G298">
        <v>10</v>
      </c>
      <c r="H298">
        <v>2.39</v>
      </c>
    </row>
    <row r="299" spans="1:8">
      <c r="A299" s="1">
        <v>14</v>
      </c>
      <c r="B299" t="s">
        <v>1766</v>
      </c>
      <c r="C299">
        <v>12.91</v>
      </c>
      <c r="D299">
        <v>273.87</v>
      </c>
      <c r="E299">
        <v>0.36813000000000001</v>
      </c>
      <c r="F299">
        <v>1.5</v>
      </c>
      <c r="G299">
        <v>26</v>
      </c>
      <c r="H299">
        <v>2.44</v>
      </c>
    </row>
    <row r="300" spans="1:8">
      <c r="A300" s="1">
        <v>15</v>
      </c>
      <c r="B300" t="s">
        <v>1767</v>
      </c>
      <c r="C300">
        <v>12.38</v>
      </c>
      <c r="D300" t="e">
        <f>-inf</f>
        <v>#NAME?</v>
      </c>
      <c r="E300">
        <v>0.43012400000000001</v>
      </c>
      <c r="F300">
        <v>0</v>
      </c>
      <c r="G300">
        <v>78</v>
      </c>
      <c r="H300">
        <v>2.36</v>
      </c>
    </row>
    <row r="301" spans="1:8">
      <c r="A301" s="1">
        <v>16</v>
      </c>
      <c r="B301" t="s">
        <v>1768</v>
      </c>
      <c r="C301">
        <v>12.28</v>
      </c>
      <c r="D301">
        <v>278.64</v>
      </c>
      <c r="E301">
        <v>0.644339</v>
      </c>
      <c r="F301">
        <v>1.42</v>
      </c>
      <c r="G301">
        <v>36</v>
      </c>
      <c r="H301">
        <v>2.33</v>
      </c>
    </row>
    <row r="302" spans="1:8">
      <c r="A302" s="1">
        <v>17</v>
      </c>
      <c r="B302" t="s">
        <v>1769</v>
      </c>
      <c r="C302">
        <v>12.76</v>
      </c>
      <c r="D302">
        <v>273.85000000000002</v>
      </c>
      <c r="E302">
        <v>0.44583400000000001</v>
      </c>
      <c r="F302">
        <v>0.27</v>
      </c>
      <c r="G302">
        <v>12</v>
      </c>
      <c r="H302">
        <v>2.42</v>
      </c>
    </row>
    <row r="303" spans="1:8">
      <c r="A303" s="1">
        <v>18</v>
      </c>
      <c r="B303" t="s">
        <v>1770</v>
      </c>
      <c r="C303">
        <v>12.82</v>
      </c>
      <c r="D303" t="e">
        <f>-inf</f>
        <v>#NAME?</v>
      </c>
      <c r="E303">
        <v>0.54489799999999999</v>
      </c>
      <c r="F303">
        <v>0</v>
      </c>
      <c r="G303">
        <v>60</v>
      </c>
      <c r="H303">
        <v>2.4300000000000002</v>
      </c>
    </row>
    <row r="304" spans="1:8">
      <c r="A304" s="1">
        <v>19</v>
      </c>
      <c r="B304" t="s">
        <v>1771</v>
      </c>
      <c r="C304">
        <v>13.67</v>
      </c>
      <c r="D304">
        <v>276.24</v>
      </c>
      <c r="E304">
        <v>0.42241800000000002</v>
      </c>
      <c r="F304">
        <v>0.88</v>
      </c>
      <c r="G304">
        <v>52</v>
      </c>
      <c r="H304">
        <v>2.58</v>
      </c>
    </row>
    <row r="305" spans="1:8">
      <c r="A305" s="1">
        <v>20</v>
      </c>
      <c r="B305" t="s">
        <v>1772</v>
      </c>
      <c r="C305">
        <v>12.25</v>
      </c>
      <c r="D305">
        <v>280.10000000000002</v>
      </c>
      <c r="E305">
        <v>0.72536299999999998</v>
      </c>
      <c r="F305">
        <v>1.08</v>
      </c>
      <c r="G305">
        <v>34</v>
      </c>
      <c r="H305">
        <v>2.33</v>
      </c>
    </row>
    <row r="306" spans="1:8">
      <c r="A306" s="1">
        <v>21</v>
      </c>
      <c r="B306" t="s">
        <v>1773</v>
      </c>
      <c r="C306">
        <v>12.46</v>
      </c>
      <c r="D306">
        <v>278.58999999999997</v>
      </c>
      <c r="E306">
        <v>0.588951</v>
      </c>
      <c r="F306">
        <v>2.23</v>
      </c>
      <c r="G306">
        <v>26</v>
      </c>
      <c r="H306">
        <v>2.37</v>
      </c>
    </row>
    <row r="307" spans="1:8">
      <c r="A307" s="1">
        <v>22</v>
      </c>
      <c r="B307" t="s">
        <v>1774</v>
      </c>
      <c r="C307">
        <v>13.14</v>
      </c>
      <c r="D307">
        <v>275.52</v>
      </c>
      <c r="E307">
        <v>0.380492</v>
      </c>
      <c r="F307">
        <v>1.08</v>
      </c>
      <c r="G307">
        <v>56</v>
      </c>
      <c r="H307">
        <v>2.5</v>
      </c>
    </row>
    <row r="308" spans="1:8">
      <c r="A308" s="1">
        <v>23</v>
      </c>
      <c r="B308" t="s">
        <v>1775</v>
      </c>
      <c r="C308">
        <v>13.64</v>
      </c>
      <c r="D308">
        <v>276.5</v>
      </c>
      <c r="E308">
        <v>0.51223300000000005</v>
      </c>
      <c r="F308">
        <v>0.54</v>
      </c>
      <c r="G308">
        <v>16</v>
      </c>
      <c r="H308">
        <v>2.58</v>
      </c>
    </row>
    <row r="309" spans="1:8">
      <c r="A309" s="1">
        <v>24</v>
      </c>
      <c r="B309" t="s">
        <v>1776</v>
      </c>
      <c r="C309">
        <v>12.7</v>
      </c>
      <c r="D309">
        <v>276.23</v>
      </c>
      <c r="E309">
        <v>0.60206700000000002</v>
      </c>
      <c r="F309">
        <v>0.31</v>
      </c>
      <c r="G309">
        <v>2</v>
      </c>
      <c r="H309">
        <v>2.4</v>
      </c>
    </row>
    <row r="310" spans="1:8">
      <c r="A310" s="1">
        <v>25</v>
      </c>
      <c r="B310" t="s">
        <v>1777</v>
      </c>
      <c r="C310">
        <v>12.12</v>
      </c>
      <c r="D310">
        <v>278.60000000000002</v>
      </c>
      <c r="E310">
        <v>0.66011200000000003</v>
      </c>
      <c r="F310">
        <v>1.61</v>
      </c>
      <c r="G310">
        <v>64</v>
      </c>
      <c r="H310">
        <v>2.2999999999999998</v>
      </c>
    </row>
    <row r="311" spans="1:8">
      <c r="A311" s="1">
        <v>26</v>
      </c>
      <c r="B311" t="s">
        <v>1778</v>
      </c>
      <c r="C311">
        <v>12.88</v>
      </c>
      <c r="D311">
        <v>278.58</v>
      </c>
      <c r="E311">
        <v>0.56255500000000003</v>
      </c>
      <c r="F311">
        <v>1.88</v>
      </c>
      <c r="G311">
        <v>60</v>
      </c>
      <c r="H311">
        <v>2.46</v>
      </c>
    </row>
    <row r="312" spans="1:8">
      <c r="A312" s="1">
        <v>27</v>
      </c>
      <c r="B312" t="s">
        <v>1779</v>
      </c>
      <c r="C312">
        <v>13.33</v>
      </c>
      <c r="D312">
        <v>277.54000000000002</v>
      </c>
      <c r="E312">
        <v>0.55476000000000003</v>
      </c>
      <c r="F312">
        <v>0.81</v>
      </c>
      <c r="G312">
        <v>74</v>
      </c>
      <c r="H312">
        <v>2.5299999999999998</v>
      </c>
    </row>
    <row r="313" spans="1:8">
      <c r="A313" s="1">
        <v>28</v>
      </c>
      <c r="B313" t="s">
        <v>1780</v>
      </c>
      <c r="C313">
        <v>12.11</v>
      </c>
      <c r="D313">
        <v>276.23</v>
      </c>
      <c r="E313">
        <v>0.55997200000000003</v>
      </c>
      <c r="F313">
        <v>1.1100000000000001</v>
      </c>
      <c r="G313">
        <v>32</v>
      </c>
      <c r="H313">
        <v>2.2999999999999998</v>
      </c>
    </row>
    <row r="314" spans="1:8">
      <c r="A314" s="1">
        <v>29</v>
      </c>
      <c r="B314" t="s">
        <v>1781</v>
      </c>
      <c r="C314">
        <v>13.43</v>
      </c>
      <c r="D314">
        <v>275.08</v>
      </c>
      <c r="E314">
        <v>0.39240599999999998</v>
      </c>
      <c r="F314">
        <v>1.1100000000000001</v>
      </c>
      <c r="G314">
        <v>40</v>
      </c>
      <c r="H314">
        <v>2.5499999999999998</v>
      </c>
    </row>
    <row r="315" spans="1:8">
      <c r="A315" s="1">
        <v>30</v>
      </c>
      <c r="B315" t="s">
        <v>1782</v>
      </c>
      <c r="C315">
        <v>12.22</v>
      </c>
      <c r="D315">
        <v>276.38</v>
      </c>
      <c r="E315">
        <v>0.62088100000000002</v>
      </c>
      <c r="F315">
        <v>0.81</v>
      </c>
      <c r="G315">
        <v>4</v>
      </c>
      <c r="H315">
        <v>2.31</v>
      </c>
    </row>
    <row r="316" spans="1:8">
      <c r="A316" s="1">
        <v>31</v>
      </c>
      <c r="B316" t="s">
        <v>1783</v>
      </c>
      <c r="C316">
        <v>12.79</v>
      </c>
      <c r="D316">
        <v>276.86</v>
      </c>
      <c r="E316">
        <v>0.58041399999999999</v>
      </c>
      <c r="F316">
        <v>0.73</v>
      </c>
      <c r="G316">
        <v>44</v>
      </c>
      <c r="H316">
        <v>2.4300000000000002</v>
      </c>
    </row>
    <row r="317" spans="1:8">
      <c r="A317" s="1">
        <v>32</v>
      </c>
      <c r="B317" t="s">
        <v>1784</v>
      </c>
      <c r="C317">
        <v>12.61</v>
      </c>
      <c r="D317">
        <v>280.47000000000003</v>
      </c>
      <c r="E317">
        <v>0.67127999999999999</v>
      </c>
      <c r="F317">
        <v>3.3</v>
      </c>
      <c r="G317">
        <v>66</v>
      </c>
      <c r="H317">
        <v>2.38</v>
      </c>
    </row>
    <row r="318" spans="1:8">
      <c r="A318" s="1">
        <v>33</v>
      </c>
      <c r="B318" t="s">
        <v>1785</v>
      </c>
      <c r="C318">
        <v>12.07</v>
      </c>
      <c r="D318">
        <v>276.83</v>
      </c>
      <c r="E318">
        <v>0.59317299999999995</v>
      </c>
      <c r="F318">
        <v>0.57999999999999996</v>
      </c>
      <c r="G318">
        <v>52</v>
      </c>
      <c r="H318">
        <v>2.2999999999999998</v>
      </c>
    </row>
    <row r="319" spans="1:8">
      <c r="A319" s="1">
        <v>34</v>
      </c>
      <c r="B319" t="s">
        <v>1786</v>
      </c>
      <c r="C319">
        <v>11.32</v>
      </c>
      <c r="D319">
        <v>276.29000000000002</v>
      </c>
      <c r="E319">
        <v>0.65026099999999998</v>
      </c>
      <c r="F319">
        <v>0.38</v>
      </c>
      <c r="G319">
        <v>56</v>
      </c>
      <c r="H319">
        <v>2.14</v>
      </c>
    </row>
    <row r="320" spans="1:8">
      <c r="A320" s="1">
        <v>35</v>
      </c>
      <c r="B320" t="s">
        <v>1787</v>
      </c>
      <c r="C320">
        <v>12.29</v>
      </c>
      <c r="D320">
        <v>274.73</v>
      </c>
      <c r="E320">
        <v>0.47385500000000003</v>
      </c>
      <c r="F320">
        <v>0.81</v>
      </c>
      <c r="G320">
        <v>40</v>
      </c>
      <c r="H320">
        <v>2.33</v>
      </c>
    </row>
    <row r="321" spans="1:8">
      <c r="A321" s="1">
        <v>36</v>
      </c>
      <c r="B321" t="s">
        <v>1788</v>
      </c>
      <c r="C321">
        <v>13.2</v>
      </c>
      <c r="D321">
        <v>277.27999999999997</v>
      </c>
      <c r="E321">
        <v>0.51331000000000004</v>
      </c>
      <c r="F321">
        <v>0.92</v>
      </c>
      <c r="G321">
        <v>24</v>
      </c>
      <c r="H321">
        <v>2.5</v>
      </c>
    </row>
    <row r="322" spans="1:8">
      <c r="A322" s="1">
        <v>37</v>
      </c>
      <c r="B322" t="s">
        <v>1789</v>
      </c>
      <c r="C322">
        <v>12.09</v>
      </c>
      <c r="D322">
        <v>278.87</v>
      </c>
      <c r="E322">
        <v>0.65344899999999995</v>
      </c>
      <c r="F322">
        <v>1.5</v>
      </c>
      <c r="G322">
        <v>10</v>
      </c>
      <c r="H322">
        <v>2.2999999999999998</v>
      </c>
    </row>
    <row r="323" spans="1:8">
      <c r="A323" s="1">
        <v>38</v>
      </c>
      <c r="B323" t="s">
        <v>1790</v>
      </c>
      <c r="C323">
        <v>12.19</v>
      </c>
      <c r="D323">
        <v>274.55</v>
      </c>
      <c r="E323">
        <v>0.42281200000000002</v>
      </c>
      <c r="F323">
        <v>0.38</v>
      </c>
      <c r="G323">
        <v>62</v>
      </c>
      <c r="H323">
        <v>2.3199999999999998</v>
      </c>
    </row>
    <row r="324" spans="1:8">
      <c r="A324" s="1">
        <v>39</v>
      </c>
      <c r="B324" t="s">
        <v>1791</v>
      </c>
      <c r="C324">
        <v>12.51</v>
      </c>
      <c r="D324">
        <v>276.60000000000002</v>
      </c>
      <c r="E324">
        <v>0.493927</v>
      </c>
      <c r="F324">
        <v>0.88</v>
      </c>
      <c r="G324">
        <v>76</v>
      </c>
      <c r="H324">
        <v>2.38</v>
      </c>
    </row>
    <row r="325" spans="1:8">
      <c r="A325" s="1">
        <v>40</v>
      </c>
      <c r="B325" t="s">
        <v>1792</v>
      </c>
      <c r="C325">
        <v>12.05</v>
      </c>
      <c r="D325">
        <v>279.18</v>
      </c>
      <c r="E325">
        <v>0.66315100000000005</v>
      </c>
      <c r="F325">
        <v>1.1100000000000001</v>
      </c>
      <c r="G325">
        <v>38</v>
      </c>
      <c r="H325">
        <v>2.2999999999999998</v>
      </c>
    </row>
    <row r="326" spans="1:8">
      <c r="A326" s="1">
        <v>41</v>
      </c>
      <c r="B326" t="s">
        <v>1793</v>
      </c>
      <c r="C326">
        <v>12.41</v>
      </c>
      <c r="D326">
        <v>280.17</v>
      </c>
      <c r="E326">
        <v>0.67147999999999997</v>
      </c>
      <c r="F326">
        <v>2.96</v>
      </c>
      <c r="G326">
        <v>78</v>
      </c>
      <c r="H326">
        <v>2.36</v>
      </c>
    </row>
    <row r="327" spans="1:8">
      <c r="A327" s="1">
        <v>42</v>
      </c>
      <c r="B327" t="s">
        <v>1794</v>
      </c>
      <c r="C327">
        <v>12.91</v>
      </c>
      <c r="D327">
        <v>271.98</v>
      </c>
      <c r="E327">
        <v>0.33717799999999998</v>
      </c>
      <c r="F327">
        <v>0.54</v>
      </c>
      <c r="G327">
        <v>78</v>
      </c>
      <c r="H327">
        <v>2.46</v>
      </c>
    </row>
    <row r="328" spans="1:8">
      <c r="A328" s="1">
        <v>43</v>
      </c>
      <c r="B328" t="s">
        <v>1795</v>
      </c>
      <c r="C328">
        <v>11.96</v>
      </c>
      <c r="D328">
        <v>276.43</v>
      </c>
      <c r="E328">
        <v>0.59700500000000001</v>
      </c>
      <c r="F328">
        <v>0.12</v>
      </c>
      <c r="G328">
        <v>66</v>
      </c>
      <c r="H328">
        <v>2.27</v>
      </c>
    </row>
    <row r="329" spans="1:8">
      <c r="A329" s="1">
        <v>44</v>
      </c>
      <c r="B329" t="s">
        <v>1796</v>
      </c>
      <c r="C329">
        <v>13.64</v>
      </c>
      <c r="D329">
        <v>271.81</v>
      </c>
      <c r="E329">
        <v>0.40134700000000001</v>
      </c>
      <c r="F329">
        <v>0.38</v>
      </c>
      <c r="G329">
        <v>18</v>
      </c>
      <c r="H329">
        <v>2.59</v>
      </c>
    </row>
    <row r="330" spans="1:8">
      <c r="A330" s="1">
        <v>45</v>
      </c>
      <c r="B330" t="s">
        <v>1797</v>
      </c>
      <c r="C330">
        <v>12.82</v>
      </c>
      <c r="D330">
        <v>275.95999999999998</v>
      </c>
      <c r="E330">
        <v>0.62292800000000004</v>
      </c>
      <c r="F330">
        <v>0.08</v>
      </c>
      <c r="G330">
        <v>36</v>
      </c>
      <c r="H330">
        <v>2.44</v>
      </c>
    </row>
    <row r="331" spans="1:8">
      <c r="A331" s="1">
        <v>46</v>
      </c>
      <c r="B331" t="s">
        <v>1798</v>
      </c>
      <c r="C331">
        <v>12.49</v>
      </c>
      <c r="D331">
        <v>275.07</v>
      </c>
      <c r="E331">
        <v>0.59365000000000001</v>
      </c>
      <c r="F331">
        <v>0.96</v>
      </c>
      <c r="G331">
        <v>42</v>
      </c>
      <c r="H331">
        <v>2.37</v>
      </c>
    </row>
    <row r="332" spans="1:8">
      <c r="A332" s="1">
        <v>47</v>
      </c>
      <c r="B332" t="s">
        <v>1799</v>
      </c>
      <c r="C332">
        <v>12.28</v>
      </c>
      <c r="D332">
        <v>277.35000000000002</v>
      </c>
      <c r="E332">
        <v>0.60355499999999995</v>
      </c>
      <c r="F332">
        <v>0.5</v>
      </c>
      <c r="G332">
        <v>64</v>
      </c>
      <c r="H332">
        <v>2.33</v>
      </c>
    </row>
    <row r="333" spans="1:8">
      <c r="A333" s="1">
        <v>48</v>
      </c>
      <c r="B333" t="s">
        <v>1800</v>
      </c>
      <c r="C333">
        <v>12</v>
      </c>
      <c r="D333">
        <v>279.64</v>
      </c>
      <c r="E333">
        <v>0.74006700000000003</v>
      </c>
      <c r="F333">
        <v>0.84</v>
      </c>
      <c r="G333">
        <v>28</v>
      </c>
      <c r="H333">
        <v>2.2799999999999998</v>
      </c>
    </row>
    <row r="334" spans="1:8">
      <c r="A334" s="1">
        <v>49</v>
      </c>
      <c r="B334" t="s">
        <v>1801</v>
      </c>
      <c r="C334">
        <v>12.77</v>
      </c>
      <c r="D334">
        <v>271.83999999999997</v>
      </c>
      <c r="E334">
        <v>0.491151</v>
      </c>
      <c r="F334">
        <v>0.54</v>
      </c>
      <c r="G334">
        <v>28</v>
      </c>
      <c r="H334">
        <v>2.42</v>
      </c>
    </row>
    <row r="335" spans="1:8">
      <c r="A335" s="1">
        <v>50</v>
      </c>
      <c r="B335" t="s">
        <v>1802</v>
      </c>
      <c r="C335">
        <v>12.4</v>
      </c>
      <c r="D335">
        <v>278.86</v>
      </c>
      <c r="E335">
        <v>0.63386900000000002</v>
      </c>
      <c r="F335">
        <v>1.42</v>
      </c>
      <c r="G335">
        <v>64</v>
      </c>
      <c r="H335">
        <v>2.35</v>
      </c>
    </row>
    <row r="336" spans="1:8">
      <c r="B336" s="1" t="s">
        <v>19</v>
      </c>
      <c r="C336" s="1">
        <f>AVERAGE(C286:C335)</f>
        <v>12.599399999999997</v>
      </c>
      <c r="D336" s="1" t="e">
        <f t="shared" ref="D336:F336" si="10">AVERAGE(D286:D335)</f>
        <v>#NAME?</v>
      </c>
      <c r="E336" s="1">
        <f t="shared" si="10"/>
        <v>0.56441914000000004</v>
      </c>
      <c r="F336" s="1">
        <f t="shared" si="10"/>
        <v>1.0336000000000001</v>
      </c>
      <c r="H336" s="1">
        <f t="shared" ref="H336" si="11">AVERAGE(H286:H335)</f>
        <v>2.391799999999999</v>
      </c>
    </row>
    <row r="337" spans="1:8">
      <c r="B337" s="1" t="s">
        <v>20</v>
      </c>
      <c r="C337" s="1">
        <f>MIN(C285:C335)</f>
        <v>11.32</v>
      </c>
      <c r="D337" s="1" t="e">
        <f t="shared" ref="D337:F337" si="12">MIN(D285:D335)</f>
        <v>#NAME?</v>
      </c>
      <c r="E337" s="1">
        <f t="shared" si="12"/>
        <v>0.33717799999999998</v>
      </c>
      <c r="F337" s="1">
        <f t="shared" si="12"/>
        <v>0</v>
      </c>
      <c r="H337" s="1">
        <f t="shared" ref="H337" si="13">MIN(H285:H335)</f>
        <v>2.14</v>
      </c>
    </row>
    <row r="338" spans="1:8">
      <c r="B338" s="1" t="s">
        <v>3</v>
      </c>
      <c r="C338" s="1">
        <f>STDEV(C286:C335)</f>
        <v>0.51433495795993267</v>
      </c>
      <c r="D338" s="1" t="e">
        <f t="shared" ref="D338:E338" si="14">STDEV(D286:D335)</f>
        <v>#NAME?</v>
      </c>
      <c r="E338" s="1">
        <f t="shared" si="14"/>
        <v>9.9176474376103455E-2</v>
      </c>
      <c r="F338" s="1">
        <f>STDEV(F286:F335)</f>
        <v>0.78733018253241827</v>
      </c>
      <c r="H338" s="1">
        <f>STDEV(H286:H335)</f>
        <v>9.6165036711469393E-2</v>
      </c>
    </row>
    <row r="340" spans="1:8">
      <c r="H340" s="18" t="s">
        <v>1435</v>
      </c>
    </row>
    <row r="341" spans="1:8" ht="18">
      <c r="A341" s="18" t="s">
        <v>7</v>
      </c>
      <c r="B341" s="3" t="s">
        <v>6</v>
      </c>
      <c r="C341" s="18" t="s">
        <v>4</v>
      </c>
      <c r="D341" s="18" t="s">
        <v>322</v>
      </c>
      <c r="E341" s="18" t="s">
        <v>321</v>
      </c>
      <c r="F341" s="18" t="s">
        <v>324</v>
      </c>
      <c r="G341" s="18" t="s">
        <v>323</v>
      </c>
      <c r="H341" s="18" t="s">
        <v>1436</v>
      </c>
    </row>
    <row r="342" spans="1:8">
      <c r="A342" s="1">
        <v>1</v>
      </c>
    </row>
    <row r="343" spans="1:8">
      <c r="A343" s="1">
        <v>2</v>
      </c>
    </row>
    <row r="344" spans="1:8">
      <c r="A344" s="1">
        <v>3</v>
      </c>
    </row>
    <row r="345" spans="1:8">
      <c r="A345" s="1">
        <v>4</v>
      </c>
    </row>
    <row r="346" spans="1:8">
      <c r="A346" s="1">
        <v>5</v>
      </c>
    </row>
    <row r="347" spans="1:8">
      <c r="A347" s="1">
        <v>6</v>
      </c>
    </row>
    <row r="348" spans="1:8">
      <c r="A348" s="1">
        <v>7</v>
      </c>
    </row>
    <row r="349" spans="1:8">
      <c r="A349" s="1">
        <v>8</v>
      </c>
    </row>
    <row r="350" spans="1:8">
      <c r="A350" s="1">
        <v>9</v>
      </c>
    </row>
    <row r="351" spans="1:8">
      <c r="A351" s="1">
        <v>10</v>
      </c>
    </row>
    <row r="352" spans="1:8">
      <c r="A352" s="1">
        <v>11</v>
      </c>
    </row>
    <row r="353" spans="1:1">
      <c r="A353" s="1">
        <v>12</v>
      </c>
    </row>
    <row r="354" spans="1:1">
      <c r="A354" s="1">
        <v>13</v>
      </c>
    </row>
    <row r="355" spans="1:1">
      <c r="A355" s="1">
        <v>14</v>
      </c>
    </row>
    <row r="356" spans="1:1">
      <c r="A356" s="1">
        <v>15</v>
      </c>
    </row>
    <row r="357" spans="1:1">
      <c r="A357" s="1">
        <v>16</v>
      </c>
    </row>
    <row r="358" spans="1:1">
      <c r="A358" s="1">
        <v>17</v>
      </c>
    </row>
    <row r="359" spans="1:1">
      <c r="A359" s="1">
        <v>18</v>
      </c>
    </row>
    <row r="360" spans="1:1">
      <c r="A360" s="1">
        <v>19</v>
      </c>
    </row>
    <row r="361" spans="1:1">
      <c r="A361" s="1">
        <v>20</v>
      </c>
    </row>
    <row r="362" spans="1:1">
      <c r="A362" s="1">
        <v>21</v>
      </c>
    </row>
    <row r="363" spans="1:1">
      <c r="A363" s="1">
        <v>22</v>
      </c>
    </row>
    <row r="364" spans="1:1">
      <c r="A364" s="1">
        <v>23</v>
      </c>
    </row>
    <row r="365" spans="1:1">
      <c r="A365" s="1">
        <v>24</v>
      </c>
    </row>
    <row r="366" spans="1:1">
      <c r="A366" s="1">
        <v>25</v>
      </c>
    </row>
    <row r="367" spans="1:1">
      <c r="A367" s="1">
        <v>26</v>
      </c>
    </row>
    <row r="368" spans="1:1">
      <c r="A368" s="1">
        <v>27</v>
      </c>
    </row>
    <row r="369" spans="1:1">
      <c r="A369" s="1">
        <v>28</v>
      </c>
    </row>
    <row r="370" spans="1:1">
      <c r="A370" s="1">
        <v>29</v>
      </c>
    </row>
    <row r="371" spans="1:1">
      <c r="A371" s="1">
        <v>30</v>
      </c>
    </row>
    <row r="372" spans="1:1">
      <c r="A372" s="1">
        <v>31</v>
      </c>
    </row>
    <row r="373" spans="1:1">
      <c r="A373" s="1">
        <v>32</v>
      </c>
    </row>
    <row r="374" spans="1:1">
      <c r="A374" s="1">
        <v>33</v>
      </c>
    </row>
    <row r="375" spans="1:1">
      <c r="A375" s="1">
        <v>34</v>
      </c>
    </row>
    <row r="376" spans="1:1">
      <c r="A376" s="1">
        <v>35</v>
      </c>
    </row>
    <row r="377" spans="1:1">
      <c r="A377" s="1">
        <v>36</v>
      </c>
    </row>
    <row r="378" spans="1:1">
      <c r="A378" s="1">
        <v>37</v>
      </c>
    </row>
    <row r="379" spans="1:1">
      <c r="A379" s="1">
        <v>38</v>
      </c>
    </row>
    <row r="380" spans="1:1">
      <c r="A380" s="1">
        <v>39</v>
      </c>
    </row>
    <row r="381" spans="1:1">
      <c r="A381" s="1">
        <v>40</v>
      </c>
    </row>
    <row r="382" spans="1:1">
      <c r="A382" s="1">
        <v>41</v>
      </c>
    </row>
    <row r="383" spans="1:1">
      <c r="A383" s="1">
        <v>42</v>
      </c>
    </row>
    <row r="384" spans="1:1">
      <c r="A384" s="1">
        <v>43</v>
      </c>
    </row>
    <row r="385" spans="1:8">
      <c r="A385" s="1">
        <v>44</v>
      </c>
    </row>
    <row r="386" spans="1:8">
      <c r="A386" s="1">
        <v>45</v>
      </c>
    </row>
    <row r="387" spans="1:8">
      <c r="A387" s="1">
        <v>46</v>
      </c>
    </row>
    <row r="388" spans="1:8">
      <c r="A388" s="1">
        <v>47</v>
      </c>
    </row>
    <row r="389" spans="1:8">
      <c r="A389" s="1">
        <v>48</v>
      </c>
    </row>
    <row r="390" spans="1:8">
      <c r="A390" s="1">
        <v>49</v>
      </c>
    </row>
    <row r="391" spans="1:8">
      <c r="A391" s="1">
        <v>50</v>
      </c>
    </row>
    <row r="392" spans="1:8">
      <c r="B392" s="1" t="s">
        <v>19</v>
      </c>
      <c r="C392" s="1" t="e">
        <f>AVERAGE(C342:C391)</f>
        <v>#DIV/0!</v>
      </c>
      <c r="D392" s="1" t="e">
        <f t="shared" ref="D392:F392" si="15">AVERAGE(D342:D391)</f>
        <v>#DIV/0!</v>
      </c>
      <c r="E392" s="1" t="e">
        <f t="shared" si="15"/>
        <v>#DIV/0!</v>
      </c>
      <c r="F392" s="1" t="e">
        <f t="shared" si="15"/>
        <v>#DIV/0!</v>
      </c>
      <c r="H392" s="1" t="e">
        <f t="shared" ref="H392" si="16">AVERAGE(H342:H391)</f>
        <v>#DIV/0!</v>
      </c>
    </row>
    <row r="393" spans="1:8">
      <c r="B393" s="1" t="s">
        <v>20</v>
      </c>
      <c r="C393" s="1">
        <f>MIN(C341:C391)</f>
        <v>0</v>
      </c>
      <c r="D393" s="1">
        <f t="shared" ref="D393:F393" si="17">MIN(D341:D391)</f>
        <v>0</v>
      </c>
      <c r="E393" s="1">
        <f t="shared" si="17"/>
        <v>0</v>
      </c>
      <c r="F393" s="1">
        <f t="shared" si="17"/>
        <v>0</v>
      </c>
      <c r="H393" s="1">
        <f t="shared" ref="H393" si="18">MIN(H341:H391)</f>
        <v>0</v>
      </c>
    </row>
    <row r="394" spans="1:8">
      <c r="B394" s="1" t="s">
        <v>3</v>
      </c>
      <c r="C394" s="1" t="e">
        <f>STDEV(C342:C391)</f>
        <v>#DIV/0!</v>
      </c>
      <c r="D394" s="1" t="e">
        <f t="shared" ref="D394:E394" si="19">STDEV(D342:D391)</f>
        <v>#DIV/0!</v>
      </c>
      <c r="E394" s="1" t="e">
        <f t="shared" si="19"/>
        <v>#DIV/0!</v>
      </c>
      <c r="F394" s="1" t="e">
        <f>STDEV(F342:F391)</f>
        <v>#DIV/0!</v>
      </c>
      <c r="H394" s="1" t="e">
        <f>STDEV(H342:H391)</f>
        <v>#DIV/0!</v>
      </c>
    </row>
    <row r="397" spans="1:8" ht="18">
      <c r="A397" s="18"/>
      <c r="B397" s="3"/>
      <c r="C397" s="18"/>
      <c r="D397" s="18"/>
      <c r="E397" s="18"/>
      <c r="F397" s="18"/>
      <c r="G397" s="18"/>
    </row>
    <row r="421" spans="2:4" ht="18">
      <c r="B421" s="3"/>
      <c r="C421" s="18"/>
      <c r="D421" s="18"/>
    </row>
    <row r="445" spans="2:4" ht="18">
      <c r="B445" s="3"/>
      <c r="C445" s="18"/>
      <c r="D445" s="18"/>
    </row>
  </sheetData>
  <mergeCells count="1">
    <mergeCell ref="B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45"/>
  <sheetViews>
    <sheetView topLeftCell="A19" zoomScale="70" zoomScaleNormal="70" workbookViewId="0">
      <selection activeCell="L37" sqref="A1:XFD1048576"/>
    </sheetView>
  </sheetViews>
  <sheetFormatPr defaultRowHeight="14.4"/>
  <cols>
    <col min="1" max="1" width="11.5546875" style="1" bestFit="1" customWidth="1"/>
    <col min="2" max="2" width="99" style="1" bestFit="1" customWidth="1"/>
    <col min="3" max="3" width="24.21875" style="1" bestFit="1" customWidth="1"/>
    <col min="4" max="4" width="17.88671875" style="1" bestFit="1" customWidth="1"/>
    <col min="5" max="5" width="8.88671875" style="1"/>
    <col min="6" max="6" width="24.109375" style="1" bestFit="1" customWidth="1"/>
    <col min="7" max="7" width="27.5546875" style="1" bestFit="1" customWidth="1"/>
    <col min="8" max="8" width="31.6640625" style="1" bestFit="1" customWidth="1"/>
    <col min="9" max="9" width="10.109375" style="1" bestFit="1" customWidth="1"/>
    <col min="10" max="11" width="8.88671875" style="1"/>
    <col min="12" max="12" width="14.109375" style="1" customWidth="1"/>
    <col min="13" max="16384" width="8.88671875" style="1"/>
  </cols>
  <sheetData>
    <row r="1" spans="1:8">
      <c r="B1" s="25" t="s">
        <v>2357</v>
      </c>
      <c r="C1" s="25"/>
      <c r="D1" s="25"/>
    </row>
    <row r="2" spans="1:8">
      <c r="B2" s="25"/>
      <c r="C2" s="25"/>
      <c r="D2" s="25"/>
    </row>
    <row r="4" spans="1:8">
      <c r="H4" s="18" t="s">
        <v>1435</v>
      </c>
    </row>
    <row r="5" spans="1:8" ht="18">
      <c r="A5" s="18" t="s">
        <v>7</v>
      </c>
      <c r="B5" s="3" t="s">
        <v>0</v>
      </c>
      <c r="C5" s="18" t="s">
        <v>4</v>
      </c>
      <c r="D5" s="18" t="s">
        <v>322</v>
      </c>
      <c r="E5" s="18" t="s">
        <v>321</v>
      </c>
      <c r="F5" s="18" t="s">
        <v>324</v>
      </c>
      <c r="G5" s="18" t="s">
        <v>323</v>
      </c>
      <c r="H5" s="18" t="s">
        <v>1436</v>
      </c>
    </row>
    <row r="6" spans="1:8">
      <c r="A6" s="1">
        <v>1</v>
      </c>
      <c r="B6" t="s">
        <v>1454</v>
      </c>
      <c r="C6">
        <v>102.16</v>
      </c>
      <c r="D6">
        <v>16.02</v>
      </c>
      <c r="E6">
        <v>0.99998699999999996</v>
      </c>
      <c r="F6">
        <v>101.8</v>
      </c>
      <c r="G6">
        <v>2</v>
      </c>
      <c r="H6">
        <v>19.309999999999999</v>
      </c>
    </row>
    <row r="7" spans="1:8">
      <c r="A7" s="1">
        <v>2</v>
      </c>
      <c r="B7" t="s">
        <v>1457</v>
      </c>
      <c r="C7">
        <v>235.24</v>
      </c>
      <c r="D7">
        <v>16.57</v>
      </c>
      <c r="E7">
        <v>0.75581500000000001</v>
      </c>
      <c r="F7">
        <v>101.53</v>
      </c>
      <c r="G7">
        <v>0</v>
      </c>
      <c r="H7">
        <v>44.63</v>
      </c>
    </row>
    <row r="8" spans="1:8">
      <c r="A8" s="1">
        <v>3</v>
      </c>
      <c r="B8" t="s">
        <v>1460</v>
      </c>
      <c r="C8">
        <v>281.26</v>
      </c>
      <c r="D8">
        <v>16.850000000000001</v>
      </c>
      <c r="E8">
        <v>0.90806900000000002</v>
      </c>
      <c r="F8">
        <v>191.77</v>
      </c>
      <c r="G8">
        <v>0</v>
      </c>
      <c r="H8">
        <v>53.64</v>
      </c>
    </row>
    <row r="9" spans="1:8">
      <c r="A9" s="1">
        <v>4</v>
      </c>
      <c r="B9" t="s">
        <v>1463</v>
      </c>
      <c r="C9">
        <v>247.35</v>
      </c>
      <c r="D9">
        <v>16.75</v>
      </c>
      <c r="E9">
        <v>0.92610899999999996</v>
      </c>
      <c r="F9">
        <v>177.48</v>
      </c>
      <c r="G9">
        <v>0</v>
      </c>
      <c r="H9">
        <v>47.21</v>
      </c>
    </row>
    <row r="10" spans="1:8">
      <c r="A10" s="1">
        <v>5</v>
      </c>
      <c r="B10" t="s">
        <v>1466</v>
      </c>
      <c r="C10">
        <v>68.08</v>
      </c>
      <c r="D10">
        <v>15.67</v>
      </c>
      <c r="E10">
        <v>0.99835399999999996</v>
      </c>
      <c r="F10">
        <v>65.319999999999993</v>
      </c>
      <c r="G10">
        <v>2</v>
      </c>
      <c r="H10">
        <v>12.96</v>
      </c>
    </row>
    <row r="11" spans="1:8">
      <c r="A11" s="1">
        <v>6</v>
      </c>
      <c r="B11" t="s">
        <v>1469</v>
      </c>
      <c r="C11">
        <v>149.05000000000001</v>
      </c>
      <c r="D11">
        <v>16.309999999999999</v>
      </c>
      <c r="E11">
        <v>0.92244099999999996</v>
      </c>
      <c r="F11">
        <v>105.83</v>
      </c>
      <c r="G11">
        <v>0</v>
      </c>
      <c r="H11">
        <v>28.64</v>
      </c>
    </row>
    <row r="12" spans="1:8">
      <c r="A12" s="1">
        <v>7</v>
      </c>
      <c r="B12" t="s">
        <v>1472</v>
      </c>
      <c r="C12">
        <v>147</v>
      </c>
      <c r="D12">
        <v>16.28</v>
      </c>
      <c r="E12">
        <v>0.90224899999999997</v>
      </c>
      <c r="F12">
        <v>98.61</v>
      </c>
      <c r="G12">
        <v>0</v>
      </c>
      <c r="H12">
        <v>28.43</v>
      </c>
    </row>
    <row r="13" spans="1:8">
      <c r="A13" s="1">
        <v>8</v>
      </c>
      <c r="B13" t="s">
        <v>1475</v>
      </c>
      <c r="C13">
        <v>128.69999999999999</v>
      </c>
      <c r="D13">
        <v>16.22</v>
      </c>
      <c r="E13">
        <v>0.99991699999999994</v>
      </c>
      <c r="F13">
        <v>127.53</v>
      </c>
      <c r="G13">
        <v>0</v>
      </c>
      <c r="H13">
        <v>24.5</v>
      </c>
    </row>
    <row r="14" spans="1:8">
      <c r="A14" s="1">
        <v>9</v>
      </c>
      <c r="B14" t="s">
        <v>1478</v>
      </c>
      <c r="C14">
        <v>67.739999999999995</v>
      </c>
      <c r="D14">
        <v>15.66</v>
      </c>
      <c r="E14">
        <v>0.99979899999999999</v>
      </c>
      <c r="F14">
        <v>66.78</v>
      </c>
      <c r="G14">
        <v>0</v>
      </c>
      <c r="H14">
        <v>12.86</v>
      </c>
    </row>
    <row r="15" spans="1:8">
      <c r="A15" s="1">
        <v>10</v>
      </c>
      <c r="B15" t="s">
        <v>1481</v>
      </c>
      <c r="C15">
        <v>90.11</v>
      </c>
      <c r="D15">
        <v>15.91</v>
      </c>
      <c r="E15">
        <v>0.99870499999999995</v>
      </c>
      <c r="F15">
        <v>86.86</v>
      </c>
      <c r="G15">
        <v>0</v>
      </c>
      <c r="H15">
        <v>17.739999999999998</v>
      </c>
    </row>
    <row r="16" spans="1:8">
      <c r="A16" s="1">
        <v>11</v>
      </c>
      <c r="B16" t="s">
        <v>1484</v>
      </c>
      <c r="C16">
        <v>102.18</v>
      </c>
      <c r="D16">
        <v>16.02</v>
      </c>
      <c r="E16">
        <v>0.99999899999999997</v>
      </c>
      <c r="F16">
        <v>102.07</v>
      </c>
      <c r="G16">
        <v>0</v>
      </c>
      <c r="H16">
        <v>19.309999999999999</v>
      </c>
    </row>
    <row r="17" spans="1:8">
      <c r="A17" s="1">
        <v>12</v>
      </c>
      <c r="B17" t="s">
        <v>1487</v>
      </c>
      <c r="C17">
        <v>147.99</v>
      </c>
      <c r="D17">
        <v>16.29</v>
      </c>
      <c r="E17">
        <v>0.90864900000000004</v>
      </c>
      <c r="F17">
        <v>101.07</v>
      </c>
      <c r="G17">
        <v>0</v>
      </c>
      <c r="H17">
        <v>28.33</v>
      </c>
    </row>
    <row r="18" spans="1:8">
      <c r="A18" s="1">
        <v>13</v>
      </c>
      <c r="B18" t="s">
        <v>1490</v>
      </c>
      <c r="C18">
        <v>235.56</v>
      </c>
      <c r="D18">
        <v>16.57</v>
      </c>
      <c r="E18">
        <v>0.75278</v>
      </c>
      <c r="F18">
        <v>100.57</v>
      </c>
      <c r="G18">
        <v>2</v>
      </c>
      <c r="H18">
        <v>44.87</v>
      </c>
    </row>
    <row r="19" spans="1:8">
      <c r="A19" s="1">
        <v>14</v>
      </c>
      <c r="B19" t="s">
        <v>1493</v>
      </c>
      <c r="C19">
        <v>230.13</v>
      </c>
      <c r="D19">
        <v>16.72</v>
      </c>
      <c r="E19">
        <v>0.99996399999999996</v>
      </c>
      <c r="F19">
        <v>228.75</v>
      </c>
      <c r="G19">
        <v>0</v>
      </c>
      <c r="H19">
        <v>47.14</v>
      </c>
    </row>
    <row r="20" spans="1:8">
      <c r="A20" s="1">
        <v>15</v>
      </c>
      <c r="B20" t="s">
        <v>1496</v>
      </c>
      <c r="C20">
        <v>89.76</v>
      </c>
      <c r="D20">
        <v>15.91</v>
      </c>
      <c r="E20">
        <v>0.99901200000000001</v>
      </c>
      <c r="F20">
        <v>86.94</v>
      </c>
      <c r="G20">
        <v>2</v>
      </c>
      <c r="H20">
        <v>17.59</v>
      </c>
    </row>
    <row r="21" spans="1:8">
      <c r="A21" s="1">
        <v>16</v>
      </c>
      <c r="B21" t="s">
        <v>1499</v>
      </c>
      <c r="C21">
        <v>281.11</v>
      </c>
      <c r="D21">
        <v>16.850000000000001</v>
      </c>
      <c r="E21">
        <v>0.90531200000000001</v>
      </c>
      <c r="F21">
        <v>190.2</v>
      </c>
      <c r="G21">
        <v>2</v>
      </c>
      <c r="H21">
        <v>53.87</v>
      </c>
    </row>
    <row r="22" spans="1:8">
      <c r="A22" s="1">
        <v>17</v>
      </c>
      <c r="B22" t="s">
        <v>1502</v>
      </c>
      <c r="C22">
        <v>68.08</v>
      </c>
      <c r="D22">
        <v>15.67</v>
      </c>
      <c r="E22">
        <v>0.99835399999999996</v>
      </c>
      <c r="F22">
        <v>65.319999999999993</v>
      </c>
      <c r="G22">
        <v>2</v>
      </c>
      <c r="H22">
        <v>12.96</v>
      </c>
    </row>
    <row r="23" spans="1:8">
      <c r="A23" s="1">
        <v>18</v>
      </c>
      <c r="B23" t="s">
        <v>1505</v>
      </c>
      <c r="C23">
        <v>147.91999999999999</v>
      </c>
      <c r="D23">
        <v>16.29</v>
      </c>
      <c r="E23">
        <v>0.90829000000000004</v>
      </c>
      <c r="F23">
        <v>100.92</v>
      </c>
      <c r="G23">
        <v>2</v>
      </c>
      <c r="H23">
        <v>28.33</v>
      </c>
    </row>
    <row r="24" spans="1:8">
      <c r="A24" s="1">
        <v>19</v>
      </c>
      <c r="B24" t="s">
        <v>1508</v>
      </c>
      <c r="C24">
        <v>235.93</v>
      </c>
      <c r="D24">
        <v>16.57</v>
      </c>
      <c r="E24">
        <v>0.75034299999999998</v>
      </c>
      <c r="F24">
        <v>99.84</v>
      </c>
      <c r="G24">
        <v>0</v>
      </c>
      <c r="H24">
        <v>44.92</v>
      </c>
    </row>
    <row r="25" spans="1:8">
      <c r="A25" s="1">
        <v>20</v>
      </c>
      <c r="B25" t="s">
        <v>1511</v>
      </c>
      <c r="C25">
        <v>81.45</v>
      </c>
      <c r="D25">
        <v>15.82</v>
      </c>
      <c r="E25">
        <v>0.99888100000000002</v>
      </c>
      <c r="F25">
        <v>78.72</v>
      </c>
      <c r="G25">
        <v>0</v>
      </c>
      <c r="H25">
        <v>15.52</v>
      </c>
    </row>
    <row r="26" spans="1:8">
      <c r="A26" s="1">
        <v>21</v>
      </c>
      <c r="B26" t="s">
        <v>1514</v>
      </c>
      <c r="C26">
        <v>319.07</v>
      </c>
      <c r="D26">
        <v>17.010000000000002</v>
      </c>
      <c r="E26">
        <v>0.99985500000000005</v>
      </c>
      <c r="F26">
        <v>315.23</v>
      </c>
      <c r="G26">
        <v>2</v>
      </c>
      <c r="H26">
        <v>64.459999999999994</v>
      </c>
    </row>
    <row r="27" spans="1:8">
      <c r="A27" s="1">
        <v>22</v>
      </c>
      <c r="B27" t="s">
        <v>1517</v>
      </c>
      <c r="C27">
        <v>102.16</v>
      </c>
      <c r="D27">
        <v>16.02</v>
      </c>
      <c r="E27">
        <v>0.99998699999999996</v>
      </c>
      <c r="F27">
        <v>101.8</v>
      </c>
      <c r="G27">
        <v>2</v>
      </c>
      <c r="H27">
        <v>19.309999999999999</v>
      </c>
    </row>
    <row r="28" spans="1:8">
      <c r="A28" s="1">
        <v>23</v>
      </c>
      <c r="B28" t="s">
        <v>1520</v>
      </c>
      <c r="C28">
        <v>151.07</v>
      </c>
      <c r="D28">
        <v>16.36</v>
      </c>
      <c r="E28">
        <v>0.99979700000000005</v>
      </c>
      <c r="F28">
        <v>148.91999999999999</v>
      </c>
      <c r="G28">
        <v>0</v>
      </c>
      <c r="H28">
        <v>29.72</v>
      </c>
    </row>
    <row r="29" spans="1:8">
      <c r="A29" s="1">
        <v>24</v>
      </c>
      <c r="B29" t="s">
        <v>1523</v>
      </c>
      <c r="C29">
        <v>147</v>
      </c>
      <c r="D29">
        <v>16.28</v>
      </c>
      <c r="E29">
        <v>0.90224899999999997</v>
      </c>
      <c r="F29">
        <v>98.61</v>
      </c>
      <c r="G29">
        <v>0</v>
      </c>
      <c r="H29">
        <v>28.43</v>
      </c>
    </row>
    <row r="30" spans="1:8">
      <c r="A30" s="1">
        <v>25</v>
      </c>
      <c r="B30" t="s">
        <v>1526</v>
      </c>
      <c r="C30">
        <v>281.26</v>
      </c>
      <c r="D30">
        <v>16.850000000000001</v>
      </c>
      <c r="E30">
        <v>0.90806900000000002</v>
      </c>
      <c r="F30">
        <v>191.77</v>
      </c>
      <c r="G30">
        <v>0</v>
      </c>
      <c r="H30">
        <v>53.64</v>
      </c>
    </row>
    <row r="31" spans="1:8">
      <c r="A31" s="1">
        <v>26</v>
      </c>
      <c r="B31" t="s">
        <v>1529</v>
      </c>
      <c r="C31">
        <v>141.96</v>
      </c>
      <c r="D31">
        <v>16.3</v>
      </c>
      <c r="E31">
        <v>0.99380000000000002</v>
      </c>
      <c r="F31">
        <v>130.75</v>
      </c>
      <c r="G31">
        <v>0</v>
      </c>
      <c r="H31">
        <v>29.22</v>
      </c>
    </row>
    <row r="32" spans="1:8">
      <c r="A32" s="1">
        <v>27</v>
      </c>
      <c r="B32" t="s">
        <v>1532</v>
      </c>
      <c r="C32">
        <v>187.26</v>
      </c>
      <c r="D32">
        <v>16.54</v>
      </c>
      <c r="E32">
        <v>0.999803</v>
      </c>
      <c r="F32">
        <v>184.63</v>
      </c>
      <c r="G32">
        <v>0</v>
      </c>
      <c r="H32">
        <v>35.450000000000003</v>
      </c>
    </row>
    <row r="33" spans="1:8">
      <c r="A33" s="1">
        <v>28</v>
      </c>
      <c r="B33" t="s">
        <v>1535</v>
      </c>
      <c r="C33">
        <v>236.2</v>
      </c>
      <c r="D33">
        <v>16.57</v>
      </c>
      <c r="E33">
        <v>0.750135</v>
      </c>
      <c r="F33">
        <v>99.88</v>
      </c>
      <c r="G33">
        <v>0</v>
      </c>
      <c r="H33">
        <v>44.89</v>
      </c>
    </row>
    <row r="34" spans="1:8">
      <c r="A34" s="1">
        <v>29</v>
      </c>
      <c r="B34" t="s">
        <v>1538</v>
      </c>
      <c r="C34">
        <v>196.34</v>
      </c>
      <c r="D34">
        <v>16.59</v>
      </c>
      <c r="E34">
        <v>0.99973699999999999</v>
      </c>
      <c r="F34">
        <v>193.15</v>
      </c>
      <c r="G34">
        <v>0</v>
      </c>
      <c r="H34">
        <v>37.65</v>
      </c>
    </row>
    <row r="35" spans="1:8">
      <c r="A35" s="1">
        <v>30</v>
      </c>
      <c r="B35" t="s">
        <v>1541</v>
      </c>
      <c r="C35">
        <v>235.53</v>
      </c>
      <c r="D35">
        <v>16.57</v>
      </c>
      <c r="E35">
        <v>0.75282499999999997</v>
      </c>
      <c r="F35">
        <v>100.57</v>
      </c>
      <c r="G35">
        <v>2</v>
      </c>
      <c r="H35">
        <v>44.88</v>
      </c>
    </row>
    <row r="36" spans="1:8">
      <c r="A36" s="1">
        <v>31</v>
      </c>
      <c r="B36" t="s">
        <v>1544</v>
      </c>
      <c r="C36">
        <v>282.08999999999997</v>
      </c>
      <c r="D36">
        <v>16.87</v>
      </c>
      <c r="E36">
        <v>0.936554</v>
      </c>
      <c r="F36">
        <v>208.67</v>
      </c>
      <c r="G36">
        <v>2</v>
      </c>
      <c r="H36">
        <v>54</v>
      </c>
    </row>
    <row r="37" spans="1:8">
      <c r="A37" s="1">
        <v>32</v>
      </c>
      <c r="B37" t="s">
        <v>1547</v>
      </c>
      <c r="C37">
        <v>147.91999999999999</v>
      </c>
      <c r="D37">
        <v>16.29</v>
      </c>
      <c r="E37">
        <v>0.90829000000000004</v>
      </c>
      <c r="F37">
        <v>100.92</v>
      </c>
      <c r="G37">
        <v>2</v>
      </c>
      <c r="H37">
        <v>28.33</v>
      </c>
    </row>
    <row r="38" spans="1:8">
      <c r="A38" s="1">
        <v>33</v>
      </c>
      <c r="B38" t="s">
        <v>1550</v>
      </c>
      <c r="C38">
        <v>226.14</v>
      </c>
      <c r="D38">
        <v>16.7</v>
      </c>
      <c r="E38">
        <v>0.97762099999999996</v>
      </c>
      <c r="F38">
        <v>191.92</v>
      </c>
      <c r="G38">
        <v>0</v>
      </c>
      <c r="H38">
        <v>44.6</v>
      </c>
    </row>
    <row r="39" spans="1:8">
      <c r="A39" s="1">
        <v>34</v>
      </c>
      <c r="B39" t="s">
        <v>1553</v>
      </c>
      <c r="C39">
        <v>102.16</v>
      </c>
      <c r="D39">
        <v>16.02</v>
      </c>
      <c r="E39">
        <v>0.99998699999999996</v>
      </c>
      <c r="F39">
        <v>101.8</v>
      </c>
      <c r="G39">
        <v>2</v>
      </c>
      <c r="H39">
        <v>19.309999999999999</v>
      </c>
    </row>
    <row r="40" spans="1:8">
      <c r="A40" s="1">
        <v>35</v>
      </c>
      <c r="B40" t="s">
        <v>1556</v>
      </c>
      <c r="C40">
        <v>148.24</v>
      </c>
      <c r="D40">
        <v>16.3</v>
      </c>
      <c r="E40">
        <v>0.92319499999999999</v>
      </c>
      <c r="F40">
        <v>105.48</v>
      </c>
      <c r="G40">
        <v>2</v>
      </c>
      <c r="H40">
        <v>28.45</v>
      </c>
    </row>
    <row r="41" spans="1:8">
      <c r="A41" s="1">
        <v>36</v>
      </c>
      <c r="B41" t="s">
        <v>1559</v>
      </c>
      <c r="C41">
        <v>319.07</v>
      </c>
      <c r="D41">
        <v>17.010000000000002</v>
      </c>
      <c r="E41">
        <v>0.99985500000000005</v>
      </c>
      <c r="F41">
        <v>315.23</v>
      </c>
      <c r="G41">
        <v>2</v>
      </c>
      <c r="H41">
        <v>64.459999999999994</v>
      </c>
    </row>
    <row r="42" spans="1:8">
      <c r="A42" s="1">
        <v>37</v>
      </c>
      <c r="B42" t="s">
        <v>1562</v>
      </c>
      <c r="C42">
        <v>134.55000000000001</v>
      </c>
      <c r="D42">
        <v>16.25</v>
      </c>
      <c r="E42">
        <v>0.97297299999999998</v>
      </c>
      <c r="F42">
        <v>112.13</v>
      </c>
      <c r="G42">
        <v>0</v>
      </c>
      <c r="H42">
        <v>25.92</v>
      </c>
    </row>
    <row r="43" spans="1:8">
      <c r="A43" s="1">
        <v>38</v>
      </c>
      <c r="B43" t="s">
        <v>1565</v>
      </c>
      <c r="C43">
        <v>129.24</v>
      </c>
      <c r="D43">
        <v>16.22</v>
      </c>
      <c r="E43">
        <v>0.99992800000000004</v>
      </c>
      <c r="F43">
        <v>128.13999999999999</v>
      </c>
      <c r="G43">
        <v>0</v>
      </c>
      <c r="H43">
        <v>24.59</v>
      </c>
    </row>
    <row r="44" spans="1:8">
      <c r="A44" s="1">
        <v>39</v>
      </c>
      <c r="B44" t="s">
        <v>1568</v>
      </c>
      <c r="C44">
        <v>226.12</v>
      </c>
      <c r="D44">
        <v>16.7</v>
      </c>
      <c r="E44">
        <v>0.97759300000000005</v>
      </c>
      <c r="F44">
        <v>191.88</v>
      </c>
      <c r="G44">
        <v>2</v>
      </c>
      <c r="H44">
        <v>44.59</v>
      </c>
    </row>
    <row r="45" spans="1:8">
      <c r="A45" s="1">
        <v>40</v>
      </c>
      <c r="B45" t="s">
        <v>1571</v>
      </c>
      <c r="C45">
        <v>244.45</v>
      </c>
      <c r="D45">
        <v>16.77</v>
      </c>
      <c r="E45">
        <v>0.97826000000000002</v>
      </c>
      <c r="F45">
        <v>208.01</v>
      </c>
      <c r="G45">
        <v>0</v>
      </c>
      <c r="H45">
        <v>48.61</v>
      </c>
    </row>
    <row r="46" spans="1:8">
      <c r="A46" s="1">
        <v>41</v>
      </c>
      <c r="B46" t="s">
        <v>1574</v>
      </c>
      <c r="C46">
        <v>148.51</v>
      </c>
      <c r="D46">
        <v>16.29</v>
      </c>
      <c r="E46">
        <v>0.90328600000000003</v>
      </c>
      <c r="F46">
        <v>99.92</v>
      </c>
      <c r="G46">
        <v>0</v>
      </c>
      <c r="H46">
        <v>28.61</v>
      </c>
    </row>
    <row r="47" spans="1:8">
      <c r="A47" s="1">
        <v>42</v>
      </c>
      <c r="B47" t="s">
        <v>1577</v>
      </c>
      <c r="C47">
        <v>81.45</v>
      </c>
      <c r="D47">
        <v>15.82</v>
      </c>
      <c r="E47">
        <v>0.99888100000000002</v>
      </c>
      <c r="F47">
        <v>78.72</v>
      </c>
      <c r="G47">
        <v>0</v>
      </c>
      <c r="H47">
        <v>15.52</v>
      </c>
    </row>
    <row r="48" spans="1:8">
      <c r="A48" s="1">
        <v>43</v>
      </c>
      <c r="B48" t="s">
        <v>1580</v>
      </c>
      <c r="C48">
        <v>234.28</v>
      </c>
      <c r="D48">
        <v>16.57</v>
      </c>
      <c r="E48">
        <v>0.75632500000000003</v>
      </c>
      <c r="F48">
        <v>101.3</v>
      </c>
      <c r="G48">
        <v>2</v>
      </c>
      <c r="H48">
        <v>44.63</v>
      </c>
    </row>
    <row r="49" spans="1:8">
      <c r="A49" s="1">
        <v>44</v>
      </c>
      <c r="B49" t="s">
        <v>1583</v>
      </c>
      <c r="C49">
        <v>236.2</v>
      </c>
      <c r="D49">
        <v>16.57</v>
      </c>
      <c r="E49">
        <v>0.750135</v>
      </c>
      <c r="F49">
        <v>99.88</v>
      </c>
      <c r="G49">
        <v>0</v>
      </c>
      <c r="H49">
        <v>44.89</v>
      </c>
    </row>
    <row r="50" spans="1:8">
      <c r="A50" s="1">
        <v>45</v>
      </c>
      <c r="B50" t="s">
        <v>1586</v>
      </c>
      <c r="C50">
        <v>226.14</v>
      </c>
      <c r="D50">
        <v>16.7</v>
      </c>
      <c r="E50">
        <v>0.97762099999999996</v>
      </c>
      <c r="F50">
        <v>191.92</v>
      </c>
      <c r="G50">
        <v>0</v>
      </c>
      <c r="H50">
        <v>44.6</v>
      </c>
    </row>
    <row r="51" spans="1:8">
      <c r="A51" s="1">
        <v>46</v>
      </c>
      <c r="B51" t="s">
        <v>1589</v>
      </c>
      <c r="C51">
        <v>237.16</v>
      </c>
      <c r="D51">
        <v>16.61</v>
      </c>
      <c r="E51">
        <v>0.77926499999999999</v>
      </c>
      <c r="F51">
        <v>110.94</v>
      </c>
      <c r="G51">
        <v>2</v>
      </c>
      <c r="H51">
        <v>44.95</v>
      </c>
    </row>
    <row r="52" spans="1:8">
      <c r="A52" s="1">
        <v>47</v>
      </c>
      <c r="B52" t="s">
        <v>1592</v>
      </c>
      <c r="C52">
        <v>81.45</v>
      </c>
      <c r="D52">
        <v>15.82</v>
      </c>
      <c r="E52">
        <v>0.99888100000000002</v>
      </c>
      <c r="F52">
        <v>78.72</v>
      </c>
      <c r="G52">
        <v>0</v>
      </c>
      <c r="H52">
        <v>15.52</v>
      </c>
    </row>
    <row r="53" spans="1:8">
      <c r="A53" s="1">
        <v>48</v>
      </c>
      <c r="B53" t="s">
        <v>1595</v>
      </c>
      <c r="C53">
        <v>98.23</v>
      </c>
      <c r="D53">
        <v>15.98</v>
      </c>
      <c r="E53">
        <v>0.999834</v>
      </c>
      <c r="F53">
        <v>96.96</v>
      </c>
      <c r="G53">
        <v>0</v>
      </c>
      <c r="H53">
        <v>18.809999999999999</v>
      </c>
    </row>
    <row r="54" spans="1:8">
      <c r="A54" s="1">
        <v>49</v>
      </c>
      <c r="B54" t="s">
        <v>1598</v>
      </c>
      <c r="C54">
        <v>319.07</v>
      </c>
      <c r="D54">
        <v>17.010000000000002</v>
      </c>
      <c r="E54">
        <v>0.99985500000000005</v>
      </c>
      <c r="F54">
        <v>315.23</v>
      </c>
      <c r="G54">
        <v>2</v>
      </c>
      <c r="H54">
        <v>64.459999999999994</v>
      </c>
    </row>
    <row r="55" spans="1:8">
      <c r="A55" s="1">
        <v>50</v>
      </c>
      <c r="B55" t="s">
        <v>1601</v>
      </c>
      <c r="C55">
        <v>187.26</v>
      </c>
      <c r="D55">
        <v>16.54</v>
      </c>
      <c r="E55">
        <v>0.999803</v>
      </c>
      <c r="F55">
        <v>184.63</v>
      </c>
      <c r="G55">
        <v>0</v>
      </c>
      <c r="H55">
        <v>35.450000000000003</v>
      </c>
    </row>
    <row r="56" spans="1:8">
      <c r="B56" s="1" t="s">
        <v>19</v>
      </c>
      <c r="C56" s="1">
        <f>AVERAGE(C6:C55)</f>
        <v>178.88760000000002</v>
      </c>
      <c r="D56" s="1" t="e">
        <f>AVERAGE(#REF!)</f>
        <v>#REF!</v>
      </c>
      <c r="E56" s="1" t="e">
        <f>AVERAGE(#REF!)</f>
        <v>#REF!</v>
      </c>
      <c r="F56" s="1" t="e">
        <f>AVERAGE(#REF!)</f>
        <v>#REF!</v>
      </c>
      <c r="H56" s="1" t="e">
        <f>AVERAGE(#REF!)</f>
        <v>#REF!</v>
      </c>
    </row>
    <row r="57" spans="1:8">
      <c r="B57" s="1" t="s">
        <v>20</v>
      </c>
      <c r="C57" s="1">
        <f>MIN(C5:C55)</f>
        <v>67.739999999999995</v>
      </c>
      <c r="D57" s="1">
        <f>MIN(D5:D55)</f>
        <v>15.66</v>
      </c>
      <c r="E57" s="1">
        <f>MIN(E5:E55)</f>
        <v>0.750135</v>
      </c>
      <c r="F57" s="1">
        <f>MIN(F5:F55)</f>
        <v>65.319999999999993</v>
      </c>
      <c r="H57" s="1">
        <f>MIN(H5:H55)</f>
        <v>12.86</v>
      </c>
    </row>
    <row r="58" spans="1:8">
      <c r="B58" s="1" t="s">
        <v>3</v>
      </c>
      <c r="C58" s="1" t="e">
        <f>STDEV(#REF!)</f>
        <v>#REF!</v>
      </c>
      <c r="D58" s="1" t="e">
        <f>STDEV(#REF!)</f>
        <v>#REF!</v>
      </c>
      <c r="E58" s="1" t="e">
        <f>STDEV(#REF!)</f>
        <v>#REF!</v>
      </c>
      <c r="F58" s="1" t="e">
        <f>STDEV(#REF!)</f>
        <v>#REF!</v>
      </c>
      <c r="H58" s="1" t="e">
        <f>STDEV(#REF!)</f>
        <v>#REF!</v>
      </c>
    </row>
    <row r="60" spans="1:8">
      <c r="H60" s="18" t="s">
        <v>1435</v>
      </c>
    </row>
    <row r="61" spans="1:8" ht="18">
      <c r="A61" s="18" t="s">
        <v>7</v>
      </c>
      <c r="B61" s="3" t="s">
        <v>8</v>
      </c>
      <c r="C61" s="18" t="s">
        <v>4</v>
      </c>
      <c r="D61" s="18" t="s">
        <v>322</v>
      </c>
      <c r="E61" s="18" t="s">
        <v>321</v>
      </c>
      <c r="F61" s="18" t="s">
        <v>324</v>
      </c>
      <c r="G61" s="18" t="s">
        <v>323</v>
      </c>
      <c r="H61" s="18" t="s">
        <v>1436</v>
      </c>
    </row>
    <row r="62" spans="1:8">
      <c r="A62" s="1">
        <v>1</v>
      </c>
      <c r="B62" t="s">
        <v>2054</v>
      </c>
      <c r="C62">
        <v>85.87</v>
      </c>
      <c r="D62">
        <v>39.53</v>
      </c>
      <c r="E62">
        <v>0.85810900000000001</v>
      </c>
      <c r="F62">
        <v>65.16</v>
      </c>
      <c r="G62">
        <v>8</v>
      </c>
      <c r="H62">
        <v>16.48</v>
      </c>
    </row>
    <row r="63" spans="1:8">
      <c r="A63" s="1">
        <v>2</v>
      </c>
      <c r="B63" t="s">
        <v>2055</v>
      </c>
      <c r="C63">
        <v>87.13</v>
      </c>
      <c r="D63">
        <v>39.4</v>
      </c>
      <c r="E63">
        <v>0.72103600000000001</v>
      </c>
      <c r="F63">
        <v>52.88</v>
      </c>
      <c r="G63">
        <v>8</v>
      </c>
      <c r="H63">
        <v>16.68</v>
      </c>
    </row>
    <row r="64" spans="1:8">
      <c r="A64" s="1">
        <v>3</v>
      </c>
      <c r="B64" t="s">
        <v>2056</v>
      </c>
      <c r="C64">
        <v>102.7</v>
      </c>
      <c r="D64">
        <v>40.03</v>
      </c>
      <c r="E64">
        <v>0.97347399999999995</v>
      </c>
      <c r="F64">
        <v>79.22</v>
      </c>
      <c r="G64">
        <v>0</v>
      </c>
      <c r="H64">
        <v>19.670000000000002</v>
      </c>
    </row>
    <row r="65" spans="1:8">
      <c r="A65" s="1">
        <v>4</v>
      </c>
      <c r="B65" t="s">
        <v>2057</v>
      </c>
      <c r="C65">
        <v>98.73</v>
      </c>
      <c r="D65">
        <v>39.090000000000003</v>
      </c>
      <c r="E65">
        <v>0.73668299999999998</v>
      </c>
      <c r="F65">
        <v>6.84</v>
      </c>
      <c r="G65">
        <v>4</v>
      </c>
      <c r="H65">
        <v>18.989999999999998</v>
      </c>
    </row>
    <row r="66" spans="1:8">
      <c r="A66" s="1">
        <v>5</v>
      </c>
      <c r="B66" t="s">
        <v>2058</v>
      </c>
      <c r="C66">
        <v>87.58</v>
      </c>
      <c r="D66">
        <v>39.409999999999997</v>
      </c>
      <c r="E66">
        <v>0.72786499999999998</v>
      </c>
      <c r="F66">
        <v>53.64</v>
      </c>
      <c r="G66">
        <v>0</v>
      </c>
      <c r="H66">
        <v>16.809999999999999</v>
      </c>
    </row>
    <row r="67" spans="1:8">
      <c r="A67" s="1">
        <v>6</v>
      </c>
      <c r="B67" t="s">
        <v>2059</v>
      </c>
      <c r="C67">
        <v>98.13</v>
      </c>
      <c r="D67">
        <v>39.950000000000003</v>
      </c>
      <c r="E67">
        <v>0.98837600000000003</v>
      </c>
      <c r="F67">
        <v>80.489999999999995</v>
      </c>
      <c r="G67">
        <v>2</v>
      </c>
      <c r="H67">
        <v>18.72</v>
      </c>
    </row>
    <row r="68" spans="1:8">
      <c r="A68" s="1">
        <v>7</v>
      </c>
      <c r="B68" t="s">
        <v>2060</v>
      </c>
      <c r="C68">
        <v>49.06</v>
      </c>
      <c r="D68">
        <v>38.33</v>
      </c>
      <c r="E68">
        <v>0.903285</v>
      </c>
      <c r="F68">
        <v>31.91</v>
      </c>
      <c r="G68">
        <v>4</v>
      </c>
      <c r="H68">
        <v>9.32</v>
      </c>
    </row>
    <row r="69" spans="1:8">
      <c r="A69" s="1">
        <v>8</v>
      </c>
      <c r="B69" t="s">
        <v>2061</v>
      </c>
      <c r="C69">
        <v>99.63</v>
      </c>
      <c r="D69">
        <v>39.57</v>
      </c>
      <c r="E69">
        <v>0.72385299999999997</v>
      </c>
      <c r="F69">
        <v>46.16</v>
      </c>
      <c r="G69">
        <v>4</v>
      </c>
      <c r="H69">
        <v>19.05</v>
      </c>
    </row>
    <row r="70" spans="1:8">
      <c r="A70" s="1">
        <v>9</v>
      </c>
      <c r="B70" t="s">
        <v>2062</v>
      </c>
      <c r="C70">
        <v>82.43</v>
      </c>
      <c r="D70">
        <v>39.5</v>
      </c>
      <c r="E70">
        <v>0.93745299999999998</v>
      </c>
      <c r="F70">
        <v>54.84</v>
      </c>
      <c r="G70">
        <v>0</v>
      </c>
      <c r="H70">
        <v>15.7</v>
      </c>
    </row>
    <row r="71" spans="1:8">
      <c r="A71" s="1">
        <v>10</v>
      </c>
      <c r="B71" t="s">
        <v>2063</v>
      </c>
      <c r="C71">
        <v>67.569999999999993</v>
      </c>
      <c r="D71">
        <v>38.46</v>
      </c>
      <c r="E71">
        <v>0.52860200000000002</v>
      </c>
      <c r="F71">
        <v>28.03</v>
      </c>
      <c r="G71">
        <v>4</v>
      </c>
      <c r="H71">
        <v>12.9</v>
      </c>
    </row>
    <row r="72" spans="1:8">
      <c r="A72" s="1">
        <v>11</v>
      </c>
      <c r="B72" t="s">
        <v>2064</v>
      </c>
      <c r="C72">
        <v>90.75</v>
      </c>
      <c r="D72">
        <v>39.61</v>
      </c>
      <c r="E72">
        <v>0.88302499999999995</v>
      </c>
      <c r="F72">
        <v>42.74</v>
      </c>
      <c r="G72">
        <v>6</v>
      </c>
      <c r="H72">
        <v>17.39</v>
      </c>
    </row>
    <row r="73" spans="1:8">
      <c r="A73" s="1">
        <v>12</v>
      </c>
      <c r="B73" t="s">
        <v>2065</v>
      </c>
      <c r="C73">
        <v>75.56</v>
      </c>
      <c r="D73">
        <v>39.299999999999997</v>
      </c>
      <c r="E73">
        <v>0.92365900000000001</v>
      </c>
      <c r="F73">
        <v>55.49</v>
      </c>
      <c r="G73">
        <v>4</v>
      </c>
      <c r="H73">
        <v>14.37</v>
      </c>
    </row>
    <row r="74" spans="1:8">
      <c r="A74" s="1">
        <v>13</v>
      </c>
      <c r="B74" t="s">
        <v>2066</v>
      </c>
      <c r="C74">
        <v>84.65</v>
      </c>
      <c r="D74">
        <v>39.159999999999997</v>
      </c>
      <c r="E74">
        <v>0.67249999999999999</v>
      </c>
      <c r="F74">
        <v>34.21</v>
      </c>
      <c r="G74">
        <v>6</v>
      </c>
      <c r="H74">
        <v>16.11</v>
      </c>
    </row>
    <row r="75" spans="1:8">
      <c r="A75" s="1">
        <v>14</v>
      </c>
      <c r="B75" t="s">
        <v>2067</v>
      </c>
      <c r="C75">
        <v>99.13</v>
      </c>
      <c r="D75">
        <v>38.75</v>
      </c>
      <c r="E75">
        <v>0.52842299999999998</v>
      </c>
      <c r="F75">
        <v>15.05</v>
      </c>
      <c r="G75">
        <v>4</v>
      </c>
      <c r="H75">
        <v>18.899999999999999</v>
      </c>
    </row>
    <row r="76" spans="1:8">
      <c r="A76" s="1">
        <v>15</v>
      </c>
      <c r="B76" t="s">
        <v>2068</v>
      </c>
      <c r="C76">
        <v>78.36</v>
      </c>
      <c r="D76">
        <v>38.85</v>
      </c>
      <c r="E76">
        <v>0.68427400000000005</v>
      </c>
      <c r="F76">
        <v>18.510000000000002</v>
      </c>
      <c r="G76">
        <v>2</v>
      </c>
      <c r="H76">
        <v>14.98</v>
      </c>
    </row>
    <row r="77" spans="1:8">
      <c r="A77" s="1">
        <v>16</v>
      </c>
      <c r="B77" t="s">
        <v>2069</v>
      </c>
      <c r="C77">
        <v>112.47</v>
      </c>
      <c r="D77">
        <v>37.89</v>
      </c>
      <c r="E77">
        <v>0.44239000000000001</v>
      </c>
      <c r="F77">
        <v>0.81</v>
      </c>
      <c r="G77">
        <v>8</v>
      </c>
      <c r="H77">
        <v>21.39</v>
      </c>
    </row>
    <row r="78" spans="1:8">
      <c r="A78" s="1">
        <v>17</v>
      </c>
      <c r="B78" t="s">
        <v>2070</v>
      </c>
      <c r="C78">
        <v>96.82</v>
      </c>
      <c r="D78">
        <v>39.04</v>
      </c>
      <c r="E78">
        <v>0.76399799999999995</v>
      </c>
      <c r="F78">
        <v>6.11</v>
      </c>
      <c r="G78">
        <v>2</v>
      </c>
      <c r="H78">
        <v>18.57</v>
      </c>
    </row>
    <row r="79" spans="1:8">
      <c r="A79" s="1">
        <v>18</v>
      </c>
      <c r="B79" t="s">
        <v>2071</v>
      </c>
      <c r="C79">
        <v>60.91</v>
      </c>
      <c r="D79">
        <v>35.68</v>
      </c>
      <c r="E79">
        <v>0.60545599999999999</v>
      </c>
      <c r="F79">
        <v>0.57999999999999996</v>
      </c>
      <c r="G79">
        <v>4</v>
      </c>
      <c r="H79">
        <v>11.6</v>
      </c>
    </row>
    <row r="80" spans="1:8">
      <c r="A80" s="1">
        <v>19</v>
      </c>
      <c r="B80" t="s">
        <v>2072</v>
      </c>
      <c r="C80">
        <v>115.08</v>
      </c>
      <c r="D80">
        <v>38.86</v>
      </c>
      <c r="E80">
        <v>0.74224199999999996</v>
      </c>
      <c r="F80">
        <v>2.04</v>
      </c>
      <c r="G80">
        <v>0</v>
      </c>
      <c r="H80">
        <v>21.85</v>
      </c>
    </row>
    <row r="81" spans="1:8">
      <c r="A81" s="1">
        <v>20</v>
      </c>
      <c r="B81" t="s">
        <v>2073</v>
      </c>
      <c r="C81">
        <v>108.49</v>
      </c>
      <c r="D81">
        <v>39.79</v>
      </c>
      <c r="E81">
        <v>0.69269400000000003</v>
      </c>
      <c r="F81">
        <v>48.04</v>
      </c>
      <c r="G81">
        <v>6</v>
      </c>
      <c r="H81">
        <v>20.84</v>
      </c>
    </row>
    <row r="82" spans="1:8">
      <c r="A82" s="1">
        <v>21</v>
      </c>
      <c r="B82" t="s">
        <v>2074</v>
      </c>
      <c r="C82">
        <v>96</v>
      </c>
      <c r="D82">
        <v>39.229999999999997</v>
      </c>
      <c r="E82">
        <v>0.63905100000000004</v>
      </c>
      <c r="F82">
        <v>32.49</v>
      </c>
      <c r="G82">
        <v>2</v>
      </c>
      <c r="H82">
        <v>18.309999999999999</v>
      </c>
    </row>
    <row r="83" spans="1:8">
      <c r="A83" s="1">
        <v>22</v>
      </c>
      <c r="B83" t="s">
        <v>2075</v>
      </c>
      <c r="C83">
        <v>118.38</v>
      </c>
      <c r="D83">
        <v>39.44</v>
      </c>
      <c r="E83">
        <v>0.78664400000000001</v>
      </c>
      <c r="F83">
        <v>6.45</v>
      </c>
      <c r="G83">
        <v>2</v>
      </c>
      <c r="H83">
        <v>22.66</v>
      </c>
    </row>
    <row r="84" spans="1:8">
      <c r="A84" s="1">
        <v>23</v>
      </c>
      <c r="B84" t="s">
        <v>2076</v>
      </c>
      <c r="C84">
        <v>71.19</v>
      </c>
      <c r="D84">
        <v>38.68</v>
      </c>
      <c r="E84">
        <v>0.56805399999999995</v>
      </c>
      <c r="F84">
        <v>33.22</v>
      </c>
      <c r="G84">
        <v>0</v>
      </c>
      <c r="H84">
        <v>13.58</v>
      </c>
    </row>
    <row r="85" spans="1:8">
      <c r="A85" s="1">
        <v>24</v>
      </c>
      <c r="B85" t="s">
        <v>2077</v>
      </c>
      <c r="C85">
        <v>79.900000000000006</v>
      </c>
      <c r="D85">
        <v>38.51</v>
      </c>
      <c r="E85">
        <v>0.81195799999999996</v>
      </c>
      <c r="F85">
        <v>3.38</v>
      </c>
      <c r="G85">
        <v>4</v>
      </c>
      <c r="H85">
        <v>15.25</v>
      </c>
    </row>
    <row r="86" spans="1:8">
      <c r="A86" s="1">
        <v>25</v>
      </c>
      <c r="B86" t="s">
        <v>2078</v>
      </c>
      <c r="C86">
        <v>48.04</v>
      </c>
      <c r="D86">
        <v>38.26</v>
      </c>
      <c r="E86">
        <v>0.88420600000000005</v>
      </c>
      <c r="F86">
        <v>28.3</v>
      </c>
      <c r="G86">
        <v>8</v>
      </c>
      <c r="H86">
        <v>9.2200000000000006</v>
      </c>
    </row>
    <row r="87" spans="1:8">
      <c r="A87" s="1">
        <v>26</v>
      </c>
      <c r="B87" t="s">
        <v>2079</v>
      </c>
      <c r="C87">
        <v>97.75</v>
      </c>
      <c r="D87">
        <v>37.46</v>
      </c>
      <c r="E87">
        <v>0.57411299999999998</v>
      </c>
      <c r="F87">
        <v>2.69</v>
      </c>
      <c r="G87">
        <v>8</v>
      </c>
      <c r="H87">
        <v>18.79</v>
      </c>
    </row>
    <row r="88" spans="1:8">
      <c r="A88" s="1">
        <v>27</v>
      </c>
      <c r="B88" t="s">
        <v>2080</v>
      </c>
      <c r="C88">
        <v>68.58</v>
      </c>
      <c r="D88">
        <v>38.520000000000003</v>
      </c>
      <c r="E88">
        <v>0.54700300000000002</v>
      </c>
      <c r="F88">
        <v>27.46</v>
      </c>
      <c r="G88">
        <v>6</v>
      </c>
      <c r="H88">
        <v>13.08</v>
      </c>
    </row>
    <row r="89" spans="1:8">
      <c r="A89" s="1">
        <v>28</v>
      </c>
      <c r="B89" t="s">
        <v>2081</v>
      </c>
      <c r="C89">
        <v>68.34</v>
      </c>
      <c r="D89">
        <v>37.700000000000003</v>
      </c>
      <c r="E89">
        <v>0.77481800000000001</v>
      </c>
      <c r="F89">
        <v>1.04</v>
      </c>
      <c r="G89">
        <v>8</v>
      </c>
      <c r="H89">
        <v>12.93</v>
      </c>
    </row>
    <row r="90" spans="1:8">
      <c r="A90" s="1">
        <v>29</v>
      </c>
      <c r="B90" t="s">
        <v>2082</v>
      </c>
      <c r="C90">
        <v>79.69</v>
      </c>
      <c r="D90">
        <v>39.4</v>
      </c>
      <c r="E90">
        <v>0.92059400000000002</v>
      </c>
      <c r="F90">
        <v>49.46</v>
      </c>
      <c r="G90">
        <v>2</v>
      </c>
      <c r="H90">
        <v>15.29</v>
      </c>
    </row>
    <row r="91" spans="1:8">
      <c r="A91" s="1">
        <v>30</v>
      </c>
      <c r="B91" t="s">
        <v>2083</v>
      </c>
      <c r="C91">
        <v>55.09</v>
      </c>
      <c r="D91">
        <v>38.67</v>
      </c>
      <c r="E91">
        <v>0.97040999999999999</v>
      </c>
      <c r="F91">
        <v>40.28</v>
      </c>
      <c r="G91">
        <v>8</v>
      </c>
      <c r="H91">
        <v>10.8</v>
      </c>
    </row>
    <row r="92" spans="1:8">
      <c r="A92" s="1">
        <v>31</v>
      </c>
      <c r="B92" t="s">
        <v>2084</v>
      </c>
      <c r="C92">
        <v>106.71</v>
      </c>
      <c r="D92">
        <v>39.04</v>
      </c>
      <c r="E92">
        <v>0.40791699999999997</v>
      </c>
      <c r="F92">
        <v>33.56</v>
      </c>
      <c r="G92">
        <v>2</v>
      </c>
      <c r="H92">
        <v>20.37</v>
      </c>
    </row>
    <row r="93" spans="1:8">
      <c r="A93" s="1">
        <v>32</v>
      </c>
      <c r="B93" t="s">
        <v>2085</v>
      </c>
      <c r="C93">
        <v>132.79</v>
      </c>
      <c r="D93">
        <v>40.01</v>
      </c>
      <c r="E93">
        <v>0.55584</v>
      </c>
      <c r="F93">
        <v>63.24</v>
      </c>
      <c r="G93">
        <v>6</v>
      </c>
      <c r="H93">
        <v>25.37</v>
      </c>
    </row>
    <row r="94" spans="1:8">
      <c r="A94" s="1">
        <v>33</v>
      </c>
      <c r="B94" t="s">
        <v>2086</v>
      </c>
      <c r="C94">
        <v>97.41</v>
      </c>
      <c r="D94">
        <v>38.9</v>
      </c>
      <c r="E94">
        <v>0.72613099999999997</v>
      </c>
      <c r="F94">
        <v>4.6100000000000003</v>
      </c>
      <c r="G94">
        <v>2</v>
      </c>
      <c r="H94">
        <v>18.73</v>
      </c>
    </row>
    <row r="95" spans="1:8">
      <c r="A95" s="1">
        <v>34</v>
      </c>
      <c r="B95" t="s">
        <v>2087</v>
      </c>
      <c r="C95">
        <v>89.65</v>
      </c>
      <c r="D95">
        <v>39.4</v>
      </c>
      <c r="E95">
        <v>0.71869099999999997</v>
      </c>
      <c r="F95">
        <v>44.39</v>
      </c>
      <c r="G95">
        <v>0</v>
      </c>
      <c r="H95">
        <v>17.2</v>
      </c>
    </row>
    <row r="96" spans="1:8">
      <c r="A96" s="1">
        <v>35</v>
      </c>
      <c r="B96" t="s">
        <v>2088</v>
      </c>
      <c r="C96">
        <v>87.34</v>
      </c>
      <c r="D96">
        <v>39.39</v>
      </c>
      <c r="E96">
        <v>0.71575200000000005</v>
      </c>
      <c r="F96">
        <v>49.34</v>
      </c>
      <c r="G96">
        <v>4</v>
      </c>
      <c r="H96">
        <v>16.7</v>
      </c>
    </row>
    <row r="97" spans="1:8">
      <c r="A97" s="1">
        <v>36</v>
      </c>
      <c r="B97" t="s">
        <v>2089</v>
      </c>
      <c r="C97">
        <v>113.3</v>
      </c>
      <c r="D97">
        <v>39.979999999999997</v>
      </c>
      <c r="E97">
        <v>0.81040599999999996</v>
      </c>
      <c r="F97">
        <v>47.88</v>
      </c>
      <c r="G97">
        <v>4</v>
      </c>
      <c r="H97">
        <v>21.58</v>
      </c>
    </row>
    <row r="98" spans="1:8">
      <c r="A98" s="1">
        <v>37</v>
      </c>
      <c r="B98" t="s">
        <v>2090</v>
      </c>
      <c r="C98">
        <v>100.31</v>
      </c>
      <c r="D98">
        <v>38.71</v>
      </c>
      <c r="E98">
        <v>0.52101299999999995</v>
      </c>
      <c r="F98">
        <v>14.32</v>
      </c>
      <c r="G98">
        <v>6</v>
      </c>
      <c r="H98">
        <v>19.010000000000002</v>
      </c>
    </row>
    <row r="99" spans="1:8">
      <c r="A99" s="1">
        <v>38</v>
      </c>
      <c r="B99" t="s">
        <v>2091</v>
      </c>
      <c r="C99">
        <v>79.55</v>
      </c>
      <c r="D99">
        <v>36.130000000000003</v>
      </c>
      <c r="E99">
        <v>0.54457999999999995</v>
      </c>
      <c r="F99">
        <v>0.65</v>
      </c>
      <c r="G99">
        <v>0</v>
      </c>
      <c r="H99">
        <v>15.18</v>
      </c>
    </row>
    <row r="100" spans="1:8">
      <c r="A100" s="1">
        <v>39</v>
      </c>
      <c r="B100" t="s">
        <v>2092</v>
      </c>
      <c r="C100">
        <v>98.55</v>
      </c>
      <c r="D100">
        <v>39.69</v>
      </c>
      <c r="E100">
        <v>0.77712800000000004</v>
      </c>
      <c r="F100">
        <v>51.8</v>
      </c>
      <c r="G100">
        <v>6</v>
      </c>
      <c r="H100">
        <v>18.940000000000001</v>
      </c>
    </row>
    <row r="101" spans="1:8">
      <c r="A101" s="1">
        <v>40</v>
      </c>
      <c r="B101" t="s">
        <v>2093</v>
      </c>
      <c r="C101">
        <v>61.32</v>
      </c>
      <c r="D101">
        <v>37.53</v>
      </c>
      <c r="E101">
        <v>0.66086199999999995</v>
      </c>
      <c r="F101">
        <v>1.8</v>
      </c>
      <c r="G101">
        <v>2</v>
      </c>
      <c r="H101">
        <v>11.72</v>
      </c>
    </row>
    <row r="102" spans="1:8">
      <c r="A102" s="1">
        <v>41</v>
      </c>
      <c r="B102" t="s">
        <v>2094</v>
      </c>
      <c r="C102">
        <v>72.52</v>
      </c>
      <c r="D102">
        <v>38.72</v>
      </c>
      <c r="E102">
        <v>0.58186099999999996</v>
      </c>
      <c r="F102">
        <v>29.18</v>
      </c>
      <c r="G102">
        <v>6</v>
      </c>
      <c r="H102">
        <v>13.94</v>
      </c>
    </row>
    <row r="103" spans="1:8">
      <c r="A103" s="1">
        <v>42</v>
      </c>
      <c r="B103" t="s">
        <v>2095</v>
      </c>
      <c r="C103">
        <v>61.42</v>
      </c>
      <c r="D103">
        <v>37.770000000000003</v>
      </c>
      <c r="E103">
        <v>0.73556500000000002</v>
      </c>
      <c r="F103">
        <v>2.15</v>
      </c>
      <c r="G103">
        <v>0</v>
      </c>
      <c r="H103">
        <v>11.63</v>
      </c>
    </row>
    <row r="104" spans="1:8">
      <c r="A104" s="1">
        <v>43</v>
      </c>
      <c r="B104" t="s">
        <v>2096</v>
      </c>
      <c r="C104">
        <v>88.14</v>
      </c>
      <c r="D104">
        <v>39.29</v>
      </c>
      <c r="E104">
        <v>0.71570999999999996</v>
      </c>
      <c r="F104">
        <v>38.17</v>
      </c>
      <c r="G104">
        <v>2</v>
      </c>
      <c r="H104">
        <v>16.87</v>
      </c>
    </row>
    <row r="105" spans="1:8">
      <c r="A105" s="1">
        <v>44</v>
      </c>
      <c r="B105" t="s">
        <v>2097</v>
      </c>
      <c r="C105">
        <v>60.91</v>
      </c>
      <c r="D105">
        <v>37</v>
      </c>
      <c r="E105">
        <v>0.72089499999999995</v>
      </c>
      <c r="F105">
        <v>0.38</v>
      </c>
      <c r="G105">
        <v>4</v>
      </c>
      <c r="H105">
        <v>11.6</v>
      </c>
    </row>
    <row r="106" spans="1:8">
      <c r="A106" s="1">
        <v>45</v>
      </c>
      <c r="B106" t="s">
        <v>2098</v>
      </c>
      <c r="C106">
        <v>81.569999999999993</v>
      </c>
      <c r="D106">
        <v>37.79</v>
      </c>
      <c r="E106">
        <v>0.80223100000000003</v>
      </c>
      <c r="F106">
        <v>0.57999999999999996</v>
      </c>
      <c r="G106">
        <v>6</v>
      </c>
      <c r="H106">
        <v>15.46</v>
      </c>
    </row>
    <row r="107" spans="1:8">
      <c r="A107" s="1">
        <v>46</v>
      </c>
      <c r="B107" t="s">
        <v>2099</v>
      </c>
      <c r="C107">
        <v>78.510000000000005</v>
      </c>
      <c r="D107">
        <v>39.130000000000003</v>
      </c>
      <c r="E107">
        <v>0.73987199999999997</v>
      </c>
      <c r="F107">
        <v>37.44</v>
      </c>
      <c r="G107">
        <v>8</v>
      </c>
      <c r="H107">
        <v>15.14</v>
      </c>
    </row>
    <row r="108" spans="1:8">
      <c r="A108" s="1">
        <v>47</v>
      </c>
      <c r="B108" t="s">
        <v>2100</v>
      </c>
      <c r="C108">
        <v>97.93</v>
      </c>
      <c r="D108">
        <v>38.75</v>
      </c>
      <c r="E108">
        <v>0.73154399999999997</v>
      </c>
      <c r="F108">
        <v>3.11</v>
      </c>
      <c r="G108">
        <v>0</v>
      </c>
      <c r="H108">
        <v>18.84</v>
      </c>
    </row>
    <row r="109" spans="1:8">
      <c r="A109" s="1">
        <v>48</v>
      </c>
      <c r="B109" t="s">
        <v>2101</v>
      </c>
      <c r="C109">
        <v>119.15</v>
      </c>
      <c r="D109">
        <v>39.590000000000003</v>
      </c>
      <c r="E109">
        <v>0.48636200000000002</v>
      </c>
      <c r="F109">
        <v>45.58</v>
      </c>
      <c r="G109">
        <v>0</v>
      </c>
      <c r="H109">
        <v>22.69</v>
      </c>
    </row>
    <row r="110" spans="1:8">
      <c r="A110" s="1">
        <v>49</v>
      </c>
      <c r="B110" t="s">
        <v>2102</v>
      </c>
      <c r="C110">
        <v>79.930000000000007</v>
      </c>
      <c r="D110">
        <v>39.409999999999997</v>
      </c>
      <c r="E110">
        <v>0.92145100000000002</v>
      </c>
      <c r="F110">
        <v>50.84</v>
      </c>
      <c r="G110">
        <v>4</v>
      </c>
      <c r="H110">
        <v>15.25</v>
      </c>
    </row>
    <row r="111" spans="1:8">
      <c r="A111" s="1">
        <v>50</v>
      </c>
      <c r="B111" t="s">
        <v>2103</v>
      </c>
      <c r="C111">
        <v>99.46</v>
      </c>
      <c r="D111">
        <v>39.14</v>
      </c>
      <c r="E111">
        <v>0.61085199999999995</v>
      </c>
      <c r="F111">
        <v>11.71</v>
      </c>
      <c r="G111">
        <v>0</v>
      </c>
      <c r="H111">
        <v>19.07</v>
      </c>
    </row>
    <row r="112" spans="1:8">
      <c r="B112" s="1" t="s">
        <v>19</v>
      </c>
      <c r="C112" s="1">
        <f>AVERAGE(C62:C111)</f>
        <v>87.409600000000026</v>
      </c>
      <c r="D112" s="1">
        <f t="shared" ref="D112:F112" si="0">AVERAGE(D62:D111)</f>
        <v>38.828800000000015</v>
      </c>
      <c r="E112" s="1">
        <f t="shared" si="0"/>
        <v>0.71997822</v>
      </c>
      <c r="F112" s="1">
        <f t="shared" si="0"/>
        <v>29.565000000000005</v>
      </c>
      <c r="H112" s="1">
        <f t="shared" ref="H112" si="1">AVERAGE(H62:H111)</f>
        <v>16.710400000000007</v>
      </c>
    </row>
    <row r="113" spans="1:8">
      <c r="B113" s="1" t="s">
        <v>20</v>
      </c>
      <c r="C113" s="1">
        <f>MIN(C61:C111)</f>
        <v>48.04</v>
      </c>
      <c r="D113" s="1">
        <f t="shared" ref="D113:F113" si="2">MIN(D61:D111)</f>
        <v>35.68</v>
      </c>
      <c r="E113" s="1">
        <f t="shared" si="2"/>
        <v>0.40791699999999997</v>
      </c>
      <c r="F113" s="1">
        <f t="shared" si="2"/>
        <v>0.38</v>
      </c>
      <c r="H113" s="1">
        <f t="shared" ref="H113" si="3">MIN(H61:H111)</f>
        <v>9.2200000000000006</v>
      </c>
    </row>
    <row r="114" spans="1:8">
      <c r="B114" s="1" t="s">
        <v>3</v>
      </c>
      <c r="C114" s="1">
        <f>STDEV(C62:C111)</f>
        <v>18.968000331385056</v>
      </c>
      <c r="D114" s="1">
        <f t="shared" ref="D114:E114" si="4">STDEV(D62:D111)</f>
        <v>0.93259926429006212</v>
      </c>
      <c r="E114" s="1">
        <f t="shared" si="4"/>
        <v>0.14603260764487763</v>
      </c>
      <c r="F114" s="1">
        <f>STDEV(F62:F111)</f>
        <v>23.060964566442003</v>
      </c>
      <c r="H114" s="1">
        <f>STDEV(H62:H111)</f>
        <v>3.6225715074419491</v>
      </c>
    </row>
    <row r="116" spans="1:8">
      <c r="H116" s="18" t="s">
        <v>1435</v>
      </c>
    </row>
    <row r="117" spans="1:8" ht="18">
      <c r="A117" s="18" t="s">
        <v>7</v>
      </c>
      <c r="B117" s="3" t="s">
        <v>1</v>
      </c>
      <c r="C117" s="18" t="s">
        <v>4</v>
      </c>
      <c r="D117" s="18" t="s">
        <v>322</v>
      </c>
      <c r="E117" s="18" t="s">
        <v>321</v>
      </c>
      <c r="F117" s="18" t="s">
        <v>324</v>
      </c>
      <c r="G117" s="18" t="s">
        <v>323</v>
      </c>
      <c r="H117" s="18" t="s">
        <v>1436</v>
      </c>
    </row>
    <row r="118" spans="1:8">
      <c r="A118" s="1">
        <v>1</v>
      </c>
      <c r="B118" t="s">
        <v>1854</v>
      </c>
      <c r="C118">
        <v>44.76</v>
      </c>
      <c r="D118">
        <v>72.67</v>
      </c>
      <c r="E118">
        <v>0.64234199999999997</v>
      </c>
      <c r="F118">
        <v>0.15</v>
      </c>
      <c r="G118">
        <v>10</v>
      </c>
      <c r="H118">
        <v>8.51</v>
      </c>
    </row>
    <row r="119" spans="1:8">
      <c r="A119" s="1">
        <v>2</v>
      </c>
      <c r="B119" t="s">
        <v>1855</v>
      </c>
      <c r="C119">
        <v>50.16</v>
      </c>
      <c r="D119">
        <v>73.08</v>
      </c>
      <c r="E119">
        <v>0.60178399999999999</v>
      </c>
      <c r="F119">
        <v>0.81</v>
      </c>
      <c r="G119">
        <v>6</v>
      </c>
      <c r="H119">
        <v>9.57</v>
      </c>
    </row>
    <row r="120" spans="1:8">
      <c r="A120" s="1">
        <v>3</v>
      </c>
      <c r="B120" t="s">
        <v>1856</v>
      </c>
      <c r="C120">
        <v>50.3</v>
      </c>
      <c r="D120">
        <v>71.78</v>
      </c>
      <c r="E120">
        <v>0.49461899999999998</v>
      </c>
      <c r="F120">
        <v>0.61</v>
      </c>
      <c r="G120">
        <v>12</v>
      </c>
      <c r="H120">
        <v>9.57</v>
      </c>
    </row>
    <row r="121" spans="1:8">
      <c r="A121" s="1">
        <v>4</v>
      </c>
      <c r="B121" t="s">
        <v>1857</v>
      </c>
      <c r="C121">
        <v>42.63</v>
      </c>
      <c r="D121">
        <v>75.66</v>
      </c>
      <c r="E121">
        <v>0.75416499999999997</v>
      </c>
      <c r="F121">
        <v>13.94</v>
      </c>
      <c r="G121">
        <v>16</v>
      </c>
      <c r="H121">
        <v>8.15</v>
      </c>
    </row>
    <row r="122" spans="1:8">
      <c r="A122" s="1">
        <v>5</v>
      </c>
      <c r="B122" t="s">
        <v>1858</v>
      </c>
      <c r="C122">
        <v>49.46</v>
      </c>
      <c r="D122">
        <v>74.69</v>
      </c>
      <c r="E122">
        <v>0.498946</v>
      </c>
      <c r="F122">
        <v>9.7899999999999991</v>
      </c>
      <c r="G122">
        <v>16</v>
      </c>
      <c r="H122">
        <v>9.44</v>
      </c>
    </row>
    <row r="123" spans="1:8">
      <c r="A123" s="1">
        <v>6</v>
      </c>
      <c r="B123" t="s">
        <v>1859</v>
      </c>
      <c r="C123">
        <v>44.05</v>
      </c>
      <c r="D123">
        <v>74.87</v>
      </c>
      <c r="E123">
        <v>0.81704699999999997</v>
      </c>
      <c r="F123">
        <v>0.84</v>
      </c>
      <c r="G123">
        <v>18</v>
      </c>
      <c r="H123">
        <v>8.3800000000000008</v>
      </c>
    </row>
    <row r="124" spans="1:8">
      <c r="A124" s="1">
        <v>7</v>
      </c>
      <c r="B124" t="s">
        <v>1860</v>
      </c>
      <c r="C124">
        <v>60.07</v>
      </c>
      <c r="D124">
        <v>73.28</v>
      </c>
      <c r="E124">
        <v>0.50456100000000004</v>
      </c>
      <c r="F124">
        <v>2.42</v>
      </c>
      <c r="G124">
        <v>2</v>
      </c>
      <c r="H124">
        <v>11.43</v>
      </c>
    </row>
    <row r="125" spans="1:8">
      <c r="A125" s="1">
        <v>8</v>
      </c>
      <c r="B125" t="s">
        <v>1861</v>
      </c>
      <c r="C125">
        <v>40.880000000000003</v>
      </c>
      <c r="D125">
        <v>71.38</v>
      </c>
      <c r="E125">
        <v>0.56725000000000003</v>
      </c>
      <c r="F125">
        <v>0.42</v>
      </c>
      <c r="G125">
        <v>4</v>
      </c>
      <c r="H125">
        <v>7.74</v>
      </c>
    </row>
    <row r="126" spans="1:8">
      <c r="A126" s="1">
        <v>9</v>
      </c>
      <c r="B126" t="s">
        <v>1862</v>
      </c>
      <c r="C126">
        <v>49.48</v>
      </c>
      <c r="D126">
        <v>73.66</v>
      </c>
      <c r="E126">
        <v>0.62983699999999998</v>
      </c>
      <c r="F126">
        <v>0.65</v>
      </c>
      <c r="G126">
        <v>16</v>
      </c>
      <c r="H126">
        <v>9.4600000000000009</v>
      </c>
    </row>
    <row r="127" spans="1:8">
      <c r="A127" s="1">
        <v>10</v>
      </c>
      <c r="B127" t="s">
        <v>1863</v>
      </c>
      <c r="C127">
        <v>44.72</v>
      </c>
      <c r="D127">
        <v>74.790000000000006</v>
      </c>
      <c r="E127">
        <v>0.76991600000000004</v>
      </c>
      <c r="F127">
        <v>0.61</v>
      </c>
      <c r="G127">
        <v>16</v>
      </c>
      <c r="H127">
        <v>8.5</v>
      </c>
    </row>
    <row r="128" spans="1:8">
      <c r="A128" s="1">
        <v>11</v>
      </c>
      <c r="B128" t="s">
        <v>1864</v>
      </c>
      <c r="C128">
        <v>38.299999999999997</v>
      </c>
      <c r="D128">
        <v>75.59</v>
      </c>
      <c r="E128">
        <v>0.91483499999999995</v>
      </c>
      <c r="F128">
        <v>16.55</v>
      </c>
      <c r="G128">
        <v>4</v>
      </c>
      <c r="H128">
        <v>7.29</v>
      </c>
    </row>
    <row r="129" spans="1:8">
      <c r="A129" s="1">
        <v>12</v>
      </c>
      <c r="B129" t="s">
        <v>1865</v>
      </c>
      <c r="C129">
        <v>50.35</v>
      </c>
      <c r="D129">
        <v>74.11</v>
      </c>
      <c r="E129">
        <v>0.65054699999999999</v>
      </c>
      <c r="F129">
        <v>1.42</v>
      </c>
      <c r="G129">
        <v>12</v>
      </c>
      <c r="H129">
        <v>9.61</v>
      </c>
    </row>
    <row r="130" spans="1:8">
      <c r="A130" s="1">
        <v>13</v>
      </c>
      <c r="B130" t="s">
        <v>1866</v>
      </c>
      <c r="C130">
        <v>48.71</v>
      </c>
      <c r="D130">
        <v>74.790000000000006</v>
      </c>
      <c r="E130">
        <v>0.76089099999999998</v>
      </c>
      <c r="F130">
        <v>1.54</v>
      </c>
      <c r="G130">
        <v>14</v>
      </c>
      <c r="H130">
        <v>9.27</v>
      </c>
    </row>
    <row r="131" spans="1:8">
      <c r="A131" s="1">
        <v>14</v>
      </c>
      <c r="B131" t="s">
        <v>1867</v>
      </c>
      <c r="C131">
        <v>33.71</v>
      </c>
      <c r="D131">
        <v>74.28</v>
      </c>
      <c r="E131">
        <v>0.73398600000000003</v>
      </c>
      <c r="F131">
        <v>7.18</v>
      </c>
      <c r="G131">
        <v>4</v>
      </c>
      <c r="H131">
        <v>6.39</v>
      </c>
    </row>
    <row r="132" spans="1:8">
      <c r="A132" s="1">
        <v>15</v>
      </c>
      <c r="B132" t="s">
        <v>1868</v>
      </c>
      <c r="C132">
        <v>42.82</v>
      </c>
      <c r="D132">
        <v>75.95</v>
      </c>
      <c r="E132">
        <v>0.83533599999999997</v>
      </c>
      <c r="F132">
        <v>22.58</v>
      </c>
      <c r="G132">
        <v>18</v>
      </c>
      <c r="H132">
        <v>8.18</v>
      </c>
    </row>
    <row r="133" spans="1:8">
      <c r="A133" s="1">
        <v>16</v>
      </c>
      <c r="B133" t="s">
        <v>1869</v>
      </c>
      <c r="C133">
        <v>47.61</v>
      </c>
      <c r="D133">
        <v>75.92</v>
      </c>
      <c r="E133">
        <v>0.66134000000000004</v>
      </c>
      <c r="F133">
        <v>13.98</v>
      </c>
      <c r="G133">
        <v>12</v>
      </c>
      <c r="H133">
        <v>9.1</v>
      </c>
    </row>
    <row r="134" spans="1:8">
      <c r="A134" s="1">
        <v>17</v>
      </c>
      <c r="B134" t="s">
        <v>1870</v>
      </c>
      <c r="C134">
        <v>51.51</v>
      </c>
      <c r="D134">
        <v>76.650000000000006</v>
      </c>
      <c r="E134">
        <v>0.85843999999999998</v>
      </c>
      <c r="F134">
        <v>21.77</v>
      </c>
      <c r="G134">
        <v>0</v>
      </c>
      <c r="H134">
        <v>9.8800000000000008</v>
      </c>
    </row>
    <row r="135" spans="1:8">
      <c r="A135" s="1">
        <v>18</v>
      </c>
      <c r="B135" t="s">
        <v>1871</v>
      </c>
      <c r="C135">
        <v>48.53</v>
      </c>
      <c r="D135">
        <v>76.75</v>
      </c>
      <c r="E135">
        <v>0.94926500000000003</v>
      </c>
      <c r="F135">
        <v>36.67</v>
      </c>
      <c r="G135">
        <v>12</v>
      </c>
      <c r="H135">
        <v>9.31</v>
      </c>
    </row>
    <row r="136" spans="1:8">
      <c r="A136" s="1">
        <v>19</v>
      </c>
      <c r="B136" t="s">
        <v>1872</v>
      </c>
      <c r="C136">
        <v>43.78</v>
      </c>
      <c r="D136">
        <v>74.959999999999994</v>
      </c>
      <c r="E136">
        <v>0.54687699999999995</v>
      </c>
      <c r="F136">
        <v>8.26</v>
      </c>
      <c r="G136">
        <v>8</v>
      </c>
      <c r="H136">
        <v>8.34</v>
      </c>
    </row>
    <row r="137" spans="1:8">
      <c r="A137" s="1">
        <v>20</v>
      </c>
      <c r="B137" t="s">
        <v>1873</v>
      </c>
      <c r="C137">
        <v>41.68</v>
      </c>
      <c r="D137">
        <v>75.709999999999994</v>
      </c>
      <c r="E137">
        <v>0.79331200000000002</v>
      </c>
      <c r="F137">
        <v>21.35</v>
      </c>
      <c r="G137">
        <v>16</v>
      </c>
      <c r="H137">
        <v>7.97</v>
      </c>
    </row>
    <row r="138" spans="1:8">
      <c r="A138" s="1">
        <v>21</v>
      </c>
      <c r="B138" t="s">
        <v>1874</v>
      </c>
      <c r="C138">
        <v>52.5</v>
      </c>
      <c r="D138">
        <v>74.790000000000006</v>
      </c>
      <c r="E138">
        <v>0.55382200000000004</v>
      </c>
      <c r="F138">
        <v>3.96</v>
      </c>
      <c r="G138">
        <v>12</v>
      </c>
      <c r="H138">
        <v>10.039999999999999</v>
      </c>
    </row>
    <row r="139" spans="1:8">
      <c r="A139" s="1">
        <v>22</v>
      </c>
      <c r="B139" t="s">
        <v>1875</v>
      </c>
      <c r="C139">
        <v>48.38</v>
      </c>
      <c r="D139">
        <v>75.36</v>
      </c>
      <c r="E139">
        <v>0.72916999999999998</v>
      </c>
      <c r="F139">
        <v>2.5299999999999998</v>
      </c>
      <c r="G139">
        <v>16</v>
      </c>
      <c r="H139">
        <v>9.2200000000000006</v>
      </c>
    </row>
    <row r="140" spans="1:8">
      <c r="A140" s="1">
        <v>23</v>
      </c>
      <c r="B140" t="s">
        <v>1876</v>
      </c>
      <c r="C140">
        <v>41.91</v>
      </c>
      <c r="D140">
        <v>72.67</v>
      </c>
      <c r="E140">
        <v>0.60065299999999999</v>
      </c>
      <c r="F140">
        <v>0.5</v>
      </c>
      <c r="G140">
        <v>6</v>
      </c>
      <c r="H140">
        <v>8.01</v>
      </c>
    </row>
    <row r="141" spans="1:8">
      <c r="A141" s="1">
        <v>24</v>
      </c>
      <c r="B141" t="s">
        <v>1877</v>
      </c>
      <c r="C141">
        <v>52.44</v>
      </c>
      <c r="D141">
        <v>73.66</v>
      </c>
      <c r="E141">
        <v>0.51783900000000005</v>
      </c>
      <c r="F141">
        <v>0.5</v>
      </c>
      <c r="G141">
        <v>16</v>
      </c>
      <c r="H141">
        <v>9.9600000000000009</v>
      </c>
    </row>
    <row r="142" spans="1:8">
      <c r="A142" s="1">
        <v>25</v>
      </c>
      <c r="B142" t="s">
        <v>1878</v>
      </c>
      <c r="C142">
        <v>51.06</v>
      </c>
      <c r="D142">
        <v>73.25</v>
      </c>
      <c r="E142">
        <v>0.47759000000000001</v>
      </c>
      <c r="F142">
        <v>1.19</v>
      </c>
      <c r="G142">
        <v>12</v>
      </c>
      <c r="H142">
        <v>9.74</v>
      </c>
    </row>
    <row r="143" spans="1:8">
      <c r="A143" s="1">
        <v>26</v>
      </c>
      <c r="B143" t="s">
        <v>1879</v>
      </c>
      <c r="C143">
        <v>50.08</v>
      </c>
      <c r="D143">
        <v>75.02</v>
      </c>
      <c r="E143">
        <v>0.67209099999999999</v>
      </c>
      <c r="F143">
        <v>3.46</v>
      </c>
      <c r="G143">
        <v>0</v>
      </c>
      <c r="H143">
        <v>9.52</v>
      </c>
    </row>
    <row r="144" spans="1:8">
      <c r="A144" s="1">
        <v>27</v>
      </c>
      <c r="B144" t="s">
        <v>1880</v>
      </c>
      <c r="C144">
        <v>40.74</v>
      </c>
      <c r="D144">
        <v>74.83</v>
      </c>
      <c r="E144">
        <v>0.75156599999999996</v>
      </c>
      <c r="F144">
        <v>1.61</v>
      </c>
      <c r="G144">
        <v>14</v>
      </c>
      <c r="H144">
        <v>7.78</v>
      </c>
    </row>
    <row r="145" spans="1:8">
      <c r="A145" s="1">
        <v>28</v>
      </c>
      <c r="B145" t="s">
        <v>1881</v>
      </c>
      <c r="C145">
        <v>53.42</v>
      </c>
      <c r="D145">
        <v>73.739999999999995</v>
      </c>
      <c r="E145">
        <v>0.53550299999999995</v>
      </c>
      <c r="F145">
        <v>0.69</v>
      </c>
      <c r="G145">
        <v>6</v>
      </c>
      <c r="H145">
        <v>10.18</v>
      </c>
    </row>
    <row r="146" spans="1:8">
      <c r="A146" s="1">
        <v>29</v>
      </c>
      <c r="B146" t="s">
        <v>1882</v>
      </c>
      <c r="C146">
        <v>51.85</v>
      </c>
      <c r="D146">
        <v>71.67</v>
      </c>
      <c r="E146">
        <v>0.44886799999999999</v>
      </c>
      <c r="F146">
        <v>1.1100000000000001</v>
      </c>
      <c r="G146">
        <v>2</v>
      </c>
      <c r="H146">
        <v>9.9</v>
      </c>
    </row>
    <row r="147" spans="1:8">
      <c r="A147" s="1">
        <v>30</v>
      </c>
      <c r="B147" t="s">
        <v>1883</v>
      </c>
      <c r="C147">
        <v>44.44</v>
      </c>
      <c r="D147">
        <v>74.34</v>
      </c>
      <c r="E147">
        <v>0.54276899999999995</v>
      </c>
      <c r="F147">
        <v>1.61</v>
      </c>
      <c r="G147">
        <v>12</v>
      </c>
      <c r="H147">
        <v>8.4700000000000006</v>
      </c>
    </row>
    <row r="148" spans="1:8">
      <c r="A148" s="1">
        <v>31</v>
      </c>
      <c r="B148" t="s">
        <v>1884</v>
      </c>
      <c r="C148">
        <v>51.67</v>
      </c>
      <c r="D148">
        <v>75.989999999999995</v>
      </c>
      <c r="E148">
        <v>0.79610199999999998</v>
      </c>
      <c r="F148">
        <v>2.84</v>
      </c>
      <c r="G148">
        <v>2</v>
      </c>
      <c r="H148">
        <v>9.8800000000000008</v>
      </c>
    </row>
    <row r="149" spans="1:8">
      <c r="A149" s="1">
        <v>32</v>
      </c>
      <c r="B149" t="s">
        <v>1885</v>
      </c>
      <c r="C149">
        <v>51.24</v>
      </c>
      <c r="D149">
        <v>76.13</v>
      </c>
      <c r="E149">
        <v>0.64437900000000004</v>
      </c>
      <c r="F149">
        <v>21.81</v>
      </c>
      <c r="G149">
        <v>10</v>
      </c>
      <c r="H149">
        <v>9.75</v>
      </c>
    </row>
    <row r="150" spans="1:8">
      <c r="A150" s="1">
        <v>33</v>
      </c>
      <c r="B150" t="s">
        <v>1886</v>
      </c>
      <c r="C150">
        <v>49.12</v>
      </c>
      <c r="D150">
        <v>72.760000000000005</v>
      </c>
      <c r="E150">
        <v>0.47399000000000002</v>
      </c>
      <c r="F150">
        <v>1.5</v>
      </c>
      <c r="G150">
        <v>0</v>
      </c>
      <c r="H150">
        <v>9.3800000000000008</v>
      </c>
    </row>
    <row r="151" spans="1:8">
      <c r="A151" s="1">
        <v>34</v>
      </c>
      <c r="B151" t="s">
        <v>1887</v>
      </c>
      <c r="C151">
        <v>54.43</v>
      </c>
      <c r="D151">
        <v>76.790000000000006</v>
      </c>
      <c r="E151">
        <v>0.80890799999999996</v>
      </c>
      <c r="F151">
        <v>22.31</v>
      </c>
      <c r="G151">
        <v>6</v>
      </c>
      <c r="H151">
        <v>10.32</v>
      </c>
    </row>
    <row r="152" spans="1:8">
      <c r="A152" s="1">
        <v>35</v>
      </c>
      <c r="B152" t="s">
        <v>1888</v>
      </c>
      <c r="C152">
        <v>41.28</v>
      </c>
      <c r="D152">
        <v>74.48</v>
      </c>
      <c r="E152">
        <v>0.39219399999999999</v>
      </c>
      <c r="F152">
        <v>14.44</v>
      </c>
      <c r="G152">
        <v>0</v>
      </c>
      <c r="H152">
        <v>7.91</v>
      </c>
    </row>
    <row r="153" spans="1:8">
      <c r="A153" s="1">
        <v>36</v>
      </c>
      <c r="B153" t="s">
        <v>1889</v>
      </c>
      <c r="C153">
        <v>41.53</v>
      </c>
      <c r="D153">
        <v>69.45</v>
      </c>
      <c r="E153">
        <v>0.48399300000000001</v>
      </c>
      <c r="F153">
        <v>0.15</v>
      </c>
      <c r="G153">
        <v>12</v>
      </c>
      <c r="H153">
        <v>7.85</v>
      </c>
    </row>
    <row r="154" spans="1:8">
      <c r="A154" s="1">
        <v>37</v>
      </c>
      <c r="B154" t="s">
        <v>1890</v>
      </c>
      <c r="C154">
        <v>44.95</v>
      </c>
      <c r="D154">
        <v>76.209999999999994</v>
      </c>
      <c r="E154">
        <v>0.87544200000000005</v>
      </c>
      <c r="F154">
        <v>25.96</v>
      </c>
      <c r="G154">
        <v>12</v>
      </c>
      <c r="H154">
        <v>8.6</v>
      </c>
    </row>
    <row r="155" spans="1:8">
      <c r="A155" s="1">
        <v>38</v>
      </c>
      <c r="B155" t="s">
        <v>1891</v>
      </c>
      <c r="C155">
        <v>59.48</v>
      </c>
      <c r="D155">
        <v>76.349999999999994</v>
      </c>
      <c r="E155">
        <v>0.60269799999999996</v>
      </c>
      <c r="F155">
        <v>9.3699999999999992</v>
      </c>
      <c r="G155">
        <v>4</v>
      </c>
      <c r="H155">
        <v>11.39</v>
      </c>
    </row>
    <row r="156" spans="1:8">
      <c r="A156" s="1">
        <v>39</v>
      </c>
      <c r="B156" t="s">
        <v>1892</v>
      </c>
      <c r="C156">
        <v>46.16</v>
      </c>
      <c r="D156">
        <v>75.14</v>
      </c>
      <c r="E156">
        <v>0.71234299999999995</v>
      </c>
      <c r="F156">
        <v>1.54</v>
      </c>
      <c r="G156">
        <v>0</v>
      </c>
      <c r="H156">
        <v>8.7899999999999991</v>
      </c>
    </row>
    <row r="157" spans="1:8">
      <c r="A157" s="1">
        <v>40</v>
      </c>
      <c r="B157" t="s">
        <v>1893</v>
      </c>
      <c r="C157">
        <v>53.93</v>
      </c>
      <c r="D157">
        <v>75.540000000000006</v>
      </c>
      <c r="E157">
        <v>0.54174100000000003</v>
      </c>
      <c r="F157">
        <v>6.14</v>
      </c>
      <c r="G157">
        <v>10</v>
      </c>
      <c r="H157">
        <v>10.34</v>
      </c>
    </row>
    <row r="158" spans="1:8">
      <c r="A158" s="1">
        <v>41</v>
      </c>
      <c r="B158" t="s">
        <v>1894</v>
      </c>
      <c r="C158">
        <v>49.78</v>
      </c>
      <c r="D158">
        <v>74.989999999999995</v>
      </c>
      <c r="E158">
        <v>0.531246</v>
      </c>
      <c r="F158">
        <v>1.1499999999999999</v>
      </c>
      <c r="G158">
        <v>14</v>
      </c>
      <c r="H158">
        <v>9.49</v>
      </c>
    </row>
    <row r="159" spans="1:8">
      <c r="A159" s="1">
        <v>42</v>
      </c>
      <c r="B159" t="s">
        <v>1895</v>
      </c>
      <c r="C159">
        <v>43.18</v>
      </c>
      <c r="D159">
        <v>75.91</v>
      </c>
      <c r="E159">
        <v>0.79643399999999998</v>
      </c>
      <c r="F159">
        <v>24.88</v>
      </c>
      <c r="G159">
        <v>12</v>
      </c>
      <c r="H159">
        <v>8.27</v>
      </c>
    </row>
    <row r="160" spans="1:8">
      <c r="A160" s="1">
        <v>43</v>
      </c>
      <c r="B160" t="s">
        <v>1896</v>
      </c>
      <c r="C160">
        <v>56.29</v>
      </c>
      <c r="D160">
        <v>75.790000000000006</v>
      </c>
      <c r="E160">
        <v>0.63481100000000001</v>
      </c>
      <c r="F160">
        <v>4.8</v>
      </c>
      <c r="G160">
        <v>16</v>
      </c>
      <c r="H160">
        <v>10.71</v>
      </c>
    </row>
    <row r="161" spans="1:8">
      <c r="A161" s="1">
        <v>44</v>
      </c>
      <c r="B161" t="s">
        <v>1897</v>
      </c>
      <c r="C161">
        <v>30.44</v>
      </c>
      <c r="D161">
        <v>64.88</v>
      </c>
      <c r="E161">
        <v>0.31146000000000001</v>
      </c>
      <c r="F161">
        <v>0.23</v>
      </c>
      <c r="G161">
        <v>0</v>
      </c>
      <c r="H161">
        <v>5.82</v>
      </c>
    </row>
    <row r="162" spans="1:8">
      <c r="A162" s="1">
        <v>45</v>
      </c>
      <c r="B162" t="s">
        <v>1898</v>
      </c>
      <c r="C162">
        <v>50</v>
      </c>
      <c r="D162">
        <v>74.17</v>
      </c>
      <c r="E162">
        <v>0.61314599999999997</v>
      </c>
      <c r="F162">
        <v>2.38</v>
      </c>
      <c r="G162">
        <v>0</v>
      </c>
      <c r="H162">
        <v>9.57</v>
      </c>
    </row>
    <row r="163" spans="1:8">
      <c r="A163" s="1">
        <v>46</v>
      </c>
      <c r="B163" t="s">
        <v>1899</v>
      </c>
      <c r="C163">
        <v>52.35</v>
      </c>
      <c r="D163">
        <v>73.400000000000006</v>
      </c>
      <c r="E163">
        <v>0.472497</v>
      </c>
      <c r="F163">
        <v>1.34</v>
      </c>
      <c r="G163">
        <v>6</v>
      </c>
      <c r="H163">
        <v>9.99</v>
      </c>
    </row>
    <row r="164" spans="1:8">
      <c r="A164" s="1">
        <v>47</v>
      </c>
      <c r="B164" t="s">
        <v>1900</v>
      </c>
      <c r="C164">
        <v>47.2</v>
      </c>
      <c r="D164">
        <v>75.77</v>
      </c>
      <c r="E164">
        <v>0.72766600000000004</v>
      </c>
      <c r="F164">
        <v>10.48</v>
      </c>
      <c r="G164">
        <v>0</v>
      </c>
      <c r="H164">
        <v>9</v>
      </c>
    </row>
    <row r="165" spans="1:8">
      <c r="A165" s="1">
        <v>48</v>
      </c>
      <c r="B165" t="s">
        <v>1901</v>
      </c>
      <c r="C165">
        <v>54.58</v>
      </c>
      <c r="D165">
        <v>76.040000000000006</v>
      </c>
      <c r="E165">
        <v>0.87542799999999998</v>
      </c>
      <c r="F165">
        <v>1.1499999999999999</v>
      </c>
      <c r="G165">
        <v>2</v>
      </c>
      <c r="H165">
        <v>10.43</v>
      </c>
    </row>
    <row r="166" spans="1:8">
      <c r="A166" s="1">
        <v>49</v>
      </c>
      <c r="B166" t="s">
        <v>1902</v>
      </c>
      <c r="C166">
        <v>54.82</v>
      </c>
      <c r="D166">
        <v>70.81</v>
      </c>
      <c r="E166">
        <v>0.41807299999999997</v>
      </c>
      <c r="F166">
        <v>0.23</v>
      </c>
      <c r="G166">
        <v>16</v>
      </c>
      <c r="H166">
        <v>10.46</v>
      </c>
    </row>
    <row r="167" spans="1:8">
      <c r="A167" s="1">
        <v>50</v>
      </c>
      <c r="B167" t="s">
        <v>1903</v>
      </c>
      <c r="C167">
        <v>51.33</v>
      </c>
      <c r="D167">
        <v>76.709999999999994</v>
      </c>
      <c r="E167">
        <v>0.83957800000000005</v>
      </c>
      <c r="F167">
        <v>21.43</v>
      </c>
      <c r="G167">
        <v>16</v>
      </c>
      <c r="H167">
        <v>9.8000000000000007</v>
      </c>
    </row>
    <row r="168" spans="1:8">
      <c r="B168" s="1" t="s">
        <v>19</v>
      </c>
      <c r="C168" s="1">
        <f>AVERAGE(C118:C167)</f>
        <v>47.881800000000005</v>
      </c>
      <c r="D168" s="1" t="e">
        <f>AVERAGE(#REF!)</f>
        <v>#REF!</v>
      </c>
      <c r="E168" s="1" t="e">
        <f>AVERAGE(#REF!)</f>
        <v>#REF!</v>
      </c>
      <c r="F168" s="1" t="e">
        <f>AVERAGE(#REF!)</f>
        <v>#REF!</v>
      </c>
      <c r="H168" s="1" t="e">
        <f>AVERAGE(#REF!)</f>
        <v>#REF!</v>
      </c>
    </row>
    <row r="169" spans="1:8">
      <c r="B169" s="1" t="s">
        <v>20</v>
      </c>
      <c r="C169" s="1">
        <f>MIN(C117:C167)</f>
        <v>30.44</v>
      </c>
      <c r="D169" s="1">
        <f>MIN(D117:D167)</f>
        <v>64.88</v>
      </c>
      <c r="E169" s="1">
        <f>MIN(E117:E167)</f>
        <v>0.31146000000000001</v>
      </c>
      <c r="F169" s="1">
        <f>MIN(F117:F167)</f>
        <v>0.15</v>
      </c>
      <c r="H169" s="1">
        <f>MIN(H117:H167)</f>
        <v>5.82</v>
      </c>
    </row>
    <row r="170" spans="1:8">
      <c r="B170" s="1" t="s">
        <v>3</v>
      </c>
      <c r="C170" s="1" t="e">
        <f>STDEV(#REF!)</f>
        <v>#REF!</v>
      </c>
      <c r="D170" s="1" t="e">
        <f>STDEV(#REF!)</f>
        <v>#REF!</v>
      </c>
      <c r="E170" s="1" t="e">
        <f>STDEV(#REF!)</f>
        <v>#REF!</v>
      </c>
      <c r="F170" s="1" t="e">
        <f>STDEV(#REF!)</f>
        <v>#REF!</v>
      </c>
      <c r="H170" s="1" t="e">
        <f>STDEV(#REF!)</f>
        <v>#REF!</v>
      </c>
    </row>
    <row r="172" spans="1:8">
      <c r="H172" s="18" t="s">
        <v>1435</v>
      </c>
    </row>
    <row r="173" spans="1:8" ht="18">
      <c r="A173" s="18" t="s">
        <v>7</v>
      </c>
      <c r="B173" s="3" t="s">
        <v>9</v>
      </c>
      <c r="C173" s="18" t="s">
        <v>4</v>
      </c>
      <c r="D173" s="18" t="s">
        <v>322</v>
      </c>
      <c r="E173" s="18" t="s">
        <v>321</v>
      </c>
      <c r="F173" s="18" t="s">
        <v>324</v>
      </c>
      <c r="G173" s="18" t="s">
        <v>323</v>
      </c>
      <c r="H173" s="18" t="s">
        <v>1436</v>
      </c>
    </row>
    <row r="174" spans="1:8">
      <c r="A174" s="1">
        <v>1</v>
      </c>
      <c r="B174" t="s">
        <v>1904</v>
      </c>
      <c r="C174">
        <v>25.52</v>
      </c>
      <c r="D174">
        <v>143.5</v>
      </c>
      <c r="E174">
        <v>0.48195199999999999</v>
      </c>
      <c r="F174">
        <v>2.84</v>
      </c>
      <c r="G174">
        <v>24</v>
      </c>
      <c r="H174">
        <v>4.8499999999999996</v>
      </c>
    </row>
    <row r="175" spans="1:8">
      <c r="A175" s="1">
        <v>2</v>
      </c>
      <c r="B175" t="s">
        <v>1905</v>
      </c>
      <c r="C175">
        <v>22.78</v>
      </c>
      <c r="D175">
        <v>143.52000000000001</v>
      </c>
      <c r="E175">
        <v>0.63155799999999995</v>
      </c>
      <c r="F175">
        <v>1.96</v>
      </c>
      <c r="G175">
        <v>24</v>
      </c>
      <c r="H175">
        <v>4.33</v>
      </c>
    </row>
    <row r="176" spans="1:8">
      <c r="A176" s="1">
        <v>3</v>
      </c>
      <c r="B176" t="s">
        <v>1906</v>
      </c>
      <c r="C176">
        <v>25.46</v>
      </c>
      <c r="D176">
        <v>141.77000000000001</v>
      </c>
      <c r="E176">
        <v>0.773397</v>
      </c>
      <c r="F176">
        <v>0.15</v>
      </c>
      <c r="G176">
        <v>0</v>
      </c>
      <c r="H176">
        <v>4.87</v>
      </c>
    </row>
    <row r="177" spans="1:8">
      <c r="A177" s="1">
        <v>4</v>
      </c>
      <c r="B177" t="s">
        <v>1907</v>
      </c>
      <c r="C177">
        <v>25.59</v>
      </c>
      <c r="D177">
        <v>134.01</v>
      </c>
      <c r="E177">
        <v>0.383691</v>
      </c>
      <c r="F177">
        <v>0.04</v>
      </c>
      <c r="G177">
        <v>2</v>
      </c>
      <c r="H177">
        <v>4.8499999999999996</v>
      </c>
    </row>
    <row r="178" spans="1:8">
      <c r="A178" s="1">
        <v>5</v>
      </c>
      <c r="B178" t="s">
        <v>1908</v>
      </c>
      <c r="C178">
        <v>25.85</v>
      </c>
      <c r="D178">
        <v>145.03</v>
      </c>
      <c r="E178">
        <v>0.40532899999999999</v>
      </c>
      <c r="F178">
        <v>4.68</v>
      </c>
      <c r="G178">
        <v>4</v>
      </c>
      <c r="H178">
        <v>4.92</v>
      </c>
    </row>
    <row r="179" spans="1:8">
      <c r="A179" s="1">
        <v>6</v>
      </c>
      <c r="B179" t="s">
        <v>1909</v>
      </c>
      <c r="C179">
        <v>25.59</v>
      </c>
      <c r="D179">
        <v>142.08000000000001</v>
      </c>
      <c r="E179">
        <v>0.54037400000000002</v>
      </c>
      <c r="F179">
        <v>0.38</v>
      </c>
      <c r="G179">
        <v>22</v>
      </c>
      <c r="H179">
        <v>4.8600000000000003</v>
      </c>
    </row>
    <row r="180" spans="1:8">
      <c r="A180" s="1">
        <v>7</v>
      </c>
      <c r="B180" t="s">
        <v>1910</v>
      </c>
      <c r="C180">
        <v>26.4</v>
      </c>
      <c r="D180">
        <v>145.87</v>
      </c>
      <c r="E180">
        <v>0.62458499999999995</v>
      </c>
      <c r="F180">
        <v>3.11</v>
      </c>
      <c r="G180">
        <v>20</v>
      </c>
      <c r="H180">
        <v>5.04</v>
      </c>
    </row>
    <row r="181" spans="1:8">
      <c r="A181" s="1">
        <v>8</v>
      </c>
      <c r="B181" t="s">
        <v>1911</v>
      </c>
      <c r="C181">
        <v>25.88</v>
      </c>
      <c r="D181">
        <v>143.11000000000001</v>
      </c>
      <c r="E181">
        <v>0.46979700000000002</v>
      </c>
      <c r="F181">
        <v>2.19</v>
      </c>
      <c r="G181">
        <v>22</v>
      </c>
      <c r="H181">
        <v>4.93</v>
      </c>
    </row>
    <row r="182" spans="1:8">
      <c r="A182" s="1">
        <v>9</v>
      </c>
      <c r="B182" t="s">
        <v>1912</v>
      </c>
      <c r="C182">
        <v>25.89</v>
      </c>
      <c r="D182">
        <v>144.13</v>
      </c>
      <c r="E182">
        <v>0.55027400000000004</v>
      </c>
      <c r="F182">
        <v>2.42</v>
      </c>
      <c r="G182">
        <v>2</v>
      </c>
      <c r="H182">
        <v>4.93</v>
      </c>
    </row>
    <row r="183" spans="1:8">
      <c r="A183" s="1">
        <v>10</v>
      </c>
      <c r="B183" t="s">
        <v>1913</v>
      </c>
      <c r="C183">
        <v>28.38</v>
      </c>
      <c r="D183">
        <v>145.83000000000001</v>
      </c>
      <c r="E183">
        <v>0.41887000000000002</v>
      </c>
      <c r="F183">
        <v>4.8</v>
      </c>
      <c r="G183">
        <v>36</v>
      </c>
      <c r="H183">
        <v>5.42</v>
      </c>
    </row>
    <row r="184" spans="1:8">
      <c r="A184" s="1">
        <v>11</v>
      </c>
      <c r="B184" t="s">
        <v>1914</v>
      </c>
      <c r="C184">
        <v>25.27</v>
      </c>
      <c r="D184">
        <v>138.75</v>
      </c>
      <c r="E184">
        <v>0.447017</v>
      </c>
      <c r="F184">
        <v>0.27</v>
      </c>
      <c r="G184">
        <v>30</v>
      </c>
      <c r="H184">
        <v>4.8</v>
      </c>
    </row>
    <row r="185" spans="1:8">
      <c r="A185" s="1">
        <v>12</v>
      </c>
      <c r="B185" t="s">
        <v>1915</v>
      </c>
      <c r="C185">
        <v>24.19</v>
      </c>
      <c r="D185">
        <v>143.68</v>
      </c>
      <c r="E185">
        <v>0.662435</v>
      </c>
      <c r="F185">
        <v>0.23</v>
      </c>
      <c r="G185">
        <v>34</v>
      </c>
      <c r="H185">
        <v>4.6100000000000003</v>
      </c>
    </row>
    <row r="186" spans="1:8">
      <c r="A186" s="1">
        <v>13</v>
      </c>
      <c r="B186" t="s">
        <v>1916</v>
      </c>
      <c r="C186">
        <v>24.07</v>
      </c>
      <c r="D186">
        <v>141.27000000000001</v>
      </c>
      <c r="E186">
        <v>0.534443</v>
      </c>
      <c r="F186">
        <v>0.35</v>
      </c>
      <c r="G186">
        <v>26</v>
      </c>
      <c r="H186">
        <v>4.59</v>
      </c>
    </row>
    <row r="187" spans="1:8">
      <c r="A187" s="1">
        <v>14</v>
      </c>
      <c r="B187" t="s">
        <v>1917</v>
      </c>
      <c r="C187">
        <v>25.63</v>
      </c>
      <c r="D187">
        <v>140.18</v>
      </c>
      <c r="E187">
        <v>0.491948</v>
      </c>
      <c r="F187">
        <v>0.35</v>
      </c>
      <c r="G187">
        <v>20</v>
      </c>
      <c r="H187">
        <v>4.88</v>
      </c>
    </row>
    <row r="188" spans="1:8">
      <c r="A188" s="1">
        <v>15</v>
      </c>
      <c r="B188" t="s">
        <v>1918</v>
      </c>
      <c r="C188">
        <v>26.05</v>
      </c>
      <c r="D188">
        <v>144.19</v>
      </c>
      <c r="E188">
        <v>0.63660700000000003</v>
      </c>
      <c r="F188">
        <v>2.34</v>
      </c>
      <c r="G188">
        <v>26</v>
      </c>
      <c r="H188">
        <v>4.9800000000000004</v>
      </c>
    </row>
    <row r="189" spans="1:8">
      <c r="A189" s="1">
        <v>16</v>
      </c>
      <c r="B189" t="s">
        <v>1919</v>
      </c>
      <c r="C189">
        <v>25.49</v>
      </c>
      <c r="D189">
        <v>144.76</v>
      </c>
      <c r="E189">
        <v>0.57579000000000002</v>
      </c>
      <c r="F189">
        <v>2.8</v>
      </c>
      <c r="G189">
        <v>36</v>
      </c>
      <c r="H189">
        <v>4.8499999999999996</v>
      </c>
    </row>
    <row r="190" spans="1:8">
      <c r="A190" s="1">
        <v>17</v>
      </c>
      <c r="B190" t="s">
        <v>1920</v>
      </c>
      <c r="C190">
        <v>24.71</v>
      </c>
      <c r="D190">
        <v>145.68</v>
      </c>
      <c r="E190">
        <v>0.75441100000000005</v>
      </c>
      <c r="F190">
        <v>0.57999999999999996</v>
      </c>
      <c r="G190">
        <v>6</v>
      </c>
      <c r="H190">
        <v>4.71</v>
      </c>
    </row>
    <row r="191" spans="1:8">
      <c r="A191" s="1">
        <v>18</v>
      </c>
      <c r="B191" t="s">
        <v>1921</v>
      </c>
      <c r="C191">
        <v>25.53</v>
      </c>
      <c r="D191">
        <v>137.6</v>
      </c>
      <c r="E191">
        <v>0.46038299999999999</v>
      </c>
      <c r="F191">
        <v>0.04</v>
      </c>
      <c r="G191">
        <v>10</v>
      </c>
      <c r="H191">
        <v>4.8600000000000003</v>
      </c>
    </row>
    <row r="192" spans="1:8">
      <c r="A192" s="1">
        <v>19</v>
      </c>
      <c r="B192" t="s">
        <v>1922</v>
      </c>
      <c r="C192">
        <v>23.44</v>
      </c>
      <c r="D192">
        <v>145.35</v>
      </c>
      <c r="E192">
        <v>0.70088499999999998</v>
      </c>
      <c r="F192">
        <v>3.84</v>
      </c>
      <c r="G192">
        <v>2</v>
      </c>
      <c r="H192">
        <v>4.45</v>
      </c>
    </row>
    <row r="193" spans="1:8">
      <c r="A193" s="1">
        <v>20</v>
      </c>
      <c r="B193" t="s">
        <v>1923</v>
      </c>
      <c r="C193">
        <v>24.81</v>
      </c>
      <c r="D193">
        <v>146.38999999999999</v>
      </c>
      <c r="E193">
        <v>0.72151299999999996</v>
      </c>
      <c r="F193">
        <v>6.91</v>
      </c>
      <c r="G193">
        <v>0</v>
      </c>
      <c r="H193">
        <v>4.71</v>
      </c>
    </row>
    <row r="194" spans="1:8">
      <c r="A194" s="1">
        <v>21</v>
      </c>
      <c r="B194" t="s">
        <v>1924</v>
      </c>
      <c r="C194">
        <v>25.68</v>
      </c>
      <c r="D194">
        <v>141</v>
      </c>
      <c r="E194">
        <v>0.702901</v>
      </c>
      <c r="F194">
        <v>0.08</v>
      </c>
      <c r="G194">
        <v>24</v>
      </c>
      <c r="H194">
        <v>4.9000000000000004</v>
      </c>
    </row>
    <row r="195" spans="1:8">
      <c r="A195" s="1">
        <v>22</v>
      </c>
      <c r="B195" t="s">
        <v>1925</v>
      </c>
      <c r="C195">
        <v>26.09</v>
      </c>
      <c r="D195">
        <v>145.62</v>
      </c>
      <c r="E195">
        <v>0.60829999999999995</v>
      </c>
      <c r="F195">
        <v>4.1100000000000003</v>
      </c>
      <c r="G195">
        <v>4</v>
      </c>
      <c r="H195">
        <v>4.99</v>
      </c>
    </row>
    <row r="196" spans="1:8">
      <c r="A196" s="1">
        <v>23</v>
      </c>
      <c r="B196" t="s">
        <v>1926</v>
      </c>
      <c r="C196">
        <v>24.97</v>
      </c>
      <c r="D196">
        <v>145.97</v>
      </c>
      <c r="E196">
        <v>0.79300700000000002</v>
      </c>
      <c r="F196">
        <v>0.77</v>
      </c>
      <c r="G196">
        <v>38</v>
      </c>
      <c r="H196">
        <v>4.7699999999999996</v>
      </c>
    </row>
    <row r="197" spans="1:8">
      <c r="A197" s="1">
        <v>24</v>
      </c>
      <c r="B197" t="s">
        <v>1927</v>
      </c>
      <c r="C197">
        <v>25.01</v>
      </c>
      <c r="D197">
        <v>143.44999999999999</v>
      </c>
      <c r="E197">
        <v>0.59404599999999996</v>
      </c>
      <c r="F197">
        <v>0.54</v>
      </c>
      <c r="G197">
        <v>38</v>
      </c>
      <c r="H197">
        <v>4.7699999999999996</v>
      </c>
    </row>
    <row r="198" spans="1:8">
      <c r="A198" s="1">
        <v>25</v>
      </c>
      <c r="B198" t="s">
        <v>1928</v>
      </c>
      <c r="C198">
        <v>24.13</v>
      </c>
      <c r="D198">
        <v>143.88999999999999</v>
      </c>
      <c r="E198">
        <v>0.66739999999999999</v>
      </c>
      <c r="F198">
        <v>0.84</v>
      </c>
      <c r="G198">
        <v>8</v>
      </c>
      <c r="H198">
        <v>4.59</v>
      </c>
    </row>
    <row r="199" spans="1:8">
      <c r="A199" s="1">
        <v>26</v>
      </c>
      <c r="B199" t="s">
        <v>1929</v>
      </c>
      <c r="C199">
        <v>25.66</v>
      </c>
      <c r="D199">
        <v>140.97</v>
      </c>
      <c r="E199">
        <v>0.47425600000000001</v>
      </c>
      <c r="F199">
        <v>0.54</v>
      </c>
      <c r="G199">
        <v>22</v>
      </c>
      <c r="H199">
        <v>4.8499999999999996</v>
      </c>
    </row>
    <row r="200" spans="1:8">
      <c r="A200" s="1">
        <v>27</v>
      </c>
      <c r="B200" t="s">
        <v>1930</v>
      </c>
      <c r="C200">
        <v>24.5</v>
      </c>
      <c r="D200">
        <v>145.96</v>
      </c>
      <c r="E200">
        <v>0.783802</v>
      </c>
      <c r="F200">
        <v>1.77</v>
      </c>
      <c r="G200">
        <v>0</v>
      </c>
      <c r="H200">
        <v>4.68</v>
      </c>
    </row>
    <row r="201" spans="1:8">
      <c r="A201" s="1">
        <v>28</v>
      </c>
      <c r="B201" t="s">
        <v>1931</v>
      </c>
      <c r="C201">
        <v>27.24</v>
      </c>
      <c r="D201">
        <v>136.82</v>
      </c>
      <c r="E201">
        <v>0.39757100000000001</v>
      </c>
      <c r="F201">
        <v>0.65</v>
      </c>
      <c r="G201">
        <v>6</v>
      </c>
      <c r="H201">
        <v>5.18</v>
      </c>
    </row>
    <row r="202" spans="1:8">
      <c r="A202" s="1">
        <v>29</v>
      </c>
      <c r="B202" t="s">
        <v>1932</v>
      </c>
      <c r="C202">
        <v>26.25</v>
      </c>
      <c r="D202">
        <v>146.91</v>
      </c>
      <c r="E202">
        <v>0.76955899999999999</v>
      </c>
      <c r="F202">
        <v>6.41</v>
      </c>
      <c r="G202">
        <v>38</v>
      </c>
      <c r="H202">
        <v>5.0199999999999996</v>
      </c>
    </row>
    <row r="203" spans="1:8">
      <c r="A203" s="1">
        <v>30</v>
      </c>
      <c r="B203" t="s">
        <v>1933</v>
      </c>
      <c r="C203">
        <v>28.5</v>
      </c>
      <c r="D203">
        <v>142.71</v>
      </c>
      <c r="E203">
        <v>0.49280099999999999</v>
      </c>
      <c r="F203">
        <v>0.96</v>
      </c>
      <c r="G203">
        <v>10</v>
      </c>
      <c r="H203">
        <v>5.47</v>
      </c>
    </row>
    <row r="204" spans="1:8">
      <c r="A204" s="1">
        <v>31</v>
      </c>
      <c r="B204" t="s">
        <v>1934</v>
      </c>
      <c r="C204">
        <v>23.78</v>
      </c>
      <c r="D204">
        <v>143.46</v>
      </c>
      <c r="E204">
        <v>0.56054800000000005</v>
      </c>
      <c r="F204">
        <v>1.34</v>
      </c>
      <c r="G204">
        <v>8</v>
      </c>
      <c r="H204">
        <v>4.53</v>
      </c>
    </row>
    <row r="205" spans="1:8">
      <c r="A205" s="1">
        <v>32</v>
      </c>
      <c r="B205" t="s">
        <v>1935</v>
      </c>
      <c r="C205">
        <v>24.05</v>
      </c>
      <c r="D205">
        <v>145.09</v>
      </c>
      <c r="E205">
        <v>0.72805500000000001</v>
      </c>
      <c r="F205">
        <v>1.69</v>
      </c>
      <c r="G205">
        <v>6</v>
      </c>
      <c r="H205">
        <v>4.5999999999999996</v>
      </c>
    </row>
    <row r="206" spans="1:8">
      <c r="A206" s="1">
        <v>33</v>
      </c>
      <c r="B206" t="s">
        <v>1936</v>
      </c>
      <c r="C206">
        <v>26.06</v>
      </c>
      <c r="D206" t="e">
        <f>-inf</f>
        <v>#NAME?</v>
      </c>
      <c r="E206">
        <v>0.45191599999999998</v>
      </c>
      <c r="F206">
        <v>0</v>
      </c>
      <c r="G206">
        <v>2</v>
      </c>
      <c r="H206">
        <v>4.93</v>
      </c>
    </row>
    <row r="207" spans="1:8">
      <c r="A207" s="1">
        <v>34</v>
      </c>
      <c r="B207" t="s">
        <v>1937</v>
      </c>
      <c r="C207">
        <v>25.91</v>
      </c>
      <c r="D207">
        <v>145.87</v>
      </c>
      <c r="E207">
        <v>0.67159500000000005</v>
      </c>
      <c r="F207">
        <v>3.07</v>
      </c>
      <c r="G207">
        <v>38</v>
      </c>
      <c r="H207">
        <v>4.97</v>
      </c>
    </row>
    <row r="208" spans="1:8">
      <c r="A208" s="1">
        <v>35</v>
      </c>
      <c r="B208" t="s">
        <v>1938</v>
      </c>
      <c r="C208">
        <v>25.48</v>
      </c>
      <c r="D208">
        <v>143.55000000000001</v>
      </c>
      <c r="E208">
        <v>0.68333600000000005</v>
      </c>
      <c r="F208">
        <v>1.27</v>
      </c>
      <c r="G208">
        <v>32</v>
      </c>
      <c r="H208">
        <v>4.87</v>
      </c>
    </row>
    <row r="209" spans="1:8">
      <c r="A209" s="1">
        <v>36</v>
      </c>
      <c r="B209" t="s">
        <v>1939</v>
      </c>
      <c r="C209">
        <v>26.81</v>
      </c>
      <c r="D209">
        <v>146.47999999999999</v>
      </c>
      <c r="E209">
        <v>0.765652</v>
      </c>
      <c r="F209">
        <v>2.34</v>
      </c>
      <c r="G209">
        <v>32</v>
      </c>
      <c r="H209">
        <v>5.0999999999999996</v>
      </c>
    </row>
    <row r="210" spans="1:8">
      <c r="A210" s="1">
        <v>37</v>
      </c>
      <c r="B210" t="s">
        <v>1940</v>
      </c>
      <c r="C210">
        <v>26.2</v>
      </c>
      <c r="D210">
        <v>142.56</v>
      </c>
      <c r="E210">
        <v>0.53752900000000003</v>
      </c>
      <c r="F210">
        <v>0.92</v>
      </c>
      <c r="G210">
        <v>16</v>
      </c>
      <c r="H210">
        <v>4.99</v>
      </c>
    </row>
    <row r="211" spans="1:8">
      <c r="A211" s="1">
        <v>38</v>
      </c>
      <c r="B211" t="s">
        <v>1941</v>
      </c>
      <c r="C211">
        <v>19.89</v>
      </c>
      <c r="D211">
        <v>144.4</v>
      </c>
      <c r="E211">
        <v>0.69525499999999996</v>
      </c>
      <c r="F211">
        <v>4.57</v>
      </c>
      <c r="G211">
        <v>32</v>
      </c>
      <c r="H211">
        <v>3.79</v>
      </c>
    </row>
    <row r="212" spans="1:8">
      <c r="A212" s="1">
        <v>39</v>
      </c>
      <c r="B212" t="s">
        <v>1942</v>
      </c>
      <c r="C212">
        <v>25.17</v>
      </c>
      <c r="D212">
        <v>143.44</v>
      </c>
      <c r="E212">
        <v>0.65030299999999996</v>
      </c>
      <c r="F212">
        <v>0.88</v>
      </c>
      <c r="G212">
        <v>22</v>
      </c>
      <c r="H212">
        <v>4.8099999999999996</v>
      </c>
    </row>
    <row r="213" spans="1:8">
      <c r="A213" s="1">
        <v>40</v>
      </c>
      <c r="B213" t="s">
        <v>1943</v>
      </c>
      <c r="C213">
        <v>24.24</v>
      </c>
      <c r="D213">
        <v>143.21</v>
      </c>
      <c r="E213">
        <v>0.57745000000000002</v>
      </c>
      <c r="F213">
        <v>1.69</v>
      </c>
      <c r="G213">
        <v>6</v>
      </c>
      <c r="H213">
        <v>4.5999999999999996</v>
      </c>
    </row>
    <row r="214" spans="1:8">
      <c r="A214" s="1">
        <v>41</v>
      </c>
      <c r="B214" t="s">
        <v>1944</v>
      </c>
      <c r="C214">
        <v>25.45</v>
      </c>
      <c r="D214">
        <v>142.21</v>
      </c>
      <c r="E214">
        <v>0.48681000000000002</v>
      </c>
      <c r="F214">
        <v>1.46</v>
      </c>
      <c r="G214">
        <v>32</v>
      </c>
      <c r="H214">
        <v>4.83</v>
      </c>
    </row>
    <row r="215" spans="1:8">
      <c r="A215" s="1">
        <v>42</v>
      </c>
      <c r="B215" t="s">
        <v>1945</v>
      </c>
      <c r="C215">
        <v>25.24</v>
      </c>
      <c r="D215">
        <v>135.63999999999999</v>
      </c>
      <c r="E215">
        <v>0.32259300000000002</v>
      </c>
      <c r="F215">
        <v>0.61</v>
      </c>
      <c r="G215">
        <v>4</v>
      </c>
      <c r="H215">
        <v>4.8</v>
      </c>
    </row>
    <row r="216" spans="1:8">
      <c r="A216" s="1">
        <v>43</v>
      </c>
      <c r="B216" t="s">
        <v>1946</v>
      </c>
      <c r="C216">
        <v>27.79</v>
      </c>
      <c r="D216">
        <v>139.34</v>
      </c>
      <c r="E216">
        <v>0.46612399999999998</v>
      </c>
      <c r="F216">
        <v>0.38</v>
      </c>
      <c r="G216">
        <v>2</v>
      </c>
      <c r="H216">
        <v>5.29</v>
      </c>
    </row>
    <row r="217" spans="1:8">
      <c r="A217" s="1">
        <v>44</v>
      </c>
      <c r="B217" t="s">
        <v>1947</v>
      </c>
      <c r="C217">
        <v>26.14</v>
      </c>
      <c r="D217">
        <v>143.52000000000001</v>
      </c>
      <c r="E217">
        <v>0.41635899999999998</v>
      </c>
      <c r="F217">
        <v>2.11</v>
      </c>
      <c r="G217">
        <v>20</v>
      </c>
      <c r="H217">
        <v>4.99</v>
      </c>
    </row>
    <row r="218" spans="1:8">
      <c r="A218" s="1">
        <v>45</v>
      </c>
      <c r="B218" t="s">
        <v>1948</v>
      </c>
      <c r="C218">
        <v>26.1</v>
      </c>
      <c r="D218">
        <v>143.44999999999999</v>
      </c>
      <c r="E218">
        <v>0.56531500000000001</v>
      </c>
      <c r="F218">
        <v>1.1100000000000001</v>
      </c>
      <c r="G218">
        <v>24</v>
      </c>
      <c r="H218">
        <v>4.99</v>
      </c>
    </row>
    <row r="219" spans="1:8">
      <c r="A219" s="1">
        <v>46</v>
      </c>
      <c r="B219" t="s">
        <v>1949</v>
      </c>
      <c r="C219">
        <v>26.77</v>
      </c>
      <c r="D219">
        <v>135.24</v>
      </c>
      <c r="E219">
        <v>0.41606199999999999</v>
      </c>
      <c r="F219">
        <v>0.27</v>
      </c>
      <c r="G219">
        <v>0</v>
      </c>
      <c r="H219">
        <v>5.09</v>
      </c>
    </row>
    <row r="220" spans="1:8">
      <c r="A220" s="1">
        <v>47</v>
      </c>
      <c r="B220" t="s">
        <v>1950</v>
      </c>
      <c r="C220">
        <v>25.17</v>
      </c>
      <c r="D220">
        <v>147.21</v>
      </c>
      <c r="E220">
        <v>0.840391</v>
      </c>
      <c r="F220">
        <v>9.9499999999999993</v>
      </c>
      <c r="G220">
        <v>14</v>
      </c>
      <c r="H220">
        <v>4.8</v>
      </c>
    </row>
    <row r="221" spans="1:8">
      <c r="A221" s="1">
        <v>48</v>
      </c>
      <c r="B221" t="s">
        <v>1951</v>
      </c>
      <c r="C221">
        <v>24.2</v>
      </c>
      <c r="D221">
        <v>137.13999999999999</v>
      </c>
      <c r="E221">
        <v>0.50299700000000003</v>
      </c>
      <c r="F221">
        <v>0.15</v>
      </c>
      <c r="G221">
        <v>0</v>
      </c>
      <c r="H221">
        <v>4.63</v>
      </c>
    </row>
    <row r="222" spans="1:8">
      <c r="A222" s="1">
        <v>49</v>
      </c>
      <c r="B222" t="s">
        <v>1952</v>
      </c>
      <c r="C222">
        <v>25.17</v>
      </c>
      <c r="D222">
        <v>145.41</v>
      </c>
      <c r="E222">
        <v>0.68470299999999995</v>
      </c>
      <c r="F222">
        <v>2.23</v>
      </c>
      <c r="G222">
        <v>8</v>
      </c>
      <c r="H222">
        <v>4.8099999999999996</v>
      </c>
    </row>
    <row r="223" spans="1:8">
      <c r="A223" s="1">
        <v>50</v>
      </c>
      <c r="B223" t="s">
        <v>1953</v>
      </c>
      <c r="C223">
        <v>25.21</v>
      </c>
      <c r="D223">
        <v>138.03</v>
      </c>
      <c r="E223">
        <v>0.42148400000000003</v>
      </c>
      <c r="F223">
        <v>0.15</v>
      </c>
      <c r="G223">
        <v>6</v>
      </c>
      <c r="H223">
        <v>4.8099999999999996</v>
      </c>
    </row>
    <row r="224" spans="1:8">
      <c r="B224" s="1" t="s">
        <v>19</v>
      </c>
      <c r="C224" s="1">
        <f>AVERAGE(C174:C223)</f>
        <v>25.387799999999999</v>
      </c>
      <c r="D224" s="1" t="e">
        <f>AVERAGE(#REF!)</f>
        <v>#REF!</v>
      </c>
      <c r="E224" s="1" t="e">
        <f>AVERAGE(#REF!)</f>
        <v>#REF!</v>
      </c>
      <c r="F224" s="1" t="e">
        <f>AVERAGE(#REF!)</f>
        <v>#REF!</v>
      </c>
      <c r="H224" s="1" t="e">
        <f>AVERAGE(#REF!)</f>
        <v>#REF!</v>
      </c>
    </row>
    <row r="225" spans="1:8">
      <c r="B225" s="1" t="s">
        <v>20</v>
      </c>
      <c r="C225" s="1">
        <f>MIN(C173:C223)</f>
        <v>19.89</v>
      </c>
      <c r="D225" s="1" t="e">
        <f>MIN(D173:D223)</f>
        <v>#NAME?</v>
      </c>
      <c r="E225" s="1">
        <f>MIN(E173:E223)</f>
        <v>0.32259300000000002</v>
      </c>
      <c r="F225" s="1">
        <f>MIN(F173:F223)</f>
        <v>0</v>
      </c>
      <c r="H225" s="1">
        <f>MIN(H173:H223)</f>
        <v>3.79</v>
      </c>
    </row>
    <row r="226" spans="1:8">
      <c r="B226" s="1" t="s">
        <v>3</v>
      </c>
      <c r="C226" s="1" t="e">
        <f>STDEV(#REF!)</f>
        <v>#REF!</v>
      </c>
      <c r="D226" s="1" t="e">
        <f>STDEV(#REF!)</f>
        <v>#REF!</v>
      </c>
      <c r="E226" s="1" t="e">
        <f>STDEV(#REF!)</f>
        <v>#REF!</v>
      </c>
      <c r="F226" s="1" t="e">
        <f>STDEV(#REF!)</f>
        <v>#REF!</v>
      </c>
      <c r="H226" s="1" t="e">
        <f>STDEV(#REF!)</f>
        <v>#REF!</v>
      </c>
    </row>
    <row r="228" spans="1:8">
      <c r="H228" s="18" t="s">
        <v>1435</v>
      </c>
    </row>
    <row r="229" spans="1:8" ht="18">
      <c r="A229" s="18" t="s">
        <v>7</v>
      </c>
      <c r="B229" s="3" t="s">
        <v>2</v>
      </c>
      <c r="C229" s="18" t="s">
        <v>4</v>
      </c>
      <c r="D229" s="18" t="s">
        <v>322</v>
      </c>
      <c r="E229" s="18" t="s">
        <v>321</v>
      </c>
      <c r="F229" s="18" t="s">
        <v>324</v>
      </c>
      <c r="G229" s="18" t="s">
        <v>323</v>
      </c>
      <c r="H229" s="18" t="s">
        <v>1436</v>
      </c>
    </row>
    <row r="230" spans="1:8">
      <c r="A230" s="1">
        <v>1</v>
      </c>
      <c r="B230" t="s">
        <v>1703</v>
      </c>
      <c r="C230">
        <v>17.27</v>
      </c>
      <c r="D230">
        <v>207.74</v>
      </c>
      <c r="E230">
        <v>0.45659100000000002</v>
      </c>
      <c r="F230">
        <v>0.04</v>
      </c>
      <c r="G230">
        <v>44</v>
      </c>
      <c r="H230">
        <v>3.27</v>
      </c>
    </row>
    <row r="231" spans="1:8">
      <c r="A231" s="1">
        <v>2</v>
      </c>
      <c r="B231" t="s">
        <v>1704</v>
      </c>
      <c r="C231">
        <v>15.58</v>
      </c>
      <c r="D231">
        <v>211.29</v>
      </c>
      <c r="E231">
        <v>0.59787500000000005</v>
      </c>
      <c r="F231">
        <v>2.76</v>
      </c>
      <c r="G231">
        <v>32</v>
      </c>
      <c r="H231">
        <v>2.96</v>
      </c>
    </row>
    <row r="232" spans="1:8">
      <c r="A232" s="1">
        <v>3</v>
      </c>
      <c r="B232" t="s">
        <v>1705</v>
      </c>
      <c r="C232">
        <v>17.09</v>
      </c>
      <c r="D232">
        <v>211.01</v>
      </c>
      <c r="E232">
        <v>0.54387099999999999</v>
      </c>
      <c r="F232">
        <v>0.92</v>
      </c>
      <c r="G232">
        <v>30</v>
      </c>
      <c r="H232">
        <v>3.26</v>
      </c>
    </row>
    <row r="233" spans="1:8">
      <c r="A233" s="1">
        <v>4</v>
      </c>
      <c r="B233" t="s">
        <v>1706</v>
      </c>
      <c r="C233">
        <v>18.63</v>
      </c>
      <c r="D233">
        <v>208.39</v>
      </c>
      <c r="E233">
        <v>0.41943999999999998</v>
      </c>
      <c r="F233">
        <v>0.84</v>
      </c>
      <c r="G233">
        <v>14</v>
      </c>
      <c r="H233">
        <v>3.53</v>
      </c>
    </row>
    <row r="234" spans="1:8">
      <c r="A234" s="1">
        <v>5</v>
      </c>
      <c r="B234" t="s">
        <v>1707</v>
      </c>
      <c r="C234">
        <v>16.55</v>
      </c>
      <c r="D234">
        <v>211.86</v>
      </c>
      <c r="E234">
        <v>0.62385500000000005</v>
      </c>
      <c r="F234">
        <v>1</v>
      </c>
      <c r="G234">
        <v>8</v>
      </c>
      <c r="H234">
        <v>3.13</v>
      </c>
    </row>
    <row r="235" spans="1:8">
      <c r="A235" s="1">
        <v>6</v>
      </c>
      <c r="B235" t="s">
        <v>1708</v>
      </c>
      <c r="C235">
        <v>14.49</v>
      </c>
      <c r="D235">
        <v>211.97</v>
      </c>
      <c r="E235">
        <v>0.65622199999999997</v>
      </c>
      <c r="F235">
        <v>3.34</v>
      </c>
      <c r="G235">
        <v>26</v>
      </c>
      <c r="H235">
        <v>2.75</v>
      </c>
    </row>
    <row r="236" spans="1:8">
      <c r="A236" s="1">
        <v>7</v>
      </c>
      <c r="B236" t="s">
        <v>1709</v>
      </c>
      <c r="C236">
        <v>16.260000000000002</v>
      </c>
      <c r="D236">
        <v>210.78</v>
      </c>
      <c r="E236">
        <v>0.60449699999999995</v>
      </c>
      <c r="F236">
        <v>1.34</v>
      </c>
      <c r="G236">
        <v>38</v>
      </c>
      <c r="H236">
        <v>3.08</v>
      </c>
    </row>
    <row r="237" spans="1:8">
      <c r="A237" s="1">
        <v>8</v>
      </c>
      <c r="B237" t="s">
        <v>1710</v>
      </c>
      <c r="C237">
        <v>16.84</v>
      </c>
      <c r="D237">
        <v>195.81</v>
      </c>
      <c r="E237">
        <v>0.251859</v>
      </c>
      <c r="F237">
        <v>0.12</v>
      </c>
      <c r="G237">
        <v>50</v>
      </c>
      <c r="H237">
        <v>3.21</v>
      </c>
    </row>
    <row r="238" spans="1:8">
      <c r="A238" s="1">
        <v>9</v>
      </c>
      <c r="B238" t="s">
        <v>1711</v>
      </c>
      <c r="C238">
        <v>14.63</v>
      </c>
      <c r="D238">
        <v>213.48</v>
      </c>
      <c r="E238">
        <v>0.80872900000000003</v>
      </c>
      <c r="F238">
        <v>5.91</v>
      </c>
      <c r="G238">
        <v>54</v>
      </c>
      <c r="H238">
        <v>2.78</v>
      </c>
    </row>
    <row r="239" spans="1:8">
      <c r="A239" s="1">
        <v>10</v>
      </c>
      <c r="B239" t="s">
        <v>1712</v>
      </c>
      <c r="C239">
        <v>16.77</v>
      </c>
      <c r="D239">
        <v>208.18</v>
      </c>
      <c r="E239">
        <v>0.455318</v>
      </c>
      <c r="F239">
        <v>0.81</v>
      </c>
      <c r="G239">
        <v>30</v>
      </c>
      <c r="H239">
        <v>3.18</v>
      </c>
    </row>
    <row r="240" spans="1:8">
      <c r="A240" s="1">
        <v>11</v>
      </c>
      <c r="B240" t="s">
        <v>1713</v>
      </c>
      <c r="C240">
        <v>16.18</v>
      </c>
      <c r="D240">
        <v>211.15</v>
      </c>
      <c r="E240">
        <v>0.59816499999999995</v>
      </c>
      <c r="F240">
        <v>1.46</v>
      </c>
      <c r="G240">
        <v>8</v>
      </c>
      <c r="H240">
        <v>3.06</v>
      </c>
    </row>
    <row r="241" spans="1:8">
      <c r="A241" s="1">
        <v>12</v>
      </c>
      <c r="B241" t="s">
        <v>1714</v>
      </c>
      <c r="C241">
        <v>17.190000000000001</v>
      </c>
      <c r="D241">
        <v>200.79</v>
      </c>
      <c r="E241">
        <v>0.39364700000000002</v>
      </c>
      <c r="F241">
        <v>0.23</v>
      </c>
      <c r="G241">
        <v>36</v>
      </c>
      <c r="H241">
        <v>3.25</v>
      </c>
    </row>
    <row r="242" spans="1:8">
      <c r="A242" s="1">
        <v>13</v>
      </c>
      <c r="B242" t="s">
        <v>1715</v>
      </c>
      <c r="C242">
        <v>15.72</v>
      </c>
      <c r="D242">
        <v>210.1</v>
      </c>
      <c r="E242">
        <v>0.48020600000000002</v>
      </c>
      <c r="F242">
        <v>1.65</v>
      </c>
      <c r="G242">
        <v>30</v>
      </c>
      <c r="H242">
        <v>2.99</v>
      </c>
    </row>
    <row r="243" spans="1:8">
      <c r="A243" s="1">
        <v>14</v>
      </c>
      <c r="B243" t="s">
        <v>1716</v>
      </c>
      <c r="C243">
        <v>15.51</v>
      </c>
      <c r="D243">
        <v>210.72</v>
      </c>
      <c r="E243">
        <v>0.66149599999999997</v>
      </c>
      <c r="F243">
        <v>0.65</v>
      </c>
      <c r="G243">
        <v>6</v>
      </c>
      <c r="H243">
        <v>2.95</v>
      </c>
    </row>
    <row r="244" spans="1:8">
      <c r="A244" s="1">
        <v>15</v>
      </c>
      <c r="B244" t="s">
        <v>1717</v>
      </c>
      <c r="C244">
        <v>14.46</v>
      </c>
      <c r="D244">
        <v>212.06</v>
      </c>
      <c r="E244">
        <v>0.69682200000000005</v>
      </c>
      <c r="F244">
        <v>2.19</v>
      </c>
      <c r="G244">
        <v>12</v>
      </c>
      <c r="H244">
        <v>2.74</v>
      </c>
    </row>
    <row r="245" spans="1:8">
      <c r="A245" s="1">
        <v>16</v>
      </c>
      <c r="B245" t="s">
        <v>1718</v>
      </c>
      <c r="C245">
        <v>15.86</v>
      </c>
      <c r="D245">
        <v>212.17</v>
      </c>
      <c r="E245">
        <v>0.67939899999999998</v>
      </c>
      <c r="F245">
        <v>1.65</v>
      </c>
      <c r="G245">
        <v>2</v>
      </c>
      <c r="H245">
        <v>3.01</v>
      </c>
    </row>
    <row r="246" spans="1:8">
      <c r="A246" s="1">
        <v>17</v>
      </c>
      <c r="B246" t="s">
        <v>1719</v>
      </c>
      <c r="C246">
        <v>16.39</v>
      </c>
      <c r="D246">
        <v>206.41</v>
      </c>
      <c r="E246">
        <v>0.348916</v>
      </c>
      <c r="F246">
        <v>1.54</v>
      </c>
      <c r="G246">
        <v>8</v>
      </c>
      <c r="H246">
        <v>3.11</v>
      </c>
    </row>
    <row r="247" spans="1:8">
      <c r="A247" s="1">
        <v>18</v>
      </c>
      <c r="B247" t="s">
        <v>1720</v>
      </c>
      <c r="C247">
        <v>16.670000000000002</v>
      </c>
      <c r="D247">
        <v>214.22</v>
      </c>
      <c r="E247">
        <v>0.73669499999999999</v>
      </c>
      <c r="F247">
        <v>3.61</v>
      </c>
      <c r="G247">
        <v>22</v>
      </c>
      <c r="H247">
        <v>3.16</v>
      </c>
    </row>
    <row r="248" spans="1:8">
      <c r="A248" s="1">
        <v>19</v>
      </c>
      <c r="B248" t="s">
        <v>1721</v>
      </c>
      <c r="C248">
        <v>14.48</v>
      </c>
      <c r="D248">
        <v>212.33</v>
      </c>
      <c r="E248">
        <v>0.75464200000000003</v>
      </c>
      <c r="F248">
        <v>2</v>
      </c>
      <c r="G248">
        <v>30</v>
      </c>
      <c r="H248">
        <v>2.75</v>
      </c>
    </row>
    <row r="249" spans="1:8">
      <c r="A249" s="1">
        <v>20</v>
      </c>
      <c r="B249" t="s">
        <v>1722</v>
      </c>
      <c r="C249">
        <v>16.62</v>
      </c>
      <c r="D249">
        <v>210.75</v>
      </c>
      <c r="E249">
        <v>0.50922299999999998</v>
      </c>
      <c r="F249">
        <v>2</v>
      </c>
      <c r="G249">
        <v>10</v>
      </c>
      <c r="H249">
        <v>3.15</v>
      </c>
    </row>
    <row r="250" spans="1:8">
      <c r="A250" s="1">
        <v>21</v>
      </c>
      <c r="B250" t="s">
        <v>1723</v>
      </c>
      <c r="C250">
        <v>15.71</v>
      </c>
      <c r="D250">
        <v>210.78</v>
      </c>
      <c r="E250">
        <v>0.442944</v>
      </c>
      <c r="F250">
        <v>3.92</v>
      </c>
      <c r="G250">
        <v>0</v>
      </c>
      <c r="H250">
        <v>2.99</v>
      </c>
    </row>
    <row r="251" spans="1:8">
      <c r="A251" s="1">
        <v>22</v>
      </c>
      <c r="B251" t="s">
        <v>1724</v>
      </c>
      <c r="C251">
        <v>12.87</v>
      </c>
      <c r="D251">
        <v>209.3</v>
      </c>
      <c r="E251">
        <v>0.69201100000000004</v>
      </c>
      <c r="F251">
        <v>0.77</v>
      </c>
      <c r="G251">
        <v>8</v>
      </c>
      <c r="H251">
        <v>2.46</v>
      </c>
    </row>
    <row r="252" spans="1:8">
      <c r="A252" s="1">
        <v>23</v>
      </c>
      <c r="B252" t="s">
        <v>1725</v>
      </c>
      <c r="C252">
        <v>18.12</v>
      </c>
      <c r="D252">
        <v>212.94</v>
      </c>
      <c r="E252">
        <v>0.64320500000000003</v>
      </c>
      <c r="F252">
        <v>1.27</v>
      </c>
      <c r="G252">
        <v>40</v>
      </c>
      <c r="H252">
        <v>3.44</v>
      </c>
    </row>
    <row r="253" spans="1:8">
      <c r="A253" s="1">
        <v>24</v>
      </c>
      <c r="B253" t="s">
        <v>1726</v>
      </c>
      <c r="C253">
        <v>16.739999999999998</v>
      </c>
      <c r="D253">
        <v>194.46</v>
      </c>
      <c r="E253">
        <v>0.30332599999999998</v>
      </c>
      <c r="F253">
        <v>0.04</v>
      </c>
      <c r="G253">
        <v>2</v>
      </c>
      <c r="H253">
        <v>3.17</v>
      </c>
    </row>
    <row r="254" spans="1:8">
      <c r="A254" s="1">
        <v>25</v>
      </c>
      <c r="B254" t="s">
        <v>1727</v>
      </c>
      <c r="C254">
        <v>17</v>
      </c>
      <c r="D254">
        <v>212.61</v>
      </c>
      <c r="E254">
        <v>0.61504000000000003</v>
      </c>
      <c r="F254">
        <v>1.1100000000000001</v>
      </c>
      <c r="G254">
        <v>40</v>
      </c>
      <c r="H254">
        <v>3.21</v>
      </c>
    </row>
    <row r="255" spans="1:8">
      <c r="A255" s="1">
        <v>26</v>
      </c>
      <c r="B255" t="s">
        <v>1728</v>
      </c>
      <c r="C255">
        <v>15.65</v>
      </c>
      <c r="D255">
        <v>212.01</v>
      </c>
      <c r="E255">
        <v>0.68083800000000005</v>
      </c>
      <c r="F255">
        <v>0.96</v>
      </c>
      <c r="G255">
        <v>28</v>
      </c>
      <c r="H255">
        <v>2.98</v>
      </c>
    </row>
    <row r="256" spans="1:8">
      <c r="A256" s="1">
        <v>27</v>
      </c>
      <c r="B256" t="s">
        <v>1729</v>
      </c>
      <c r="C256">
        <v>17.059999999999999</v>
      </c>
      <c r="D256">
        <v>206.62</v>
      </c>
      <c r="E256">
        <v>0.37395499999999998</v>
      </c>
      <c r="F256">
        <v>0.31</v>
      </c>
      <c r="G256">
        <v>28</v>
      </c>
      <c r="H256">
        <v>3.25</v>
      </c>
    </row>
    <row r="257" spans="1:8">
      <c r="A257" s="1">
        <v>28</v>
      </c>
      <c r="B257" t="s">
        <v>1730</v>
      </c>
      <c r="C257">
        <v>16.86</v>
      </c>
      <c r="D257">
        <v>210.02</v>
      </c>
      <c r="E257">
        <v>0.55954800000000005</v>
      </c>
      <c r="F257">
        <v>0.27</v>
      </c>
      <c r="G257">
        <v>58</v>
      </c>
      <c r="H257">
        <v>3.19</v>
      </c>
    </row>
    <row r="258" spans="1:8">
      <c r="A258" s="1">
        <v>29</v>
      </c>
      <c r="B258" t="s">
        <v>1731</v>
      </c>
      <c r="C258">
        <v>16.170000000000002</v>
      </c>
      <c r="D258">
        <v>213.82</v>
      </c>
      <c r="E258">
        <v>0.69017200000000001</v>
      </c>
      <c r="F258">
        <v>5.07</v>
      </c>
      <c r="G258">
        <v>58</v>
      </c>
      <c r="H258">
        <v>3.06</v>
      </c>
    </row>
    <row r="259" spans="1:8">
      <c r="A259" s="1">
        <v>30</v>
      </c>
      <c r="B259" t="s">
        <v>1732</v>
      </c>
      <c r="C259">
        <v>15.95</v>
      </c>
      <c r="D259">
        <v>211.26</v>
      </c>
      <c r="E259">
        <v>0.59028700000000001</v>
      </c>
      <c r="F259">
        <v>1.19</v>
      </c>
      <c r="G259">
        <v>0</v>
      </c>
      <c r="H259">
        <v>3.02</v>
      </c>
    </row>
    <row r="260" spans="1:8">
      <c r="A260" s="1">
        <v>31</v>
      </c>
      <c r="B260" t="s">
        <v>1733</v>
      </c>
      <c r="C260">
        <v>14.75</v>
      </c>
      <c r="D260">
        <v>213</v>
      </c>
      <c r="E260">
        <v>0.71154099999999998</v>
      </c>
      <c r="F260">
        <v>6.26</v>
      </c>
      <c r="G260">
        <v>12</v>
      </c>
      <c r="H260">
        <v>2.78</v>
      </c>
    </row>
    <row r="261" spans="1:8">
      <c r="A261" s="1">
        <v>32</v>
      </c>
      <c r="B261" t="s">
        <v>1734</v>
      </c>
      <c r="C261">
        <v>17.11</v>
      </c>
      <c r="D261">
        <v>209.46</v>
      </c>
      <c r="E261">
        <v>0.53662900000000002</v>
      </c>
      <c r="F261">
        <v>0.65</v>
      </c>
      <c r="G261">
        <v>48</v>
      </c>
      <c r="H261">
        <v>3.26</v>
      </c>
    </row>
    <row r="262" spans="1:8">
      <c r="A262" s="1">
        <v>33</v>
      </c>
      <c r="B262" t="s">
        <v>1735</v>
      </c>
      <c r="C262">
        <v>16.39</v>
      </c>
      <c r="D262">
        <v>204.52</v>
      </c>
      <c r="E262">
        <v>0.30283300000000002</v>
      </c>
      <c r="F262">
        <v>0.81</v>
      </c>
      <c r="G262">
        <v>50</v>
      </c>
      <c r="H262">
        <v>3.11</v>
      </c>
    </row>
    <row r="263" spans="1:8">
      <c r="A263" s="1">
        <v>34</v>
      </c>
      <c r="B263" t="s">
        <v>1736</v>
      </c>
      <c r="C263">
        <v>14.64</v>
      </c>
      <c r="D263">
        <v>210.45</v>
      </c>
      <c r="E263">
        <v>0.61500200000000005</v>
      </c>
      <c r="F263">
        <v>1.54</v>
      </c>
      <c r="G263">
        <v>48</v>
      </c>
      <c r="H263">
        <v>2.79</v>
      </c>
    </row>
    <row r="264" spans="1:8">
      <c r="A264" s="1">
        <v>35</v>
      </c>
      <c r="B264" t="s">
        <v>1737</v>
      </c>
      <c r="C264">
        <v>16.48</v>
      </c>
      <c r="D264">
        <v>213.08</v>
      </c>
      <c r="E264">
        <v>0.60246900000000003</v>
      </c>
      <c r="F264">
        <v>3</v>
      </c>
      <c r="G264">
        <v>24</v>
      </c>
      <c r="H264">
        <v>3.13</v>
      </c>
    </row>
    <row r="265" spans="1:8">
      <c r="A265" s="1">
        <v>36</v>
      </c>
      <c r="B265" t="s">
        <v>1738</v>
      </c>
      <c r="C265">
        <v>16.559999999999999</v>
      </c>
      <c r="D265">
        <v>210.52</v>
      </c>
      <c r="E265">
        <v>0.55120000000000002</v>
      </c>
      <c r="F265">
        <v>1.61</v>
      </c>
      <c r="G265">
        <v>48</v>
      </c>
      <c r="H265">
        <v>3.15</v>
      </c>
    </row>
    <row r="266" spans="1:8">
      <c r="A266" s="1">
        <v>37</v>
      </c>
      <c r="B266" t="s">
        <v>1739</v>
      </c>
      <c r="C266">
        <v>15.49</v>
      </c>
      <c r="D266">
        <v>213.37</v>
      </c>
      <c r="E266">
        <v>0.72832600000000003</v>
      </c>
      <c r="F266">
        <v>1.31</v>
      </c>
      <c r="G266">
        <v>12</v>
      </c>
      <c r="H266">
        <v>2.95</v>
      </c>
    </row>
    <row r="267" spans="1:8">
      <c r="A267" s="1">
        <v>38</v>
      </c>
      <c r="B267" t="s">
        <v>1740</v>
      </c>
      <c r="C267">
        <v>15.55</v>
      </c>
      <c r="D267">
        <v>212.61</v>
      </c>
      <c r="E267">
        <v>0.71001599999999998</v>
      </c>
      <c r="F267">
        <v>2.61</v>
      </c>
      <c r="G267">
        <v>42</v>
      </c>
      <c r="H267">
        <v>2.95</v>
      </c>
    </row>
    <row r="268" spans="1:8">
      <c r="A268" s="1">
        <v>39</v>
      </c>
      <c r="B268" t="s">
        <v>1741</v>
      </c>
      <c r="C268">
        <v>15.86</v>
      </c>
      <c r="D268">
        <v>212.09</v>
      </c>
      <c r="E268">
        <v>0.64360799999999996</v>
      </c>
      <c r="F268">
        <v>0.88</v>
      </c>
      <c r="G268">
        <v>20</v>
      </c>
      <c r="H268">
        <v>3.01</v>
      </c>
    </row>
    <row r="269" spans="1:8">
      <c r="A269" s="1">
        <v>40</v>
      </c>
      <c r="B269" t="s">
        <v>1742</v>
      </c>
      <c r="C269">
        <v>15.99</v>
      </c>
      <c r="D269">
        <v>211.92</v>
      </c>
      <c r="E269">
        <v>0.60902100000000003</v>
      </c>
      <c r="F269">
        <v>2.61</v>
      </c>
      <c r="G269">
        <v>6</v>
      </c>
      <c r="H269">
        <v>3.02</v>
      </c>
    </row>
    <row r="270" spans="1:8">
      <c r="A270" s="1">
        <v>41</v>
      </c>
      <c r="B270" t="s">
        <v>1743</v>
      </c>
      <c r="C270">
        <v>14.89</v>
      </c>
      <c r="D270">
        <v>211.53</v>
      </c>
      <c r="E270">
        <v>0.67062999999999995</v>
      </c>
      <c r="F270">
        <v>0.46</v>
      </c>
      <c r="G270">
        <v>6</v>
      </c>
      <c r="H270">
        <v>2.83</v>
      </c>
    </row>
    <row r="271" spans="1:8">
      <c r="A271" s="1">
        <v>42</v>
      </c>
      <c r="B271" t="s">
        <v>1744</v>
      </c>
      <c r="C271">
        <v>16.079999999999998</v>
      </c>
      <c r="D271">
        <v>204.95</v>
      </c>
      <c r="E271">
        <v>0.34314899999999998</v>
      </c>
      <c r="F271">
        <v>1.04</v>
      </c>
      <c r="G271">
        <v>50</v>
      </c>
      <c r="H271">
        <v>3.04</v>
      </c>
    </row>
    <row r="272" spans="1:8">
      <c r="A272" s="1">
        <v>43</v>
      </c>
      <c r="B272" t="s">
        <v>1745</v>
      </c>
      <c r="C272">
        <v>13.9</v>
      </c>
      <c r="D272">
        <v>209.48</v>
      </c>
      <c r="E272">
        <v>0.63331000000000004</v>
      </c>
      <c r="F272">
        <v>0.19</v>
      </c>
      <c r="G272">
        <v>28</v>
      </c>
      <c r="H272">
        <v>2.66</v>
      </c>
    </row>
    <row r="273" spans="1:8">
      <c r="A273" s="1">
        <v>44</v>
      </c>
      <c r="B273" t="s">
        <v>1746</v>
      </c>
      <c r="C273">
        <v>17.68</v>
      </c>
      <c r="D273">
        <v>211.91</v>
      </c>
      <c r="E273">
        <v>0.503853</v>
      </c>
      <c r="F273">
        <v>0.57999999999999996</v>
      </c>
      <c r="G273">
        <v>56</v>
      </c>
      <c r="H273">
        <v>3.36</v>
      </c>
    </row>
    <row r="274" spans="1:8">
      <c r="A274" s="1">
        <v>45</v>
      </c>
      <c r="B274" t="s">
        <v>1747</v>
      </c>
      <c r="C274">
        <v>18.82</v>
      </c>
      <c r="D274">
        <v>207.82</v>
      </c>
      <c r="E274">
        <v>0.39679900000000001</v>
      </c>
      <c r="F274">
        <v>1.1100000000000001</v>
      </c>
      <c r="G274">
        <v>10</v>
      </c>
      <c r="H274">
        <v>3.59</v>
      </c>
    </row>
    <row r="275" spans="1:8">
      <c r="A275" s="1">
        <v>46</v>
      </c>
      <c r="B275" t="s">
        <v>1748</v>
      </c>
      <c r="C275">
        <v>16.96</v>
      </c>
      <c r="D275">
        <v>213.3</v>
      </c>
      <c r="E275">
        <v>0.67549999999999999</v>
      </c>
      <c r="F275">
        <v>2.8</v>
      </c>
      <c r="G275">
        <v>10</v>
      </c>
      <c r="H275">
        <v>3.2</v>
      </c>
    </row>
    <row r="276" spans="1:8">
      <c r="A276" s="1">
        <v>47</v>
      </c>
      <c r="B276" t="s">
        <v>1749</v>
      </c>
      <c r="C276">
        <v>17.64</v>
      </c>
      <c r="D276">
        <v>209.94</v>
      </c>
      <c r="E276">
        <v>0.43094399999999999</v>
      </c>
      <c r="F276">
        <v>1.77</v>
      </c>
      <c r="G276">
        <v>32</v>
      </c>
      <c r="H276">
        <v>3.35</v>
      </c>
    </row>
    <row r="277" spans="1:8">
      <c r="A277" s="1">
        <v>48</v>
      </c>
      <c r="B277" t="s">
        <v>1750</v>
      </c>
      <c r="C277">
        <v>17.350000000000001</v>
      </c>
      <c r="D277">
        <v>211.28</v>
      </c>
      <c r="E277">
        <v>0.53379799999999999</v>
      </c>
      <c r="F277">
        <v>1.38</v>
      </c>
      <c r="G277">
        <v>20</v>
      </c>
      <c r="H277">
        <v>3.29</v>
      </c>
    </row>
    <row r="278" spans="1:8">
      <c r="A278" s="1">
        <v>49</v>
      </c>
      <c r="B278" t="s">
        <v>1751</v>
      </c>
      <c r="C278">
        <v>14.27</v>
      </c>
      <c r="D278">
        <v>211.04</v>
      </c>
      <c r="E278">
        <v>0.60697500000000004</v>
      </c>
      <c r="F278">
        <v>2.61</v>
      </c>
      <c r="G278">
        <v>40</v>
      </c>
      <c r="H278">
        <v>2.71</v>
      </c>
    </row>
    <row r="279" spans="1:8">
      <c r="A279" s="1">
        <v>50</v>
      </c>
      <c r="B279" t="s">
        <v>1752</v>
      </c>
      <c r="C279">
        <v>16.61</v>
      </c>
      <c r="D279">
        <v>212.68</v>
      </c>
      <c r="E279">
        <v>0.59662000000000004</v>
      </c>
      <c r="F279">
        <v>1.96</v>
      </c>
      <c r="G279">
        <v>44</v>
      </c>
      <c r="H279">
        <v>3.16</v>
      </c>
    </row>
    <row r="280" spans="1:8">
      <c r="B280" s="1" t="s">
        <v>19</v>
      </c>
      <c r="C280" s="1">
        <f>AVERAGE(C230:C279)</f>
        <v>16.166799999999999</v>
      </c>
      <c r="D280" s="1">
        <f t="shared" ref="D280:F280" si="5">AVERAGE(D230:D279)</f>
        <v>209.99960000000002</v>
      </c>
      <c r="E280" s="1">
        <f t="shared" si="5"/>
        <v>0.56542034000000008</v>
      </c>
      <c r="F280" s="1">
        <f t="shared" si="5"/>
        <v>1.6829999999999992</v>
      </c>
      <c r="H280" s="1">
        <f t="shared" ref="H280" si="6">AVERAGE(H230:H279)</f>
        <v>3.0686</v>
      </c>
    </row>
    <row r="281" spans="1:8">
      <c r="B281" s="1" t="s">
        <v>20</v>
      </c>
      <c r="C281" s="1">
        <f>MIN(C229:C279)</f>
        <v>12.87</v>
      </c>
      <c r="D281" s="1">
        <f t="shared" ref="D281:F281" si="7">MIN(D229:D279)</f>
        <v>194.46</v>
      </c>
      <c r="E281" s="1">
        <f t="shared" si="7"/>
        <v>0.251859</v>
      </c>
      <c r="F281" s="1">
        <f t="shared" si="7"/>
        <v>0.04</v>
      </c>
      <c r="H281" s="1">
        <f t="shared" ref="H281" si="8">MIN(H229:H279)</f>
        <v>2.46</v>
      </c>
    </row>
    <row r="282" spans="1:8">
      <c r="B282" s="1" t="s">
        <v>3</v>
      </c>
      <c r="C282" s="1">
        <f>STDEV(C230:C279)</f>
        <v>1.2017630585850185</v>
      </c>
      <c r="D282" s="1">
        <f t="shared" ref="D282:E282" si="9">STDEV(D230:D279)</f>
        <v>4.0151061489986457</v>
      </c>
      <c r="E282" s="1">
        <f t="shared" si="9"/>
        <v>0.13296172139373016</v>
      </c>
      <c r="F282" s="1">
        <f>STDEV(F230:F279)</f>
        <v>1.407989230594251</v>
      </c>
      <c r="H282" s="1">
        <f>STDEV(H230:H279)</f>
        <v>0.22659871930758355</v>
      </c>
    </row>
    <row r="284" spans="1:8">
      <c r="H284" s="18" t="s">
        <v>1435</v>
      </c>
    </row>
    <row r="285" spans="1:8" ht="18">
      <c r="A285" s="18" t="s">
        <v>7</v>
      </c>
      <c r="B285" s="3" t="s">
        <v>10</v>
      </c>
      <c r="C285" s="18" t="s">
        <v>4</v>
      </c>
      <c r="D285" s="18" t="s">
        <v>322</v>
      </c>
      <c r="E285" s="18" t="s">
        <v>321</v>
      </c>
      <c r="F285" s="18" t="s">
        <v>324</v>
      </c>
      <c r="G285" s="18" t="s">
        <v>323</v>
      </c>
      <c r="H285" s="18" t="s">
        <v>1436</v>
      </c>
    </row>
    <row r="286" spans="1:8">
      <c r="A286" s="1">
        <v>1</v>
      </c>
      <c r="B286" t="s">
        <v>2004</v>
      </c>
      <c r="C286">
        <v>13.19</v>
      </c>
      <c r="D286">
        <v>276.20999999999998</v>
      </c>
      <c r="E286">
        <v>0.57442000000000004</v>
      </c>
      <c r="F286">
        <v>0.23</v>
      </c>
      <c r="G286">
        <v>70</v>
      </c>
      <c r="H286">
        <v>2.5099999999999998</v>
      </c>
    </row>
    <row r="287" spans="1:8">
      <c r="A287" s="1">
        <v>2</v>
      </c>
      <c r="B287" t="s">
        <v>2005</v>
      </c>
      <c r="C287">
        <v>12.91</v>
      </c>
      <c r="D287">
        <v>278.7</v>
      </c>
      <c r="E287">
        <v>0.662883</v>
      </c>
      <c r="F287">
        <v>1.38</v>
      </c>
      <c r="G287">
        <v>44</v>
      </c>
      <c r="H287">
        <v>2.4500000000000002</v>
      </c>
    </row>
    <row r="288" spans="1:8">
      <c r="A288" s="1">
        <v>3</v>
      </c>
      <c r="B288" t="s">
        <v>2006</v>
      </c>
      <c r="C288">
        <v>13.83</v>
      </c>
      <c r="D288">
        <v>275.5</v>
      </c>
      <c r="E288">
        <v>0.50294700000000003</v>
      </c>
      <c r="F288">
        <v>0.65</v>
      </c>
      <c r="G288">
        <v>50</v>
      </c>
      <c r="H288">
        <v>2.63</v>
      </c>
    </row>
    <row r="289" spans="1:8">
      <c r="A289" s="1">
        <v>4</v>
      </c>
      <c r="B289" t="s">
        <v>2007</v>
      </c>
      <c r="C289">
        <v>13.23</v>
      </c>
      <c r="D289">
        <v>275.04000000000002</v>
      </c>
      <c r="E289">
        <v>0.63599700000000003</v>
      </c>
      <c r="F289">
        <v>0.12</v>
      </c>
      <c r="G289">
        <v>6</v>
      </c>
      <c r="H289">
        <v>2.52</v>
      </c>
    </row>
    <row r="290" spans="1:8">
      <c r="A290" s="1">
        <v>5</v>
      </c>
      <c r="B290" t="s">
        <v>2008</v>
      </c>
      <c r="C290">
        <v>13.43</v>
      </c>
      <c r="D290">
        <v>278.42</v>
      </c>
      <c r="E290">
        <v>0.55509500000000001</v>
      </c>
      <c r="F290">
        <v>1.23</v>
      </c>
      <c r="G290">
        <v>50</v>
      </c>
      <c r="H290">
        <v>2.57</v>
      </c>
    </row>
    <row r="291" spans="1:8">
      <c r="A291" s="1">
        <v>6</v>
      </c>
      <c r="B291" t="s">
        <v>2009</v>
      </c>
      <c r="C291">
        <v>12.89</v>
      </c>
      <c r="D291">
        <v>277.74</v>
      </c>
      <c r="E291">
        <v>0.64422299999999999</v>
      </c>
      <c r="F291">
        <v>0.15</v>
      </c>
      <c r="G291">
        <v>46</v>
      </c>
      <c r="H291">
        <v>2.4500000000000002</v>
      </c>
    </row>
    <row r="292" spans="1:8">
      <c r="A292" s="1">
        <v>7</v>
      </c>
      <c r="B292" t="s">
        <v>2010</v>
      </c>
      <c r="C292">
        <v>13.68</v>
      </c>
      <c r="D292">
        <v>278.49</v>
      </c>
      <c r="E292">
        <v>0.576484</v>
      </c>
      <c r="F292">
        <v>1.04</v>
      </c>
      <c r="G292">
        <v>42</v>
      </c>
      <c r="H292">
        <v>2.61</v>
      </c>
    </row>
    <row r="293" spans="1:8">
      <c r="A293" s="1">
        <v>8</v>
      </c>
      <c r="B293" t="s">
        <v>2011</v>
      </c>
      <c r="C293">
        <v>12.92</v>
      </c>
      <c r="D293">
        <v>272.10000000000002</v>
      </c>
      <c r="E293">
        <v>0.52222100000000005</v>
      </c>
      <c r="F293">
        <v>0.19</v>
      </c>
      <c r="G293">
        <v>54</v>
      </c>
      <c r="H293">
        <v>2.46</v>
      </c>
    </row>
    <row r="294" spans="1:8">
      <c r="A294" s="1">
        <v>9</v>
      </c>
      <c r="B294" t="s">
        <v>2012</v>
      </c>
      <c r="C294">
        <v>13.61</v>
      </c>
      <c r="D294">
        <v>278.42</v>
      </c>
      <c r="E294">
        <v>0.57527300000000003</v>
      </c>
      <c r="F294">
        <v>1.08</v>
      </c>
      <c r="G294">
        <v>32</v>
      </c>
      <c r="H294">
        <v>2.6</v>
      </c>
    </row>
    <row r="295" spans="1:8">
      <c r="A295" s="1">
        <v>10</v>
      </c>
      <c r="B295" t="s">
        <v>2013</v>
      </c>
      <c r="C295">
        <v>13.55</v>
      </c>
      <c r="D295">
        <v>279.32</v>
      </c>
      <c r="E295">
        <v>0.62526400000000004</v>
      </c>
      <c r="F295">
        <v>0.88</v>
      </c>
      <c r="G295">
        <v>68</v>
      </c>
      <c r="H295">
        <v>2.58</v>
      </c>
    </row>
    <row r="296" spans="1:8">
      <c r="A296" s="1">
        <v>11</v>
      </c>
      <c r="B296" t="s">
        <v>2014</v>
      </c>
      <c r="C296">
        <v>12.9</v>
      </c>
      <c r="D296">
        <v>275.63</v>
      </c>
      <c r="E296">
        <v>0.59703099999999998</v>
      </c>
      <c r="F296">
        <v>0.08</v>
      </c>
      <c r="G296">
        <v>66</v>
      </c>
      <c r="H296">
        <v>2.4500000000000002</v>
      </c>
    </row>
    <row r="297" spans="1:8">
      <c r="A297" s="1">
        <v>12</v>
      </c>
      <c r="B297" t="s">
        <v>2015</v>
      </c>
      <c r="C297">
        <v>12.98</v>
      </c>
      <c r="D297">
        <v>280.02999999999997</v>
      </c>
      <c r="E297">
        <v>0.67950900000000003</v>
      </c>
      <c r="F297">
        <v>1.88</v>
      </c>
      <c r="G297">
        <v>26</v>
      </c>
      <c r="H297">
        <v>2.48</v>
      </c>
    </row>
    <row r="298" spans="1:8">
      <c r="A298" s="1">
        <v>13</v>
      </c>
      <c r="B298" t="s">
        <v>2016</v>
      </c>
      <c r="C298">
        <v>13.71</v>
      </c>
      <c r="D298">
        <v>278.43</v>
      </c>
      <c r="E298">
        <v>0.58843299999999998</v>
      </c>
      <c r="F298">
        <v>0.46</v>
      </c>
      <c r="G298">
        <v>20</v>
      </c>
      <c r="H298">
        <v>2.61</v>
      </c>
    </row>
    <row r="299" spans="1:8">
      <c r="A299" s="1">
        <v>14</v>
      </c>
      <c r="B299" t="s">
        <v>2017</v>
      </c>
      <c r="C299">
        <v>13.75</v>
      </c>
      <c r="D299">
        <v>274.11</v>
      </c>
      <c r="E299">
        <v>0.40307700000000002</v>
      </c>
      <c r="F299">
        <v>0.23</v>
      </c>
      <c r="G299">
        <v>10</v>
      </c>
      <c r="H299">
        <v>2.61</v>
      </c>
    </row>
    <row r="300" spans="1:8">
      <c r="A300" s="1">
        <v>15</v>
      </c>
      <c r="B300" t="s">
        <v>2018</v>
      </c>
      <c r="C300">
        <v>13.04</v>
      </c>
      <c r="D300">
        <v>275.18</v>
      </c>
      <c r="E300">
        <v>0.42512100000000003</v>
      </c>
      <c r="F300">
        <v>0.31</v>
      </c>
      <c r="G300">
        <v>62</v>
      </c>
      <c r="H300">
        <v>2.4900000000000002</v>
      </c>
    </row>
    <row r="301" spans="1:8">
      <c r="A301" s="1">
        <v>16</v>
      </c>
      <c r="B301" t="s">
        <v>2019</v>
      </c>
      <c r="C301">
        <v>13.15</v>
      </c>
      <c r="D301">
        <v>280.86</v>
      </c>
      <c r="E301">
        <v>0.67901800000000001</v>
      </c>
      <c r="F301">
        <v>2.73</v>
      </c>
      <c r="G301">
        <v>16</v>
      </c>
      <c r="H301">
        <v>2.4900000000000002</v>
      </c>
    </row>
    <row r="302" spans="1:8">
      <c r="A302" s="1">
        <v>17</v>
      </c>
      <c r="B302" t="s">
        <v>2020</v>
      </c>
      <c r="C302">
        <v>13.57</v>
      </c>
      <c r="D302">
        <v>279.87</v>
      </c>
      <c r="E302">
        <v>0.62275100000000005</v>
      </c>
      <c r="F302">
        <v>0.92</v>
      </c>
      <c r="G302">
        <v>50</v>
      </c>
      <c r="H302">
        <v>2.58</v>
      </c>
    </row>
    <row r="303" spans="1:8">
      <c r="A303" s="1">
        <v>18</v>
      </c>
      <c r="B303" t="s">
        <v>2021</v>
      </c>
      <c r="C303">
        <v>13.03</v>
      </c>
      <c r="D303">
        <v>272.74</v>
      </c>
      <c r="E303">
        <v>0.51904499999999998</v>
      </c>
      <c r="F303">
        <v>0.08</v>
      </c>
      <c r="G303">
        <v>36</v>
      </c>
      <c r="H303">
        <v>2.48</v>
      </c>
    </row>
    <row r="304" spans="1:8">
      <c r="A304" s="1">
        <v>19</v>
      </c>
      <c r="B304" t="s">
        <v>2022</v>
      </c>
      <c r="C304">
        <v>14.72</v>
      </c>
      <c r="D304">
        <v>275.60000000000002</v>
      </c>
      <c r="E304">
        <v>0.378021</v>
      </c>
      <c r="F304">
        <v>0.42</v>
      </c>
      <c r="G304">
        <v>14</v>
      </c>
      <c r="H304">
        <v>2.8</v>
      </c>
    </row>
    <row r="305" spans="1:8">
      <c r="A305" s="1">
        <v>20</v>
      </c>
      <c r="B305" t="s">
        <v>2023</v>
      </c>
      <c r="C305">
        <v>11.86</v>
      </c>
      <c r="D305">
        <v>278.92</v>
      </c>
      <c r="E305">
        <v>0.73114100000000004</v>
      </c>
      <c r="F305">
        <v>0.38</v>
      </c>
      <c r="G305">
        <v>34</v>
      </c>
      <c r="H305">
        <v>2.2599999999999998</v>
      </c>
    </row>
    <row r="306" spans="1:8">
      <c r="A306" s="1">
        <v>21</v>
      </c>
      <c r="B306" t="s">
        <v>2024</v>
      </c>
      <c r="C306">
        <v>12.85</v>
      </c>
      <c r="D306">
        <v>279.11</v>
      </c>
      <c r="E306">
        <v>0.56001500000000004</v>
      </c>
      <c r="F306">
        <v>1.8</v>
      </c>
      <c r="G306">
        <v>26</v>
      </c>
      <c r="H306">
        <v>2.4500000000000002</v>
      </c>
    </row>
    <row r="307" spans="1:8">
      <c r="A307" s="1">
        <v>22</v>
      </c>
      <c r="B307" t="s">
        <v>2025</v>
      </c>
      <c r="C307">
        <v>13.49</v>
      </c>
      <c r="D307">
        <v>272.33999999999997</v>
      </c>
      <c r="E307">
        <v>0.38054700000000002</v>
      </c>
      <c r="F307">
        <v>0.12</v>
      </c>
      <c r="G307">
        <v>72</v>
      </c>
      <c r="H307">
        <v>2.57</v>
      </c>
    </row>
    <row r="308" spans="1:8">
      <c r="A308" s="1">
        <v>23</v>
      </c>
      <c r="B308" t="s">
        <v>2026</v>
      </c>
      <c r="C308">
        <v>13.87</v>
      </c>
      <c r="D308">
        <v>277.45999999999998</v>
      </c>
      <c r="E308">
        <v>0.51511600000000002</v>
      </c>
      <c r="F308">
        <v>0.65</v>
      </c>
      <c r="G308">
        <v>64</v>
      </c>
      <c r="H308">
        <v>2.64</v>
      </c>
    </row>
    <row r="309" spans="1:8">
      <c r="A309" s="1">
        <v>24</v>
      </c>
      <c r="B309" t="s">
        <v>2027</v>
      </c>
      <c r="C309">
        <v>13.32</v>
      </c>
      <c r="D309" t="e">
        <f>-inf</f>
        <v>#NAME?</v>
      </c>
      <c r="E309">
        <v>0.59899400000000003</v>
      </c>
      <c r="F309">
        <v>0</v>
      </c>
      <c r="G309">
        <v>48</v>
      </c>
      <c r="H309">
        <v>2.54</v>
      </c>
    </row>
    <row r="310" spans="1:8">
      <c r="A310" s="1">
        <v>25</v>
      </c>
      <c r="B310" t="s">
        <v>2028</v>
      </c>
      <c r="C310">
        <v>12.97</v>
      </c>
      <c r="D310">
        <v>278.08999999999997</v>
      </c>
      <c r="E310">
        <v>0.64347600000000005</v>
      </c>
      <c r="F310">
        <v>1</v>
      </c>
      <c r="G310">
        <v>68</v>
      </c>
      <c r="H310">
        <v>2.4700000000000002</v>
      </c>
    </row>
    <row r="311" spans="1:8">
      <c r="A311" s="1">
        <v>26</v>
      </c>
      <c r="B311" t="s">
        <v>2029</v>
      </c>
      <c r="C311">
        <v>13.27</v>
      </c>
      <c r="D311">
        <v>278.64999999999998</v>
      </c>
      <c r="E311">
        <v>0.62680400000000003</v>
      </c>
      <c r="F311">
        <v>0.46</v>
      </c>
      <c r="G311">
        <v>38</v>
      </c>
      <c r="H311">
        <v>2.5299999999999998</v>
      </c>
    </row>
    <row r="312" spans="1:8">
      <c r="A312" s="1">
        <v>27</v>
      </c>
      <c r="B312" t="s">
        <v>2030</v>
      </c>
      <c r="C312">
        <v>13.81</v>
      </c>
      <c r="D312">
        <v>277.25</v>
      </c>
      <c r="E312">
        <v>0.55351600000000001</v>
      </c>
      <c r="F312">
        <v>1.23</v>
      </c>
      <c r="G312">
        <v>0</v>
      </c>
      <c r="H312">
        <v>2.62</v>
      </c>
    </row>
    <row r="313" spans="1:8">
      <c r="A313" s="1">
        <v>28</v>
      </c>
      <c r="B313" t="s">
        <v>2031</v>
      </c>
      <c r="C313">
        <v>13.08</v>
      </c>
      <c r="D313">
        <v>276.54000000000002</v>
      </c>
      <c r="E313">
        <v>0.53659100000000004</v>
      </c>
      <c r="F313">
        <v>1.04</v>
      </c>
      <c r="G313">
        <v>42</v>
      </c>
      <c r="H313">
        <v>2.5</v>
      </c>
    </row>
    <row r="314" spans="1:8">
      <c r="A314" s="1">
        <v>29</v>
      </c>
      <c r="B314" t="s">
        <v>2032</v>
      </c>
      <c r="C314">
        <v>13.98</v>
      </c>
      <c r="D314">
        <v>275.77999999999997</v>
      </c>
      <c r="E314">
        <v>0.498639</v>
      </c>
      <c r="F314">
        <v>0.23</v>
      </c>
      <c r="G314">
        <v>40</v>
      </c>
      <c r="H314">
        <v>2.67</v>
      </c>
    </row>
    <row r="315" spans="1:8">
      <c r="A315" s="1">
        <v>30</v>
      </c>
      <c r="B315" t="s">
        <v>2033</v>
      </c>
      <c r="C315">
        <v>13.07</v>
      </c>
      <c r="D315">
        <v>276.64</v>
      </c>
      <c r="E315">
        <v>0.62005100000000002</v>
      </c>
      <c r="F315">
        <v>0.15</v>
      </c>
      <c r="G315">
        <v>4</v>
      </c>
      <c r="H315">
        <v>2.5</v>
      </c>
    </row>
    <row r="316" spans="1:8">
      <c r="A316" s="1">
        <v>31</v>
      </c>
      <c r="B316" t="s">
        <v>2034</v>
      </c>
      <c r="C316">
        <v>13.03</v>
      </c>
      <c r="D316">
        <v>277.45</v>
      </c>
      <c r="E316">
        <v>0.61940200000000001</v>
      </c>
      <c r="F316">
        <v>0.38</v>
      </c>
      <c r="G316">
        <v>24</v>
      </c>
      <c r="H316">
        <v>2.48</v>
      </c>
    </row>
    <row r="317" spans="1:8">
      <c r="A317" s="1">
        <v>32</v>
      </c>
      <c r="B317" t="s">
        <v>2035</v>
      </c>
      <c r="C317">
        <v>13.12</v>
      </c>
      <c r="D317">
        <v>281.20999999999998</v>
      </c>
      <c r="E317">
        <v>0.71853900000000004</v>
      </c>
      <c r="F317">
        <v>2.38</v>
      </c>
      <c r="G317">
        <v>60</v>
      </c>
      <c r="H317">
        <v>2.5</v>
      </c>
    </row>
    <row r="318" spans="1:8">
      <c r="A318" s="1">
        <v>33</v>
      </c>
      <c r="B318" t="s">
        <v>2036</v>
      </c>
      <c r="C318">
        <v>12.86</v>
      </c>
      <c r="D318">
        <v>275.31</v>
      </c>
      <c r="E318">
        <v>0.63669900000000001</v>
      </c>
      <c r="F318">
        <v>0.15</v>
      </c>
      <c r="G318">
        <v>36</v>
      </c>
      <c r="H318">
        <v>2.4500000000000002</v>
      </c>
    </row>
    <row r="319" spans="1:8">
      <c r="A319" s="1">
        <v>34</v>
      </c>
      <c r="B319" t="s">
        <v>2037</v>
      </c>
      <c r="C319">
        <v>13.24</v>
      </c>
      <c r="D319">
        <v>274.19</v>
      </c>
      <c r="E319">
        <v>0.57844099999999998</v>
      </c>
      <c r="F319">
        <v>0.04</v>
      </c>
      <c r="G319">
        <v>56</v>
      </c>
      <c r="H319">
        <v>2.5299999999999998</v>
      </c>
    </row>
    <row r="320" spans="1:8">
      <c r="A320" s="1">
        <v>35</v>
      </c>
      <c r="B320" t="s">
        <v>2038</v>
      </c>
      <c r="C320">
        <v>11.98</v>
      </c>
      <c r="D320">
        <v>268.3</v>
      </c>
      <c r="E320">
        <v>0.391592</v>
      </c>
      <c r="F320">
        <v>0.31</v>
      </c>
      <c r="G320">
        <v>2</v>
      </c>
      <c r="H320">
        <v>2.2799999999999998</v>
      </c>
    </row>
    <row r="321" spans="1:8">
      <c r="A321" s="1">
        <v>36</v>
      </c>
      <c r="B321" t="s">
        <v>2039</v>
      </c>
      <c r="C321">
        <v>13.36</v>
      </c>
      <c r="D321">
        <v>277.93</v>
      </c>
      <c r="E321">
        <v>0.59939500000000001</v>
      </c>
      <c r="F321">
        <v>0.46</v>
      </c>
      <c r="G321">
        <v>24</v>
      </c>
      <c r="H321">
        <v>2.5499999999999998</v>
      </c>
    </row>
    <row r="322" spans="1:8">
      <c r="A322" s="1">
        <v>37</v>
      </c>
      <c r="B322" t="s">
        <v>2040</v>
      </c>
      <c r="C322">
        <v>12.29</v>
      </c>
      <c r="D322">
        <v>270.39999999999998</v>
      </c>
      <c r="E322">
        <v>0.34075800000000001</v>
      </c>
      <c r="F322">
        <v>0.65</v>
      </c>
      <c r="G322">
        <v>10</v>
      </c>
      <c r="H322">
        <v>2.34</v>
      </c>
    </row>
    <row r="323" spans="1:8">
      <c r="A323" s="1">
        <v>38</v>
      </c>
      <c r="B323" t="s">
        <v>2041</v>
      </c>
      <c r="C323">
        <v>12.78</v>
      </c>
      <c r="D323">
        <v>274.57</v>
      </c>
      <c r="E323">
        <v>0.42262300000000003</v>
      </c>
      <c r="F323">
        <v>0.23</v>
      </c>
      <c r="G323">
        <v>28</v>
      </c>
      <c r="H323">
        <v>2.44</v>
      </c>
    </row>
    <row r="324" spans="1:8">
      <c r="A324" s="1">
        <v>39</v>
      </c>
      <c r="B324" t="s">
        <v>2042</v>
      </c>
      <c r="C324">
        <v>13.33</v>
      </c>
      <c r="D324">
        <v>275.95</v>
      </c>
      <c r="E324">
        <v>0.52176500000000003</v>
      </c>
      <c r="F324">
        <v>0.42</v>
      </c>
      <c r="G324">
        <v>76</v>
      </c>
      <c r="H324">
        <v>2.56</v>
      </c>
    </row>
    <row r="325" spans="1:8">
      <c r="A325" s="1">
        <v>40</v>
      </c>
      <c r="B325" t="s">
        <v>2043</v>
      </c>
      <c r="C325">
        <v>12.84</v>
      </c>
      <c r="D325">
        <v>278.63</v>
      </c>
      <c r="E325">
        <v>0.64524300000000001</v>
      </c>
      <c r="F325">
        <v>0.38</v>
      </c>
      <c r="G325">
        <v>38</v>
      </c>
      <c r="H325">
        <v>2.44</v>
      </c>
    </row>
    <row r="326" spans="1:8">
      <c r="A326" s="1">
        <v>41</v>
      </c>
      <c r="B326" t="s">
        <v>2044</v>
      </c>
      <c r="C326">
        <v>13.32</v>
      </c>
      <c r="D326">
        <v>281.05</v>
      </c>
      <c r="E326">
        <v>0.67243399999999998</v>
      </c>
      <c r="F326">
        <v>3.03</v>
      </c>
      <c r="G326">
        <v>28</v>
      </c>
      <c r="H326">
        <v>2.54</v>
      </c>
    </row>
    <row r="327" spans="1:8">
      <c r="A327" s="1">
        <v>42</v>
      </c>
      <c r="B327" t="s">
        <v>2045</v>
      </c>
      <c r="C327">
        <v>10.99</v>
      </c>
      <c r="D327" t="e">
        <f>-inf</f>
        <v>#NAME?</v>
      </c>
      <c r="E327">
        <v>0.207956</v>
      </c>
      <c r="F327">
        <v>0</v>
      </c>
      <c r="G327">
        <v>46</v>
      </c>
      <c r="H327">
        <v>2.1</v>
      </c>
    </row>
    <row r="328" spans="1:8">
      <c r="A328" s="1">
        <v>43</v>
      </c>
      <c r="B328" t="s">
        <v>2046</v>
      </c>
      <c r="C328">
        <v>11.02</v>
      </c>
      <c r="D328">
        <v>271.75</v>
      </c>
      <c r="E328">
        <v>0.54247500000000004</v>
      </c>
      <c r="F328">
        <v>0.27</v>
      </c>
      <c r="G328">
        <v>66</v>
      </c>
      <c r="H328">
        <v>2.1</v>
      </c>
    </row>
    <row r="329" spans="1:8">
      <c r="A329" s="1">
        <v>44</v>
      </c>
      <c r="B329" t="s">
        <v>2047</v>
      </c>
      <c r="C329">
        <v>14.14</v>
      </c>
      <c r="D329">
        <v>272.52</v>
      </c>
      <c r="E329">
        <v>0.41183199999999998</v>
      </c>
      <c r="F329">
        <v>0.42</v>
      </c>
      <c r="G329">
        <v>62</v>
      </c>
      <c r="H329">
        <v>2.68</v>
      </c>
    </row>
    <row r="330" spans="1:8">
      <c r="A330" s="1">
        <v>45</v>
      </c>
      <c r="B330" t="s">
        <v>2048</v>
      </c>
      <c r="C330">
        <v>13.22</v>
      </c>
      <c r="D330">
        <v>273.97000000000003</v>
      </c>
      <c r="E330">
        <v>0.59451699999999996</v>
      </c>
      <c r="F330">
        <v>0.08</v>
      </c>
      <c r="G330">
        <v>10</v>
      </c>
      <c r="H330">
        <v>2.52</v>
      </c>
    </row>
    <row r="331" spans="1:8">
      <c r="A331" s="1">
        <v>46</v>
      </c>
      <c r="B331" t="s">
        <v>2049</v>
      </c>
      <c r="C331">
        <v>13.45</v>
      </c>
      <c r="D331">
        <v>273.31</v>
      </c>
      <c r="E331">
        <v>0.57326900000000003</v>
      </c>
      <c r="F331">
        <v>0.31</v>
      </c>
      <c r="G331">
        <v>42</v>
      </c>
      <c r="H331">
        <v>2.57</v>
      </c>
    </row>
    <row r="332" spans="1:8">
      <c r="A332" s="1">
        <v>47</v>
      </c>
      <c r="B332" t="s">
        <v>2050</v>
      </c>
      <c r="C332">
        <v>12.95</v>
      </c>
      <c r="D332">
        <v>278.37</v>
      </c>
      <c r="E332">
        <v>0.60180299999999998</v>
      </c>
      <c r="F332">
        <v>0.81</v>
      </c>
      <c r="G332">
        <v>64</v>
      </c>
      <c r="H332">
        <v>2.4700000000000002</v>
      </c>
    </row>
    <row r="333" spans="1:8">
      <c r="A333" s="1">
        <v>48</v>
      </c>
      <c r="B333" t="s">
        <v>2051</v>
      </c>
      <c r="C333">
        <v>12.9</v>
      </c>
      <c r="D333">
        <v>279.95</v>
      </c>
      <c r="E333">
        <v>0.68453900000000001</v>
      </c>
      <c r="F333">
        <v>1.8</v>
      </c>
      <c r="G333">
        <v>6</v>
      </c>
      <c r="H333">
        <v>2.4700000000000002</v>
      </c>
    </row>
    <row r="334" spans="1:8">
      <c r="A334" s="1">
        <v>49</v>
      </c>
      <c r="B334" t="s">
        <v>2052</v>
      </c>
      <c r="C334">
        <v>14.31</v>
      </c>
      <c r="D334">
        <v>271.39</v>
      </c>
      <c r="E334">
        <v>0.52308500000000002</v>
      </c>
      <c r="F334">
        <v>0.15</v>
      </c>
      <c r="G334">
        <v>16</v>
      </c>
      <c r="H334">
        <v>2.73</v>
      </c>
    </row>
    <row r="335" spans="1:8">
      <c r="A335" s="1">
        <v>50</v>
      </c>
      <c r="B335" t="s">
        <v>2053</v>
      </c>
      <c r="C335">
        <v>13.29</v>
      </c>
      <c r="D335">
        <v>276.88</v>
      </c>
      <c r="E335">
        <v>0.600908</v>
      </c>
      <c r="F335">
        <v>0.84</v>
      </c>
      <c r="G335">
        <v>2</v>
      </c>
      <c r="H335">
        <v>2.54</v>
      </c>
    </row>
    <row r="336" spans="1:8">
      <c r="B336" s="1" t="s">
        <v>19</v>
      </c>
      <c r="C336" s="1">
        <f>AVERAGE(C286:C335)</f>
        <v>13.161600000000004</v>
      </c>
      <c r="D336" s="1" t="e">
        <f>AVERAGE(#REF!)</f>
        <v>#REF!</v>
      </c>
      <c r="E336" s="1" t="e">
        <f>AVERAGE(#REF!)</f>
        <v>#REF!</v>
      </c>
      <c r="F336" s="1" t="e">
        <f>AVERAGE(#REF!)</f>
        <v>#REF!</v>
      </c>
      <c r="H336" s="1" t="e">
        <f>AVERAGE(#REF!)</f>
        <v>#REF!</v>
      </c>
    </row>
    <row r="337" spans="1:8">
      <c r="B337" s="1" t="s">
        <v>20</v>
      </c>
      <c r="C337" s="1">
        <f>MIN(C285:C335)</f>
        <v>10.99</v>
      </c>
      <c r="D337" s="1" t="e">
        <f>MIN(D285:D335)</f>
        <v>#NAME?</v>
      </c>
      <c r="E337" s="1">
        <f>MIN(E285:E335)</f>
        <v>0.207956</v>
      </c>
      <c r="F337" s="1">
        <f>MIN(F285:F335)</f>
        <v>0</v>
      </c>
      <c r="H337" s="1">
        <f>MIN(H285:H335)</f>
        <v>2.1</v>
      </c>
    </row>
    <row r="338" spans="1:8">
      <c r="B338" s="1" t="s">
        <v>3</v>
      </c>
      <c r="C338" s="1" t="e">
        <f>STDEV(#REF!)</f>
        <v>#REF!</v>
      </c>
      <c r="D338" s="1" t="e">
        <f>STDEV(#REF!)</f>
        <v>#REF!</v>
      </c>
      <c r="E338" s="1" t="e">
        <f>STDEV(#REF!)</f>
        <v>#REF!</v>
      </c>
      <c r="F338" s="1" t="e">
        <f>STDEV(#REF!)</f>
        <v>#REF!</v>
      </c>
      <c r="H338" s="1" t="e">
        <f>STDEV(#REF!)</f>
        <v>#REF!</v>
      </c>
    </row>
    <row r="340" spans="1:8">
      <c r="H340" s="18" t="s">
        <v>1435</v>
      </c>
    </row>
    <row r="341" spans="1:8" ht="18">
      <c r="A341" s="18" t="s">
        <v>7</v>
      </c>
      <c r="B341" s="3" t="s">
        <v>6</v>
      </c>
      <c r="C341" s="18" t="s">
        <v>4</v>
      </c>
      <c r="D341" s="18" t="s">
        <v>322</v>
      </c>
      <c r="E341" s="18" t="s">
        <v>321</v>
      </c>
      <c r="F341" s="18" t="s">
        <v>324</v>
      </c>
      <c r="G341" s="18" t="s">
        <v>323</v>
      </c>
      <c r="H341" s="18" t="s">
        <v>1436</v>
      </c>
    </row>
    <row r="342" spans="1:8">
      <c r="A342" s="1">
        <v>1</v>
      </c>
    </row>
    <row r="343" spans="1:8">
      <c r="A343" s="1">
        <v>2</v>
      </c>
    </row>
    <row r="344" spans="1:8">
      <c r="A344" s="1">
        <v>3</v>
      </c>
    </row>
    <row r="345" spans="1:8">
      <c r="A345" s="1">
        <v>4</v>
      </c>
    </row>
    <row r="346" spans="1:8">
      <c r="A346" s="1">
        <v>5</v>
      </c>
    </row>
    <row r="347" spans="1:8">
      <c r="A347" s="1">
        <v>6</v>
      </c>
    </row>
    <row r="348" spans="1:8">
      <c r="A348" s="1">
        <v>7</v>
      </c>
    </row>
    <row r="349" spans="1:8">
      <c r="A349" s="1">
        <v>8</v>
      </c>
    </row>
    <row r="350" spans="1:8">
      <c r="A350" s="1">
        <v>9</v>
      </c>
    </row>
    <row r="351" spans="1:8">
      <c r="A351" s="1">
        <v>10</v>
      </c>
    </row>
    <row r="352" spans="1:8">
      <c r="A352" s="1">
        <v>11</v>
      </c>
    </row>
    <row r="353" spans="1:1">
      <c r="A353" s="1">
        <v>12</v>
      </c>
    </row>
    <row r="354" spans="1:1">
      <c r="A354" s="1">
        <v>13</v>
      </c>
    </row>
    <row r="355" spans="1:1">
      <c r="A355" s="1">
        <v>14</v>
      </c>
    </row>
    <row r="356" spans="1:1">
      <c r="A356" s="1">
        <v>15</v>
      </c>
    </row>
    <row r="357" spans="1:1">
      <c r="A357" s="1">
        <v>16</v>
      </c>
    </row>
    <row r="358" spans="1:1">
      <c r="A358" s="1">
        <v>17</v>
      </c>
    </row>
    <row r="359" spans="1:1">
      <c r="A359" s="1">
        <v>18</v>
      </c>
    </row>
    <row r="360" spans="1:1">
      <c r="A360" s="1">
        <v>19</v>
      </c>
    </row>
    <row r="361" spans="1:1">
      <c r="A361" s="1">
        <v>20</v>
      </c>
    </row>
    <row r="362" spans="1:1">
      <c r="A362" s="1">
        <v>21</v>
      </c>
    </row>
    <row r="363" spans="1:1">
      <c r="A363" s="1">
        <v>22</v>
      </c>
    </row>
    <row r="364" spans="1:1">
      <c r="A364" s="1">
        <v>23</v>
      </c>
    </row>
    <row r="365" spans="1:1">
      <c r="A365" s="1">
        <v>24</v>
      </c>
    </row>
    <row r="366" spans="1:1">
      <c r="A366" s="1">
        <v>25</v>
      </c>
    </row>
    <row r="367" spans="1:1">
      <c r="A367" s="1">
        <v>26</v>
      </c>
    </row>
    <row r="368" spans="1:1">
      <c r="A368" s="1">
        <v>27</v>
      </c>
    </row>
    <row r="369" spans="1:1">
      <c r="A369" s="1">
        <v>28</v>
      </c>
    </row>
    <row r="370" spans="1:1">
      <c r="A370" s="1">
        <v>29</v>
      </c>
    </row>
    <row r="371" spans="1:1">
      <c r="A371" s="1">
        <v>30</v>
      </c>
    </row>
    <row r="372" spans="1:1">
      <c r="A372" s="1">
        <v>31</v>
      </c>
    </row>
    <row r="373" spans="1:1">
      <c r="A373" s="1">
        <v>32</v>
      </c>
    </row>
    <row r="374" spans="1:1">
      <c r="A374" s="1">
        <v>33</v>
      </c>
    </row>
    <row r="375" spans="1:1">
      <c r="A375" s="1">
        <v>34</v>
      </c>
    </row>
    <row r="376" spans="1:1">
      <c r="A376" s="1">
        <v>35</v>
      </c>
    </row>
    <row r="377" spans="1:1">
      <c r="A377" s="1">
        <v>36</v>
      </c>
    </row>
    <row r="378" spans="1:1">
      <c r="A378" s="1">
        <v>37</v>
      </c>
    </row>
    <row r="379" spans="1:1">
      <c r="A379" s="1">
        <v>38</v>
      </c>
    </row>
    <row r="380" spans="1:1">
      <c r="A380" s="1">
        <v>39</v>
      </c>
    </row>
    <row r="381" spans="1:1">
      <c r="A381" s="1">
        <v>40</v>
      </c>
    </row>
    <row r="382" spans="1:1">
      <c r="A382" s="1">
        <v>41</v>
      </c>
    </row>
    <row r="383" spans="1:1">
      <c r="A383" s="1">
        <v>42</v>
      </c>
    </row>
    <row r="384" spans="1:1">
      <c r="A384" s="1">
        <v>43</v>
      </c>
    </row>
    <row r="385" spans="1:8">
      <c r="A385" s="1">
        <v>44</v>
      </c>
    </row>
    <row r="386" spans="1:8">
      <c r="A386" s="1">
        <v>45</v>
      </c>
    </row>
    <row r="387" spans="1:8">
      <c r="A387" s="1">
        <v>46</v>
      </c>
    </row>
    <row r="388" spans="1:8">
      <c r="A388" s="1">
        <v>47</v>
      </c>
    </row>
    <row r="389" spans="1:8">
      <c r="A389" s="1">
        <v>48</v>
      </c>
    </row>
    <row r="390" spans="1:8">
      <c r="A390" s="1">
        <v>49</v>
      </c>
    </row>
    <row r="391" spans="1:8">
      <c r="A391" s="1">
        <v>50</v>
      </c>
    </row>
    <row r="392" spans="1:8">
      <c r="B392" s="1" t="s">
        <v>19</v>
      </c>
      <c r="C392" s="1" t="e">
        <f>AVERAGE(C342:C391)</f>
        <v>#DIV/0!</v>
      </c>
      <c r="D392" s="1" t="e">
        <f t="shared" ref="D392:F392" si="10">AVERAGE(D342:D391)</f>
        <v>#DIV/0!</v>
      </c>
      <c r="E392" s="1" t="e">
        <f t="shared" si="10"/>
        <v>#DIV/0!</v>
      </c>
      <c r="F392" s="1" t="e">
        <f t="shared" si="10"/>
        <v>#DIV/0!</v>
      </c>
      <c r="H392" s="1" t="e">
        <f t="shared" ref="H392" si="11">AVERAGE(H342:H391)</f>
        <v>#DIV/0!</v>
      </c>
    </row>
    <row r="393" spans="1:8">
      <c r="B393" s="1" t="s">
        <v>20</v>
      </c>
      <c r="C393" s="1">
        <f>MIN(C341:C391)</f>
        <v>0</v>
      </c>
      <c r="D393" s="1">
        <f t="shared" ref="D393:F393" si="12">MIN(D341:D391)</f>
        <v>0</v>
      </c>
      <c r="E393" s="1">
        <f t="shared" si="12"/>
        <v>0</v>
      </c>
      <c r="F393" s="1">
        <f t="shared" si="12"/>
        <v>0</v>
      </c>
      <c r="H393" s="1">
        <f t="shared" ref="H393" si="13">MIN(H341:H391)</f>
        <v>0</v>
      </c>
    </row>
    <row r="394" spans="1:8">
      <c r="B394" s="1" t="s">
        <v>3</v>
      </c>
      <c r="C394" s="1" t="e">
        <f>STDEV(C342:C391)</f>
        <v>#DIV/0!</v>
      </c>
      <c r="D394" s="1" t="e">
        <f t="shared" ref="D394:E394" si="14">STDEV(D342:D391)</f>
        <v>#DIV/0!</v>
      </c>
      <c r="E394" s="1" t="e">
        <f t="shared" si="14"/>
        <v>#DIV/0!</v>
      </c>
      <c r="F394" s="1" t="e">
        <f>STDEV(F342:F391)</f>
        <v>#DIV/0!</v>
      </c>
      <c r="H394" s="1" t="e">
        <f>STDEV(H342:H391)</f>
        <v>#DIV/0!</v>
      </c>
    </row>
    <row r="397" spans="1:8" ht="18">
      <c r="A397" s="18"/>
      <c r="B397" s="3"/>
      <c r="C397" s="18"/>
      <c r="D397" s="18"/>
      <c r="E397" s="18"/>
      <c r="F397" s="18"/>
      <c r="G397" s="18"/>
    </row>
    <row r="421" spans="2:4" ht="18">
      <c r="B421" s="3"/>
      <c r="C421" s="18"/>
      <c r="D421" s="18"/>
    </row>
    <row r="445" spans="2:4" ht="18">
      <c r="B445" s="3"/>
      <c r="C445" s="18"/>
      <c r="D445" s="18"/>
    </row>
  </sheetData>
  <mergeCells count="1"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README</vt:lpstr>
      <vt:lpstr>Only primary (cb0)</vt:lpstr>
      <vt:lpstr>SCB (cb2)</vt:lpstr>
      <vt:lpstr>Always max (cb4)</vt:lpstr>
      <vt:lpstr>Prob. Uniform (cb6)</vt:lpstr>
      <vt:lpstr>Summary</vt:lpstr>
      <vt:lpstr>Proportional Fairness AM vs PU</vt:lpstr>
      <vt:lpstr>OP_PL2</vt:lpstr>
      <vt:lpstr>AM_PL2</vt:lpstr>
      <vt:lpstr>PU_PL2</vt:lpstr>
      <vt:lpstr>OP_PL3</vt:lpstr>
      <vt:lpstr>AM_PL3</vt:lpstr>
      <vt:lpstr>PU_PL3</vt:lpstr>
      <vt:lpstr>Global summary</vt:lpstr>
      <vt:lpstr>OP_PL3_11ax</vt:lpstr>
      <vt:lpstr>SCB_PL3_11ax</vt:lpstr>
      <vt:lpstr>AM_PL3_11ax</vt:lpstr>
      <vt:lpstr>PU_PL3_11ax</vt:lpstr>
      <vt:lpstr>Summary PL3_11ax</vt:lpstr>
      <vt:lpstr>OP_PL3_Jul</vt:lpstr>
      <vt:lpstr>SCB_PL3_Jul</vt:lpstr>
      <vt:lpstr>AM_PL3_Jul</vt:lpstr>
      <vt:lpstr>PU_PL3_Jul</vt:lpstr>
      <vt:lpstr>Summary PL3_Jul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2017-10-20T08:13:51Z</dcterms:created>
  <dcterms:modified xsi:type="dcterms:W3CDTF">2018-07-04T15:30:42Z</dcterms:modified>
</cp:coreProperties>
</file>