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abriel\Downloads\"/>
    </mc:Choice>
  </mc:AlternateContent>
  <xr:revisionPtr revIDLastSave="0" documentId="13_ncr:1_{DCB27EC1-8329-4F6A-88E5-30D590978A46}" xr6:coauthVersionLast="47" xr6:coauthVersionMax="47" xr10:uidLastSave="{00000000-0000-0000-0000-000000000000}"/>
  <bookViews>
    <workbookView xWindow="20370" yWindow="-120" windowWidth="29040" windowHeight="15840" firstSheet="2" activeTab="2" xr2:uid="{559EE86B-E566-4BE5-8285-192BD44DC6E3}"/>
  </bookViews>
  <sheets>
    <sheet name="VERSION CONTROL" sheetId="67" r:id="rId1"/>
    <sheet name="QTO" sheetId="59" state="hidden" r:id="rId2"/>
    <sheet name="QTO DB" sheetId="66" r:id="rId3"/>
    <sheet name="Margin Analysis" sheetId="65" r:id="rId4"/>
    <sheet name="Customer View" sheetId="68" r:id="rId5"/>
    <sheet name="Sites" sheetId="77" r:id="rId6"/>
    <sheet name="Sizing" sheetId="78" r:id="rId7"/>
    <sheet name="COGENT" sheetId="79" r:id="rId8"/>
    <sheet name="FIELD SERVICES" sheetId="69" state="hidden" r:id="rId9"/>
    <sheet name="ZONAS PERU" sheetId="70" state="hidden" r:id="rId10"/>
    <sheet name="Resumen" sheetId="73" state="hidden" r:id="rId11"/>
    <sheet name="QTO Unlimited Service Plans" sheetId="74" state="hidden" r:id="rId12"/>
    <sheet name="CashFlow-HUGHES PRIME" sheetId="19" state="hidden" r:id="rId13"/>
    <sheet name="QTO EPAD SELVA - ITEM 1" sheetId="54" state="hidden" r:id="rId14"/>
    <sheet name="QTO EPAD SELVA - ITEM 2" sheetId="55" state="hidden" r:id="rId15"/>
    <sheet name="QTO EPAD SELVA - ITEM 3" sheetId="56" state="hidden" r:id="rId16"/>
  </sheets>
  <definedNames>
    <definedName name="_xlnm._FilterDatabase" localSheetId="1" hidden="1">QTO!$A$23:$M$33</definedName>
    <definedName name="_xlnm._FilterDatabase" localSheetId="2" hidden="1">'QTO DB'!$A$24:$X$24</definedName>
    <definedName name="_xlnm._FilterDatabase" localSheetId="13" hidden="1">'QTO EPAD SELVA - ITEM 1'!$A$24:$M$36</definedName>
    <definedName name="_xlnm._FilterDatabase" localSheetId="14" hidden="1">'QTO EPAD SELVA - ITEM 2'!$A$24:$M$36</definedName>
    <definedName name="_xlnm._FilterDatabase" localSheetId="15" hidden="1">'QTO EPAD SELVA - ITEM 3'!$A$24:$M$36</definedName>
    <definedName name="_xlnm._FilterDatabase" localSheetId="5" hidden="1">Sites!$A$1:$Y$1230</definedName>
    <definedName name="_xlcn.WorksheetConnection_QTOTEMPLATEJAN1724.xlsxTable11" hidden="1">Table1[]</definedName>
    <definedName name="Access_Points">#REF!</definedName>
    <definedName name="_xlnm.Print_Area" localSheetId="4">'Customer View'!$A$1:$G$64</definedName>
    <definedName name="Cabinets">#REF!</definedName>
    <definedName name="CustomerView">#REF!</definedName>
    <definedName name="Desktop_Pc">#REF!</definedName>
    <definedName name="Digital_Repository">#REF!</definedName>
    <definedName name="Installation___Support">#REF!</definedName>
    <definedName name="Managed_Capacity">#REF!</definedName>
    <definedName name="Network_O_M">#REF!</definedName>
    <definedName name="QTO_DB">Table1[]</definedName>
    <definedName name="Routers_Microtik">#REF!</definedName>
    <definedName name="Solar_Panels">#REF!</definedName>
    <definedName name="VSAT">#REF!</definedName>
    <definedName name="Web_Filetring">#REF!</definedName>
  </definedNames>
  <calcPr calcId="191029"/>
  <pivotCaches>
    <pivotCache cacheId="0" r:id="rId17"/>
    <pivotCache cacheId="1" r:id="rId18"/>
    <pivotCache cacheId="2" r:id="rId19"/>
    <pivotCache cacheId="9" r:id="rId2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1" name="Table1" connection="WorksheetConnection_QTO TEMPLATE JAN1724.xlsx!Table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1" i="66" l="1"/>
  <c r="K39" i="66"/>
  <c r="L39" i="66" s="1"/>
  <c r="M39" i="66" s="1"/>
  <c r="V39" i="66" s="1"/>
  <c r="K38" i="66"/>
  <c r="L38" i="66" s="1"/>
  <c r="M38" i="66" s="1"/>
  <c r="V38" i="66" s="1"/>
  <c r="N39" i="66"/>
  <c r="N38" i="66"/>
  <c r="V40" i="66"/>
  <c r="L40" i="66"/>
  <c r="M40" i="66" s="1"/>
  <c r="O40" i="66"/>
  <c r="O39" i="66"/>
  <c r="O38" i="66"/>
  <c r="W40" i="66" l="1"/>
  <c r="T40" i="66"/>
  <c r="R40" i="66"/>
  <c r="U40" i="66"/>
  <c r="S40" i="66"/>
  <c r="P40" i="66"/>
  <c r="U39" i="66"/>
  <c r="S39" i="66"/>
  <c r="P39" i="66"/>
  <c r="W39" i="66"/>
  <c r="T39" i="66"/>
  <c r="R39" i="66"/>
  <c r="U38" i="66"/>
  <c r="S38" i="66"/>
  <c r="P38" i="66"/>
  <c r="W38" i="66"/>
  <c r="T38" i="66"/>
  <c r="R38" i="66"/>
  <c r="L34" i="66" l="1"/>
  <c r="I50" i="66"/>
  <c r="I49" i="66"/>
  <c r="I48" i="66"/>
  <c r="I47" i="66"/>
  <c r="I46" i="66"/>
  <c r="I45" i="66"/>
  <c r="S50" i="66"/>
  <c r="R50" i="66"/>
  <c r="Q50" i="66"/>
  <c r="P50" i="66"/>
  <c r="K50" i="66"/>
  <c r="H50" i="66"/>
  <c r="J50" i="66" s="1"/>
  <c r="S49" i="66"/>
  <c r="R49" i="66"/>
  <c r="Q49" i="66"/>
  <c r="P49" i="66"/>
  <c r="K49" i="66"/>
  <c r="H49" i="66"/>
  <c r="J49" i="66" s="1"/>
  <c r="S48" i="66"/>
  <c r="R48" i="66"/>
  <c r="Q48" i="66"/>
  <c r="P48" i="66"/>
  <c r="K48" i="66"/>
  <c r="H48" i="66"/>
  <c r="J48" i="66" s="1"/>
  <c r="S47" i="66"/>
  <c r="R47" i="66"/>
  <c r="Q47" i="66"/>
  <c r="P47" i="66"/>
  <c r="K47" i="66"/>
  <c r="H47" i="66"/>
  <c r="J47" i="66" s="1"/>
  <c r="S46" i="66"/>
  <c r="R46" i="66"/>
  <c r="Q46" i="66"/>
  <c r="P46" i="66"/>
  <c r="K46" i="66"/>
  <c r="H46" i="66"/>
  <c r="J46" i="66" s="1"/>
  <c r="S45" i="66"/>
  <c r="R45" i="66"/>
  <c r="Q45" i="66"/>
  <c r="P45" i="66"/>
  <c r="K45" i="66"/>
  <c r="H45" i="66"/>
  <c r="J45" i="66" s="1"/>
  <c r="T46" i="66" l="1"/>
  <c r="T48" i="66"/>
  <c r="T50" i="66"/>
  <c r="T47" i="66"/>
  <c r="T49" i="66"/>
  <c r="T45" i="66"/>
  <c r="N30" i="66" l="1"/>
  <c r="N26" i="66"/>
  <c r="G28" i="66"/>
  <c r="G27" i="66"/>
  <c r="G26" i="66"/>
  <c r="G25" i="66"/>
  <c r="G33" i="66"/>
  <c r="G35" i="66"/>
  <c r="G37" i="66" l="1"/>
  <c r="T3" i="77"/>
  <c r="T4" i="77"/>
  <c r="T5" i="77"/>
  <c r="T6" i="77"/>
  <c r="T7" i="77"/>
  <c r="T8" i="77"/>
  <c r="T9" i="77"/>
  <c r="T10" i="77"/>
  <c r="T11" i="77"/>
  <c r="T12" i="77"/>
  <c r="T13" i="77"/>
  <c r="T14" i="77"/>
  <c r="T15" i="77"/>
  <c r="T16" i="77"/>
  <c r="T17" i="77"/>
  <c r="T18" i="77"/>
  <c r="T19" i="77"/>
  <c r="T20" i="77"/>
  <c r="T21" i="77"/>
  <c r="T22" i="77"/>
  <c r="T23" i="77"/>
  <c r="T24" i="77"/>
  <c r="T25" i="77"/>
  <c r="T26" i="77"/>
  <c r="T27" i="77"/>
  <c r="T28" i="77"/>
  <c r="T29" i="77"/>
  <c r="T30" i="77"/>
  <c r="T31" i="77"/>
  <c r="T32" i="77"/>
  <c r="T33" i="77"/>
  <c r="T34" i="77"/>
  <c r="T35" i="77"/>
  <c r="T36" i="77"/>
  <c r="T37" i="77"/>
  <c r="T38" i="77"/>
  <c r="T39" i="77"/>
  <c r="U39" i="77" s="1"/>
  <c r="T40" i="77"/>
  <c r="T41" i="77"/>
  <c r="T42" i="77"/>
  <c r="T43" i="77"/>
  <c r="T44" i="77"/>
  <c r="T45" i="77"/>
  <c r="T46" i="77"/>
  <c r="T47" i="77"/>
  <c r="T48" i="77"/>
  <c r="T49" i="77"/>
  <c r="T50" i="77"/>
  <c r="T51" i="77"/>
  <c r="T52" i="77"/>
  <c r="T53" i="77"/>
  <c r="T54" i="77"/>
  <c r="T55" i="77"/>
  <c r="T56" i="77"/>
  <c r="T57" i="77"/>
  <c r="T58" i="77"/>
  <c r="T59" i="77"/>
  <c r="T60" i="77"/>
  <c r="T61" i="77"/>
  <c r="T62" i="77"/>
  <c r="T63" i="77"/>
  <c r="T64" i="77"/>
  <c r="T65" i="77"/>
  <c r="T66" i="77"/>
  <c r="T67" i="77"/>
  <c r="T68" i="77"/>
  <c r="T69" i="77"/>
  <c r="T70" i="77"/>
  <c r="T71" i="77"/>
  <c r="U71" i="77" s="1"/>
  <c r="T72" i="77"/>
  <c r="T73" i="77"/>
  <c r="T74" i="77"/>
  <c r="T75" i="77"/>
  <c r="T76" i="77"/>
  <c r="T77" i="77"/>
  <c r="T78" i="77"/>
  <c r="T79" i="77"/>
  <c r="T80" i="77"/>
  <c r="T81" i="77"/>
  <c r="T82" i="77"/>
  <c r="T83" i="77"/>
  <c r="T84" i="77"/>
  <c r="T85" i="77"/>
  <c r="T86" i="77"/>
  <c r="T87" i="77"/>
  <c r="U87" i="77" s="1"/>
  <c r="T88" i="77"/>
  <c r="T89" i="77"/>
  <c r="T90" i="77"/>
  <c r="T91" i="77"/>
  <c r="T92" i="77"/>
  <c r="T93" i="77"/>
  <c r="T94" i="77"/>
  <c r="T95" i="77"/>
  <c r="T96" i="77"/>
  <c r="T97" i="77"/>
  <c r="T98" i="77"/>
  <c r="T99" i="77"/>
  <c r="T100" i="77"/>
  <c r="T101" i="77"/>
  <c r="T102" i="77"/>
  <c r="T103" i="77"/>
  <c r="U103" i="77" s="1"/>
  <c r="T104" i="77"/>
  <c r="T105" i="77"/>
  <c r="T106" i="77"/>
  <c r="T107" i="77"/>
  <c r="T108" i="77"/>
  <c r="T109" i="77"/>
  <c r="T110" i="77"/>
  <c r="T111" i="77"/>
  <c r="T112" i="77"/>
  <c r="T113" i="77"/>
  <c r="T114" i="77"/>
  <c r="T115" i="77"/>
  <c r="T116" i="77"/>
  <c r="T117" i="77"/>
  <c r="T118" i="77"/>
  <c r="T119" i="77"/>
  <c r="U119" i="77" s="1"/>
  <c r="T120" i="77"/>
  <c r="T121" i="77"/>
  <c r="T122" i="77"/>
  <c r="T123" i="77"/>
  <c r="T124" i="77"/>
  <c r="T125" i="77"/>
  <c r="T126" i="77"/>
  <c r="T127" i="77"/>
  <c r="T128" i="77"/>
  <c r="T129" i="77"/>
  <c r="T130" i="77"/>
  <c r="T131" i="77"/>
  <c r="T132" i="77"/>
  <c r="T133" i="77"/>
  <c r="T134" i="77"/>
  <c r="T135" i="77"/>
  <c r="T136" i="77"/>
  <c r="T137" i="77"/>
  <c r="T138" i="77"/>
  <c r="T139" i="77"/>
  <c r="T140" i="77"/>
  <c r="T141" i="77"/>
  <c r="T142" i="77"/>
  <c r="T143" i="77"/>
  <c r="T144" i="77"/>
  <c r="T145" i="77"/>
  <c r="T146" i="77"/>
  <c r="T147" i="77"/>
  <c r="T148" i="77"/>
  <c r="T149" i="77"/>
  <c r="T150" i="77"/>
  <c r="T151" i="77"/>
  <c r="T152" i="77"/>
  <c r="T153" i="77"/>
  <c r="T154" i="77"/>
  <c r="T155" i="77"/>
  <c r="T156" i="77"/>
  <c r="T157" i="77"/>
  <c r="T158" i="77"/>
  <c r="T159" i="77"/>
  <c r="T160" i="77"/>
  <c r="T161" i="77"/>
  <c r="T162" i="77"/>
  <c r="T163" i="77"/>
  <c r="T164" i="77"/>
  <c r="T165" i="77"/>
  <c r="T166" i="77"/>
  <c r="T167" i="77"/>
  <c r="T168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U199" i="77" s="1"/>
  <c r="T200" i="77"/>
  <c r="T201" i="77"/>
  <c r="T202" i="77"/>
  <c r="T203" i="77"/>
  <c r="T204" i="77"/>
  <c r="T205" i="77"/>
  <c r="T206" i="77"/>
  <c r="T207" i="77"/>
  <c r="T208" i="77"/>
  <c r="T209" i="77"/>
  <c r="T210" i="77"/>
  <c r="T211" i="77"/>
  <c r="T212" i="77"/>
  <c r="T213" i="77"/>
  <c r="T214" i="77"/>
  <c r="T215" i="77"/>
  <c r="U215" i="77" s="1"/>
  <c r="T216" i="77"/>
  <c r="T217" i="77"/>
  <c r="T218" i="77"/>
  <c r="T219" i="77"/>
  <c r="T220" i="77"/>
  <c r="T221" i="77"/>
  <c r="T222" i="77"/>
  <c r="T223" i="77"/>
  <c r="T224" i="77"/>
  <c r="T225" i="77"/>
  <c r="T226" i="77"/>
  <c r="T227" i="77"/>
  <c r="T228" i="77"/>
  <c r="T229" i="77"/>
  <c r="T230" i="77"/>
  <c r="T231" i="77"/>
  <c r="U231" i="77" s="1"/>
  <c r="T232" i="77"/>
  <c r="T233" i="77"/>
  <c r="T234" i="77"/>
  <c r="T235" i="77"/>
  <c r="T236" i="77"/>
  <c r="T237" i="77"/>
  <c r="T238" i="77"/>
  <c r="T239" i="77"/>
  <c r="T240" i="77"/>
  <c r="T241" i="77"/>
  <c r="T242" i="77"/>
  <c r="T243" i="77"/>
  <c r="T244" i="77"/>
  <c r="T245" i="77"/>
  <c r="T246" i="77"/>
  <c r="T247" i="77"/>
  <c r="T248" i="77"/>
  <c r="T249" i="77"/>
  <c r="T250" i="77"/>
  <c r="T251" i="77"/>
  <c r="T252" i="77"/>
  <c r="T253" i="77"/>
  <c r="T254" i="77"/>
  <c r="T255" i="77"/>
  <c r="T256" i="77"/>
  <c r="T257" i="77"/>
  <c r="T258" i="77"/>
  <c r="T259" i="77"/>
  <c r="T260" i="77"/>
  <c r="T261" i="77"/>
  <c r="T262" i="77"/>
  <c r="T263" i="77"/>
  <c r="T264" i="77"/>
  <c r="T265" i="77"/>
  <c r="T266" i="77"/>
  <c r="T267" i="77"/>
  <c r="T268" i="77"/>
  <c r="T269" i="77"/>
  <c r="T270" i="77"/>
  <c r="T271" i="77"/>
  <c r="T272" i="77"/>
  <c r="T273" i="77"/>
  <c r="T274" i="77"/>
  <c r="T275" i="77"/>
  <c r="T276" i="77"/>
  <c r="T277" i="77"/>
  <c r="T278" i="77"/>
  <c r="T279" i="77"/>
  <c r="T280" i="77"/>
  <c r="T281" i="77"/>
  <c r="T282" i="77"/>
  <c r="T283" i="77"/>
  <c r="T284" i="77"/>
  <c r="T285" i="77"/>
  <c r="T286" i="77"/>
  <c r="T287" i="77"/>
  <c r="T288" i="77"/>
  <c r="T289" i="77"/>
  <c r="T290" i="77"/>
  <c r="T291" i="77"/>
  <c r="T292" i="77"/>
  <c r="T293" i="77"/>
  <c r="T294" i="77"/>
  <c r="T295" i="77"/>
  <c r="U295" i="77" s="1"/>
  <c r="T296" i="77"/>
  <c r="T297" i="77"/>
  <c r="T298" i="77"/>
  <c r="T299" i="77"/>
  <c r="T300" i="77"/>
  <c r="T301" i="77"/>
  <c r="T302" i="77"/>
  <c r="T303" i="77"/>
  <c r="T304" i="77"/>
  <c r="T305" i="77"/>
  <c r="T306" i="77"/>
  <c r="T307" i="77"/>
  <c r="T308" i="77"/>
  <c r="T309" i="77"/>
  <c r="T310" i="77"/>
  <c r="T311" i="77"/>
  <c r="T312" i="77"/>
  <c r="T313" i="77"/>
  <c r="T314" i="77"/>
  <c r="T315" i="77"/>
  <c r="T316" i="77"/>
  <c r="T317" i="77"/>
  <c r="T318" i="77"/>
  <c r="T319" i="77"/>
  <c r="T320" i="77"/>
  <c r="T321" i="77"/>
  <c r="T322" i="77"/>
  <c r="T323" i="77"/>
  <c r="T324" i="77"/>
  <c r="T325" i="77"/>
  <c r="T326" i="77"/>
  <c r="T327" i="77"/>
  <c r="U327" i="77" s="1"/>
  <c r="T328" i="77"/>
  <c r="T329" i="77"/>
  <c r="T330" i="77"/>
  <c r="T331" i="77"/>
  <c r="T332" i="77"/>
  <c r="T333" i="77"/>
  <c r="T334" i="77"/>
  <c r="T335" i="77"/>
  <c r="T336" i="77"/>
  <c r="T337" i="77"/>
  <c r="T338" i="77"/>
  <c r="T339" i="77"/>
  <c r="T340" i="77"/>
  <c r="T341" i="77"/>
  <c r="T342" i="77"/>
  <c r="T343" i="77"/>
  <c r="U343" i="77" s="1"/>
  <c r="T344" i="77"/>
  <c r="T345" i="77"/>
  <c r="T346" i="77"/>
  <c r="T347" i="77"/>
  <c r="T348" i="77"/>
  <c r="T349" i="77"/>
  <c r="T350" i="77"/>
  <c r="T351" i="77"/>
  <c r="T352" i="77"/>
  <c r="T353" i="77"/>
  <c r="T354" i="77"/>
  <c r="T355" i="77"/>
  <c r="T356" i="77"/>
  <c r="T357" i="77"/>
  <c r="T358" i="77"/>
  <c r="T359" i="77"/>
  <c r="T360" i="77"/>
  <c r="T361" i="77"/>
  <c r="T362" i="77"/>
  <c r="T363" i="77"/>
  <c r="T364" i="77"/>
  <c r="T365" i="77"/>
  <c r="T366" i="77"/>
  <c r="T367" i="77"/>
  <c r="T368" i="77"/>
  <c r="T369" i="77"/>
  <c r="T370" i="77"/>
  <c r="T371" i="77"/>
  <c r="T372" i="77"/>
  <c r="T373" i="77"/>
  <c r="T374" i="77"/>
  <c r="T375" i="77"/>
  <c r="T376" i="77"/>
  <c r="T377" i="77"/>
  <c r="T378" i="77"/>
  <c r="T379" i="77"/>
  <c r="T380" i="77"/>
  <c r="T381" i="77"/>
  <c r="T382" i="77"/>
  <c r="T383" i="77"/>
  <c r="T384" i="77"/>
  <c r="T385" i="77"/>
  <c r="T386" i="77"/>
  <c r="T387" i="77"/>
  <c r="T388" i="77"/>
  <c r="T389" i="77"/>
  <c r="T390" i="77"/>
  <c r="T391" i="77"/>
  <c r="T392" i="77"/>
  <c r="T393" i="77"/>
  <c r="T394" i="77"/>
  <c r="T395" i="77"/>
  <c r="T396" i="77"/>
  <c r="T397" i="77"/>
  <c r="T398" i="77"/>
  <c r="T399" i="77"/>
  <c r="T400" i="77"/>
  <c r="T401" i="77"/>
  <c r="T402" i="77"/>
  <c r="T403" i="77"/>
  <c r="T404" i="77"/>
  <c r="T405" i="77"/>
  <c r="T406" i="77"/>
  <c r="T407" i="77"/>
  <c r="T408" i="77"/>
  <c r="T409" i="77"/>
  <c r="T410" i="77"/>
  <c r="T411" i="77"/>
  <c r="T412" i="77"/>
  <c r="T413" i="77"/>
  <c r="T414" i="77"/>
  <c r="T415" i="77"/>
  <c r="T416" i="77"/>
  <c r="T417" i="77"/>
  <c r="T418" i="77"/>
  <c r="T419" i="77"/>
  <c r="T420" i="77"/>
  <c r="T421" i="77"/>
  <c r="T422" i="77"/>
  <c r="T423" i="77"/>
  <c r="T424" i="77"/>
  <c r="T425" i="77"/>
  <c r="T426" i="77"/>
  <c r="T427" i="77"/>
  <c r="T428" i="77"/>
  <c r="T429" i="77"/>
  <c r="T430" i="77"/>
  <c r="T431" i="77"/>
  <c r="T432" i="77"/>
  <c r="T433" i="77"/>
  <c r="T434" i="77"/>
  <c r="T435" i="77"/>
  <c r="T436" i="77"/>
  <c r="T437" i="77"/>
  <c r="T438" i="77"/>
  <c r="T439" i="77"/>
  <c r="T440" i="77"/>
  <c r="T441" i="77"/>
  <c r="T442" i="77"/>
  <c r="T443" i="77"/>
  <c r="T444" i="77"/>
  <c r="T445" i="77"/>
  <c r="T446" i="77"/>
  <c r="T447" i="77"/>
  <c r="T448" i="77"/>
  <c r="T449" i="77"/>
  <c r="T450" i="77"/>
  <c r="T451" i="77"/>
  <c r="T452" i="77"/>
  <c r="T453" i="77"/>
  <c r="T454" i="77"/>
  <c r="T455" i="77"/>
  <c r="T456" i="77"/>
  <c r="U456" i="77" s="1"/>
  <c r="T457" i="77"/>
  <c r="T458" i="77"/>
  <c r="T459" i="77"/>
  <c r="T460" i="77"/>
  <c r="T461" i="77"/>
  <c r="T462" i="77"/>
  <c r="T463" i="77"/>
  <c r="T464" i="77"/>
  <c r="T465" i="77"/>
  <c r="T466" i="77"/>
  <c r="T467" i="77"/>
  <c r="T468" i="77"/>
  <c r="T469" i="77"/>
  <c r="T470" i="77"/>
  <c r="T471" i="77"/>
  <c r="U471" i="77" s="1"/>
  <c r="T472" i="77"/>
  <c r="T473" i="77"/>
  <c r="T474" i="77"/>
  <c r="T475" i="77"/>
  <c r="T476" i="77"/>
  <c r="T477" i="77"/>
  <c r="T478" i="77"/>
  <c r="T479" i="77"/>
  <c r="T480" i="77"/>
  <c r="T481" i="77"/>
  <c r="T482" i="77"/>
  <c r="T483" i="77"/>
  <c r="T484" i="77"/>
  <c r="T485" i="77"/>
  <c r="T486" i="77"/>
  <c r="T487" i="77"/>
  <c r="T488" i="77"/>
  <c r="T489" i="77"/>
  <c r="T490" i="77"/>
  <c r="T491" i="77"/>
  <c r="T492" i="77"/>
  <c r="T493" i="77"/>
  <c r="T494" i="77"/>
  <c r="T495" i="77"/>
  <c r="T496" i="77"/>
  <c r="T497" i="77"/>
  <c r="T498" i="77"/>
  <c r="T499" i="77"/>
  <c r="T500" i="77"/>
  <c r="T501" i="77"/>
  <c r="T502" i="77"/>
  <c r="T503" i="77"/>
  <c r="U503" i="77" s="1"/>
  <c r="T504" i="77"/>
  <c r="T505" i="77"/>
  <c r="T506" i="77"/>
  <c r="T507" i="77"/>
  <c r="T508" i="77"/>
  <c r="T509" i="77"/>
  <c r="T510" i="77"/>
  <c r="T511" i="77"/>
  <c r="T512" i="77"/>
  <c r="T513" i="77"/>
  <c r="T514" i="77"/>
  <c r="T515" i="77"/>
  <c r="T516" i="77"/>
  <c r="T517" i="77"/>
  <c r="T518" i="77"/>
  <c r="T519" i="77"/>
  <c r="T520" i="77"/>
  <c r="T521" i="77"/>
  <c r="T522" i="77"/>
  <c r="T523" i="77"/>
  <c r="T524" i="77"/>
  <c r="T525" i="77"/>
  <c r="T526" i="77"/>
  <c r="T527" i="77"/>
  <c r="T528" i="77"/>
  <c r="T529" i="77"/>
  <c r="T530" i="77"/>
  <c r="T531" i="77"/>
  <c r="T532" i="77"/>
  <c r="T533" i="77"/>
  <c r="T534" i="77"/>
  <c r="U534" i="77" s="1"/>
  <c r="T535" i="77"/>
  <c r="T536" i="77"/>
  <c r="T537" i="77"/>
  <c r="T538" i="77"/>
  <c r="T539" i="77"/>
  <c r="T540" i="77"/>
  <c r="T541" i="77"/>
  <c r="T542" i="77"/>
  <c r="T543" i="77"/>
  <c r="T544" i="77"/>
  <c r="T545" i="77"/>
  <c r="T546" i="77"/>
  <c r="T547" i="77"/>
  <c r="T548" i="77"/>
  <c r="T549" i="77"/>
  <c r="T550" i="77"/>
  <c r="T551" i="77"/>
  <c r="U551" i="77" s="1"/>
  <c r="T552" i="77"/>
  <c r="T553" i="77"/>
  <c r="T554" i="77"/>
  <c r="T555" i="77"/>
  <c r="T556" i="77"/>
  <c r="T557" i="77"/>
  <c r="T558" i="77"/>
  <c r="T559" i="77"/>
  <c r="T560" i="77"/>
  <c r="T561" i="77"/>
  <c r="T562" i="77"/>
  <c r="T563" i="77"/>
  <c r="T564" i="77"/>
  <c r="T565" i="77"/>
  <c r="T566" i="77"/>
  <c r="T567" i="77"/>
  <c r="T568" i="77"/>
  <c r="T569" i="77"/>
  <c r="T570" i="77"/>
  <c r="T571" i="77"/>
  <c r="T572" i="77"/>
  <c r="T573" i="77"/>
  <c r="T574" i="77"/>
  <c r="T575" i="77"/>
  <c r="T576" i="77"/>
  <c r="T577" i="77"/>
  <c r="T578" i="77"/>
  <c r="T579" i="77"/>
  <c r="T580" i="77"/>
  <c r="T581" i="77"/>
  <c r="T582" i="77"/>
  <c r="T583" i="77"/>
  <c r="U583" i="77" s="1"/>
  <c r="T584" i="77"/>
  <c r="T585" i="77"/>
  <c r="T586" i="77"/>
  <c r="T587" i="77"/>
  <c r="T588" i="77"/>
  <c r="T589" i="77"/>
  <c r="T590" i="77"/>
  <c r="T591" i="77"/>
  <c r="T592" i="77"/>
  <c r="T593" i="77"/>
  <c r="T594" i="77"/>
  <c r="T595" i="77"/>
  <c r="T596" i="77"/>
  <c r="T597" i="77"/>
  <c r="T598" i="77"/>
  <c r="T599" i="77"/>
  <c r="T600" i="77"/>
  <c r="T601" i="77"/>
  <c r="T602" i="77"/>
  <c r="T603" i="77"/>
  <c r="T604" i="77"/>
  <c r="T605" i="77"/>
  <c r="T606" i="77"/>
  <c r="T607" i="77"/>
  <c r="T608" i="77"/>
  <c r="T609" i="77"/>
  <c r="T610" i="77"/>
  <c r="T611" i="77"/>
  <c r="T612" i="77"/>
  <c r="T613" i="77"/>
  <c r="T614" i="77"/>
  <c r="T615" i="77"/>
  <c r="T616" i="77"/>
  <c r="T617" i="77"/>
  <c r="T618" i="77"/>
  <c r="T619" i="77"/>
  <c r="T620" i="77"/>
  <c r="T621" i="77"/>
  <c r="T622" i="77"/>
  <c r="T623" i="77"/>
  <c r="T624" i="77"/>
  <c r="T625" i="77"/>
  <c r="T626" i="77"/>
  <c r="T627" i="77"/>
  <c r="T628" i="77"/>
  <c r="T629" i="77"/>
  <c r="T630" i="77"/>
  <c r="T631" i="77"/>
  <c r="T632" i="77"/>
  <c r="T633" i="77"/>
  <c r="T634" i="77"/>
  <c r="T635" i="77"/>
  <c r="T636" i="77"/>
  <c r="T637" i="77"/>
  <c r="T638" i="77"/>
  <c r="T639" i="77"/>
  <c r="T640" i="77"/>
  <c r="T641" i="77"/>
  <c r="T642" i="77"/>
  <c r="T643" i="77"/>
  <c r="T644" i="77"/>
  <c r="T645" i="77"/>
  <c r="T646" i="77"/>
  <c r="T647" i="77"/>
  <c r="T648" i="77"/>
  <c r="T649" i="77"/>
  <c r="T650" i="77"/>
  <c r="T651" i="77"/>
  <c r="T652" i="77"/>
  <c r="T653" i="77"/>
  <c r="T654" i="77"/>
  <c r="T655" i="77"/>
  <c r="T656" i="77"/>
  <c r="T657" i="77"/>
  <c r="T658" i="77"/>
  <c r="T659" i="77"/>
  <c r="T660" i="77"/>
  <c r="T661" i="77"/>
  <c r="T662" i="77"/>
  <c r="T663" i="77"/>
  <c r="U663" i="77" s="1"/>
  <c r="T664" i="77"/>
  <c r="T665" i="77"/>
  <c r="T666" i="77"/>
  <c r="T667" i="77"/>
  <c r="T668" i="77"/>
  <c r="T669" i="77"/>
  <c r="T670" i="77"/>
  <c r="T671" i="77"/>
  <c r="T672" i="77"/>
  <c r="T673" i="77"/>
  <c r="T674" i="77"/>
  <c r="T675" i="77"/>
  <c r="T676" i="77"/>
  <c r="T677" i="77"/>
  <c r="T678" i="77"/>
  <c r="T679" i="77"/>
  <c r="T680" i="77"/>
  <c r="T681" i="77"/>
  <c r="T682" i="77"/>
  <c r="T683" i="77"/>
  <c r="T684" i="77"/>
  <c r="T685" i="77"/>
  <c r="T686" i="77"/>
  <c r="T687" i="77"/>
  <c r="T688" i="77"/>
  <c r="T689" i="77"/>
  <c r="T690" i="77"/>
  <c r="T691" i="77"/>
  <c r="T692" i="77"/>
  <c r="T693" i="77"/>
  <c r="T694" i="77"/>
  <c r="T695" i="77"/>
  <c r="U695" i="77" s="1"/>
  <c r="T696" i="77"/>
  <c r="T697" i="77"/>
  <c r="T698" i="77"/>
  <c r="T699" i="77"/>
  <c r="T700" i="77"/>
  <c r="T701" i="77"/>
  <c r="T702" i="77"/>
  <c r="T703" i="77"/>
  <c r="T704" i="77"/>
  <c r="T705" i="77"/>
  <c r="T706" i="77"/>
  <c r="T707" i="77"/>
  <c r="T708" i="77"/>
  <c r="T709" i="77"/>
  <c r="T710" i="77"/>
  <c r="T711" i="77"/>
  <c r="T712" i="77"/>
  <c r="T713" i="77"/>
  <c r="T714" i="77"/>
  <c r="T715" i="77"/>
  <c r="T716" i="77"/>
  <c r="T717" i="77"/>
  <c r="T718" i="77"/>
  <c r="T719" i="77"/>
  <c r="T720" i="77"/>
  <c r="T721" i="77"/>
  <c r="T722" i="77"/>
  <c r="T723" i="77"/>
  <c r="T724" i="77"/>
  <c r="T725" i="77"/>
  <c r="T726" i="77"/>
  <c r="T727" i="77"/>
  <c r="T728" i="77"/>
  <c r="T729" i="77"/>
  <c r="T730" i="77"/>
  <c r="T731" i="77"/>
  <c r="T732" i="77"/>
  <c r="T733" i="77"/>
  <c r="T734" i="77"/>
  <c r="T735" i="77"/>
  <c r="T736" i="77"/>
  <c r="T737" i="77"/>
  <c r="T738" i="77"/>
  <c r="T739" i="77"/>
  <c r="T740" i="77"/>
  <c r="T741" i="77"/>
  <c r="T742" i="77"/>
  <c r="T743" i="77"/>
  <c r="T744" i="77"/>
  <c r="T745" i="77"/>
  <c r="T746" i="77"/>
  <c r="T747" i="77"/>
  <c r="T748" i="77"/>
  <c r="T749" i="77"/>
  <c r="T750" i="77"/>
  <c r="T751" i="77"/>
  <c r="T752" i="77"/>
  <c r="T753" i="77"/>
  <c r="T754" i="77"/>
  <c r="T755" i="77"/>
  <c r="T756" i="77"/>
  <c r="T757" i="77"/>
  <c r="T758" i="77"/>
  <c r="T759" i="77"/>
  <c r="T760" i="77"/>
  <c r="T761" i="77"/>
  <c r="T762" i="77"/>
  <c r="T763" i="77"/>
  <c r="T764" i="77"/>
  <c r="T765" i="77"/>
  <c r="T766" i="77"/>
  <c r="T767" i="77"/>
  <c r="T768" i="77"/>
  <c r="T769" i="77"/>
  <c r="T770" i="77"/>
  <c r="T771" i="77"/>
  <c r="T772" i="77"/>
  <c r="T773" i="77"/>
  <c r="T774" i="77"/>
  <c r="T775" i="77"/>
  <c r="U775" i="77" s="1"/>
  <c r="T776" i="77"/>
  <c r="T777" i="77"/>
  <c r="T778" i="77"/>
  <c r="T779" i="77"/>
  <c r="T780" i="77"/>
  <c r="T781" i="77"/>
  <c r="T782" i="77"/>
  <c r="T783" i="77"/>
  <c r="T784" i="77"/>
  <c r="T785" i="77"/>
  <c r="T786" i="77"/>
  <c r="T787" i="77"/>
  <c r="T788" i="77"/>
  <c r="T789" i="77"/>
  <c r="T790" i="77"/>
  <c r="T791" i="77"/>
  <c r="T792" i="77"/>
  <c r="T793" i="77"/>
  <c r="T794" i="77"/>
  <c r="T795" i="77"/>
  <c r="T796" i="77"/>
  <c r="T797" i="77"/>
  <c r="T798" i="77"/>
  <c r="T799" i="77"/>
  <c r="T800" i="77"/>
  <c r="T801" i="77"/>
  <c r="T802" i="77"/>
  <c r="T803" i="77"/>
  <c r="T804" i="77"/>
  <c r="T805" i="77"/>
  <c r="T806" i="77"/>
  <c r="T807" i="77"/>
  <c r="T808" i="77"/>
  <c r="T809" i="77"/>
  <c r="T810" i="77"/>
  <c r="T811" i="77"/>
  <c r="T812" i="77"/>
  <c r="T813" i="77"/>
  <c r="T814" i="77"/>
  <c r="T815" i="77"/>
  <c r="T816" i="77"/>
  <c r="T817" i="77"/>
  <c r="T818" i="77"/>
  <c r="T819" i="77"/>
  <c r="T820" i="77"/>
  <c r="T821" i="77"/>
  <c r="T822" i="77"/>
  <c r="T823" i="77"/>
  <c r="T824" i="77"/>
  <c r="T825" i="77"/>
  <c r="T826" i="77"/>
  <c r="T827" i="77"/>
  <c r="T828" i="77"/>
  <c r="T829" i="77"/>
  <c r="T830" i="77"/>
  <c r="T831" i="77"/>
  <c r="T832" i="77"/>
  <c r="T833" i="77"/>
  <c r="T834" i="77"/>
  <c r="T835" i="77"/>
  <c r="T836" i="77"/>
  <c r="T837" i="77"/>
  <c r="T838" i="77"/>
  <c r="T839" i="77"/>
  <c r="U839" i="77" s="1"/>
  <c r="T840" i="77"/>
  <c r="T841" i="77"/>
  <c r="T842" i="77"/>
  <c r="T843" i="77"/>
  <c r="T844" i="77"/>
  <c r="T845" i="77"/>
  <c r="T846" i="77"/>
  <c r="T847" i="77"/>
  <c r="T848" i="77"/>
  <c r="U848" i="77" s="1"/>
  <c r="T849" i="77"/>
  <c r="T850" i="77"/>
  <c r="T851" i="77"/>
  <c r="T852" i="77"/>
  <c r="T853" i="77"/>
  <c r="T854" i="77"/>
  <c r="T855" i="77"/>
  <c r="T856" i="77"/>
  <c r="T857" i="77"/>
  <c r="T858" i="77"/>
  <c r="T859" i="77"/>
  <c r="T860" i="77"/>
  <c r="T861" i="77"/>
  <c r="T862" i="77"/>
  <c r="T863" i="77"/>
  <c r="T864" i="77"/>
  <c r="T865" i="77"/>
  <c r="T866" i="77"/>
  <c r="T867" i="77"/>
  <c r="T868" i="77"/>
  <c r="T869" i="77"/>
  <c r="T870" i="77"/>
  <c r="T871" i="77"/>
  <c r="U871" i="77" s="1"/>
  <c r="T872" i="77"/>
  <c r="T873" i="77"/>
  <c r="T874" i="77"/>
  <c r="T875" i="77"/>
  <c r="T876" i="77"/>
  <c r="T877" i="77"/>
  <c r="T878" i="77"/>
  <c r="T879" i="77"/>
  <c r="T880" i="77"/>
  <c r="T881" i="77"/>
  <c r="T882" i="77"/>
  <c r="T883" i="77"/>
  <c r="T884" i="77"/>
  <c r="T885" i="77"/>
  <c r="T886" i="77"/>
  <c r="T887" i="77"/>
  <c r="T888" i="77"/>
  <c r="T889" i="77"/>
  <c r="T890" i="77"/>
  <c r="T891" i="77"/>
  <c r="T892" i="77"/>
  <c r="T893" i="77"/>
  <c r="T894" i="77"/>
  <c r="T895" i="77"/>
  <c r="T896" i="77"/>
  <c r="T897" i="77"/>
  <c r="T898" i="77"/>
  <c r="T899" i="77"/>
  <c r="T900" i="77"/>
  <c r="T901" i="77"/>
  <c r="T902" i="77"/>
  <c r="T903" i="77"/>
  <c r="U903" i="77" s="1"/>
  <c r="T904" i="77"/>
  <c r="T905" i="77"/>
  <c r="T906" i="77"/>
  <c r="T907" i="77"/>
  <c r="T908" i="77"/>
  <c r="T909" i="77"/>
  <c r="T910" i="77"/>
  <c r="T911" i="77"/>
  <c r="T912" i="77"/>
  <c r="T913" i="77"/>
  <c r="T914" i="77"/>
  <c r="T915" i="77"/>
  <c r="T916" i="77"/>
  <c r="T917" i="77"/>
  <c r="T918" i="77"/>
  <c r="T919" i="77"/>
  <c r="T920" i="77"/>
  <c r="T921" i="77"/>
  <c r="T922" i="77"/>
  <c r="T923" i="77"/>
  <c r="T924" i="77"/>
  <c r="T925" i="77"/>
  <c r="T926" i="77"/>
  <c r="T927" i="77"/>
  <c r="T928" i="77"/>
  <c r="T929" i="77"/>
  <c r="T930" i="77"/>
  <c r="T931" i="77"/>
  <c r="T932" i="77"/>
  <c r="T933" i="77"/>
  <c r="T934" i="77"/>
  <c r="T935" i="77"/>
  <c r="T936" i="77"/>
  <c r="T937" i="77"/>
  <c r="T938" i="77"/>
  <c r="T939" i="77"/>
  <c r="T940" i="77"/>
  <c r="T941" i="77"/>
  <c r="T942" i="77"/>
  <c r="T943" i="77"/>
  <c r="T944" i="77"/>
  <c r="T945" i="77"/>
  <c r="T946" i="77"/>
  <c r="T947" i="77"/>
  <c r="T948" i="77"/>
  <c r="T949" i="77"/>
  <c r="T950" i="77"/>
  <c r="T951" i="77"/>
  <c r="T952" i="77"/>
  <c r="T953" i="77"/>
  <c r="T954" i="77"/>
  <c r="T955" i="77"/>
  <c r="T956" i="77"/>
  <c r="T957" i="77"/>
  <c r="T958" i="77"/>
  <c r="T959" i="77"/>
  <c r="T960" i="77"/>
  <c r="T961" i="77"/>
  <c r="T962" i="77"/>
  <c r="T963" i="77"/>
  <c r="T964" i="77"/>
  <c r="T965" i="77"/>
  <c r="T966" i="77"/>
  <c r="T967" i="77"/>
  <c r="T968" i="77"/>
  <c r="T969" i="77"/>
  <c r="T970" i="77"/>
  <c r="T971" i="77"/>
  <c r="T972" i="77"/>
  <c r="T973" i="77"/>
  <c r="T974" i="77"/>
  <c r="T975" i="77"/>
  <c r="T976" i="77"/>
  <c r="T977" i="77"/>
  <c r="T978" i="77"/>
  <c r="T979" i="77"/>
  <c r="T980" i="77"/>
  <c r="T981" i="77"/>
  <c r="T982" i="77"/>
  <c r="T983" i="77"/>
  <c r="T984" i="77"/>
  <c r="T985" i="77"/>
  <c r="T986" i="77"/>
  <c r="T987" i="77"/>
  <c r="T988" i="77"/>
  <c r="T989" i="77"/>
  <c r="T990" i="77"/>
  <c r="T991" i="77"/>
  <c r="T992" i="77"/>
  <c r="T993" i="77"/>
  <c r="T994" i="77"/>
  <c r="T995" i="77"/>
  <c r="T996" i="77"/>
  <c r="T997" i="77"/>
  <c r="T998" i="77"/>
  <c r="T999" i="77"/>
  <c r="T1000" i="77"/>
  <c r="T1001" i="77"/>
  <c r="T1002" i="77"/>
  <c r="T1003" i="77"/>
  <c r="T1004" i="77"/>
  <c r="T1005" i="77"/>
  <c r="T1006" i="77"/>
  <c r="T1007" i="77"/>
  <c r="T1008" i="77"/>
  <c r="T1009" i="77"/>
  <c r="T1010" i="77"/>
  <c r="T1011" i="77"/>
  <c r="T1012" i="77"/>
  <c r="T1013" i="77"/>
  <c r="T1014" i="77"/>
  <c r="T1015" i="77"/>
  <c r="T1016" i="77"/>
  <c r="T1017" i="77"/>
  <c r="T1018" i="77"/>
  <c r="T1019" i="77"/>
  <c r="T1020" i="77"/>
  <c r="T1021" i="77"/>
  <c r="T1022" i="77"/>
  <c r="T1023" i="77"/>
  <c r="T1024" i="77"/>
  <c r="T1025" i="77"/>
  <c r="T1026" i="77"/>
  <c r="T1027" i="77"/>
  <c r="T1028" i="77"/>
  <c r="T1029" i="77"/>
  <c r="T1030" i="77"/>
  <c r="T1031" i="77"/>
  <c r="U1031" i="77" s="1"/>
  <c r="T1032" i="77"/>
  <c r="T1033" i="77"/>
  <c r="T1034" i="77"/>
  <c r="T1035" i="77"/>
  <c r="T1036" i="77"/>
  <c r="T1037" i="77"/>
  <c r="T1038" i="77"/>
  <c r="T1039" i="77"/>
  <c r="T1040" i="77"/>
  <c r="T1041" i="77"/>
  <c r="T1042" i="77"/>
  <c r="T1043" i="77"/>
  <c r="T1044" i="77"/>
  <c r="T1045" i="77"/>
  <c r="T1046" i="77"/>
  <c r="T1047" i="77"/>
  <c r="T1048" i="77"/>
  <c r="T1049" i="77"/>
  <c r="T1050" i="77"/>
  <c r="T1051" i="77"/>
  <c r="T1052" i="77"/>
  <c r="T1053" i="77"/>
  <c r="T1054" i="77"/>
  <c r="T1055" i="77"/>
  <c r="T1056" i="77"/>
  <c r="T1057" i="77"/>
  <c r="T1058" i="77"/>
  <c r="T1059" i="77"/>
  <c r="T1060" i="77"/>
  <c r="T1061" i="77"/>
  <c r="T1062" i="77"/>
  <c r="T1063" i="77"/>
  <c r="T1064" i="77"/>
  <c r="T1065" i="77"/>
  <c r="T1066" i="77"/>
  <c r="T1067" i="77"/>
  <c r="T1068" i="77"/>
  <c r="T1069" i="77"/>
  <c r="T1070" i="77"/>
  <c r="T1071" i="77"/>
  <c r="T1072" i="77"/>
  <c r="T1073" i="77"/>
  <c r="T1074" i="77"/>
  <c r="T1075" i="77"/>
  <c r="T1076" i="77"/>
  <c r="T1077" i="77"/>
  <c r="T1078" i="77"/>
  <c r="T1079" i="77"/>
  <c r="U1079" i="77" s="1"/>
  <c r="T1080" i="77"/>
  <c r="T1081" i="77"/>
  <c r="T1082" i="77"/>
  <c r="T1083" i="77"/>
  <c r="T1084" i="77"/>
  <c r="T1085" i="77"/>
  <c r="T1086" i="77"/>
  <c r="T1087" i="77"/>
  <c r="T1088" i="77"/>
  <c r="T1089" i="77"/>
  <c r="T1090" i="77"/>
  <c r="T1091" i="77"/>
  <c r="T1092" i="77"/>
  <c r="T1093" i="77"/>
  <c r="T1094" i="77"/>
  <c r="T1095" i="77"/>
  <c r="T1096" i="77"/>
  <c r="T1097" i="77"/>
  <c r="T1098" i="77"/>
  <c r="T1099" i="77"/>
  <c r="T1100" i="77"/>
  <c r="T1101" i="77"/>
  <c r="T1102" i="77"/>
  <c r="T1103" i="77"/>
  <c r="T1104" i="77"/>
  <c r="T1105" i="77"/>
  <c r="T1106" i="77"/>
  <c r="T1107" i="77"/>
  <c r="T1108" i="77"/>
  <c r="T1109" i="77"/>
  <c r="T1110" i="77"/>
  <c r="T1111" i="77"/>
  <c r="T1112" i="77"/>
  <c r="T1113" i="77"/>
  <c r="T1114" i="77"/>
  <c r="T1115" i="77"/>
  <c r="T1116" i="77"/>
  <c r="T1117" i="77"/>
  <c r="T1118" i="77"/>
  <c r="T1119" i="77"/>
  <c r="T1120" i="77"/>
  <c r="T1121" i="77"/>
  <c r="T1122" i="77"/>
  <c r="T1123" i="77"/>
  <c r="T1124" i="77"/>
  <c r="T1125" i="77"/>
  <c r="T1126" i="77"/>
  <c r="T1127" i="77"/>
  <c r="T1128" i="77"/>
  <c r="T1129" i="77"/>
  <c r="T1130" i="77"/>
  <c r="T1131" i="77"/>
  <c r="T1132" i="77"/>
  <c r="T1133" i="77"/>
  <c r="T1134" i="77"/>
  <c r="T1135" i="77"/>
  <c r="T1136" i="77"/>
  <c r="T1137" i="77"/>
  <c r="T1138" i="77"/>
  <c r="T1139" i="77"/>
  <c r="T1140" i="77"/>
  <c r="T1141" i="77"/>
  <c r="T1142" i="77"/>
  <c r="T1143" i="77"/>
  <c r="T1144" i="77"/>
  <c r="T1145" i="77"/>
  <c r="T1146" i="77"/>
  <c r="T1147" i="77"/>
  <c r="T1148" i="77"/>
  <c r="T1149" i="77"/>
  <c r="T1150" i="77"/>
  <c r="T1151" i="77"/>
  <c r="T1152" i="77"/>
  <c r="T1153" i="77"/>
  <c r="T1154" i="77"/>
  <c r="T1155" i="77"/>
  <c r="T1156" i="77"/>
  <c r="T1157" i="77"/>
  <c r="T1158" i="77"/>
  <c r="T1159" i="77"/>
  <c r="U1159" i="77" s="1"/>
  <c r="T1160" i="77"/>
  <c r="T1161" i="77"/>
  <c r="T1162" i="77"/>
  <c r="T1163" i="77"/>
  <c r="T1164" i="77"/>
  <c r="T1165" i="77"/>
  <c r="T1166" i="77"/>
  <c r="T1167" i="77"/>
  <c r="T1168" i="77"/>
  <c r="T1169" i="77"/>
  <c r="T1170" i="77"/>
  <c r="T1171" i="77"/>
  <c r="T1172" i="77"/>
  <c r="T1173" i="77"/>
  <c r="T1174" i="77"/>
  <c r="T1175" i="77"/>
  <c r="T1176" i="77"/>
  <c r="T1177" i="77"/>
  <c r="T1178" i="77"/>
  <c r="T1179" i="77"/>
  <c r="T1180" i="77"/>
  <c r="T1181" i="77"/>
  <c r="T1182" i="77"/>
  <c r="T1183" i="77"/>
  <c r="T1184" i="77"/>
  <c r="T1185" i="77"/>
  <c r="T1186" i="77"/>
  <c r="T1187" i="77"/>
  <c r="T1188" i="77"/>
  <c r="T1189" i="77"/>
  <c r="T1190" i="77"/>
  <c r="T1191" i="77"/>
  <c r="T1192" i="77"/>
  <c r="T1193" i="77"/>
  <c r="T1194" i="77"/>
  <c r="T1195" i="77"/>
  <c r="T1196" i="77"/>
  <c r="T1197" i="77"/>
  <c r="T1198" i="77"/>
  <c r="T1199" i="77"/>
  <c r="T1200" i="77"/>
  <c r="T1201" i="77"/>
  <c r="T1202" i="77"/>
  <c r="T1203" i="77"/>
  <c r="T1204" i="77"/>
  <c r="T1205" i="77"/>
  <c r="T1206" i="77"/>
  <c r="T1207" i="77"/>
  <c r="T1208" i="77"/>
  <c r="T1209" i="77"/>
  <c r="T1210" i="77"/>
  <c r="T1211" i="77"/>
  <c r="T1212" i="77"/>
  <c r="T1213" i="77"/>
  <c r="T1214" i="77"/>
  <c r="T1215" i="77"/>
  <c r="T1216" i="77"/>
  <c r="T1217" i="77"/>
  <c r="T1218" i="77"/>
  <c r="T1219" i="77"/>
  <c r="T1220" i="77"/>
  <c r="T1221" i="77"/>
  <c r="T1222" i="77"/>
  <c r="T1223" i="77"/>
  <c r="T1224" i="77"/>
  <c r="T1225" i="77"/>
  <c r="T1226" i="77"/>
  <c r="T1227" i="77"/>
  <c r="T1228" i="77"/>
  <c r="T1229" i="77"/>
  <c r="T1230" i="77"/>
  <c r="T2" i="77"/>
  <c r="S3" i="77"/>
  <c r="U3" i="77" s="1"/>
  <c r="S4" i="77"/>
  <c r="S5" i="77"/>
  <c r="S6" i="77"/>
  <c r="S7" i="77"/>
  <c r="S8" i="77"/>
  <c r="S9" i="77"/>
  <c r="S10" i="77"/>
  <c r="S11" i="77"/>
  <c r="S12" i="77"/>
  <c r="S13" i="77"/>
  <c r="S14" i="77"/>
  <c r="S15" i="77"/>
  <c r="S16" i="77"/>
  <c r="S17" i="77"/>
  <c r="S18" i="77"/>
  <c r="S19" i="77"/>
  <c r="S20" i="77"/>
  <c r="S21" i="77"/>
  <c r="S22" i="77"/>
  <c r="S23" i="77"/>
  <c r="S24" i="77"/>
  <c r="S25" i="77"/>
  <c r="U25" i="77" s="1"/>
  <c r="S26" i="77"/>
  <c r="S27" i="77"/>
  <c r="S28" i="77"/>
  <c r="S29" i="77"/>
  <c r="S30" i="77"/>
  <c r="S31" i="77"/>
  <c r="S32" i="77"/>
  <c r="S33" i="77"/>
  <c r="S34" i="77"/>
  <c r="S35" i="77"/>
  <c r="U35" i="77" s="1"/>
  <c r="S36" i="77"/>
  <c r="S37" i="77"/>
  <c r="S38" i="77"/>
  <c r="S39" i="77"/>
  <c r="S40" i="77"/>
  <c r="S41" i="77"/>
  <c r="U41" i="77" s="1"/>
  <c r="S42" i="77"/>
  <c r="S43" i="77"/>
  <c r="S44" i="77"/>
  <c r="S45" i="77"/>
  <c r="S46" i="77"/>
  <c r="S47" i="77"/>
  <c r="S48" i="77"/>
  <c r="S49" i="77"/>
  <c r="S50" i="77"/>
  <c r="S51" i="77"/>
  <c r="U51" i="77" s="1"/>
  <c r="S52" i="77"/>
  <c r="S53" i="77"/>
  <c r="S54" i="77"/>
  <c r="S55" i="77"/>
  <c r="S56" i="77"/>
  <c r="S57" i="77"/>
  <c r="S58" i="77"/>
  <c r="S59" i="77"/>
  <c r="U59" i="77" s="1"/>
  <c r="S60" i="77"/>
  <c r="S61" i="77"/>
  <c r="S62" i="77"/>
  <c r="S63" i="77"/>
  <c r="S64" i="77"/>
  <c r="S65" i="77"/>
  <c r="S66" i="77"/>
  <c r="S67" i="77"/>
  <c r="U67" i="77" s="1"/>
  <c r="S68" i="77"/>
  <c r="S69" i="77"/>
  <c r="S70" i="77"/>
  <c r="S71" i="77"/>
  <c r="S72" i="77"/>
  <c r="S73" i="77"/>
  <c r="S74" i="77"/>
  <c r="S75" i="77"/>
  <c r="U75" i="77" s="1"/>
  <c r="S76" i="77"/>
  <c r="S77" i="77"/>
  <c r="S78" i="77"/>
  <c r="S79" i="77"/>
  <c r="S80" i="77"/>
  <c r="S81" i="77"/>
  <c r="S82" i="77"/>
  <c r="S83" i="77"/>
  <c r="U83" i="77" s="1"/>
  <c r="S84" i="77"/>
  <c r="S85" i="77"/>
  <c r="S86" i="77"/>
  <c r="S87" i="77"/>
  <c r="S88" i="77"/>
  <c r="S89" i="77"/>
  <c r="S90" i="77"/>
  <c r="S91" i="77"/>
  <c r="S92" i="77"/>
  <c r="S93" i="77"/>
  <c r="S94" i="77"/>
  <c r="S95" i="77"/>
  <c r="S96" i="77"/>
  <c r="S97" i="77"/>
  <c r="S98" i="77"/>
  <c r="S99" i="77"/>
  <c r="U99" i="77" s="1"/>
  <c r="S100" i="77"/>
  <c r="S101" i="77"/>
  <c r="S102" i="77"/>
  <c r="S103" i="77"/>
  <c r="S104" i="77"/>
  <c r="S105" i="77"/>
  <c r="S106" i="77"/>
  <c r="S107" i="77"/>
  <c r="U107" i="77" s="1"/>
  <c r="S108" i="77"/>
  <c r="S109" i="77"/>
  <c r="S110" i="77"/>
  <c r="S111" i="77"/>
  <c r="S112" i="77"/>
  <c r="S113" i="77"/>
  <c r="S114" i="77"/>
  <c r="S115" i="77"/>
  <c r="U115" i="77" s="1"/>
  <c r="S116" i="77"/>
  <c r="S117" i="77"/>
  <c r="S118" i="77"/>
  <c r="S119" i="77"/>
  <c r="S120" i="77"/>
  <c r="S121" i="77"/>
  <c r="S122" i="77"/>
  <c r="S123" i="77"/>
  <c r="U123" i="77" s="1"/>
  <c r="S124" i="77"/>
  <c r="S125" i="77"/>
  <c r="S126" i="77"/>
  <c r="S127" i="77"/>
  <c r="S128" i="77"/>
  <c r="S129" i="77"/>
  <c r="S130" i="77"/>
  <c r="S131" i="77"/>
  <c r="U131" i="77" s="1"/>
  <c r="S132" i="77"/>
  <c r="S133" i="77"/>
  <c r="S134" i="77"/>
  <c r="S135" i="77"/>
  <c r="S136" i="77"/>
  <c r="S137" i="77"/>
  <c r="S138" i="77"/>
  <c r="S139" i="77"/>
  <c r="S140" i="77"/>
  <c r="S141" i="77"/>
  <c r="S142" i="77"/>
  <c r="S143" i="77"/>
  <c r="S144" i="77"/>
  <c r="S145" i="77"/>
  <c r="S146" i="77"/>
  <c r="S147" i="77"/>
  <c r="U147" i="77" s="1"/>
  <c r="S148" i="77"/>
  <c r="S149" i="77"/>
  <c r="S150" i="77"/>
  <c r="S151" i="77"/>
  <c r="S152" i="77"/>
  <c r="S153" i="77"/>
  <c r="S154" i="77"/>
  <c r="S155" i="77"/>
  <c r="S156" i="77"/>
  <c r="S157" i="77"/>
  <c r="S158" i="77"/>
  <c r="S159" i="77"/>
  <c r="S160" i="77"/>
  <c r="S161" i="77"/>
  <c r="S162" i="77"/>
  <c r="S163" i="77"/>
  <c r="U163" i="77" s="1"/>
  <c r="S164" i="77"/>
  <c r="S165" i="77"/>
  <c r="S166" i="77"/>
  <c r="S167" i="77"/>
  <c r="S168" i="77"/>
  <c r="S169" i="77"/>
  <c r="S170" i="77"/>
  <c r="S171" i="77"/>
  <c r="U171" i="77" s="1"/>
  <c r="S172" i="77"/>
  <c r="S173" i="77"/>
  <c r="S174" i="77"/>
  <c r="S175" i="77"/>
  <c r="S176" i="77"/>
  <c r="S177" i="77"/>
  <c r="S178" i="77"/>
  <c r="S179" i="77"/>
  <c r="U179" i="77" s="1"/>
  <c r="S180" i="77"/>
  <c r="S181" i="77"/>
  <c r="S182" i="77"/>
  <c r="S183" i="77"/>
  <c r="S184" i="77"/>
  <c r="S185" i="77"/>
  <c r="S186" i="77"/>
  <c r="S187" i="77"/>
  <c r="S188" i="77"/>
  <c r="S189" i="77"/>
  <c r="S190" i="77"/>
  <c r="S191" i="77"/>
  <c r="S192" i="77"/>
  <c r="S193" i="77"/>
  <c r="S194" i="77"/>
  <c r="S195" i="77"/>
  <c r="U195" i="77" s="1"/>
  <c r="S196" i="77"/>
  <c r="S197" i="77"/>
  <c r="S198" i="77"/>
  <c r="S199" i="77"/>
  <c r="S200" i="77"/>
  <c r="S201" i="77"/>
  <c r="U201" i="77" s="1"/>
  <c r="S202" i="77"/>
  <c r="S203" i="77"/>
  <c r="S204" i="77"/>
  <c r="S205" i="77"/>
  <c r="S206" i="77"/>
  <c r="S207" i="77"/>
  <c r="S208" i="77"/>
  <c r="S209" i="77"/>
  <c r="S210" i="77"/>
  <c r="S211" i="77"/>
  <c r="U211" i="77" s="1"/>
  <c r="S212" i="77"/>
  <c r="S213" i="77"/>
  <c r="S214" i="77"/>
  <c r="S215" i="77"/>
  <c r="S216" i="77"/>
  <c r="S217" i="77"/>
  <c r="S218" i="77"/>
  <c r="S219" i="77"/>
  <c r="S220" i="77"/>
  <c r="S221" i="77"/>
  <c r="S222" i="77"/>
  <c r="S223" i="77"/>
  <c r="S224" i="77"/>
  <c r="S225" i="77"/>
  <c r="S226" i="77"/>
  <c r="S227" i="77"/>
  <c r="U227" i="77" s="1"/>
  <c r="S228" i="77"/>
  <c r="S229" i="77"/>
  <c r="S230" i="77"/>
  <c r="U230" i="77" s="1"/>
  <c r="S231" i="77"/>
  <c r="S232" i="77"/>
  <c r="S233" i="77"/>
  <c r="S234" i="77"/>
  <c r="S235" i="77"/>
  <c r="U235" i="77" s="1"/>
  <c r="S236" i="77"/>
  <c r="S237" i="77"/>
  <c r="S238" i="77"/>
  <c r="S239" i="77"/>
  <c r="S240" i="77"/>
  <c r="S241" i="77"/>
  <c r="S242" i="77"/>
  <c r="S243" i="77"/>
  <c r="U243" i="77" s="1"/>
  <c r="S244" i="77"/>
  <c r="S245" i="77"/>
  <c r="S246" i="77"/>
  <c r="S247" i="77"/>
  <c r="S248" i="77"/>
  <c r="S249" i="77"/>
  <c r="S250" i="77"/>
  <c r="S251" i="77"/>
  <c r="S252" i="77"/>
  <c r="S253" i="77"/>
  <c r="S254" i="77"/>
  <c r="S255" i="77"/>
  <c r="S256" i="77"/>
  <c r="S257" i="77"/>
  <c r="S258" i="77"/>
  <c r="S259" i="77"/>
  <c r="U259" i="77" s="1"/>
  <c r="S260" i="77"/>
  <c r="S261" i="77"/>
  <c r="S262" i="77"/>
  <c r="S263" i="77"/>
  <c r="S264" i="77"/>
  <c r="S265" i="77"/>
  <c r="S266" i="77"/>
  <c r="S267" i="77"/>
  <c r="S268" i="77"/>
  <c r="S269" i="77"/>
  <c r="S270" i="77"/>
  <c r="S271" i="77"/>
  <c r="S272" i="77"/>
  <c r="S273" i="77"/>
  <c r="S274" i="77"/>
  <c r="S275" i="77"/>
  <c r="U275" i="77" s="1"/>
  <c r="S276" i="77"/>
  <c r="S277" i="77"/>
  <c r="S278" i="77"/>
  <c r="S279" i="77"/>
  <c r="S280" i="77"/>
  <c r="S281" i="77"/>
  <c r="S282" i="77"/>
  <c r="S283" i="77"/>
  <c r="S284" i="77"/>
  <c r="S285" i="77"/>
  <c r="S286" i="77"/>
  <c r="S287" i="77"/>
  <c r="S288" i="77"/>
  <c r="S289" i="77"/>
  <c r="S290" i="77"/>
  <c r="S291" i="77"/>
  <c r="U291" i="77" s="1"/>
  <c r="S292" i="77"/>
  <c r="S293" i="77"/>
  <c r="S294" i="77"/>
  <c r="S295" i="77"/>
  <c r="S296" i="77"/>
  <c r="S297" i="77"/>
  <c r="S298" i="77"/>
  <c r="S299" i="77"/>
  <c r="U299" i="77" s="1"/>
  <c r="S300" i="77"/>
  <c r="S301" i="77"/>
  <c r="S302" i="77"/>
  <c r="S303" i="77"/>
  <c r="S304" i="77"/>
  <c r="S305" i="77"/>
  <c r="S306" i="77"/>
  <c r="S307" i="77"/>
  <c r="U307" i="77" s="1"/>
  <c r="S308" i="77"/>
  <c r="S309" i="77"/>
  <c r="S310" i="77"/>
  <c r="S311" i="77"/>
  <c r="S312" i="77"/>
  <c r="S313" i="77"/>
  <c r="U313" i="77" s="1"/>
  <c r="S314" i="77"/>
  <c r="S315" i="77"/>
  <c r="S316" i="77"/>
  <c r="S317" i="77"/>
  <c r="S318" i="77"/>
  <c r="S319" i="77"/>
  <c r="S320" i="77"/>
  <c r="S321" i="77"/>
  <c r="S322" i="77"/>
  <c r="S323" i="77"/>
  <c r="U323" i="77" s="1"/>
  <c r="S324" i="77"/>
  <c r="S325" i="77"/>
  <c r="S326" i="77"/>
  <c r="S327" i="77"/>
  <c r="S328" i="77"/>
  <c r="S329" i="77"/>
  <c r="S330" i="77"/>
  <c r="S331" i="77"/>
  <c r="S332" i="77"/>
  <c r="S333" i="77"/>
  <c r="S334" i="77"/>
  <c r="S335" i="77"/>
  <c r="S336" i="77"/>
  <c r="S337" i="77"/>
  <c r="S338" i="77"/>
  <c r="S339" i="77"/>
  <c r="U339" i="77" s="1"/>
  <c r="S340" i="77"/>
  <c r="S341" i="77"/>
  <c r="S342" i="77"/>
  <c r="S343" i="77"/>
  <c r="S344" i="77"/>
  <c r="S345" i="77"/>
  <c r="S346" i="77"/>
  <c r="S347" i="77"/>
  <c r="U347" i="77" s="1"/>
  <c r="S348" i="77"/>
  <c r="S349" i="77"/>
  <c r="S350" i="77"/>
  <c r="S351" i="77"/>
  <c r="S352" i="77"/>
  <c r="S353" i="77"/>
  <c r="S354" i="77"/>
  <c r="S355" i="77"/>
  <c r="U355" i="77" s="1"/>
  <c r="S356" i="77"/>
  <c r="S357" i="77"/>
  <c r="S358" i="77"/>
  <c r="S359" i="77"/>
  <c r="S360" i="77"/>
  <c r="S361" i="77"/>
  <c r="S362" i="77"/>
  <c r="S363" i="77"/>
  <c r="U363" i="77" s="1"/>
  <c r="S364" i="77"/>
  <c r="S365" i="77"/>
  <c r="S366" i="77"/>
  <c r="S367" i="77"/>
  <c r="S368" i="77"/>
  <c r="S369" i="77"/>
  <c r="S370" i="77"/>
  <c r="S371" i="77"/>
  <c r="U371" i="77" s="1"/>
  <c r="S372" i="77"/>
  <c r="S373" i="77"/>
  <c r="S374" i="77"/>
  <c r="S375" i="77"/>
  <c r="S376" i="77"/>
  <c r="S377" i="77"/>
  <c r="S378" i="77"/>
  <c r="S379" i="77"/>
  <c r="S380" i="77"/>
  <c r="S381" i="77"/>
  <c r="S382" i="77"/>
  <c r="S383" i="77"/>
  <c r="S384" i="77"/>
  <c r="S385" i="77"/>
  <c r="S386" i="77"/>
  <c r="S387" i="77"/>
  <c r="U387" i="77" s="1"/>
  <c r="S388" i="77"/>
  <c r="S389" i="77"/>
  <c r="S390" i="77"/>
  <c r="S391" i="77"/>
  <c r="S392" i="77"/>
  <c r="S393" i="77"/>
  <c r="S394" i="77"/>
  <c r="S395" i="77"/>
  <c r="U395" i="77" s="1"/>
  <c r="S396" i="77"/>
  <c r="S397" i="77"/>
  <c r="S398" i="77"/>
  <c r="S399" i="77"/>
  <c r="S400" i="77"/>
  <c r="S401" i="77"/>
  <c r="S402" i="77"/>
  <c r="S403" i="77"/>
  <c r="U403" i="77" s="1"/>
  <c r="S404" i="77"/>
  <c r="S405" i="77"/>
  <c r="S406" i="77"/>
  <c r="S407" i="77"/>
  <c r="S408" i="77"/>
  <c r="S409" i="77"/>
  <c r="S410" i="77"/>
  <c r="S411" i="77"/>
  <c r="U411" i="77" s="1"/>
  <c r="S412" i="77"/>
  <c r="S413" i="77"/>
  <c r="S414" i="77"/>
  <c r="S415" i="77"/>
  <c r="S416" i="77"/>
  <c r="S417" i="77"/>
  <c r="S418" i="77"/>
  <c r="S419" i="77"/>
  <c r="U419" i="77" s="1"/>
  <c r="S420" i="77"/>
  <c r="S421" i="77"/>
  <c r="S422" i="77"/>
  <c r="S423" i="77"/>
  <c r="S424" i="77"/>
  <c r="S425" i="77"/>
  <c r="U425" i="77" s="1"/>
  <c r="S426" i="77"/>
  <c r="S427" i="77"/>
  <c r="S428" i="77"/>
  <c r="S429" i="77"/>
  <c r="S430" i="77"/>
  <c r="S431" i="77"/>
  <c r="S432" i="77"/>
  <c r="S433" i="77"/>
  <c r="S434" i="77"/>
  <c r="S435" i="77"/>
  <c r="U435" i="77" s="1"/>
  <c r="S436" i="77"/>
  <c r="S437" i="77"/>
  <c r="S438" i="77"/>
  <c r="S439" i="77"/>
  <c r="S440" i="77"/>
  <c r="S441" i="77"/>
  <c r="S442" i="77"/>
  <c r="S443" i="77"/>
  <c r="U443" i="77" s="1"/>
  <c r="S444" i="77"/>
  <c r="S445" i="77"/>
  <c r="S446" i="77"/>
  <c r="S447" i="77"/>
  <c r="S448" i="77"/>
  <c r="S449" i="77"/>
  <c r="S450" i="77"/>
  <c r="S451" i="77"/>
  <c r="U451" i="77" s="1"/>
  <c r="S452" i="77"/>
  <c r="S453" i="77"/>
  <c r="S454" i="77"/>
  <c r="S455" i="77"/>
  <c r="S456" i="77"/>
  <c r="S457" i="77"/>
  <c r="S458" i="77"/>
  <c r="S459" i="77"/>
  <c r="U459" i="77" s="1"/>
  <c r="S460" i="77"/>
  <c r="S461" i="77"/>
  <c r="S462" i="77"/>
  <c r="S463" i="77"/>
  <c r="S464" i="77"/>
  <c r="U464" i="77" s="1"/>
  <c r="S465" i="77"/>
  <c r="S466" i="77"/>
  <c r="S467" i="77"/>
  <c r="U467" i="77" s="1"/>
  <c r="S468" i="77"/>
  <c r="S469" i="77"/>
  <c r="S470" i="77"/>
  <c r="S471" i="77"/>
  <c r="S472" i="77"/>
  <c r="S473" i="77"/>
  <c r="S474" i="77"/>
  <c r="S475" i="77"/>
  <c r="S476" i="77"/>
  <c r="S477" i="77"/>
  <c r="S478" i="77"/>
  <c r="S479" i="77"/>
  <c r="S480" i="77"/>
  <c r="S481" i="77"/>
  <c r="S482" i="77"/>
  <c r="S483" i="77"/>
  <c r="U483" i="77" s="1"/>
  <c r="S484" i="77"/>
  <c r="S485" i="77"/>
  <c r="S486" i="77"/>
  <c r="S487" i="77"/>
  <c r="S488" i="77"/>
  <c r="S489" i="77"/>
  <c r="S490" i="77"/>
  <c r="S491" i="77"/>
  <c r="S492" i="77"/>
  <c r="S493" i="77"/>
  <c r="S494" i="77"/>
  <c r="S495" i="77"/>
  <c r="S496" i="77"/>
  <c r="S497" i="77"/>
  <c r="S498" i="77"/>
  <c r="S499" i="77"/>
  <c r="U499" i="77" s="1"/>
  <c r="S500" i="77"/>
  <c r="S501" i="77"/>
  <c r="S502" i="77"/>
  <c r="S503" i="77"/>
  <c r="S504" i="77"/>
  <c r="S505" i="77"/>
  <c r="S506" i="77"/>
  <c r="S507" i="77"/>
  <c r="U507" i="77" s="1"/>
  <c r="S508" i="77"/>
  <c r="S509" i="77"/>
  <c r="S510" i="77"/>
  <c r="S511" i="77"/>
  <c r="S512" i="77"/>
  <c r="S513" i="77"/>
  <c r="S514" i="77"/>
  <c r="S515" i="77"/>
  <c r="U515" i="77" s="1"/>
  <c r="S516" i="77"/>
  <c r="S517" i="77"/>
  <c r="S518" i="77"/>
  <c r="S519" i="77"/>
  <c r="S520" i="77"/>
  <c r="S521" i="77"/>
  <c r="S522" i="77"/>
  <c r="S523" i="77"/>
  <c r="S524" i="77"/>
  <c r="S525" i="77"/>
  <c r="S526" i="77"/>
  <c r="S527" i="77"/>
  <c r="S528" i="77"/>
  <c r="S529" i="77"/>
  <c r="S530" i="77"/>
  <c r="S531" i="77"/>
  <c r="U531" i="77" s="1"/>
  <c r="S532" i="77"/>
  <c r="S533" i="77"/>
  <c r="S534" i="77"/>
  <c r="S535" i="77"/>
  <c r="S536" i="77"/>
  <c r="S537" i="77"/>
  <c r="S538" i="77"/>
  <c r="S539" i="77"/>
  <c r="S540" i="77"/>
  <c r="S541" i="77"/>
  <c r="S542" i="77"/>
  <c r="S543" i="77"/>
  <c r="S544" i="77"/>
  <c r="S545" i="77"/>
  <c r="S546" i="77"/>
  <c r="S547" i="77"/>
  <c r="U547" i="77" s="1"/>
  <c r="S548" i="77"/>
  <c r="S549" i="77"/>
  <c r="S550" i="77"/>
  <c r="U550" i="77" s="1"/>
  <c r="S551" i="77"/>
  <c r="S552" i="77"/>
  <c r="S553" i="77"/>
  <c r="S554" i="77"/>
  <c r="S555" i="77"/>
  <c r="S556" i="77"/>
  <c r="S557" i="77"/>
  <c r="S558" i="77"/>
  <c r="S559" i="77"/>
  <c r="S560" i="77"/>
  <c r="S561" i="77"/>
  <c r="S562" i="77"/>
  <c r="S563" i="77"/>
  <c r="U563" i="77" s="1"/>
  <c r="S564" i="77"/>
  <c r="S565" i="77"/>
  <c r="S566" i="77"/>
  <c r="S567" i="77"/>
  <c r="S568" i="77"/>
  <c r="S569" i="77"/>
  <c r="S570" i="77"/>
  <c r="S571" i="77"/>
  <c r="U571" i="77" s="1"/>
  <c r="S572" i="77"/>
  <c r="S573" i="77"/>
  <c r="S574" i="77"/>
  <c r="S575" i="77"/>
  <c r="S576" i="77"/>
  <c r="S577" i="77"/>
  <c r="S578" i="77"/>
  <c r="S579" i="77"/>
  <c r="U579" i="77" s="1"/>
  <c r="S580" i="77"/>
  <c r="S581" i="77"/>
  <c r="S582" i="77"/>
  <c r="S583" i="77"/>
  <c r="S584" i="77"/>
  <c r="S585" i="77"/>
  <c r="U585" i="77" s="1"/>
  <c r="S586" i="77"/>
  <c r="U586" i="77" s="1"/>
  <c r="S587" i="77"/>
  <c r="S588" i="77"/>
  <c r="S589" i="77"/>
  <c r="S590" i="77"/>
  <c r="S591" i="77"/>
  <c r="S592" i="77"/>
  <c r="S593" i="77"/>
  <c r="S594" i="77"/>
  <c r="S595" i="77"/>
  <c r="U595" i="77" s="1"/>
  <c r="S596" i="77"/>
  <c r="S597" i="77"/>
  <c r="S598" i="77"/>
  <c r="S599" i="77"/>
  <c r="S600" i="77"/>
  <c r="S601" i="77"/>
  <c r="S602" i="77"/>
  <c r="S603" i="77"/>
  <c r="S604" i="77"/>
  <c r="S605" i="77"/>
  <c r="S606" i="77"/>
  <c r="S607" i="77"/>
  <c r="S608" i="77"/>
  <c r="S609" i="77"/>
  <c r="S610" i="77"/>
  <c r="S611" i="77"/>
  <c r="U611" i="77" s="1"/>
  <c r="S612" i="77"/>
  <c r="S613" i="77"/>
  <c r="S614" i="77"/>
  <c r="S615" i="77"/>
  <c r="S616" i="77"/>
  <c r="S617" i="77"/>
  <c r="S618" i="77"/>
  <c r="S619" i="77"/>
  <c r="S620" i="77"/>
  <c r="S621" i="77"/>
  <c r="S622" i="77"/>
  <c r="S623" i="77"/>
  <c r="S624" i="77"/>
  <c r="S625" i="77"/>
  <c r="S626" i="77"/>
  <c r="S627" i="77"/>
  <c r="S628" i="77"/>
  <c r="S629" i="77"/>
  <c r="S630" i="77"/>
  <c r="S631" i="77"/>
  <c r="S632" i="77"/>
  <c r="S633" i="77"/>
  <c r="S634" i="77"/>
  <c r="S635" i="77"/>
  <c r="S636" i="77"/>
  <c r="S637" i="77"/>
  <c r="S638" i="77"/>
  <c r="S639" i="77"/>
  <c r="S640" i="77"/>
  <c r="S641" i="77"/>
  <c r="S642" i="77"/>
  <c r="S643" i="77"/>
  <c r="U643" i="77" s="1"/>
  <c r="S644" i="77"/>
  <c r="S645" i="77"/>
  <c r="S646" i="77"/>
  <c r="S647" i="77"/>
  <c r="S648" i="77"/>
  <c r="S649" i="77"/>
  <c r="S650" i="77"/>
  <c r="S651" i="77"/>
  <c r="S652" i="77"/>
  <c r="S653" i="77"/>
  <c r="S654" i="77"/>
  <c r="S655" i="77"/>
  <c r="S656" i="77"/>
  <c r="S657" i="77"/>
  <c r="S658" i="77"/>
  <c r="S659" i="77"/>
  <c r="U659" i="77" s="1"/>
  <c r="S660" i="77"/>
  <c r="S661" i="77"/>
  <c r="S662" i="77"/>
  <c r="S663" i="77"/>
  <c r="S664" i="77"/>
  <c r="S665" i="77"/>
  <c r="S666" i="77"/>
  <c r="S667" i="77"/>
  <c r="S668" i="77"/>
  <c r="S669" i="77"/>
  <c r="S670" i="77"/>
  <c r="S671" i="77"/>
  <c r="S672" i="77"/>
  <c r="S673" i="77"/>
  <c r="S674" i="77"/>
  <c r="S675" i="77"/>
  <c r="U675" i="77" s="1"/>
  <c r="S676" i="77"/>
  <c r="S677" i="77"/>
  <c r="S678" i="77"/>
  <c r="S679" i="77"/>
  <c r="S680" i="77"/>
  <c r="S681" i="77"/>
  <c r="S682" i="77"/>
  <c r="S683" i="77"/>
  <c r="S684" i="77"/>
  <c r="S685" i="77"/>
  <c r="S686" i="77"/>
  <c r="S687" i="77"/>
  <c r="S688" i="77"/>
  <c r="S689" i="77"/>
  <c r="S690" i="77"/>
  <c r="S691" i="77"/>
  <c r="U691" i="77" s="1"/>
  <c r="S692" i="77"/>
  <c r="S693" i="77"/>
  <c r="S694" i="77"/>
  <c r="S695" i="77"/>
  <c r="S696" i="77"/>
  <c r="S697" i="77"/>
  <c r="S698" i="77"/>
  <c r="U698" i="77" s="1"/>
  <c r="S699" i="77"/>
  <c r="S700" i="77"/>
  <c r="S701" i="77"/>
  <c r="S702" i="77"/>
  <c r="S703" i="77"/>
  <c r="S704" i="77"/>
  <c r="S705" i="77"/>
  <c r="S706" i="77"/>
  <c r="S707" i="77"/>
  <c r="U707" i="77" s="1"/>
  <c r="S708" i="77"/>
  <c r="S709" i="77"/>
  <c r="S710" i="77"/>
  <c r="S711" i="77"/>
  <c r="S712" i="77"/>
  <c r="S713" i="77"/>
  <c r="S714" i="77"/>
  <c r="S715" i="77"/>
  <c r="U715" i="77" s="1"/>
  <c r="S716" i="77"/>
  <c r="S717" i="77"/>
  <c r="S718" i="77"/>
  <c r="S719" i="77"/>
  <c r="S720" i="77"/>
  <c r="S721" i="77"/>
  <c r="S722" i="77"/>
  <c r="S723" i="77"/>
  <c r="U723" i="77" s="1"/>
  <c r="S724" i="77"/>
  <c r="S725" i="77"/>
  <c r="S726" i="77"/>
  <c r="S727" i="77"/>
  <c r="S728" i="77"/>
  <c r="S729" i="77"/>
  <c r="S730" i="77"/>
  <c r="S731" i="77"/>
  <c r="S732" i="77"/>
  <c r="S733" i="77"/>
  <c r="S734" i="77"/>
  <c r="S735" i="77"/>
  <c r="S736" i="77"/>
  <c r="S737" i="77"/>
  <c r="S738" i="77"/>
  <c r="S739" i="77"/>
  <c r="U739" i="77" s="1"/>
  <c r="S740" i="77"/>
  <c r="S741" i="77"/>
  <c r="S742" i="77"/>
  <c r="S743" i="77"/>
  <c r="S744" i="77"/>
  <c r="S745" i="77"/>
  <c r="S746" i="77"/>
  <c r="S747" i="77"/>
  <c r="S748" i="77"/>
  <c r="S749" i="77"/>
  <c r="S750" i="77"/>
  <c r="S751" i="77"/>
  <c r="S752" i="77"/>
  <c r="S753" i="77"/>
  <c r="S754" i="77"/>
  <c r="S755" i="77"/>
  <c r="U755" i="77" s="1"/>
  <c r="S756" i="77"/>
  <c r="S757" i="77"/>
  <c r="S758" i="77"/>
  <c r="S759" i="77"/>
  <c r="S760" i="77"/>
  <c r="S761" i="77"/>
  <c r="S762" i="77"/>
  <c r="S763" i="77"/>
  <c r="S764" i="77"/>
  <c r="S765" i="77"/>
  <c r="S766" i="77"/>
  <c r="S767" i="77"/>
  <c r="S768" i="77"/>
  <c r="S769" i="77"/>
  <c r="S770" i="77"/>
  <c r="S771" i="77"/>
  <c r="U771" i="77" s="1"/>
  <c r="S772" i="77"/>
  <c r="S773" i="77"/>
  <c r="S774" i="77"/>
  <c r="S775" i="77"/>
  <c r="S776" i="77"/>
  <c r="S777" i="77"/>
  <c r="S778" i="77"/>
  <c r="S779" i="77"/>
  <c r="U779" i="77" s="1"/>
  <c r="S780" i="77"/>
  <c r="S781" i="77"/>
  <c r="S782" i="77"/>
  <c r="S783" i="77"/>
  <c r="S784" i="77"/>
  <c r="S785" i="77"/>
  <c r="S786" i="77"/>
  <c r="S787" i="77"/>
  <c r="U787" i="77" s="1"/>
  <c r="S788" i="77"/>
  <c r="S789" i="77"/>
  <c r="S790" i="77"/>
  <c r="S791" i="77"/>
  <c r="S792" i="77"/>
  <c r="S793" i="77"/>
  <c r="S794" i="77"/>
  <c r="S795" i="77"/>
  <c r="U795" i="77" s="1"/>
  <c r="S796" i="77"/>
  <c r="S797" i="77"/>
  <c r="S798" i="77"/>
  <c r="S799" i="77"/>
  <c r="S800" i="77"/>
  <c r="S801" i="77"/>
  <c r="S802" i="77"/>
  <c r="S803" i="77"/>
  <c r="U803" i="77" s="1"/>
  <c r="S804" i="77"/>
  <c r="S805" i="77"/>
  <c r="S806" i="77"/>
  <c r="S807" i="77"/>
  <c r="S808" i="77"/>
  <c r="S809" i="77"/>
  <c r="S810" i="77"/>
  <c r="S811" i="77"/>
  <c r="S812" i="77"/>
  <c r="S813" i="77"/>
  <c r="S814" i="77"/>
  <c r="S815" i="77"/>
  <c r="S816" i="77"/>
  <c r="S817" i="77"/>
  <c r="S818" i="77"/>
  <c r="S819" i="77"/>
  <c r="U819" i="77" s="1"/>
  <c r="S820" i="77"/>
  <c r="S821" i="77"/>
  <c r="S822" i="77"/>
  <c r="S823" i="77"/>
  <c r="S824" i="77"/>
  <c r="S825" i="77"/>
  <c r="S826" i="77"/>
  <c r="S827" i="77"/>
  <c r="S828" i="77"/>
  <c r="S829" i="77"/>
  <c r="S830" i="77"/>
  <c r="S831" i="77"/>
  <c r="S832" i="77"/>
  <c r="S833" i="77"/>
  <c r="S834" i="77"/>
  <c r="S835" i="77"/>
  <c r="U835" i="77" s="1"/>
  <c r="S836" i="77"/>
  <c r="S837" i="77"/>
  <c r="S838" i="77"/>
  <c r="S839" i="77"/>
  <c r="S840" i="77"/>
  <c r="S841" i="77"/>
  <c r="S842" i="77"/>
  <c r="S843" i="77"/>
  <c r="U843" i="77" s="1"/>
  <c r="S844" i="77"/>
  <c r="S845" i="77"/>
  <c r="S846" i="77"/>
  <c r="S847" i="77"/>
  <c r="S848" i="77"/>
  <c r="S849" i="77"/>
  <c r="S850" i="77"/>
  <c r="S851" i="77"/>
  <c r="U851" i="77" s="1"/>
  <c r="S852" i="77"/>
  <c r="S853" i="77"/>
  <c r="S854" i="77"/>
  <c r="S855" i="77"/>
  <c r="S856" i="77"/>
  <c r="S857" i="77"/>
  <c r="S858" i="77"/>
  <c r="S859" i="77"/>
  <c r="S860" i="77"/>
  <c r="S861" i="77"/>
  <c r="S862" i="77"/>
  <c r="S863" i="77"/>
  <c r="S864" i="77"/>
  <c r="S865" i="77"/>
  <c r="S866" i="77"/>
  <c r="S867" i="77"/>
  <c r="U867" i="77" s="1"/>
  <c r="S868" i="77"/>
  <c r="S869" i="77"/>
  <c r="S870" i="77"/>
  <c r="S871" i="77"/>
  <c r="S872" i="77"/>
  <c r="S873" i="77"/>
  <c r="S874" i="77"/>
  <c r="S875" i="77"/>
  <c r="S876" i="77"/>
  <c r="S877" i="77"/>
  <c r="S878" i="77"/>
  <c r="S879" i="77"/>
  <c r="S880" i="77"/>
  <c r="S881" i="77"/>
  <c r="S882" i="77"/>
  <c r="S883" i="77"/>
  <c r="U883" i="77" s="1"/>
  <c r="S884" i="77"/>
  <c r="S885" i="77"/>
  <c r="S886" i="77"/>
  <c r="S887" i="77"/>
  <c r="S888" i="77"/>
  <c r="S889" i="77"/>
  <c r="S890" i="77"/>
  <c r="S891" i="77"/>
  <c r="S892" i="77"/>
  <c r="S893" i="77"/>
  <c r="S894" i="77"/>
  <c r="S895" i="77"/>
  <c r="S896" i="77"/>
  <c r="S897" i="77"/>
  <c r="S898" i="77"/>
  <c r="S899" i="77"/>
  <c r="U899" i="77" s="1"/>
  <c r="S900" i="77"/>
  <c r="S901" i="77"/>
  <c r="S902" i="77"/>
  <c r="S903" i="77"/>
  <c r="S904" i="77"/>
  <c r="S905" i="77"/>
  <c r="S906" i="77"/>
  <c r="S907" i="77"/>
  <c r="S908" i="77"/>
  <c r="S909" i="77"/>
  <c r="S910" i="77"/>
  <c r="S911" i="77"/>
  <c r="S912" i="77"/>
  <c r="S913" i="77"/>
  <c r="S914" i="77"/>
  <c r="S915" i="77"/>
  <c r="U915" i="77" s="1"/>
  <c r="S916" i="77"/>
  <c r="S917" i="77"/>
  <c r="S918" i="77"/>
  <c r="S919" i="77"/>
  <c r="S920" i="77"/>
  <c r="S921" i="77"/>
  <c r="S922" i="77"/>
  <c r="S923" i="77"/>
  <c r="U923" i="77" s="1"/>
  <c r="S924" i="77"/>
  <c r="S925" i="77"/>
  <c r="S926" i="77"/>
  <c r="S927" i="77"/>
  <c r="S928" i="77"/>
  <c r="S929" i="77"/>
  <c r="S930" i="77"/>
  <c r="S931" i="77"/>
  <c r="U931" i="77" s="1"/>
  <c r="S932" i="77"/>
  <c r="S933" i="77"/>
  <c r="S934" i="77"/>
  <c r="S935" i="77"/>
  <c r="S936" i="77"/>
  <c r="U936" i="77" s="1"/>
  <c r="S937" i="77"/>
  <c r="S938" i="77"/>
  <c r="S939" i="77"/>
  <c r="S940" i="77"/>
  <c r="S941" i="77"/>
  <c r="S942" i="77"/>
  <c r="S943" i="77"/>
  <c r="S944" i="77"/>
  <c r="S945" i="77"/>
  <c r="S946" i="77"/>
  <c r="S947" i="77"/>
  <c r="U947" i="77" s="1"/>
  <c r="S948" i="77"/>
  <c r="S949" i="77"/>
  <c r="S950" i="77"/>
  <c r="U950" i="77" s="1"/>
  <c r="S951" i="77"/>
  <c r="S952" i="77"/>
  <c r="S953" i="77"/>
  <c r="S954" i="77"/>
  <c r="U954" i="77" s="1"/>
  <c r="S955" i="77"/>
  <c r="U955" i="77" s="1"/>
  <c r="S956" i="77"/>
  <c r="S957" i="77"/>
  <c r="S958" i="77"/>
  <c r="S959" i="77"/>
  <c r="S960" i="77"/>
  <c r="S961" i="77"/>
  <c r="S962" i="77"/>
  <c r="S963" i="77"/>
  <c r="U963" i="77" s="1"/>
  <c r="S964" i="77"/>
  <c r="S965" i="77"/>
  <c r="S966" i="77"/>
  <c r="S967" i="77"/>
  <c r="S968" i="77"/>
  <c r="S969" i="77"/>
  <c r="S970" i="77"/>
  <c r="S971" i="77"/>
  <c r="S972" i="77"/>
  <c r="S973" i="77"/>
  <c r="S974" i="77"/>
  <c r="S975" i="77"/>
  <c r="S976" i="77"/>
  <c r="S977" i="77"/>
  <c r="S978" i="77"/>
  <c r="S979" i="77"/>
  <c r="U979" i="77" s="1"/>
  <c r="S980" i="77"/>
  <c r="S981" i="77"/>
  <c r="S982" i="77"/>
  <c r="S983" i="77"/>
  <c r="S984" i="77"/>
  <c r="S985" i="77"/>
  <c r="S986" i="77"/>
  <c r="S987" i="77"/>
  <c r="S988" i="77"/>
  <c r="S989" i="77"/>
  <c r="S990" i="77"/>
  <c r="S991" i="77"/>
  <c r="S992" i="77"/>
  <c r="S993" i="77"/>
  <c r="S994" i="77"/>
  <c r="S995" i="77"/>
  <c r="U995" i="77" s="1"/>
  <c r="S996" i="77"/>
  <c r="S997" i="77"/>
  <c r="S998" i="77"/>
  <c r="S999" i="77"/>
  <c r="S1000" i="77"/>
  <c r="S1001" i="77"/>
  <c r="S1002" i="77"/>
  <c r="S1003" i="77"/>
  <c r="S1004" i="77"/>
  <c r="S1005" i="77"/>
  <c r="S1006" i="77"/>
  <c r="S1007" i="77"/>
  <c r="S1008" i="77"/>
  <c r="S1009" i="77"/>
  <c r="S1010" i="77"/>
  <c r="S1011" i="77"/>
  <c r="U1011" i="77" s="1"/>
  <c r="S1012" i="77"/>
  <c r="S1013" i="77"/>
  <c r="S1014" i="77"/>
  <c r="S1015" i="77"/>
  <c r="S1016" i="77"/>
  <c r="S1017" i="77"/>
  <c r="S1018" i="77"/>
  <c r="S1019" i="77"/>
  <c r="S1020" i="77"/>
  <c r="S1021" i="77"/>
  <c r="S1022" i="77"/>
  <c r="S1023" i="77"/>
  <c r="S1024" i="77"/>
  <c r="S1025" i="77"/>
  <c r="S1026" i="77"/>
  <c r="S1027" i="77"/>
  <c r="U1027" i="77" s="1"/>
  <c r="S1028" i="77"/>
  <c r="S1029" i="77"/>
  <c r="S1030" i="77"/>
  <c r="S1031" i="77"/>
  <c r="S1032" i="77"/>
  <c r="S1033" i="77"/>
  <c r="S1034" i="77"/>
  <c r="S1035" i="77"/>
  <c r="S1036" i="77"/>
  <c r="S1037" i="77"/>
  <c r="S1038" i="77"/>
  <c r="S1039" i="77"/>
  <c r="S1040" i="77"/>
  <c r="S1041" i="77"/>
  <c r="S1042" i="77"/>
  <c r="S1043" i="77"/>
  <c r="U1043" i="77" s="1"/>
  <c r="S1044" i="77"/>
  <c r="S1045" i="77"/>
  <c r="S1046" i="77"/>
  <c r="S1047" i="77"/>
  <c r="S1048" i="77"/>
  <c r="S1049" i="77"/>
  <c r="S1050" i="77"/>
  <c r="S1051" i="77"/>
  <c r="S1052" i="77"/>
  <c r="S1053" i="77"/>
  <c r="S1054" i="77"/>
  <c r="S1055" i="77"/>
  <c r="S1056" i="77"/>
  <c r="S1057" i="77"/>
  <c r="S1058" i="77"/>
  <c r="S1059" i="77"/>
  <c r="U1059" i="77" s="1"/>
  <c r="S1060" i="77"/>
  <c r="S1061" i="77"/>
  <c r="S1062" i="77"/>
  <c r="S1063" i="77"/>
  <c r="S1064" i="77"/>
  <c r="S1065" i="77"/>
  <c r="S1066" i="77"/>
  <c r="S1067" i="77"/>
  <c r="S1068" i="77"/>
  <c r="S1069" i="77"/>
  <c r="S1070" i="77"/>
  <c r="S1071" i="77"/>
  <c r="S1072" i="77"/>
  <c r="S1073" i="77"/>
  <c r="S1074" i="77"/>
  <c r="S1075" i="77"/>
  <c r="U1075" i="77" s="1"/>
  <c r="S1076" i="77"/>
  <c r="S1077" i="77"/>
  <c r="S1078" i="77"/>
  <c r="S1079" i="77"/>
  <c r="S1080" i="77"/>
  <c r="S1081" i="77"/>
  <c r="S1082" i="77"/>
  <c r="S1083" i="77"/>
  <c r="U1083" i="77" s="1"/>
  <c r="S1084" i="77"/>
  <c r="S1085" i="77"/>
  <c r="S1086" i="77"/>
  <c r="S1087" i="77"/>
  <c r="S1088" i="77"/>
  <c r="S1089" i="77"/>
  <c r="S1090" i="77"/>
  <c r="S1091" i="77"/>
  <c r="U1091" i="77" s="1"/>
  <c r="S1092" i="77"/>
  <c r="S1093" i="77"/>
  <c r="S1094" i="77"/>
  <c r="S1095" i="77"/>
  <c r="S1096" i="77"/>
  <c r="S1097" i="77"/>
  <c r="S1098" i="77"/>
  <c r="S1099" i="77"/>
  <c r="S1100" i="77"/>
  <c r="S1101" i="77"/>
  <c r="S1102" i="77"/>
  <c r="S1103" i="77"/>
  <c r="S1104" i="77"/>
  <c r="S1105" i="77"/>
  <c r="S1106" i="77"/>
  <c r="S1107" i="77"/>
  <c r="U1107" i="77" s="1"/>
  <c r="S1108" i="77"/>
  <c r="S1109" i="77"/>
  <c r="S1110" i="77"/>
  <c r="S1111" i="77"/>
  <c r="S1112" i="77"/>
  <c r="S1113" i="77"/>
  <c r="S1114" i="77"/>
  <c r="S1115" i="77"/>
  <c r="S1116" i="77"/>
  <c r="S1117" i="77"/>
  <c r="S1118" i="77"/>
  <c r="S1119" i="77"/>
  <c r="S1120" i="77"/>
  <c r="S1121" i="77"/>
  <c r="S1122" i="77"/>
  <c r="S1123" i="77"/>
  <c r="U1123" i="77" s="1"/>
  <c r="S1124" i="77"/>
  <c r="S1125" i="77"/>
  <c r="S1126" i="77"/>
  <c r="S1127" i="77"/>
  <c r="S1128" i="77"/>
  <c r="S1129" i="77"/>
  <c r="S1130" i="77"/>
  <c r="S1131" i="77"/>
  <c r="S1132" i="77"/>
  <c r="S1133" i="77"/>
  <c r="S1134" i="77"/>
  <c r="S1135" i="77"/>
  <c r="S1136" i="77"/>
  <c r="S1137" i="77"/>
  <c r="S1138" i="77"/>
  <c r="S1139" i="77"/>
  <c r="U1139" i="77" s="1"/>
  <c r="S1140" i="77"/>
  <c r="S1141" i="77"/>
  <c r="S1142" i="77"/>
  <c r="S1143" i="77"/>
  <c r="S1144" i="77"/>
  <c r="S1145" i="77"/>
  <c r="S1146" i="77"/>
  <c r="S1147" i="77"/>
  <c r="S1148" i="77"/>
  <c r="S1149" i="77"/>
  <c r="S1150" i="77"/>
  <c r="S1151" i="77"/>
  <c r="S1152" i="77"/>
  <c r="S1153" i="77"/>
  <c r="S1154" i="77"/>
  <c r="S1155" i="77"/>
  <c r="U1155" i="77" s="1"/>
  <c r="S1156" i="77"/>
  <c r="S1157" i="77"/>
  <c r="S1158" i="77"/>
  <c r="S1159" i="77"/>
  <c r="S1160" i="77"/>
  <c r="S1161" i="77"/>
  <c r="S1162" i="77"/>
  <c r="S1163" i="77"/>
  <c r="S1164" i="77"/>
  <c r="S1165" i="77"/>
  <c r="S1166" i="77"/>
  <c r="S1167" i="77"/>
  <c r="S1168" i="77"/>
  <c r="S1169" i="77"/>
  <c r="S1170" i="77"/>
  <c r="S1171" i="77"/>
  <c r="U1171" i="77" s="1"/>
  <c r="S1172" i="77"/>
  <c r="S1173" i="77"/>
  <c r="S1174" i="77"/>
  <c r="S1175" i="77"/>
  <c r="S1176" i="77"/>
  <c r="S1177" i="77"/>
  <c r="S1178" i="77"/>
  <c r="S1179" i="77"/>
  <c r="S1180" i="77"/>
  <c r="S1181" i="77"/>
  <c r="S1182" i="77"/>
  <c r="S1183" i="77"/>
  <c r="S1184" i="77"/>
  <c r="S1185" i="77"/>
  <c r="S1186" i="77"/>
  <c r="S1187" i="77"/>
  <c r="U1187" i="77" s="1"/>
  <c r="S1188" i="77"/>
  <c r="S1189" i="77"/>
  <c r="S1190" i="77"/>
  <c r="S1191" i="77"/>
  <c r="S1192" i="77"/>
  <c r="S1193" i="77"/>
  <c r="S1194" i="77"/>
  <c r="S1195" i="77"/>
  <c r="S1196" i="77"/>
  <c r="U1196" i="77" s="1"/>
  <c r="S1197" i="77"/>
  <c r="S1198" i="77"/>
  <c r="S1199" i="77"/>
  <c r="S1200" i="77"/>
  <c r="S1201" i="77"/>
  <c r="S1202" i="77"/>
  <c r="S1203" i="77"/>
  <c r="U1203" i="77" s="1"/>
  <c r="S1204" i="77"/>
  <c r="S1205" i="77"/>
  <c r="S1206" i="77"/>
  <c r="S1207" i="77"/>
  <c r="S1208" i="77"/>
  <c r="S1209" i="77"/>
  <c r="S1210" i="77"/>
  <c r="S1211" i="77"/>
  <c r="S1212" i="77"/>
  <c r="S1213" i="77"/>
  <c r="S1214" i="77"/>
  <c r="S1215" i="77"/>
  <c r="S1216" i="77"/>
  <c r="S1217" i="77"/>
  <c r="S1218" i="77"/>
  <c r="S1219" i="77"/>
  <c r="U1219" i="77" s="1"/>
  <c r="S1220" i="77"/>
  <c r="S1221" i="77"/>
  <c r="S1222" i="77"/>
  <c r="S1223" i="77"/>
  <c r="S1224" i="77"/>
  <c r="S1225" i="77"/>
  <c r="U1225" i="77" s="1"/>
  <c r="S1226" i="77"/>
  <c r="S1227" i="77"/>
  <c r="U1227" i="77" s="1"/>
  <c r="S1228" i="77"/>
  <c r="S1229" i="77"/>
  <c r="S1230" i="77"/>
  <c r="S2" i="77"/>
  <c r="U1110" i="77"/>
  <c r="U1078" i="77"/>
  <c r="U1049" i="77"/>
  <c r="U1046" i="77"/>
  <c r="U967" i="77"/>
  <c r="U934" i="77"/>
  <c r="U902" i="77"/>
  <c r="U870" i="77"/>
  <c r="U854" i="77"/>
  <c r="U790" i="77"/>
  <c r="U758" i="77"/>
  <c r="U742" i="77"/>
  <c r="U726" i="77"/>
  <c r="U710" i="77"/>
  <c r="U699" i="77"/>
  <c r="U678" i="77"/>
  <c r="U627" i="77"/>
  <c r="U582" i="77"/>
  <c r="U518" i="77"/>
  <c r="U438" i="77"/>
  <c r="U391" i="77"/>
  <c r="U390" i="77"/>
  <c r="U377" i="77"/>
  <c r="U375" i="77"/>
  <c r="U374" i="77"/>
  <c r="U358" i="77"/>
  <c r="U345" i="77"/>
  <c r="U278" i="77"/>
  <c r="U262" i="77"/>
  <c r="U246" i="77"/>
  <c r="U198" i="77"/>
  <c r="U134" i="77"/>
  <c r="U121" i="77"/>
  <c r="U118" i="77"/>
  <c r="U102" i="77"/>
  <c r="U86" i="77"/>
  <c r="U54" i="77"/>
  <c r="U22" i="77"/>
  <c r="U19" i="77"/>
  <c r="U11" i="77"/>
  <c r="U44" i="77" l="1"/>
  <c r="U1048" i="77"/>
  <c r="U296" i="77"/>
  <c r="U1080" i="77"/>
  <c r="U760" i="77"/>
  <c r="U744" i="77"/>
  <c r="U632" i="77"/>
  <c r="U504" i="77"/>
  <c r="U344" i="77"/>
  <c r="U184" i="77"/>
  <c r="U24" i="77"/>
  <c r="U263" i="77"/>
  <c r="U180" i="77"/>
  <c r="U1222" i="77"/>
  <c r="U1126" i="77"/>
  <c r="U998" i="77"/>
  <c r="U982" i="77"/>
  <c r="U966" i="77"/>
  <c r="U822" i="77"/>
  <c r="U806" i="77"/>
  <c r="U774" i="77"/>
  <c r="U646" i="77"/>
  <c r="U630" i="77"/>
  <c r="U614" i="77"/>
  <c r="U598" i="77"/>
  <c r="U454" i="77"/>
  <c r="U310" i="77"/>
  <c r="U294" i="77"/>
  <c r="U150" i="77"/>
  <c r="U38" i="77"/>
  <c r="U727" i="77"/>
  <c r="U455" i="77"/>
  <c r="U439" i="77"/>
  <c r="U423" i="77"/>
  <c r="U279" i="77"/>
  <c r="U183" i="77"/>
  <c r="U151" i="77"/>
  <c r="U1204" i="77"/>
  <c r="U1188" i="77"/>
  <c r="U1172" i="77"/>
  <c r="U1140" i="77"/>
  <c r="U1124" i="77"/>
  <c r="U1092" i="77"/>
  <c r="U1076" i="77"/>
  <c r="U1060" i="77"/>
  <c r="U1028" i="77"/>
  <c r="U1012" i="77"/>
  <c r="U996" i="77"/>
  <c r="U980" i="77"/>
  <c r="U964" i="77"/>
  <c r="U948" i="77"/>
  <c r="U932" i="77"/>
  <c r="U916" i="77"/>
  <c r="U900" i="77"/>
  <c r="U884" i="77"/>
  <c r="U868" i="77"/>
  <c r="U852" i="77"/>
  <c r="U836" i="77"/>
  <c r="U820" i="77"/>
  <c r="U804" i="77"/>
  <c r="U788" i="77"/>
  <c r="U772" i="77"/>
  <c r="U756" i="77"/>
  <c r="U740" i="77"/>
  <c r="U724" i="77"/>
  <c r="U708" i="77"/>
  <c r="U692" i="77"/>
  <c r="U676" i="77"/>
  <c r="U660" i="77"/>
  <c r="U644" i="77"/>
  <c r="U628" i="77"/>
  <c r="U612" i="77"/>
  <c r="U596" i="77"/>
  <c r="U580" i="77"/>
  <c r="U564" i="77"/>
  <c r="U548" i="77"/>
  <c r="U532" i="77"/>
  <c r="U516" i="77"/>
  <c r="U500" i="77"/>
  <c r="U484" i="77"/>
  <c r="U468" i="77"/>
  <c r="U452" i="77"/>
  <c r="U436" i="77"/>
  <c r="U420" i="77"/>
  <c r="U404" i="77"/>
  <c r="U388" i="77"/>
  <c r="U372" i="77"/>
  <c r="U356" i="77"/>
  <c r="U340" i="77"/>
  <c r="U324" i="77"/>
  <c r="U308" i="77"/>
  <c r="U292" i="77"/>
  <c r="U276" i="77"/>
  <c r="U260" i="77"/>
  <c r="U244" i="77"/>
  <c r="U228" i="77"/>
  <c r="U212" i="77"/>
  <c r="U196" i="77"/>
  <c r="U164" i="77"/>
  <c r="U148" i="77"/>
  <c r="U132" i="77"/>
  <c r="U116" i="77"/>
  <c r="U100" i="77"/>
  <c r="U84" i="77"/>
  <c r="U68" i="77"/>
  <c r="U52" i="77"/>
  <c r="U36" i="77"/>
  <c r="U20" i="77"/>
  <c r="U4" i="77"/>
  <c r="U625" i="77"/>
  <c r="U1200" i="77"/>
  <c r="U1184" i="77"/>
  <c r="U1152" i="77"/>
  <c r="U1136" i="77"/>
  <c r="U1120" i="77"/>
  <c r="U1104" i="77"/>
  <c r="U1088" i="77"/>
  <c r="U1072" i="77"/>
  <c r="U1056" i="77"/>
  <c r="U1040" i="77"/>
  <c r="U1024" i="77"/>
  <c r="U1008" i="77"/>
  <c r="U992" i="77"/>
  <c r="U976" i="77"/>
  <c r="U960" i="77"/>
  <c r="U944" i="77"/>
  <c r="U928" i="77"/>
  <c r="U912" i="77"/>
  <c r="U880" i="77"/>
  <c r="U832" i="77"/>
  <c r="U816" i="77"/>
  <c r="U800" i="77"/>
  <c r="U784" i="77"/>
  <c r="U768" i="77"/>
  <c r="U752" i="77"/>
  <c r="U736" i="77"/>
  <c r="U720" i="77"/>
  <c r="U704" i="77"/>
  <c r="U672" i="77"/>
  <c r="U656" i="77"/>
  <c r="U640" i="77"/>
  <c r="U624" i="77"/>
  <c r="U608" i="77"/>
  <c r="U576" i="77"/>
  <c r="U560" i="77"/>
  <c r="U544" i="77"/>
  <c r="U528" i="77"/>
  <c r="U512" i="77"/>
  <c r="U480" i="77"/>
  <c r="U448" i="77"/>
  <c r="U432" i="77"/>
  <c r="U416" i="77"/>
  <c r="U400" i="77"/>
  <c r="U384" i="77"/>
  <c r="U368" i="77"/>
  <c r="U352" i="77"/>
  <c r="U336" i="77"/>
  <c r="U320" i="77"/>
  <c r="U304" i="77"/>
  <c r="U272" i="77"/>
  <c r="U256" i="77"/>
  <c r="U224" i="77"/>
  <c r="U208" i="77"/>
  <c r="U176" i="77"/>
  <c r="U160" i="77"/>
  <c r="U144" i="77"/>
  <c r="U128" i="77"/>
  <c r="U112" i="77"/>
  <c r="U96" i="77"/>
  <c r="U80" i="77"/>
  <c r="U64" i="77"/>
  <c r="U48" i="77"/>
  <c r="U32" i="77"/>
  <c r="U16" i="77"/>
  <c r="U1084" i="77"/>
  <c r="U956" i="77"/>
  <c r="U876" i="77"/>
  <c r="U748" i="77"/>
  <c r="U604" i="77"/>
  <c r="U508" i="77"/>
  <c r="U268" i="77"/>
  <c r="U172" i="77"/>
  <c r="U76" i="77"/>
  <c r="U1211" i="77"/>
  <c r="U1195" i="77"/>
  <c r="U1163" i="77"/>
  <c r="U1147" i="77"/>
  <c r="U1131" i="77"/>
  <c r="U1067" i="77"/>
  <c r="U1051" i="77"/>
  <c r="U1035" i="77"/>
  <c r="U1019" i="77"/>
  <c r="U987" i="77"/>
  <c r="U971" i="77"/>
  <c r="U907" i="77"/>
  <c r="U891" i="77"/>
  <c r="U859" i="77"/>
  <c r="U827" i="77"/>
  <c r="U811" i="77"/>
  <c r="U763" i="77"/>
  <c r="U747" i="77"/>
  <c r="U731" i="77"/>
  <c r="U683" i="77"/>
  <c r="U667" i="77"/>
  <c r="U651" i="77"/>
  <c r="U635" i="77"/>
  <c r="U619" i="77"/>
  <c r="U603" i="77"/>
  <c r="U587" i="77"/>
  <c r="U555" i="77"/>
  <c r="U539" i="77"/>
  <c r="U523" i="77"/>
  <c r="U491" i="77"/>
  <c r="U475" i="77"/>
  <c r="U427" i="77"/>
  <c r="U379" i="77"/>
  <c r="U331" i="77"/>
  <c r="U315" i="77"/>
  <c r="U283" i="77"/>
  <c r="U267" i="77"/>
  <c r="U251" i="77"/>
  <c r="U219" i="77"/>
  <c r="U203" i="77"/>
  <c r="U187" i="77"/>
  <c r="U155" i="77"/>
  <c r="U139" i="77"/>
  <c r="U91" i="77"/>
  <c r="U27" i="77"/>
  <c r="U1130" i="77"/>
  <c r="U874" i="77"/>
  <c r="U474" i="77"/>
  <c r="U1224" i="77"/>
  <c r="U1160" i="77"/>
  <c r="U1128" i="77"/>
  <c r="U1016" i="77"/>
  <c r="U840" i="77"/>
  <c r="U776" i="77"/>
  <c r="U696" i="77"/>
  <c r="U664" i="77"/>
  <c r="U584" i="77"/>
  <c r="U552" i="77"/>
  <c r="U520" i="77"/>
  <c r="U392" i="77"/>
  <c r="U312" i="77"/>
  <c r="U232" i="77"/>
  <c r="U216" i="77"/>
  <c r="U152" i="77"/>
  <c r="U72" i="77"/>
  <c r="U1174" i="77"/>
  <c r="U1030" i="77"/>
  <c r="U1014" i="77"/>
  <c r="U918" i="77"/>
  <c r="U694" i="77"/>
  <c r="U502" i="77"/>
  <c r="U486" i="77"/>
  <c r="U406" i="77"/>
  <c r="U342" i="77"/>
  <c r="U326" i="77"/>
  <c r="U166" i="77"/>
  <c r="U6" i="77"/>
  <c r="U1221" i="77"/>
  <c r="U1205" i="77"/>
  <c r="U1189" i="77"/>
  <c r="U1173" i="77"/>
  <c r="U1157" i="77"/>
  <c r="U1141" i="77"/>
  <c r="U1125" i="77"/>
  <c r="U1109" i="77"/>
  <c r="U1093" i="77"/>
  <c r="U1077" i="77"/>
  <c r="U1061" i="77"/>
  <c r="U1045" i="77"/>
  <c r="U1029" i="77"/>
  <c r="U1013" i="77"/>
  <c r="U997" i="77"/>
  <c r="U981" i="77"/>
  <c r="U965" i="77"/>
  <c r="U949" i="77"/>
  <c r="U933" i="77"/>
  <c r="U917" i="77"/>
  <c r="U901" i="77"/>
  <c r="U885" i="77"/>
  <c r="U869" i="77"/>
  <c r="U853" i="77"/>
  <c r="U837" i="77"/>
  <c r="U821" i="77"/>
  <c r="U805" i="77"/>
  <c r="U789" i="77"/>
  <c r="U773" i="77"/>
  <c r="U757" i="77"/>
  <c r="U741" i="77"/>
  <c r="U725" i="77"/>
  <c r="U709" i="77"/>
  <c r="U693" i="77"/>
  <c r="U677" i="77"/>
  <c r="U661" i="77"/>
  <c r="U645" i="77"/>
  <c r="U629" i="77"/>
  <c r="U613" i="77"/>
  <c r="U597" i="77"/>
  <c r="U581" i="77"/>
  <c r="U565" i="77"/>
  <c r="U549" i="77"/>
  <c r="U533" i="77"/>
  <c r="U517" i="77"/>
  <c r="U501" i="77"/>
  <c r="U485" i="77"/>
  <c r="U469" i="77"/>
  <c r="U453" i="77"/>
  <c r="U437" i="77"/>
  <c r="U421" i="77"/>
  <c r="U405" i="77"/>
  <c r="U389" i="77"/>
  <c r="U373" i="77"/>
  <c r="U357" i="77"/>
  <c r="U341" i="77"/>
  <c r="U325" i="77"/>
  <c r="U309" i="77"/>
  <c r="U293" i="77"/>
  <c r="U277" i="77"/>
  <c r="U261" i="77"/>
  <c r="U245" i="77"/>
  <c r="U229" i="77"/>
  <c r="U213" i="77"/>
  <c r="U197" i="77"/>
  <c r="U181" i="77"/>
  <c r="U165" i="77"/>
  <c r="U149" i="77"/>
  <c r="U133" i="77"/>
  <c r="U117" i="77"/>
  <c r="U101" i="77"/>
  <c r="U85" i="77"/>
  <c r="U69" i="77"/>
  <c r="U53" i="77"/>
  <c r="U37" i="77"/>
  <c r="U21" i="77"/>
  <c r="U5" i="77"/>
  <c r="U1218" i="77"/>
  <c r="U1202" i="77"/>
  <c r="U1170" i="77"/>
  <c r="U1154" i="77"/>
  <c r="U1122" i="77"/>
  <c r="U1090" i="77"/>
  <c r="U1058" i="77"/>
  <c r="U1042" i="77"/>
  <c r="U1026" i="77"/>
  <c r="U1010" i="77"/>
  <c r="U978" i="77"/>
  <c r="U962" i="77"/>
  <c r="U930" i="77"/>
  <c r="U882" i="77"/>
  <c r="U834" i="77"/>
  <c r="U786" i="77"/>
  <c r="U770" i="77"/>
  <c r="U754" i="77"/>
  <c r="U738" i="77"/>
  <c r="U722" i="77"/>
  <c r="U674" i="77"/>
  <c r="U642" i="77"/>
  <c r="U610" i="77"/>
  <c r="U578" i="77"/>
  <c r="U562" i="77"/>
  <c r="U498" i="77"/>
  <c r="U482" i="77"/>
  <c r="U450" i="77"/>
  <c r="U434" i="77"/>
  <c r="U402" i="77"/>
  <c r="U386" i="77"/>
  <c r="U370" i="77"/>
  <c r="U354" i="77"/>
  <c r="U338" i="77"/>
  <c r="U322" i="77"/>
  <c r="U306" i="77"/>
  <c r="U290" i="77"/>
  <c r="U274" i="77"/>
  <c r="U258" i="77"/>
  <c r="U242" i="77"/>
  <c r="U226" i="77"/>
  <c r="U194" i="77"/>
  <c r="U178" i="77"/>
  <c r="U130" i="77"/>
  <c r="U114" i="77"/>
  <c r="U98" i="77"/>
  <c r="U82" i="77"/>
  <c r="U66" i="77"/>
  <c r="U50" i="77"/>
  <c r="U34" i="77"/>
  <c r="U18" i="77"/>
  <c r="U2" i="77"/>
  <c r="U927" i="77"/>
  <c r="U767" i="77"/>
  <c r="U1217" i="77"/>
  <c r="U1201" i="77"/>
  <c r="U1185" i="77"/>
  <c r="U1169" i="77"/>
  <c r="U1153" i="77"/>
  <c r="U1121" i="77"/>
  <c r="U1105" i="77"/>
  <c r="U1089" i="77"/>
  <c r="U1057" i="77"/>
  <c r="U1009" i="77"/>
  <c r="U993" i="77"/>
  <c r="U977" i="77"/>
  <c r="U929" i="77"/>
  <c r="U897" i="77"/>
  <c r="U881" i="77"/>
  <c r="U865" i="77"/>
  <c r="U849" i="77"/>
  <c r="U817" i="77"/>
  <c r="U753" i="77"/>
  <c r="U721" i="77"/>
  <c r="U689" i="77"/>
  <c r="U657" i="77"/>
  <c r="U641" i="77"/>
  <c r="U609" i="77"/>
  <c r="U593" i="77"/>
  <c r="U561" i="77"/>
  <c r="U529" i="77"/>
  <c r="U513" i="77"/>
  <c r="U497" i="77"/>
  <c r="U481" i="77"/>
  <c r="U465" i="77"/>
  <c r="U433" i="77"/>
  <c r="U417" i="77"/>
  <c r="U385" i="77"/>
  <c r="U369" i="77"/>
  <c r="U353" i="77"/>
  <c r="U321" i="77"/>
  <c r="U305" i="77"/>
  <c r="U289" i="77"/>
  <c r="U273" i="77"/>
  <c r="U257" i="77"/>
  <c r="U241" i="77"/>
  <c r="U225" i="77"/>
  <c r="U209" i="77"/>
  <c r="U193" i="77"/>
  <c r="U161" i="77"/>
  <c r="U145" i="77"/>
  <c r="U129" i="77"/>
  <c r="U113" i="77"/>
  <c r="U97" i="77"/>
  <c r="U81" i="77"/>
  <c r="U65" i="77"/>
  <c r="U49" i="77"/>
  <c r="U33" i="77"/>
  <c r="U17" i="77"/>
  <c r="U94" i="77"/>
  <c r="U1213" i="77"/>
  <c r="U1085" i="77"/>
  <c r="U989" i="77"/>
  <c r="U909" i="77"/>
  <c r="U829" i="77"/>
  <c r="U733" i="77"/>
  <c r="U717" i="77"/>
  <c r="U541" i="77"/>
  <c r="U525" i="77"/>
  <c r="U397" i="77"/>
  <c r="U301" i="77"/>
  <c r="U285" i="77"/>
  <c r="U189" i="77"/>
  <c r="U77" i="77"/>
  <c r="U1191" i="77"/>
  <c r="U1142" i="77"/>
  <c r="U1094" i="77"/>
  <c r="U1226" i="77"/>
  <c r="U1210" i="77"/>
  <c r="U1178" i="77"/>
  <c r="U1162" i="77"/>
  <c r="U1146" i="77"/>
  <c r="U1114" i="77"/>
  <c r="U1098" i="77"/>
  <c r="U1082" i="77"/>
  <c r="U1050" i="77"/>
  <c r="U1034" i="77"/>
  <c r="U1018" i="77"/>
  <c r="U1002" i="77"/>
  <c r="U986" i="77"/>
  <c r="U938" i="77"/>
  <c r="U922" i="77"/>
  <c r="U906" i="77"/>
  <c r="U898" i="77"/>
  <c r="U626" i="77"/>
  <c r="U594" i="77"/>
  <c r="U162" i="77"/>
  <c r="U1137" i="77"/>
  <c r="U1073" i="77"/>
  <c r="U1041" i="77"/>
  <c r="U1025" i="77"/>
  <c r="U961" i="77"/>
  <c r="U945" i="77"/>
  <c r="U913" i="77"/>
  <c r="U801" i="77"/>
  <c r="U785" i="77"/>
  <c r="U769" i="77"/>
  <c r="U737" i="77"/>
  <c r="U705" i="77"/>
  <c r="U673" i="77"/>
  <c r="U577" i="77"/>
  <c r="U545" i="77"/>
  <c r="U449" i="77"/>
  <c r="U401" i="77"/>
  <c r="U337" i="77"/>
  <c r="U1186" i="77"/>
  <c r="U866" i="77"/>
  <c r="U818" i="77"/>
  <c r="U514" i="77"/>
  <c r="U146" i="77"/>
  <c r="U1216" i="77"/>
  <c r="U864" i="77"/>
  <c r="U688" i="77"/>
  <c r="U592" i="77"/>
  <c r="U496" i="77"/>
  <c r="U288" i="77"/>
  <c r="U240" i="77"/>
  <c r="U192" i="77"/>
  <c r="U1148" i="77"/>
  <c r="U1068" i="77"/>
  <c r="U988" i="77"/>
  <c r="U972" i="77"/>
  <c r="U908" i="77"/>
  <c r="U892" i="77"/>
  <c r="U812" i="77"/>
  <c r="U716" i="77"/>
  <c r="U620" i="77"/>
  <c r="U524" i="77"/>
  <c r="U492" i="77"/>
  <c r="U412" i="77"/>
  <c r="U396" i="77"/>
  <c r="U380" i="77"/>
  <c r="U364" i="77"/>
  <c r="U92" i="77"/>
  <c r="U1194" i="77"/>
  <c r="U1066" i="77"/>
  <c r="U970" i="77"/>
  <c r="U666" i="77"/>
  <c r="U618" i="77"/>
  <c r="U602" i="77"/>
  <c r="U506" i="77"/>
  <c r="U458" i="77"/>
  <c r="U378" i="77"/>
  <c r="U362" i="77"/>
  <c r="U330" i="77"/>
  <c r="U250" i="77"/>
  <c r="U218" i="77"/>
  <c r="U170" i="77"/>
  <c r="U154" i="77"/>
  <c r="U138" i="77"/>
  <c r="U58" i="77"/>
  <c r="U42" i="77"/>
  <c r="U1177" i="77"/>
  <c r="U1113" i="77"/>
  <c r="U1033" i="77"/>
  <c r="U1017" i="77"/>
  <c r="U969" i="77"/>
  <c r="U937" i="77"/>
  <c r="U921" i="77"/>
  <c r="U857" i="77"/>
  <c r="U841" i="77"/>
  <c r="U793" i="77"/>
  <c r="U761" i="77"/>
  <c r="U681" i="77"/>
  <c r="U665" i="77"/>
  <c r="U649" i="77"/>
  <c r="U601" i="77"/>
  <c r="U457" i="77"/>
  <c r="U361" i="77"/>
  <c r="U329" i="77"/>
  <c r="U233" i="77"/>
  <c r="U217" i="77"/>
  <c r="U137" i="77"/>
  <c r="U9" i="77"/>
  <c r="U1208" i="77"/>
  <c r="U1192" i="77"/>
  <c r="U1176" i="77"/>
  <c r="U1144" i="77"/>
  <c r="U1112" i="77"/>
  <c r="U1096" i="77"/>
  <c r="U1064" i="77"/>
  <c r="U1032" i="77"/>
  <c r="U1000" i="77"/>
  <c r="U984" i="77"/>
  <c r="U968" i="77"/>
  <c r="U952" i="77"/>
  <c r="U920" i="77"/>
  <c r="U904" i="77"/>
  <c r="U888" i="77"/>
  <c r="U872" i="77"/>
  <c r="U856" i="77"/>
  <c r="U824" i="77"/>
  <c r="U808" i="77"/>
  <c r="U792" i="77"/>
  <c r="U728" i="77"/>
  <c r="U712" i="77"/>
  <c r="U680" i="77"/>
  <c r="U648" i="77"/>
  <c r="U616" i="77"/>
  <c r="U600" i="77"/>
  <c r="U568" i="77"/>
  <c r="U536" i="77"/>
  <c r="U488" i="77"/>
  <c r="U472" i="77"/>
  <c r="U440" i="77"/>
  <c r="U424" i="77"/>
  <c r="U408" i="77"/>
  <c r="U376" i="77"/>
  <c r="U360" i="77"/>
  <c r="U328" i="77"/>
  <c r="U280" i="77"/>
  <c r="U264" i="77"/>
  <c r="U248" i="77"/>
  <c r="U200" i="77"/>
  <c r="U168" i="77"/>
  <c r="U136" i="77"/>
  <c r="U120" i="77"/>
  <c r="U104" i="77"/>
  <c r="U88" i="77"/>
  <c r="U56" i="77"/>
  <c r="U40" i="77"/>
  <c r="U8" i="77"/>
  <c r="U1223" i="77"/>
  <c r="U1207" i="77"/>
  <c r="U1175" i="77"/>
  <c r="U1143" i="77"/>
  <c r="U1127" i="77"/>
  <c r="U1111" i="77"/>
  <c r="U1095" i="77"/>
  <c r="U1063" i="77"/>
  <c r="U1047" i="77"/>
  <c r="U1015" i="77"/>
  <c r="U999" i="77"/>
  <c r="U983" i="77"/>
  <c r="U951" i="77"/>
  <c r="U935" i="77"/>
  <c r="U919" i="77"/>
  <c r="U887" i="77"/>
  <c r="U855" i="77"/>
  <c r="U823" i="77"/>
  <c r="U807" i="77"/>
  <c r="U791" i="77"/>
  <c r="U759" i="77"/>
  <c r="U743" i="77"/>
  <c r="U711" i="77"/>
  <c r="U679" i="77"/>
  <c r="U647" i="77"/>
  <c r="U631" i="77"/>
  <c r="U615" i="77"/>
  <c r="U599" i="77"/>
  <c r="U567" i="77"/>
  <c r="U535" i="77"/>
  <c r="U519" i="77"/>
  <c r="U487" i="77"/>
  <c r="U407" i="77"/>
  <c r="U359" i="77"/>
  <c r="U311" i="77"/>
  <c r="U247" i="77"/>
  <c r="U167" i="77"/>
  <c r="U135" i="77"/>
  <c r="U55" i="77"/>
  <c r="U23" i="77"/>
  <c r="U7" i="77"/>
  <c r="U1158" i="77"/>
  <c r="U886" i="77"/>
  <c r="U838" i="77"/>
  <c r="U662" i="77"/>
  <c r="U566" i="77"/>
  <c r="U470" i="77"/>
  <c r="U422" i="77"/>
  <c r="U214" i="77"/>
  <c r="U70" i="77"/>
  <c r="U1220" i="77"/>
  <c r="U1156" i="77"/>
  <c r="U1108" i="77"/>
  <c r="U1044" i="77"/>
  <c r="U1215" i="77"/>
  <c r="U1199" i="77"/>
  <c r="U1183" i="77"/>
  <c r="U1167" i="77"/>
  <c r="U1151" i="77"/>
  <c r="U1135" i="77"/>
  <c r="U1119" i="77"/>
  <c r="U1103" i="77"/>
  <c r="U1087" i="77"/>
  <c r="U1071" i="77"/>
  <c r="U1055" i="77"/>
  <c r="U1039" i="77"/>
  <c r="U1023" i="77"/>
  <c r="U1007" i="77"/>
  <c r="U991" i="77"/>
  <c r="U959" i="77"/>
  <c r="U943" i="77"/>
  <c r="U911" i="77"/>
  <c r="U895" i="77"/>
  <c r="U879" i="77"/>
  <c r="U863" i="77"/>
  <c r="U847" i="77"/>
  <c r="U831" i="77"/>
  <c r="U815" i="77"/>
  <c r="U735" i="77"/>
  <c r="U719" i="77"/>
  <c r="U703" i="77"/>
  <c r="U687" i="77"/>
  <c r="U671" i="77"/>
  <c r="U655" i="77"/>
  <c r="U639" i="77"/>
  <c r="U591" i="77"/>
  <c r="U575" i="77"/>
  <c r="U559" i="77"/>
  <c r="U543" i="77"/>
  <c r="U527" i="77"/>
  <c r="U511" i="77"/>
  <c r="U495" i="77"/>
  <c r="U479" i="77"/>
  <c r="U463" i="77"/>
  <c r="U447" i="77"/>
  <c r="U415" i="77"/>
  <c r="U399" i="77"/>
  <c r="U383" i="77"/>
  <c r="U351" i="77"/>
  <c r="U335" i="77"/>
  <c r="U319" i="77"/>
  <c r="U287" i="77"/>
  <c r="U271" i="77"/>
  <c r="U255" i="77"/>
  <c r="U207" i="77"/>
  <c r="U191" i="77"/>
  <c r="U175" i="77"/>
  <c r="U159" i="77"/>
  <c r="U143" i="77"/>
  <c r="U127" i="77"/>
  <c r="U111" i="77"/>
  <c r="U95" i="77"/>
  <c r="U79" i="77"/>
  <c r="U63" i="77"/>
  <c r="U47" i="77"/>
  <c r="U31" i="77"/>
  <c r="U15" i="77"/>
  <c r="U1165" i="77"/>
  <c r="U1101" i="77"/>
  <c r="U1005" i="77"/>
  <c r="U957" i="77"/>
  <c r="U941" i="77"/>
  <c r="U861" i="77"/>
  <c r="U813" i="77"/>
  <c r="U765" i="77"/>
  <c r="U685" i="77"/>
  <c r="U637" i="77"/>
  <c r="U589" i="77"/>
  <c r="U509" i="77"/>
  <c r="U477" i="77"/>
  <c r="U429" i="77"/>
  <c r="U365" i="77"/>
  <c r="U333" i="77"/>
  <c r="U237" i="77"/>
  <c r="U157" i="77"/>
  <c r="U13" i="77"/>
  <c r="U1229" i="77"/>
  <c r="U1181" i="77"/>
  <c r="U1149" i="77"/>
  <c r="U1133" i="77"/>
  <c r="U1117" i="77"/>
  <c r="U1069" i="77"/>
  <c r="U1053" i="77"/>
  <c r="U1037" i="77"/>
  <c r="U1021" i="77"/>
  <c r="U973" i="77"/>
  <c r="U925" i="77"/>
  <c r="U893" i="77"/>
  <c r="U877" i="77"/>
  <c r="U845" i="77"/>
  <c r="U797" i="77"/>
  <c r="U781" i="77"/>
  <c r="U749" i="77"/>
  <c r="U701" i="77"/>
  <c r="U669" i="77"/>
  <c r="U653" i="77"/>
  <c r="U621" i="77"/>
  <c r="U605" i="77"/>
  <c r="U573" i="77"/>
  <c r="U557" i="77"/>
  <c r="U493" i="77"/>
  <c r="U461" i="77"/>
  <c r="U445" i="77"/>
  <c r="U413" i="77"/>
  <c r="U381" i="77"/>
  <c r="U349" i="77"/>
  <c r="U317" i="77"/>
  <c r="U269" i="77"/>
  <c r="U253" i="77"/>
  <c r="U221" i="77"/>
  <c r="U205" i="77"/>
  <c r="U173" i="77"/>
  <c r="U141" i="77"/>
  <c r="U125" i="77"/>
  <c r="U109" i="77"/>
  <c r="U93" i="77"/>
  <c r="U61" i="77"/>
  <c r="U45" i="77"/>
  <c r="U29" i="77"/>
  <c r="U1132" i="77"/>
  <c r="U1100" i="77"/>
  <c r="U1036" i="77"/>
  <c r="U1020" i="77"/>
  <c r="U1004" i="77"/>
  <c r="U860" i="77"/>
  <c r="U844" i="77"/>
  <c r="U780" i="77"/>
  <c r="U764" i="77"/>
  <c r="U732" i="77"/>
  <c r="U684" i="77"/>
  <c r="U668" i="77"/>
  <c r="U588" i="77"/>
  <c r="U572" i="77"/>
  <c r="U556" i="77"/>
  <c r="U540" i="77"/>
  <c r="U476" i="77"/>
  <c r="U460" i="77"/>
  <c r="U444" i="77"/>
  <c r="U428" i="77"/>
  <c r="U348" i="77"/>
  <c r="U332" i="77"/>
  <c r="U316" i="77"/>
  <c r="U300" i="77"/>
  <c r="U284" i="77"/>
  <c r="U252" i="77"/>
  <c r="U236" i="77"/>
  <c r="U220" i="77"/>
  <c r="U204" i="77"/>
  <c r="U188" i="77"/>
  <c r="U156" i="77"/>
  <c r="U140" i="77"/>
  <c r="U124" i="77"/>
  <c r="U108" i="77"/>
  <c r="U60" i="77"/>
  <c r="U28" i="77"/>
  <c r="U1197" i="77"/>
  <c r="U1230" i="77"/>
  <c r="U1086" i="77"/>
  <c r="U1070" i="77"/>
  <c r="U1054" i="77"/>
  <c r="U1006" i="77"/>
  <c r="U990" i="77"/>
  <c r="U974" i="77"/>
  <c r="U942" i="77"/>
  <c r="U926" i="77"/>
  <c r="U910" i="77"/>
  <c r="U894" i="77"/>
  <c r="U878" i="77"/>
  <c r="U862" i="77"/>
  <c r="U846" i="77"/>
  <c r="U830" i="77"/>
  <c r="U814" i="77"/>
  <c r="U798" i="77"/>
  <c r="U782" i="77"/>
  <c r="U766" i="77"/>
  <c r="U750" i="77"/>
  <c r="U734" i="77"/>
  <c r="U718" i="77"/>
  <c r="U702" i="77"/>
  <c r="U686" i="77"/>
  <c r="U670" i="77"/>
  <c r="U654" i="77"/>
  <c r="U638" i="77"/>
  <c r="U622" i="77"/>
  <c r="U606" i="77"/>
  <c r="U590" i="77"/>
  <c r="U574" i="77"/>
  <c r="U558" i="77"/>
  <c r="U542" i="77"/>
  <c r="U526" i="77"/>
  <c r="U510" i="77"/>
  <c r="U494" i="77"/>
  <c r="U478" i="77"/>
  <c r="U462" i="77"/>
  <c r="U446" i="77"/>
  <c r="U382" i="77"/>
  <c r="U318" i="77"/>
  <c r="U254" i="77"/>
  <c r="U222" i="77"/>
  <c r="U190" i="77"/>
  <c r="U158" i="77"/>
  <c r="U126" i="77"/>
  <c r="U62" i="77"/>
  <c r="U30" i="77"/>
  <c r="U890" i="77"/>
  <c r="U858" i="77"/>
  <c r="U842" i="77"/>
  <c r="U826" i="77"/>
  <c r="U810" i="77"/>
  <c r="U794" i="77"/>
  <c r="U778" i="77"/>
  <c r="U762" i="77"/>
  <c r="U746" i="77"/>
  <c r="U730" i="77"/>
  <c r="U714" i="77"/>
  <c r="U682" i="77"/>
  <c r="U650" i="77"/>
  <c r="U634" i="77"/>
  <c r="U570" i="77"/>
  <c r="U538" i="77"/>
  <c r="U522" i="77"/>
  <c r="U490" i="77"/>
  <c r="U442" i="77"/>
  <c r="U426" i="77"/>
  <c r="U410" i="77"/>
  <c r="U394" i="77"/>
  <c r="U346" i="77"/>
  <c r="U314" i="77"/>
  <c r="U298" i="77"/>
  <c r="U282" i="77"/>
  <c r="U266" i="77"/>
  <c r="U234" i="77"/>
  <c r="U202" i="77"/>
  <c r="U106" i="77"/>
  <c r="U90" i="77"/>
  <c r="U74" i="77"/>
  <c r="U26" i="77"/>
  <c r="U10" i="77"/>
  <c r="U569" i="77"/>
  <c r="U1209" i="77"/>
  <c r="U1193" i="77"/>
  <c r="U1161" i="77"/>
  <c r="U1145" i="77"/>
  <c r="U1129" i="77"/>
  <c r="U1097" i="77"/>
  <c r="U1081" i="77"/>
  <c r="U1065" i="77"/>
  <c r="U1001" i="77"/>
  <c r="U985" i="77"/>
  <c r="U953" i="77"/>
  <c r="U905" i="77"/>
  <c r="U889" i="77"/>
  <c r="U873" i="77"/>
  <c r="U825" i="77"/>
  <c r="U809" i="77"/>
  <c r="U777" i="77"/>
  <c r="U745" i="77"/>
  <c r="U729" i="77"/>
  <c r="U713" i="77"/>
  <c r="U697" i="77"/>
  <c r="U633" i="77"/>
  <c r="U617" i="77"/>
  <c r="U553" i="77"/>
  <c r="U537" i="77"/>
  <c r="U521" i="77"/>
  <c r="U505" i="77"/>
  <c r="U489" i="77"/>
  <c r="U473" i="77"/>
  <c r="U441" i="77"/>
  <c r="U409" i="77"/>
  <c r="U393" i="77"/>
  <c r="U297" i="77"/>
  <c r="U281" i="77"/>
  <c r="U265" i="77"/>
  <c r="U249" i="77"/>
  <c r="U185" i="77"/>
  <c r="U169" i="77"/>
  <c r="U153" i="77"/>
  <c r="U105" i="77"/>
  <c r="U89" i="77"/>
  <c r="U73" i="77"/>
  <c r="U57" i="77"/>
  <c r="U1206" i="77"/>
  <c r="U1190" i="77"/>
  <c r="U1062" i="77"/>
  <c r="U431" i="77"/>
  <c r="U1022" i="77"/>
  <c r="U1166" i="77"/>
  <c r="U783" i="77"/>
  <c r="U1102" i="77"/>
  <c r="U1038" i="77"/>
  <c r="U1164" i="77"/>
  <c r="U828" i="77"/>
  <c r="U1212" i="77"/>
  <c r="U303" i="77"/>
  <c r="U751" i="77"/>
  <c r="U700" i="77"/>
  <c r="U1168" i="77"/>
  <c r="U122" i="77"/>
  <c r="U833" i="77"/>
  <c r="U1214" i="77"/>
  <c r="U1150" i="77"/>
  <c r="U796" i="77"/>
  <c r="U1052" i="77"/>
  <c r="U1198" i="77"/>
  <c r="U554" i="77"/>
  <c r="U940" i="77"/>
  <c r="U958" i="77"/>
  <c r="U975" i="77"/>
  <c r="U1116" i="77"/>
  <c r="U1180" i="77"/>
  <c r="U623" i="77"/>
  <c r="U1134" i="77"/>
  <c r="U367" i="77"/>
  <c r="U896" i="77"/>
  <c r="U12" i="77"/>
  <c r="U186" i="77"/>
  <c r="U607" i="77"/>
  <c r="U652" i="77"/>
  <c r="U799" i="77"/>
  <c r="U924" i="77"/>
  <c r="U1118" i="77"/>
  <c r="U1182" i="77"/>
  <c r="U1228" i="77"/>
  <c r="U239" i="77"/>
  <c r="U177" i="77"/>
  <c r="U210" i="77"/>
  <c r="U43" i="77"/>
  <c r="U636" i="77"/>
  <c r="U1003" i="77"/>
  <c r="U223" i="77"/>
  <c r="U182" i="77"/>
  <c r="U946" i="77"/>
  <c r="U658" i="77"/>
  <c r="U1106" i="77"/>
  <c r="U466" i="77"/>
  <c r="U530" i="77"/>
  <c r="U802" i="77"/>
  <c r="U286" i="77"/>
  <c r="U350" i="77"/>
  <c r="U414" i="77"/>
  <c r="U706" i="77"/>
  <c r="U914" i="77"/>
  <c r="U939" i="77"/>
  <c r="U1074" i="77"/>
  <c r="U1179" i="77"/>
  <c r="U14" i="77"/>
  <c r="U78" i="77"/>
  <c r="U142" i="77"/>
  <c r="U206" i="77"/>
  <c r="U270" i="77"/>
  <c r="U334" i="77"/>
  <c r="U398" i="77"/>
  <c r="U690" i="77"/>
  <c r="U1115" i="77"/>
  <c r="U418" i="77"/>
  <c r="U546" i="77"/>
  <c r="U994" i="77"/>
  <c r="U46" i="77"/>
  <c r="U110" i="77"/>
  <c r="U174" i="77"/>
  <c r="U238" i="77"/>
  <c r="U302" i="77"/>
  <c r="U366" i="77"/>
  <c r="U430" i="77"/>
  <c r="U1138" i="77"/>
  <c r="U850" i="77"/>
  <c r="U875" i="77"/>
  <c r="U1099" i="77"/>
  <c r="K37" i="66" l="1"/>
  <c r="M49" i="66" l="1"/>
  <c r="M47" i="66"/>
  <c r="M45" i="66"/>
  <c r="M48" i="66"/>
  <c r="M50" i="66"/>
  <c r="M46" i="66"/>
  <c r="K30" i="66"/>
  <c r="L31" i="66"/>
  <c r="K32" i="66"/>
  <c r="K29" i="66"/>
  <c r="K28" i="66"/>
  <c r="K27" i="66"/>
  <c r="K25" i="66"/>
  <c r="C7" i="66" l="1"/>
  <c r="C13" i="66" l="1"/>
  <c r="K26" i="66"/>
  <c r="C16" i="66" s="1"/>
  <c r="L37" i="66" l="1"/>
  <c r="M37" i="66" s="1"/>
  <c r="K36" i="66"/>
  <c r="K35" i="66"/>
  <c r="V37" i="66"/>
  <c r="O37" i="66"/>
  <c r="V36" i="66"/>
  <c r="O36" i="66"/>
  <c r="O35" i="66"/>
  <c r="L33" i="66"/>
  <c r="M33" i="66" s="1"/>
  <c r="V34" i="66"/>
  <c r="O34" i="66"/>
  <c r="S34" i="66" s="1"/>
  <c r="M34" i="66"/>
  <c r="W34" i="66" s="1"/>
  <c r="V33" i="66"/>
  <c r="O33" i="66"/>
  <c r="G6" i="66" s="1"/>
  <c r="W32" i="66"/>
  <c r="V32" i="66"/>
  <c r="L32" i="66"/>
  <c r="W30" i="66"/>
  <c r="V30" i="66"/>
  <c r="L30" i="66"/>
  <c r="L29" i="66"/>
  <c r="L35" i="66" l="1"/>
  <c r="M35" i="66" s="1"/>
  <c r="R35" i="66" s="1"/>
  <c r="N45" i="66"/>
  <c r="N47" i="66"/>
  <c r="N49" i="66"/>
  <c r="N46" i="66"/>
  <c r="N48" i="66"/>
  <c r="N50" i="66"/>
  <c r="L36" i="66"/>
  <c r="M36" i="66" s="1"/>
  <c r="P36" i="66" s="1"/>
  <c r="L49" i="66"/>
  <c r="O49" i="66" s="1"/>
  <c r="U49" i="66" s="1"/>
  <c r="L47" i="66"/>
  <c r="L45" i="66"/>
  <c r="O45" i="66" s="1"/>
  <c r="U45" i="66" s="1"/>
  <c r="L50" i="66"/>
  <c r="L48" i="66"/>
  <c r="L46" i="66"/>
  <c r="O46" i="66" s="1"/>
  <c r="U46" i="66" s="1"/>
  <c r="U33" i="66"/>
  <c r="W33" i="66"/>
  <c r="S36" i="66"/>
  <c r="V31" i="66"/>
  <c r="T33" i="66"/>
  <c r="U36" i="66"/>
  <c r="V35" i="66"/>
  <c r="R37" i="66"/>
  <c r="W37" i="66"/>
  <c r="T37" i="66"/>
  <c r="P37" i="66"/>
  <c r="S37" i="66"/>
  <c r="U37" i="66"/>
  <c r="S35" i="66"/>
  <c r="U35" i="66"/>
  <c r="W31" i="66"/>
  <c r="T34" i="66"/>
  <c r="R34" i="66"/>
  <c r="P34" i="66"/>
  <c r="P33" i="66"/>
  <c r="S33" i="66"/>
  <c r="U34" i="66"/>
  <c r="R33" i="66"/>
  <c r="W29" i="66"/>
  <c r="V29" i="66"/>
  <c r="R36" i="66" l="1"/>
  <c r="T36" i="66"/>
  <c r="O48" i="66"/>
  <c r="U48" i="66" s="1"/>
  <c r="W36" i="66"/>
  <c r="O50" i="66"/>
  <c r="U50" i="66" s="1"/>
  <c r="T35" i="66"/>
  <c r="O47" i="66"/>
  <c r="U47" i="66" s="1"/>
  <c r="W35" i="66"/>
  <c r="F6" i="66"/>
  <c r="P35" i="66"/>
  <c r="O28" i="66"/>
  <c r="U28" i="66" s="1"/>
  <c r="L28" i="66"/>
  <c r="M28" i="66" s="1"/>
  <c r="V28" i="66" s="1"/>
  <c r="L26" i="66"/>
  <c r="M26" i="66" s="1"/>
  <c r="O25" i="66"/>
  <c r="O26" i="66"/>
  <c r="L25" i="66"/>
  <c r="M25" i="66" s="1"/>
  <c r="F31" i="74"/>
  <c r="E31" i="74"/>
  <c r="X30" i="74"/>
  <c r="V30" i="74"/>
  <c r="G30" i="74"/>
  <c r="O30" i="74" s="1"/>
  <c r="X29" i="74"/>
  <c r="V29" i="74"/>
  <c r="O29" i="74"/>
  <c r="G29" i="74"/>
  <c r="V28" i="74"/>
  <c r="X28" i="74" s="1"/>
  <c r="O28" i="74"/>
  <c r="G28" i="74"/>
  <c r="V27" i="74"/>
  <c r="X27" i="74" s="1"/>
  <c r="O27" i="74"/>
  <c r="G27" i="74"/>
  <c r="X26" i="74"/>
  <c r="V26" i="74"/>
  <c r="G26" i="74"/>
  <c r="O26" i="74" s="1"/>
  <c r="V25" i="74"/>
  <c r="X25" i="74" s="1"/>
  <c r="G25" i="74"/>
  <c r="O25" i="74" s="1"/>
  <c r="V24" i="74"/>
  <c r="X24" i="74" s="1"/>
  <c r="O24" i="74"/>
  <c r="G24" i="74"/>
  <c r="I16" i="74"/>
  <c r="I15" i="74"/>
  <c r="G9" i="74"/>
  <c r="O9" i="74" s="1"/>
  <c r="F9" i="74"/>
  <c r="E9" i="74"/>
  <c r="G8" i="74"/>
  <c r="O8" i="74" s="1"/>
  <c r="F8" i="74"/>
  <c r="E8" i="74"/>
  <c r="O7" i="74"/>
  <c r="J26" i="74"/>
  <c r="L26" i="74" s="1"/>
  <c r="F7" i="74"/>
  <c r="E7" i="74"/>
  <c r="W28" i="66" l="1"/>
  <c r="T28" i="66"/>
  <c r="R28" i="66"/>
  <c r="P28" i="66"/>
  <c r="S28" i="66"/>
  <c r="P25" i="66"/>
  <c r="P26" i="66"/>
  <c r="J24" i="74"/>
  <c r="L24" i="74" s="1"/>
  <c r="J15" i="74"/>
  <c r="L15" i="74" s="1"/>
  <c r="L7" i="74"/>
  <c r="N7" i="74" s="1"/>
  <c r="S26" i="74"/>
  <c r="U26" i="74"/>
  <c r="R26" i="74"/>
  <c r="N26" i="74"/>
  <c r="W26" i="74"/>
  <c r="J28" i="74"/>
  <c r="L28" i="74" s="1"/>
  <c r="J8" i="74"/>
  <c r="L8" i="74" s="1"/>
  <c r="J30" i="74"/>
  <c r="J25" i="74"/>
  <c r="L25" i="74" s="1"/>
  <c r="J27" i="74"/>
  <c r="L27" i="74" s="1"/>
  <c r="J29" i="74"/>
  <c r="L29" i="74" s="1"/>
  <c r="J9" i="74"/>
  <c r="L9" i="74" s="1"/>
  <c r="J16" i="74"/>
  <c r="L16" i="74" s="1"/>
  <c r="N16" i="74" s="1"/>
  <c r="S7" i="74" l="1"/>
  <c r="R7" i="74"/>
  <c r="U7" i="74"/>
  <c r="N15" i="74"/>
  <c r="R15" i="74"/>
  <c r="W24" i="74"/>
  <c r="R24" i="74"/>
  <c r="U24" i="74"/>
  <c r="N24" i="74"/>
  <c r="S24" i="74"/>
  <c r="W7" i="74"/>
  <c r="N27" i="74"/>
  <c r="W27" i="74"/>
  <c r="R27" i="74"/>
  <c r="S27" i="74"/>
  <c r="U27" i="74"/>
  <c r="R8" i="74"/>
  <c r="N8" i="74"/>
  <c r="U8" i="74"/>
  <c r="W8" i="74"/>
  <c r="S8" i="74"/>
  <c r="S28" i="74"/>
  <c r="R28" i="74"/>
  <c r="N28" i="74"/>
  <c r="W28" i="74"/>
  <c r="U28" i="74"/>
  <c r="W9" i="74"/>
  <c r="U9" i="74"/>
  <c r="S9" i="74"/>
  <c r="R9" i="74"/>
  <c r="N9" i="74"/>
  <c r="W29" i="74"/>
  <c r="U29" i="74"/>
  <c r="N29" i="74"/>
  <c r="S29" i="74"/>
  <c r="R29" i="74"/>
  <c r="R25" i="74"/>
  <c r="N25" i="74"/>
  <c r="U25" i="74"/>
  <c r="S25" i="74"/>
  <c r="W25" i="74"/>
  <c r="K34" i="74"/>
  <c r="L30" i="74"/>
  <c r="R30" i="74" l="1"/>
  <c r="N30" i="74"/>
  <c r="W30" i="74"/>
  <c r="S30" i="74"/>
  <c r="U30" i="74"/>
  <c r="C22" i="66" l="1"/>
  <c r="C9" i="66"/>
  <c r="D29" i="69"/>
  <c r="D28" i="69"/>
  <c r="D27" i="69"/>
  <c r="D26" i="69"/>
  <c r="D25" i="69"/>
  <c r="D24" i="69"/>
  <c r="D23" i="69"/>
  <c r="D22" i="69"/>
  <c r="D21" i="69"/>
  <c r="D20" i="69"/>
  <c r="D19" i="69"/>
  <c r="D18" i="69"/>
  <c r="D17" i="69"/>
  <c r="D16" i="69"/>
  <c r="D15" i="69"/>
  <c r="E8" i="68"/>
  <c r="B8" i="68"/>
  <c r="F3" i="68"/>
  <c r="V25" i="66"/>
  <c r="G29" i="66" l="1"/>
  <c r="G32" i="66"/>
  <c r="G31" i="66"/>
  <c r="G30" i="66"/>
  <c r="C4" i="65"/>
  <c r="L27" i="66"/>
  <c r="G127" i="59"/>
  <c r="O31" i="66" l="1"/>
  <c r="M31" i="66"/>
  <c r="O30" i="66"/>
  <c r="M30" i="66"/>
  <c r="O32" i="66"/>
  <c r="M32" i="66"/>
  <c r="O29" i="66"/>
  <c r="M29" i="66"/>
  <c r="W25" i="66"/>
  <c r="B15" i="68"/>
  <c r="R25" i="66"/>
  <c r="S25" i="66"/>
  <c r="C2" i="65"/>
  <c r="S30" i="66" l="1"/>
  <c r="U30" i="66"/>
  <c r="P30" i="66"/>
  <c r="R29" i="66"/>
  <c r="T29" i="66"/>
  <c r="T32" i="66"/>
  <c r="R32" i="66"/>
  <c r="R31" i="66"/>
  <c r="T31" i="66"/>
  <c r="P29" i="66"/>
  <c r="S29" i="66"/>
  <c r="U29" i="66"/>
  <c r="S32" i="66"/>
  <c r="U32" i="66"/>
  <c r="P32" i="66"/>
  <c r="T30" i="66"/>
  <c r="R30" i="66"/>
  <c r="U31" i="66"/>
  <c r="S31" i="66"/>
  <c r="P31" i="66"/>
  <c r="M27" i="66"/>
  <c r="F5" i="66" s="1"/>
  <c r="O27" i="66"/>
  <c r="G5" i="66" s="1"/>
  <c r="T25" i="66"/>
  <c r="U25" i="66"/>
  <c r="C14" i="66"/>
  <c r="C3" i="65"/>
  <c r="V27" i="66" l="1"/>
  <c r="P27" i="66"/>
  <c r="W27" i="66"/>
  <c r="V26" i="66"/>
  <c r="W26" i="66"/>
  <c r="R27" i="66"/>
  <c r="T27" i="66"/>
  <c r="R26" i="66"/>
  <c r="T26" i="66"/>
  <c r="S26" i="66"/>
  <c r="U26" i="66"/>
  <c r="S27" i="66"/>
  <c r="U27" i="66"/>
  <c r="H5" i="66" l="1"/>
  <c r="J121" i="59" l="1"/>
  <c r="G121" i="59"/>
  <c r="H121" i="59" s="1"/>
  <c r="J92" i="59"/>
  <c r="G92" i="59"/>
  <c r="H92" i="59" s="1"/>
  <c r="K121" i="59" l="1"/>
  <c r="K92" i="59"/>
  <c r="I66" i="59" l="1"/>
  <c r="J66" i="59" s="1"/>
  <c r="I65" i="59"/>
  <c r="J65" i="59" s="1"/>
  <c r="D6" i="59"/>
  <c r="D11" i="59" s="1"/>
  <c r="F127" i="59" s="1"/>
  <c r="D5" i="59"/>
  <c r="D10" i="59" s="1"/>
  <c r="G191" i="59"/>
  <c r="P162" i="59"/>
  <c r="O162" i="59"/>
  <c r="H132" i="59"/>
  <c r="J131" i="59"/>
  <c r="K131" i="59" s="1"/>
  <c r="J113" i="59"/>
  <c r="H113" i="59"/>
  <c r="I119" i="59"/>
  <c r="G119" i="59" s="1"/>
  <c r="I124" i="59"/>
  <c r="G124" i="59" s="1"/>
  <c r="G120" i="59"/>
  <c r="J108" i="59"/>
  <c r="G108" i="59"/>
  <c r="H108" i="59" s="1"/>
  <c r="I99" i="59"/>
  <c r="G99" i="59" s="1"/>
  <c r="H99" i="59" s="1"/>
  <c r="I98" i="59"/>
  <c r="J98" i="59" s="1"/>
  <c r="I97" i="59"/>
  <c r="G97" i="59" s="1"/>
  <c r="H97" i="59" s="1"/>
  <c r="G96" i="59"/>
  <c r="G95" i="59"/>
  <c r="J91" i="59"/>
  <c r="G91" i="59"/>
  <c r="H91" i="59" s="1"/>
  <c r="J90" i="59"/>
  <c r="G90" i="59"/>
  <c r="H90" i="59" s="1"/>
  <c r="I89" i="59"/>
  <c r="G89" i="59" s="1"/>
  <c r="J88" i="59"/>
  <c r="G88" i="59"/>
  <c r="H88" i="59" s="1"/>
  <c r="I84" i="59"/>
  <c r="G84" i="59" s="1"/>
  <c r="G83" i="59"/>
  <c r="J82" i="59"/>
  <c r="G82" i="59"/>
  <c r="H82" i="59" s="1"/>
  <c r="J81" i="59"/>
  <c r="G81" i="59"/>
  <c r="H81" i="59" s="1"/>
  <c r="G80" i="59"/>
  <c r="I79" i="59"/>
  <c r="G79" i="59" s="1"/>
  <c r="I76" i="59"/>
  <c r="G76" i="59" s="1"/>
  <c r="I75" i="59"/>
  <c r="G75" i="59" s="1"/>
  <c r="I74" i="59"/>
  <c r="G74" i="59" s="1"/>
  <c r="I73" i="59"/>
  <c r="G73" i="59" s="1"/>
  <c r="I72" i="59"/>
  <c r="G72" i="59" s="1"/>
  <c r="I71" i="59"/>
  <c r="G71" i="59" s="1"/>
  <c r="I70" i="59"/>
  <c r="G70" i="59" s="1"/>
  <c r="I67" i="59"/>
  <c r="G67" i="59" s="1"/>
  <c r="H67" i="59" s="1"/>
  <c r="I64" i="59"/>
  <c r="J64" i="59" s="1"/>
  <c r="I63" i="59"/>
  <c r="G63" i="59" s="1"/>
  <c r="H63" i="59" s="1"/>
  <c r="I62" i="59"/>
  <c r="J62" i="59" s="1"/>
  <c r="J59" i="59"/>
  <c r="J60" i="59" s="1"/>
  <c r="G59" i="59"/>
  <c r="H59" i="59" s="1"/>
  <c r="I56" i="59"/>
  <c r="G56" i="59" s="1"/>
  <c r="I55" i="59"/>
  <c r="G55" i="59" s="1"/>
  <c r="I52" i="59"/>
  <c r="G52" i="59" s="1"/>
  <c r="I51" i="59"/>
  <c r="G51" i="59" s="1"/>
  <c r="I48" i="59"/>
  <c r="G48" i="59" s="1"/>
  <c r="I47" i="59"/>
  <c r="G47" i="59" s="1"/>
  <c r="J41" i="59"/>
  <c r="G41" i="59"/>
  <c r="H41" i="59" s="1"/>
  <c r="J40" i="59"/>
  <c r="G40" i="59"/>
  <c r="H40" i="59" s="1"/>
  <c r="J39" i="59"/>
  <c r="G39" i="59"/>
  <c r="H39" i="59" s="1"/>
  <c r="J38" i="59"/>
  <c r="G38" i="59"/>
  <c r="H38" i="59" s="1"/>
  <c r="G37" i="59"/>
  <c r="J36" i="59"/>
  <c r="G36" i="59"/>
  <c r="H36" i="59" s="1"/>
  <c r="G35" i="59"/>
  <c r="J32" i="59"/>
  <c r="G32" i="59"/>
  <c r="H32" i="59" s="1"/>
  <c r="G31" i="59"/>
  <c r="J30" i="59"/>
  <c r="G30" i="59"/>
  <c r="H30" i="59" s="1"/>
  <c r="J29" i="59"/>
  <c r="G29" i="59"/>
  <c r="H29" i="59" s="1"/>
  <c r="G28" i="59"/>
  <c r="J27" i="59"/>
  <c r="G27" i="59"/>
  <c r="H27" i="59" s="1"/>
  <c r="G26" i="59"/>
  <c r="D20" i="59"/>
  <c r="I130" i="59" s="1"/>
  <c r="G130" i="59" s="1"/>
  <c r="K173" i="54"/>
  <c r="J127" i="59" l="1"/>
  <c r="J128" i="59" s="1"/>
  <c r="H127" i="59"/>
  <c r="H128" i="59" s="1"/>
  <c r="K91" i="59"/>
  <c r="J63" i="59"/>
  <c r="K63" i="59" s="1"/>
  <c r="G64" i="59"/>
  <c r="H64" i="59" s="1"/>
  <c r="K64" i="59" s="1"/>
  <c r="K108" i="59"/>
  <c r="K82" i="59"/>
  <c r="D15" i="59"/>
  <c r="G66" i="59"/>
  <c r="H66" i="59" s="1"/>
  <c r="K66" i="59" s="1"/>
  <c r="J97" i="59"/>
  <c r="K97" i="59" s="1"/>
  <c r="G98" i="59"/>
  <c r="H98" i="59" s="1"/>
  <c r="K98" i="59" s="1"/>
  <c r="K27" i="59"/>
  <c r="H60" i="59"/>
  <c r="K60" i="59" s="1"/>
  <c r="K59" i="59"/>
  <c r="K81" i="59"/>
  <c r="K40" i="59"/>
  <c r="G65" i="59"/>
  <c r="H65" i="59" s="1"/>
  <c r="K65" i="59" s="1"/>
  <c r="K90" i="59"/>
  <c r="K113" i="59"/>
  <c r="K38" i="59"/>
  <c r="D7" i="59"/>
  <c r="F51" i="59" s="1"/>
  <c r="F112" i="59"/>
  <c r="G187" i="59" s="1"/>
  <c r="K29" i="59"/>
  <c r="D12" i="59"/>
  <c r="K41" i="59"/>
  <c r="K39" i="59"/>
  <c r="K32" i="59"/>
  <c r="K36" i="59"/>
  <c r="K30" i="59"/>
  <c r="J67" i="59"/>
  <c r="K67" i="59" s="1"/>
  <c r="J99" i="59"/>
  <c r="K99" i="59" s="1"/>
  <c r="K88" i="59"/>
  <c r="G62" i="59"/>
  <c r="H62" i="59" s="1"/>
  <c r="G86" i="56"/>
  <c r="H86" i="56" s="1"/>
  <c r="J84" i="56"/>
  <c r="I85" i="56"/>
  <c r="J85" i="56" s="1"/>
  <c r="F223" i="56"/>
  <c r="O194" i="56"/>
  <c r="N194" i="56"/>
  <c r="J166" i="56"/>
  <c r="E165" i="56"/>
  <c r="G164" i="56"/>
  <c r="E164" i="56"/>
  <c r="J164" i="56" s="1"/>
  <c r="I156" i="56"/>
  <c r="G156" i="56" s="1"/>
  <c r="I155" i="56"/>
  <c r="G155" i="56"/>
  <c r="G154" i="56"/>
  <c r="J152" i="56"/>
  <c r="G152" i="56"/>
  <c r="H152" i="56" s="1"/>
  <c r="I145" i="56"/>
  <c r="G145" i="56" s="1"/>
  <c r="H145" i="56" s="1"/>
  <c r="I144" i="56"/>
  <c r="J144" i="56" s="1"/>
  <c r="G144" i="56"/>
  <c r="H144" i="56" s="1"/>
  <c r="I143" i="56"/>
  <c r="G143" i="56" s="1"/>
  <c r="H143" i="56" s="1"/>
  <c r="G142" i="56"/>
  <c r="G141" i="56"/>
  <c r="J133" i="56"/>
  <c r="G133" i="56"/>
  <c r="H133" i="56" s="1"/>
  <c r="J132" i="56"/>
  <c r="G132" i="56"/>
  <c r="H132" i="56" s="1"/>
  <c r="J131" i="56"/>
  <c r="G131" i="56"/>
  <c r="H131" i="56" s="1"/>
  <c r="I130" i="56"/>
  <c r="G130" i="56" s="1"/>
  <c r="J129" i="56"/>
  <c r="H129" i="56"/>
  <c r="G129" i="56"/>
  <c r="I121" i="56"/>
  <c r="G121" i="56" s="1"/>
  <c r="G120" i="56"/>
  <c r="J119" i="56"/>
  <c r="G119" i="56"/>
  <c r="H119" i="56" s="1"/>
  <c r="J118" i="56"/>
  <c r="H118" i="56"/>
  <c r="G118" i="56"/>
  <c r="G117" i="56"/>
  <c r="I116" i="56"/>
  <c r="G116" i="56" s="1"/>
  <c r="J108" i="56"/>
  <c r="G108" i="56"/>
  <c r="H108" i="56" s="1"/>
  <c r="J107" i="56"/>
  <c r="G107" i="56"/>
  <c r="H107" i="56" s="1"/>
  <c r="J106" i="56"/>
  <c r="G106" i="56"/>
  <c r="H106" i="56" s="1"/>
  <c r="J105" i="56"/>
  <c r="G105" i="56"/>
  <c r="H105" i="56" s="1"/>
  <c r="I104" i="56"/>
  <c r="G104" i="56" s="1"/>
  <c r="I103" i="56"/>
  <c r="G103" i="56" s="1"/>
  <c r="I102" i="56"/>
  <c r="G102" i="56" s="1"/>
  <c r="I101" i="56"/>
  <c r="G101" i="56" s="1"/>
  <c r="I100" i="56"/>
  <c r="G100" i="56" s="1"/>
  <c r="I99" i="56"/>
  <c r="G99" i="56" s="1"/>
  <c r="I98" i="56"/>
  <c r="G98" i="56" s="1"/>
  <c r="J92" i="56"/>
  <c r="G92" i="56"/>
  <c r="H92" i="56" s="1"/>
  <c r="K92" i="56" s="1"/>
  <c r="J91" i="56"/>
  <c r="K91" i="56" s="1"/>
  <c r="H91" i="56"/>
  <c r="G91" i="56"/>
  <c r="J90" i="56"/>
  <c r="G90" i="56"/>
  <c r="H90" i="56" s="1"/>
  <c r="K90" i="56" s="1"/>
  <c r="J89" i="56"/>
  <c r="K89" i="56" s="1"/>
  <c r="H89" i="56"/>
  <c r="G89" i="56"/>
  <c r="J88" i="56"/>
  <c r="G88" i="56"/>
  <c r="H88" i="56" s="1"/>
  <c r="K88" i="56" s="1"/>
  <c r="J87" i="56"/>
  <c r="G87" i="56"/>
  <c r="H87" i="56" s="1"/>
  <c r="J83" i="56"/>
  <c r="G83" i="56"/>
  <c r="H83" i="56" s="1"/>
  <c r="J77" i="56"/>
  <c r="J76" i="56"/>
  <c r="G76" i="56"/>
  <c r="H76" i="56" s="1"/>
  <c r="I69" i="56"/>
  <c r="G69" i="56" s="1"/>
  <c r="I68" i="56"/>
  <c r="G68" i="56" s="1"/>
  <c r="I61" i="56"/>
  <c r="G61" i="56" s="1"/>
  <c r="I60" i="56"/>
  <c r="G60" i="56" s="1"/>
  <c r="I53" i="56"/>
  <c r="G53" i="56" s="1"/>
  <c r="I52" i="56"/>
  <c r="G52" i="56"/>
  <c r="J46" i="56"/>
  <c r="K46" i="56" s="1"/>
  <c r="H46" i="56"/>
  <c r="G46" i="56"/>
  <c r="J45" i="56"/>
  <c r="G45" i="56"/>
  <c r="H45" i="56" s="1"/>
  <c r="K45" i="56" s="1"/>
  <c r="J44" i="56"/>
  <c r="K44" i="56" s="1"/>
  <c r="H44" i="56"/>
  <c r="G44" i="56"/>
  <c r="J43" i="56"/>
  <c r="G43" i="56"/>
  <c r="H43" i="56" s="1"/>
  <c r="K43" i="56" s="1"/>
  <c r="G42" i="56"/>
  <c r="J41" i="56"/>
  <c r="K41" i="56" s="1"/>
  <c r="H41" i="56"/>
  <c r="G41" i="56"/>
  <c r="G40" i="56"/>
  <c r="J33" i="56"/>
  <c r="K33" i="56" s="1"/>
  <c r="H33" i="56"/>
  <c r="G33" i="56"/>
  <c r="J32" i="56"/>
  <c r="K32" i="56" s="1"/>
  <c r="G32" i="56"/>
  <c r="H32" i="56" s="1"/>
  <c r="J31" i="56"/>
  <c r="K31" i="56" s="1"/>
  <c r="H31" i="56"/>
  <c r="G31" i="56"/>
  <c r="J30" i="56"/>
  <c r="G30" i="56"/>
  <c r="H30" i="56" s="1"/>
  <c r="G29" i="56"/>
  <c r="K28" i="56"/>
  <c r="J28" i="56"/>
  <c r="H28" i="56"/>
  <c r="G28" i="56"/>
  <c r="G27" i="56"/>
  <c r="C15" i="56" s="1"/>
  <c r="C20" i="56"/>
  <c r="I172" i="56" s="1"/>
  <c r="G172" i="56" s="1"/>
  <c r="C12" i="56"/>
  <c r="C7" i="56"/>
  <c r="F221" i="56" s="1"/>
  <c r="J84" i="55"/>
  <c r="I84" i="55"/>
  <c r="F223" i="55"/>
  <c r="O194" i="55"/>
  <c r="N194" i="55"/>
  <c r="J166" i="55"/>
  <c r="H166" i="55"/>
  <c r="E165" i="55"/>
  <c r="J164" i="55"/>
  <c r="K164" i="55" s="1"/>
  <c r="I164" i="55"/>
  <c r="G164" i="55"/>
  <c r="H164" i="55" s="1"/>
  <c r="E164" i="55"/>
  <c r="F219" i="55" s="1"/>
  <c r="I156" i="55"/>
  <c r="G156" i="55" s="1"/>
  <c r="I155" i="55"/>
  <c r="G155" i="55" s="1"/>
  <c r="G154" i="55"/>
  <c r="J152" i="55"/>
  <c r="G152" i="55"/>
  <c r="H152" i="55" s="1"/>
  <c r="I145" i="55"/>
  <c r="J145" i="55" s="1"/>
  <c r="G145" i="55"/>
  <c r="H145" i="55" s="1"/>
  <c r="I144" i="55"/>
  <c r="G144" i="55" s="1"/>
  <c r="H144" i="55" s="1"/>
  <c r="I143" i="55"/>
  <c r="J143" i="55" s="1"/>
  <c r="G142" i="55"/>
  <c r="G141" i="55"/>
  <c r="J133" i="55"/>
  <c r="G133" i="55"/>
  <c r="H133" i="55" s="1"/>
  <c r="J132" i="55"/>
  <c r="G132" i="55"/>
  <c r="H132" i="55" s="1"/>
  <c r="K132" i="55" s="1"/>
  <c r="J131" i="55"/>
  <c r="G131" i="55"/>
  <c r="H131" i="55" s="1"/>
  <c r="I130" i="55"/>
  <c r="G130" i="55" s="1"/>
  <c r="J129" i="55"/>
  <c r="H129" i="55"/>
  <c r="G129" i="55"/>
  <c r="I121" i="55"/>
  <c r="G121" i="55" s="1"/>
  <c r="G120" i="55"/>
  <c r="J119" i="55"/>
  <c r="G119" i="55"/>
  <c r="H119" i="55" s="1"/>
  <c r="J118" i="55"/>
  <c r="G118" i="55"/>
  <c r="H118" i="55" s="1"/>
  <c r="G117" i="55"/>
  <c r="I116" i="55"/>
  <c r="G116" i="55" s="1"/>
  <c r="J108" i="55"/>
  <c r="G108" i="55"/>
  <c r="H108" i="55" s="1"/>
  <c r="J107" i="55"/>
  <c r="G107" i="55"/>
  <c r="H107" i="55" s="1"/>
  <c r="J106" i="55"/>
  <c r="G106" i="55"/>
  <c r="H106" i="55" s="1"/>
  <c r="J105" i="55"/>
  <c r="G105" i="55"/>
  <c r="H105" i="55" s="1"/>
  <c r="I104" i="55"/>
  <c r="G104" i="55" s="1"/>
  <c r="I103" i="55"/>
  <c r="G103" i="55" s="1"/>
  <c r="I102" i="55"/>
  <c r="G102" i="55" s="1"/>
  <c r="I101" i="55"/>
  <c r="G101" i="55" s="1"/>
  <c r="I100" i="55"/>
  <c r="G100" i="55" s="1"/>
  <c r="I99" i="55"/>
  <c r="G99" i="55" s="1"/>
  <c r="I98" i="55"/>
  <c r="G98" i="55"/>
  <c r="J92" i="55"/>
  <c r="G92" i="55"/>
  <c r="H92" i="55" s="1"/>
  <c r="K92" i="55" s="1"/>
  <c r="J91" i="55"/>
  <c r="K91" i="55" s="1"/>
  <c r="H91" i="55"/>
  <c r="G91" i="55"/>
  <c r="J90" i="55"/>
  <c r="G90" i="55"/>
  <c r="H90" i="55" s="1"/>
  <c r="K90" i="55" s="1"/>
  <c r="J89" i="55"/>
  <c r="K89" i="55" s="1"/>
  <c r="H89" i="55"/>
  <c r="G89" i="55"/>
  <c r="J88" i="55"/>
  <c r="G88" i="55"/>
  <c r="H88" i="55" s="1"/>
  <c r="K88" i="55" s="1"/>
  <c r="J87" i="55"/>
  <c r="K87" i="55" s="1"/>
  <c r="H87" i="55"/>
  <c r="G87" i="55"/>
  <c r="J86" i="55"/>
  <c r="G86" i="55"/>
  <c r="H86" i="55" s="1"/>
  <c r="K86" i="55" s="1"/>
  <c r="J85" i="55"/>
  <c r="K85" i="55" s="1"/>
  <c r="H85" i="55"/>
  <c r="G85" i="55"/>
  <c r="G84" i="55"/>
  <c r="H84" i="55" s="1"/>
  <c r="J83" i="55"/>
  <c r="J79" i="55"/>
  <c r="J77" i="55"/>
  <c r="J76" i="55"/>
  <c r="G76" i="55"/>
  <c r="H76" i="55" s="1"/>
  <c r="I69" i="55"/>
  <c r="G69" i="55" s="1"/>
  <c r="I68" i="55"/>
  <c r="G68" i="55" s="1"/>
  <c r="I61" i="55"/>
  <c r="G61" i="55" s="1"/>
  <c r="I60" i="55"/>
  <c r="G60" i="55" s="1"/>
  <c r="I53" i="55"/>
  <c r="G53" i="55" s="1"/>
  <c r="I52" i="55"/>
  <c r="G52" i="55" s="1"/>
  <c r="J46" i="55"/>
  <c r="H46" i="55"/>
  <c r="K46" i="55" s="1"/>
  <c r="G46" i="55"/>
  <c r="J45" i="55"/>
  <c r="G45" i="55"/>
  <c r="H45" i="55" s="1"/>
  <c r="K45" i="55" s="1"/>
  <c r="J44" i="55"/>
  <c r="K44" i="55" s="1"/>
  <c r="H44" i="55"/>
  <c r="G44" i="55"/>
  <c r="J43" i="55"/>
  <c r="G43" i="55"/>
  <c r="H43" i="55" s="1"/>
  <c r="G42" i="55"/>
  <c r="J41" i="55"/>
  <c r="K41" i="55" s="1"/>
  <c r="H41" i="55"/>
  <c r="G41" i="55"/>
  <c r="G40" i="55"/>
  <c r="J33" i="55"/>
  <c r="K33" i="55" s="1"/>
  <c r="H33" i="55"/>
  <c r="G33" i="55"/>
  <c r="J32" i="55"/>
  <c r="G32" i="55"/>
  <c r="H32" i="55" s="1"/>
  <c r="J31" i="55"/>
  <c r="H31" i="55"/>
  <c r="G31" i="55"/>
  <c r="J30" i="55"/>
  <c r="G30" i="55"/>
  <c r="H30" i="55" s="1"/>
  <c r="G29" i="55"/>
  <c r="J28" i="55"/>
  <c r="H28" i="55"/>
  <c r="K28" i="55" s="1"/>
  <c r="G28" i="55"/>
  <c r="G27" i="55"/>
  <c r="C20" i="55"/>
  <c r="I172" i="55" s="1"/>
  <c r="G172" i="55" s="1"/>
  <c r="C15" i="55"/>
  <c r="C12" i="55"/>
  <c r="C7" i="55"/>
  <c r="E29" i="55" s="1"/>
  <c r="I83" i="54"/>
  <c r="J83" i="54" s="1"/>
  <c r="F223" i="54"/>
  <c r="O194" i="54"/>
  <c r="N194" i="54"/>
  <c r="I172" i="54"/>
  <c r="G172" i="54"/>
  <c r="J166" i="54"/>
  <c r="H166" i="54"/>
  <c r="E165" i="54"/>
  <c r="J164" i="54"/>
  <c r="G164" i="54"/>
  <c r="E164" i="54"/>
  <c r="I156" i="54"/>
  <c r="G156" i="54" s="1"/>
  <c r="I155" i="54"/>
  <c r="G155" i="54" s="1"/>
  <c r="G154" i="54"/>
  <c r="J152" i="54"/>
  <c r="G152" i="54"/>
  <c r="H152" i="54" s="1"/>
  <c r="I145" i="54"/>
  <c r="G145" i="54" s="1"/>
  <c r="H145" i="54" s="1"/>
  <c r="J144" i="54"/>
  <c r="I144" i="54"/>
  <c r="G144" i="54" s="1"/>
  <c r="H144" i="54" s="1"/>
  <c r="I143" i="54"/>
  <c r="J143" i="54" s="1"/>
  <c r="G142" i="54"/>
  <c r="G141" i="54"/>
  <c r="J133" i="54"/>
  <c r="G133" i="54"/>
  <c r="H133" i="54" s="1"/>
  <c r="J132" i="54"/>
  <c r="G132" i="54"/>
  <c r="H132" i="54" s="1"/>
  <c r="J131" i="54"/>
  <c r="G131" i="54"/>
  <c r="H131" i="54" s="1"/>
  <c r="I130" i="54"/>
  <c r="G130" i="54" s="1"/>
  <c r="J129" i="54"/>
  <c r="H129" i="54"/>
  <c r="G129" i="54"/>
  <c r="I121" i="54"/>
  <c r="G121" i="54" s="1"/>
  <c r="G120" i="54"/>
  <c r="J119" i="54"/>
  <c r="G119" i="54"/>
  <c r="H119" i="54" s="1"/>
  <c r="J118" i="54"/>
  <c r="G118" i="54"/>
  <c r="H118" i="54" s="1"/>
  <c r="G117" i="54"/>
  <c r="I116" i="54"/>
  <c r="G116" i="54" s="1"/>
  <c r="J108" i="54"/>
  <c r="G108" i="54"/>
  <c r="H108" i="54" s="1"/>
  <c r="J107" i="54"/>
  <c r="G107" i="54"/>
  <c r="H107" i="54" s="1"/>
  <c r="J106" i="54"/>
  <c r="G106" i="54"/>
  <c r="H106" i="54" s="1"/>
  <c r="J105" i="54"/>
  <c r="G105" i="54"/>
  <c r="H105" i="54" s="1"/>
  <c r="K105" i="54" s="1"/>
  <c r="I104" i="54"/>
  <c r="G104" i="54" s="1"/>
  <c r="I103" i="54"/>
  <c r="G103" i="54" s="1"/>
  <c r="I102" i="54"/>
  <c r="G102" i="54" s="1"/>
  <c r="I101" i="54"/>
  <c r="G101" i="54" s="1"/>
  <c r="I100" i="54"/>
  <c r="G100" i="54" s="1"/>
  <c r="I99" i="54"/>
  <c r="G99" i="54" s="1"/>
  <c r="I98" i="54"/>
  <c r="G98" i="54" s="1"/>
  <c r="J92" i="54"/>
  <c r="H92" i="54"/>
  <c r="K92" i="54" s="1"/>
  <c r="G92" i="54"/>
  <c r="J91" i="54"/>
  <c r="K91" i="54" s="1"/>
  <c r="H91" i="54"/>
  <c r="G91" i="54"/>
  <c r="J90" i="54"/>
  <c r="G90" i="54"/>
  <c r="H90" i="54" s="1"/>
  <c r="K90" i="54" s="1"/>
  <c r="J89" i="54"/>
  <c r="H89" i="54"/>
  <c r="G89" i="54"/>
  <c r="J87" i="54"/>
  <c r="G87" i="54"/>
  <c r="H87" i="54" s="1"/>
  <c r="J86" i="54"/>
  <c r="K86" i="54" s="1"/>
  <c r="G86" i="54"/>
  <c r="H86" i="54" s="1"/>
  <c r="J85" i="54"/>
  <c r="G85" i="54"/>
  <c r="H85" i="54" s="1"/>
  <c r="J84" i="54"/>
  <c r="G84" i="54"/>
  <c r="H84" i="54" s="1"/>
  <c r="G83" i="54"/>
  <c r="H83" i="54" s="1"/>
  <c r="H79" i="54"/>
  <c r="J76" i="54"/>
  <c r="K76" i="54" s="1"/>
  <c r="G76" i="54"/>
  <c r="H76" i="54" s="1"/>
  <c r="H77" i="54" s="1"/>
  <c r="H78" i="54" s="1"/>
  <c r="I69" i="54"/>
  <c r="G69" i="54" s="1"/>
  <c r="I68" i="54"/>
  <c r="G68" i="54" s="1"/>
  <c r="I61" i="54"/>
  <c r="G61" i="54" s="1"/>
  <c r="I60" i="54"/>
  <c r="G60" i="54" s="1"/>
  <c r="I53" i="54"/>
  <c r="G53" i="54" s="1"/>
  <c r="I52" i="54"/>
  <c r="G52" i="54" s="1"/>
  <c r="J46" i="54"/>
  <c r="H46" i="54"/>
  <c r="G46" i="54"/>
  <c r="J45" i="54"/>
  <c r="K45" i="54" s="1"/>
  <c r="G45" i="54"/>
  <c r="H45" i="54" s="1"/>
  <c r="J44" i="54"/>
  <c r="K44" i="54" s="1"/>
  <c r="H44" i="54"/>
  <c r="G44" i="54"/>
  <c r="J43" i="54"/>
  <c r="G43" i="54"/>
  <c r="H43" i="54" s="1"/>
  <c r="G42" i="54"/>
  <c r="J41" i="54"/>
  <c r="H41" i="54"/>
  <c r="K41" i="54" s="1"/>
  <c r="G41" i="54"/>
  <c r="G40" i="54"/>
  <c r="J33" i="54"/>
  <c r="H33" i="54"/>
  <c r="K33" i="54" s="1"/>
  <c r="G33" i="54"/>
  <c r="J32" i="54"/>
  <c r="G32" i="54"/>
  <c r="H32" i="54" s="1"/>
  <c r="J31" i="54"/>
  <c r="K31" i="54" s="1"/>
  <c r="H31" i="54"/>
  <c r="G31" i="54"/>
  <c r="J30" i="54"/>
  <c r="K30" i="54" s="1"/>
  <c r="G30" i="54"/>
  <c r="H30" i="54" s="1"/>
  <c r="G29" i="54"/>
  <c r="J28" i="54"/>
  <c r="G28" i="54"/>
  <c r="H28" i="54" s="1"/>
  <c r="K28" i="54" s="1"/>
  <c r="G27" i="54"/>
  <c r="C15" i="54" s="1"/>
  <c r="C20" i="54"/>
  <c r="C12" i="54"/>
  <c r="C7" i="54"/>
  <c r="J143" i="56" l="1"/>
  <c r="K132" i="54"/>
  <c r="K105" i="55"/>
  <c r="J144" i="55"/>
  <c r="K144" i="55" s="1"/>
  <c r="K107" i="56"/>
  <c r="K107" i="55"/>
  <c r="K105" i="56"/>
  <c r="G85" i="56"/>
  <c r="H85" i="56" s="1"/>
  <c r="K85" i="56" s="1"/>
  <c r="G143" i="54"/>
  <c r="H143" i="54" s="1"/>
  <c r="K144" i="54"/>
  <c r="K107" i="54"/>
  <c r="G143" i="55"/>
  <c r="H143" i="55" s="1"/>
  <c r="K106" i="54"/>
  <c r="K118" i="56"/>
  <c r="J145" i="56"/>
  <c r="K145" i="56" s="1"/>
  <c r="K118" i="55"/>
  <c r="K145" i="55"/>
  <c r="J145" i="54"/>
  <c r="K132" i="56"/>
  <c r="K143" i="56"/>
  <c r="K127" i="59"/>
  <c r="F71" i="59"/>
  <c r="H71" i="59" s="1"/>
  <c r="F47" i="59"/>
  <c r="H47" i="59" s="1"/>
  <c r="F37" i="59"/>
  <c r="J37" i="59" s="1"/>
  <c r="F73" i="59"/>
  <c r="H73" i="59" s="1"/>
  <c r="J68" i="59"/>
  <c r="F83" i="59"/>
  <c r="H83" i="59" s="1"/>
  <c r="F52" i="59"/>
  <c r="H52" i="59" s="1"/>
  <c r="F79" i="59"/>
  <c r="H79" i="59" s="1"/>
  <c r="F56" i="59"/>
  <c r="J56" i="59" s="1"/>
  <c r="F76" i="59"/>
  <c r="H76" i="59" s="1"/>
  <c r="F95" i="59"/>
  <c r="J95" i="59" s="1"/>
  <c r="H112" i="59"/>
  <c r="F119" i="59"/>
  <c r="H119" i="59" s="1"/>
  <c r="F35" i="59"/>
  <c r="J35" i="59" s="1"/>
  <c r="F26" i="59"/>
  <c r="J26" i="59" s="1"/>
  <c r="F72" i="59"/>
  <c r="H72" i="59" s="1"/>
  <c r="F120" i="59"/>
  <c r="J120" i="59" s="1"/>
  <c r="H68" i="59"/>
  <c r="F84" i="59"/>
  <c r="J84" i="59" s="1"/>
  <c r="F55" i="59"/>
  <c r="H55" i="59" s="1"/>
  <c r="F130" i="59"/>
  <c r="J130" i="59" s="1"/>
  <c r="J112" i="59"/>
  <c r="J114" i="59" s="1"/>
  <c r="F124" i="59"/>
  <c r="H124" i="59" s="1"/>
  <c r="H125" i="59" s="1"/>
  <c r="I87" i="59"/>
  <c r="J87" i="59" s="1"/>
  <c r="F89" i="59"/>
  <c r="H89" i="59" s="1"/>
  <c r="P156" i="59" s="1"/>
  <c r="D13" i="59"/>
  <c r="F28" i="59"/>
  <c r="F31" i="59" s="1"/>
  <c r="F74" i="59"/>
  <c r="H74" i="59" s="1"/>
  <c r="F80" i="59"/>
  <c r="H80" i="59" s="1"/>
  <c r="G189" i="59"/>
  <c r="F75" i="59"/>
  <c r="J75" i="59" s="1"/>
  <c r="F70" i="59"/>
  <c r="J70" i="59" s="1"/>
  <c r="F96" i="59"/>
  <c r="J96" i="59" s="1"/>
  <c r="F48" i="59"/>
  <c r="H51" i="59"/>
  <c r="J51" i="59"/>
  <c r="K62" i="59"/>
  <c r="H165" i="55"/>
  <c r="H165" i="54"/>
  <c r="H164" i="54"/>
  <c r="O190" i="54" s="1"/>
  <c r="H165" i="56"/>
  <c r="K43" i="55"/>
  <c r="K31" i="55"/>
  <c r="K87" i="56"/>
  <c r="J86" i="56"/>
  <c r="K86" i="56" s="1"/>
  <c r="H164" i="56"/>
  <c r="K164" i="56" s="1"/>
  <c r="F219" i="56"/>
  <c r="E102" i="56"/>
  <c r="J102" i="56" s="1"/>
  <c r="E29" i="56"/>
  <c r="J29" i="56" s="1"/>
  <c r="E27" i="56"/>
  <c r="E68" i="56"/>
  <c r="J68" i="56" s="1"/>
  <c r="E99" i="56"/>
  <c r="E53" i="56"/>
  <c r="J53" i="56" s="1"/>
  <c r="E69" i="56"/>
  <c r="J69" i="56" s="1"/>
  <c r="N188" i="56"/>
  <c r="H69" i="56"/>
  <c r="E61" i="56"/>
  <c r="J61" i="56" s="1"/>
  <c r="E101" i="56"/>
  <c r="J101" i="56" s="1"/>
  <c r="E130" i="56"/>
  <c r="J130" i="56" s="1"/>
  <c r="C13" i="56"/>
  <c r="E52" i="56"/>
  <c r="J52" i="56" s="1"/>
  <c r="E98" i="56"/>
  <c r="J98" i="56" s="1"/>
  <c r="H130" i="56"/>
  <c r="K130" i="56" s="1"/>
  <c r="H52" i="56"/>
  <c r="E42" i="56"/>
  <c r="E121" i="56"/>
  <c r="J121" i="56" s="1"/>
  <c r="H29" i="56"/>
  <c r="K29" i="56" s="1"/>
  <c r="E103" i="56"/>
  <c r="J103" i="56" s="1"/>
  <c r="K133" i="56"/>
  <c r="K108" i="56"/>
  <c r="K119" i="56"/>
  <c r="K144" i="56"/>
  <c r="H77" i="56"/>
  <c r="K76" i="56"/>
  <c r="K83" i="56"/>
  <c r="K131" i="56"/>
  <c r="K30" i="56"/>
  <c r="K106" i="56"/>
  <c r="H53" i="56"/>
  <c r="K53" i="56" s="1"/>
  <c r="G84" i="56"/>
  <c r="H84" i="56" s="1"/>
  <c r="E100" i="56"/>
  <c r="E104" i="56"/>
  <c r="E120" i="56"/>
  <c r="E154" i="56"/>
  <c r="E172" i="56"/>
  <c r="J79" i="56"/>
  <c r="K152" i="56"/>
  <c r="E40" i="56"/>
  <c r="E60" i="56"/>
  <c r="E117" i="56"/>
  <c r="K129" i="56"/>
  <c r="E142" i="56"/>
  <c r="E156" i="56"/>
  <c r="J165" i="56"/>
  <c r="H166" i="56"/>
  <c r="E116" i="56"/>
  <c r="I128" i="56"/>
  <c r="E141" i="56"/>
  <c r="E155" i="56"/>
  <c r="J93" i="56"/>
  <c r="K84" i="55"/>
  <c r="E61" i="55"/>
  <c r="J61" i="55" s="1"/>
  <c r="E69" i="55"/>
  <c r="H69" i="55" s="1"/>
  <c r="E68" i="55"/>
  <c r="H68" i="55" s="1"/>
  <c r="H70" i="55" s="1"/>
  <c r="H71" i="55" s="1"/>
  <c r="E103" i="55"/>
  <c r="J103" i="55" s="1"/>
  <c r="E99" i="55"/>
  <c r="J99" i="55" s="1"/>
  <c r="E27" i="55"/>
  <c r="E98" i="55"/>
  <c r="H98" i="55" s="1"/>
  <c r="E53" i="55"/>
  <c r="H53" i="55" s="1"/>
  <c r="E42" i="55"/>
  <c r="J42" i="55" s="1"/>
  <c r="K30" i="55"/>
  <c r="K106" i="55"/>
  <c r="K143" i="55"/>
  <c r="K133" i="55"/>
  <c r="K166" i="55"/>
  <c r="K32" i="55"/>
  <c r="K42" i="55"/>
  <c r="K108" i="55"/>
  <c r="K119" i="55"/>
  <c r="H167" i="55"/>
  <c r="O190" i="55"/>
  <c r="J93" i="55"/>
  <c r="J29" i="55"/>
  <c r="H29" i="55"/>
  <c r="H77" i="55"/>
  <c r="K77" i="55" s="1"/>
  <c r="K76" i="55"/>
  <c r="K131" i="55"/>
  <c r="C13" i="55"/>
  <c r="E52" i="55"/>
  <c r="J69" i="55"/>
  <c r="K69" i="55" s="1"/>
  <c r="J98" i="55"/>
  <c r="E100" i="55"/>
  <c r="E104" i="55"/>
  <c r="E120" i="55"/>
  <c r="E154" i="55"/>
  <c r="E172" i="55"/>
  <c r="K152" i="55"/>
  <c r="J165" i="55"/>
  <c r="E40" i="55"/>
  <c r="E60" i="55"/>
  <c r="H61" i="55"/>
  <c r="E117" i="55"/>
  <c r="K129" i="55"/>
  <c r="E142" i="55"/>
  <c r="E156" i="55"/>
  <c r="G83" i="55"/>
  <c r="H83" i="55" s="1"/>
  <c r="H93" i="55" s="1"/>
  <c r="H99" i="55"/>
  <c r="K99" i="55" s="1"/>
  <c r="E102" i="55"/>
  <c r="E130" i="55"/>
  <c r="N190" i="55"/>
  <c r="E116" i="55"/>
  <c r="I128" i="55"/>
  <c r="E141" i="55"/>
  <c r="E155" i="55"/>
  <c r="H42" i="55"/>
  <c r="E101" i="55"/>
  <c r="E121" i="55"/>
  <c r="F221" i="55"/>
  <c r="K83" i="54"/>
  <c r="K43" i="54"/>
  <c r="K32" i="54"/>
  <c r="F221" i="54"/>
  <c r="E155" i="54"/>
  <c r="E141" i="54"/>
  <c r="I128" i="54"/>
  <c r="E116" i="54"/>
  <c r="E156" i="54"/>
  <c r="E142" i="54"/>
  <c r="E117" i="54"/>
  <c r="E52" i="54"/>
  <c r="E172" i="54"/>
  <c r="E154" i="54"/>
  <c r="E120" i="54"/>
  <c r="E104" i="54"/>
  <c r="E100" i="54"/>
  <c r="E29" i="54"/>
  <c r="E130" i="54"/>
  <c r="E101" i="54"/>
  <c r="E99" i="54"/>
  <c r="E69" i="54"/>
  <c r="E60" i="54"/>
  <c r="E53" i="54"/>
  <c r="E42" i="54"/>
  <c r="E40" i="54"/>
  <c r="E103" i="54"/>
  <c r="E121" i="54"/>
  <c r="E98" i="54"/>
  <c r="E68" i="54"/>
  <c r="E102" i="54"/>
  <c r="E27" i="54"/>
  <c r="E61" i="54"/>
  <c r="J88" i="54"/>
  <c r="G88" i="54"/>
  <c r="H88" i="54" s="1"/>
  <c r="H93" i="54" s="1"/>
  <c r="J77" i="54"/>
  <c r="N190" i="54"/>
  <c r="K89" i="54"/>
  <c r="K118" i="54"/>
  <c r="K131" i="54"/>
  <c r="K152" i="54"/>
  <c r="J165" i="54"/>
  <c r="C13" i="54"/>
  <c r="F219" i="54"/>
  <c r="K84" i="54"/>
  <c r="K46" i="54"/>
  <c r="K87" i="54"/>
  <c r="K119" i="54"/>
  <c r="K129" i="54"/>
  <c r="K145" i="54"/>
  <c r="K85" i="54"/>
  <c r="K108" i="54"/>
  <c r="K143" i="54"/>
  <c r="K166" i="54"/>
  <c r="H167" i="54"/>
  <c r="K133" i="54"/>
  <c r="H93" i="56" l="1"/>
  <c r="O188" i="56"/>
  <c r="P188" i="56" s="1"/>
  <c r="H114" i="59"/>
  <c r="K128" i="59"/>
  <c r="H53" i="59"/>
  <c r="J47" i="59"/>
  <c r="K47" i="59" s="1"/>
  <c r="H37" i="59"/>
  <c r="K37" i="59" s="1"/>
  <c r="J71" i="59"/>
  <c r="K71" i="59" s="1"/>
  <c r="J52" i="59"/>
  <c r="K52" i="59" s="1"/>
  <c r="J73" i="59"/>
  <c r="K73" i="59" s="1"/>
  <c r="H95" i="59"/>
  <c r="K95" i="59" s="1"/>
  <c r="H84" i="59"/>
  <c r="H85" i="59" s="1"/>
  <c r="J76" i="59"/>
  <c r="J119" i="59"/>
  <c r="J122" i="59" s="1"/>
  <c r="J89" i="59"/>
  <c r="K89" i="59" s="1"/>
  <c r="H56" i="59"/>
  <c r="K56" i="59" s="1"/>
  <c r="J83" i="59"/>
  <c r="K83" i="59" s="1"/>
  <c r="K68" i="59"/>
  <c r="J72" i="59"/>
  <c r="K72" i="59" s="1"/>
  <c r="K112" i="59"/>
  <c r="J79" i="59"/>
  <c r="H35" i="59"/>
  <c r="H28" i="59"/>
  <c r="J80" i="59"/>
  <c r="K80" i="59" s="1"/>
  <c r="H75" i="59"/>
  <c r="K75" i="59" s="1"/>
  <c r="H120" i="59"/>
  <c r="H26" i="59"/>
  <c r="J124" i="59"/>
  <c r="J125" i="59" s="1"/>
  <c r="G169" i="59"/>
  <c r="L169" i="59" s="1"/>
  <c r="P158" i="59"/>
  <c r="J74" i="59"/>
  <c r="K74" i="59" s="1"/>
  <c r="J55" i="59"/>
  <c r="J57" i="59" s="1"/>
  <c r="G87" i="59"/>
  <c r="H87" i="59" s="1"/>
  <c r="H93" i="59" s="1"/>
  <c r="H70" i="59"/>
  <c r="K70" i="59" s="1"/>
  <c r="H96" i="59"/>
  <c r="K96" i="59" s="1"/>
  <c r="O158" i="59"/>
  <c r="K130" i="59"/>
  <c r="J132" i="59"/>
  <c r="H31" i="59"/>
  <c r="J31" i="59"/>
  <c r="J28" i="59"/>
  <c r="J48" i="59"/>
  <c r="H48" i="59"/>
  <c r="H49" i="59" s="1"/>
  <c r="M6" i="59"/>
  <c r="K51" i="59"/>
  <c r="J100" i="59"/>
  <c r="J42" i="59"/>
  <c r="K61" i="55"/>
  <c r="K165" i="54"/>
  <c r="P190" i="54"/>
  <c r="K164" i="54"/>
  <c r="H167" i="56"/>
  <c r="O190" i="56"/>
  <c r="K52" i="56"/>
  <c r="J54" i="56"/>
  <c r="H102" i="56"/>
  <c r="K102" i="56" s="1"/>
  <c r="H98" i="56"/>
  <c r="K98" i="56" s="1"/>
  <c r="J70" i="56"/>
  <c r="J72" i="56" s="1"/>
  <c r="H68" i="56"/>
  <c r="H70" i="56" s="1"/>
  <c r="J42" i="56"/>
  <c r="H42" i="56"/>
  <c r="H54" i="56"/>
  <c r="H55" i="56" s="1"/>
  <c r="H56" i="56" s="1"/>
  <c r="F213" i="56" s="1"/>
  <c r="K213" i="56" s="1"/>
  <c r="K69" i="56"/>
  <c r="H61" i="56"/>
  <c r="K61" i="56" s="1"/>
  <c r="H121" i="56"/>
  <c r="K121" i="56" s="1"/>
  <c r="H99" i="56"/>
  <c r="J99" i="56"/>
  <c r="H103" i="56"/>
  <c r="K103" i="56" s="1"/>
  <c r="H101" i="56"/>
  <c r="K101" i="56" s="1"/>
  <c r="H27" i="56"/>
  <c r="H34" i="56" s="1"/>
  <c r="H35" i="56" s="1"/>
  <c r="H36" i="56" s="1"/>
  <c r="J27" i="56"/>
  <c r="H94" i="56"/>
  <c r="H95" i="56" s="1"/>
  <c r="H168" i="56"/>
  <c r="H169" i="56" s="1"/>
  <c r="F201" i="56" s="1"/>
  <c r="K201" i="56" s="1"/>
  <c r="J40" i="56"/>
  <c r="H40" i="56"/>
  <c r="H79" i="56"/>
  <c r="H78" i="56"/>
  <c r="J128" i="56"/>
  <c r="G128" i="56"/>
  <c r="H128" i="56" s="1"/>
  <c r="H135" i="56" s="1"/>
  <c r="K166" i="56"/>
  <c r="K93" i="56"/>
  <c r="J95" i="56"/>
  <c r="H155" i="56"/>
  <c r="J155" i="56"/>
  <c r="J60" i="56"/>
  <c r="H60" i="56"/>
  <c r="J120" i="56"/>
  <c r="H120" i="56"/>
  <c r="H141" i="56"/>
  <c r="J141" i="56"/>
  <c r="J104" i="56"/>
  <c r="H104" i="56"/>
  <c r="K165" i="56"/>
  <c r="J167" i="56"/>
  <c r="H116" i="56"/>
  <c r="J116" i="56"/>
  <c r="J156" i="56"/>
  <c r="H156" i="56"/>
  <c r="K79" i="56"/>
  <c r="J100" i="56"/>
  <c r="H100" i="56"/>
  <c r="J142" i="56"/>
  <c r="H142" i="56"/>
  <c r="K84" i="56"/>
  <c r="J172" i="56"/>
  <c r="H174" i="56"/>
  <c r="J56" i="56"/>
  <c r="K77" i="56"/>
  <c r="N190" i="56"/>
  <c r="J117" i="56"/>
  <c r="H117" i="56"/>
  <c r="J154" i="56"/>
  <c r="H154" i="56"/>
  <c r="K83" i="55"/>
  <c r="H72" i="55"/>
  <c r="K29" i="55"/>
  <c r="P190" i="55"/>
  <c r="J68" i="55"/>
  <c r="J70" i="55" s="1"/>
  <c r="H103" i="55"/>
  <c r="K103" i="55" s="1"/>
  <c r="H27" i="55"/>
  <c r="H34" i="55" s="1"/>
  <c r="H35" i="55" s="1"/>
  <c r="J27" i="55"/>
  <c r="K27" i="55" s="1"/>
  <c r="J53" i="55"/>
  <c r="K53" i="55" s="1"/>
  <c r="J34" i="55"/>
  <c r="J142" i="55"/>
  <c r="H142" i="55"/>
  <c r="K93" i="55"/>
  <c r="J95" i="55"/>
  <c r="H130" i="55"/>
  <c r="O188" i="55" s="1"/>
  <c r="J130" i="55"/>
  <c r="J172" i="55"/>
  <c r="H174" i="55"/>
  <c r="K165" i="55"/>
  <c r="J167" i="55"/>
  <c r="H155" i="55"/>
  <c r="J155" i="55"/>
  <c r="J121" i="55"/>
  <c r="H121" i="55"/>
  <c r="J101" i="55"/>
  <c r="H101" i="55"/>
  <c r="J156" i="55"/>
  <c r="H156" i="55"/>
  <c r="H52" i="55"/>
  <c r="J52" i="55"/>
  <c r="H141" i="55"/>
  <c r="H146" i="55" s="1"/>
  <c r="J141" i="55"/>
  <c r="J60" i="55"/>
  <c r="H60" i="55"/>
  <c r="H62" i="55" s="1"/>
  <c r="H78" i="55"/>
  <c r="H79" i="55" s="1"/>
  <c r="K79" i="55" s="1"/>
  <c r="J117" i="55"/>
  <c r="H117" i="55"/>
  <c r="J154" i="55"/>
  <c r="H154" i="55"/>
  <c r="H102" i="55"/>
  <c r="J102" i="55"/>
  <c r="H120" i="55"/>
  <c r="J120" i="55"/>
  <c r="K120" i="55" s="1"/>
  <c r="H168" i="55"/>
  <c r="H169" i="55" s="1"/>
  <c r="F201" i="55" s="1"/>
  <c r="K201" i="55" s="1"/>
  <c r="H104" i="55"/>
  <c r="J104" i="55"/>
  <c r="J128" i="55"/>
  <c r="G128" i="55"/>
  <c r="H128" i="55" s="1"/>
  <c r="H94" i="55"/>
  <c r="H95" i="55" s="1"/>
  <c r="J40" i="55"/>
  <c r="H40" i="55"/>
  <c r="H100" i="55"/>
  <c r="J100" i="55"/>
  <c r="H116" i="55"/>
  <c r="J116" i="55"/>
  <c r="K98" i="55"/>
  <c r="K88" i="54"/>
  <c r="H94" i="54"/>
  <c r="H95" i="54" s="1"/>
  <c r="J61" i="54"/>
  <c r="H61" i="54"/>
  <c r="H42" i="54"/>
  <c r="J42" i="54"/>
  <c r="K42" i="54" s="1"/>
  <c r="J100" i="54"/>
  <c r="H100" i="54"/>
  <c r="H156" i="54"/>
  <c r="J156" i="54"/>
  <c r="H27" i="54"/>
  <c r="J27" i="54"/>
  <c r="J53" i="54"/>
  <c r="H53" i="54"/>
  <c r="J104" i="54"/>
  <c r="H104" i="54"/>
  <c r="H116" i="54"/>
  <c r="J116" i="54"/>
  <c r="J79" i="54"/>
  <c r="K79" i="54" s="1"/>
  <c r="K77" i="54"/>
  <c r="J102" i="54"/>
  <c r="H102" i="54"/>
  <c r="H60" i="54"/>
  <c r="H62" i="54" s="1"/>
  <c r="J60" i="54"/>
  <c r="J120" i="54"/>
  <c r="H120" i="54"/>
  <c r="G128" i="54"/>
  <c r="H128" i="54" s="1"/>
  <c r="J128" i="54"/>
  <c r="H40" i="54"/>
  <c r="H47" i="54" s="1"/>
  <c r="J40" i="54"/>
  <c r="H142" i="54"/>
  <c r="J142" i="54"/>
  <c r="J68" i="54"/>
  <c r="H68" i="54"/>
  <c r="J69" i="54"/>
  <c r="H69" i="54"/>
  <c r="J154" i="54"/>
  <c r="H154" i="54"/>
  <c r="H141" i="54"/>
  <c r="J141" i="54"/>
  <c r="H168" i="54"/>
  <c r="H169" i="54" s="1"/>
  <c r="F201" i="54" s="1"/>
  <c r="K201" i="54" s="1"/>
  <c r="J98" i="54"/>
  <c r="H98" i="54"/>
  <c r="H99" i="54"/>
  <c r="J99" i="54"/>
  <c r="J172" i="54"/>
  <c r="H174" i="54"/>
  <c r="H155" i="54"/>
  <c r="J155" i="54"/>
  <c r="J167" i="54"/>
  <c r="J93" i="54"/>
  <c r="H121" i="54"/>
  <c r="J121" i="54"/>
  <c r="H101" i="54"/>
  <c r="J101" i="54"/>
  <c r="K101" i="54" s="1"/>
  <c r="H52" i="54"/>
  <c r="J52" i="54"/>
  <c r="J103" i="54"/>
  <c r="H103" i="54"/>
  <c r="J130" i="54"/>
  <c r="H130" i="54"/>
  <c r="O188" i="54" s="1"/>
  <c r="H117" i="54"/>
  <c r="J117" i="54"/>
  <c r="K117" i="54" s="1"/>
  <c r="J29" i="54"/>
  <c r="H29" i="54"/>
  <c r="K54" i="56" l="1"/>
  <c r="K104" i="55"/>
  <c r="K68" i="55"/>
  <c r="K102" i="55"/>
  <c r="K100" i="55"/>
  <c r="J133" i="59"/>
  <c r="H122" i="59"/>
  <c r="H133" i="59" s="1"/>
  <c r="O157" i="59"/>
  <c r="K125" i="59"/>
  <c r="P157" i="59"/>
  <c r="J49" i="59"/>
  <c r="K49" i="59" s="1"/>
  <c r="J53" i="59"/>
  <c r="H57" i="59"/>
  <c r="H42" i="59"/>
  <c r="O156" i="59"/>
  <c r="Q156" i="59" s="1"/>
  <c r="K119" i="59"/>
  <c r="J93" i="59"/>
  <c r="K93" i="59" s="1"/>
  <c r="J85" i="59"/>
  <c r="J77" i="59"/>
  <c r="J33" i="59"/>
  <c r="J43" i="59" s="1"/>
  <c r="K84" i="59"/>
  <c r="K87" i="59"/>
  <c r="K76" i="59"/>
  <c r="K79" i="59"/>
  <c r="K120" i="59"/>
  <c r="H77" i="59"/>
  <c r="K26" i="59"/>
  <c r="H33" i="59"/>
  <c r="P155" i="59"/>
  <c r="K28" i="59"/>
  <c r="H5" i="59"/>
  <c r="O160" i="59"/>
  <c r="K35" i="59"/>
  <c r="K124" i="59"/>
  <c r="Q158" i="59"/>
  <c r="H100" i="59"/>
  <c r="K31" i="59"/>
  <c r="K55" i="59"/>
  <c r="K132" i="59"/>
  <c r="K48" i="59"/>
  <c r="K114" i="59"/>
  <c r="I5" i="59"/>
  <c r="P160" i="59"/>
  <c r="O155" i="59"/>
  <c r="G181" i="59"/>
  <c r="L181" i="59" s="1"/>
  <c r="K142" i="55"/>
  <c r="H146" i="54"/>
  <c r="H147" i="54" s="1"/>
  <c r="H148" i="54" s="1"/>
  <c r="P190" i="56"/>
  <c r="H36" i="55"/>
  <c r="K70" i="56"/>
  <c r="K99" i="56"/>
  <c r="K68" i="56"/>
  <c r="K27" i="56"/>
  <c r="J34" i="56"/>
  <c r="K117" i="56"/>
  <c r="K104" i="56"/>
  <c r="H71" i="56"/>
  <c r="H72" i="56" s="1"/>
  <c r="K72" i="56" s="1"/>
  <c r="H109" i="56"/>
  <c r="H110" i="56" s="1"/>
  <c r="K156" i="56"/>
  <c r="H146" i="56"/>
  <c r="H147" i="56" s="1"/>
  <c r="H148" i="56" s="1"/>
  <c r="K42" i="56"/>
  <c r="H47" i="56"/>
  <c r="O187" i="56"/>
  <c r="G5" i="56"/>
  <c r="H122" i="56"/>
  <c r="O189" i="56"/>
  <c r="K142" i="56"/>
  <c r="J169" i="56"/>
  <c r="K167" i="56"/>
  <c r="H62" i="56"/>
  <c r="O192" i="56"/>
  <c r="J122" i="56"/>
  <c r="K116" i="56"/>
  <c r="J47" i="56"/>
  <c r="K40" i="56"/>
  <c r="N187" i="56"/>
  <c r="H5" i="56"/>
  <c r="K154" i="56"/>
  <c r="N189" i="56"/>
  <c r="J62" i="56"/>
  <c r="K60" i="56"/>
  <c r="N192" i="56"/>
  <c r="H136" i="56"/>
  <c r="H137" i="56" s="1"/>
  <c r="J174" i="56"/>
  <c r="K172" i="56"/>
  <c r="G213" i="56"/>
  <c r="K56" i="56"/>
  <c r="K120" i="56"/>
  <c r="H175" i="56"/>
  <c r="H176" i="56" s="1"/>
  <c r="K100" i="56"/>
  <c r="J109" i="56"/>
  <c r="K155" i="56"/>
  <c r="K128" i="56"/>
  <c r="J135" i="56"/>
  <c r="J146" i="56"/>
  <c r="K141" i="56"/>
  <c r="K95" i="56"/>
  <c r="J109" i="55"/>
  <c r="H5" i="55"/>
  <c r="G5" i="55"/>
  <c r="K155" i="55"/>
  <c r="K156" i="55"/>
  <c r="H63" i="55"/>
  <c r="H64" i="55" s="1"/>
  <c r="J169" i="55"/>
  <c r="K167" i="55"/>
  <c r="H122" i="55"/>
  <c r="J135" i="55"/>
  <c r="K128" i="55"/>
  <c r="J62" i="55"/>
  <c r="K60" i="55"/>
  <c r="K101" i="55"/>
  <c r="K95" i="55"/>
  <c r="H109" i="55"/>
  <c r="N189" i="55"/>
  <c r="K154" i="55"/>
  <c r="H147" i="55"/>
  <c r="H148" i="55" s="1"/>
  <c r="K121" i="55"/>
  <c r="H175" i="55"/>
  <c r="H176" i="55"/>
  <c r="H135" i="55"/>
  <c r="J72" i="55"/>
  <c r="K72" i="55" s="1"/>
  <c r="K70" i="55"/>
  <c r="O189" i="55"/>
  <c r="H47" i="55"/>
  <c r="O187" i="55"/>
  <c r="J54" i="55"/>
  <c r="K52" i="55"/>
  <c r="N192" i="55"/>
  <c r="J174" i="55"/>
  <c r="K172" i="55"/>
  <c r="J111" i="55"/>
  <c r="K116" i="55"/>
  <c r="J122" i="55"/>
  <c r="K141" i="55"/>
  <c r="J146" i="55"/>
  <c r="K40" i="55"/>
  <c r="J47" i="55"/>
  <c r="N187" i="55"/>
  <c r="K117" i="55"/>
  <c r="O192" i="55"/>
  <c r="H54" i="55"/>
  <c r="K130" i="55"/>
  <c r="N188" i="55"/>
  <c r="P188" i="55" s="1"/>
  <c r="K34" i="55"/>
  <c r="J36" i="55"/>
  <c r="K120" i="54"/>
  <c r="H122" i="54"/>
  <c r="H123" i="54" s="1"/>
  <c r="H124" i="54" s="1"/>
  <c r="K142" i="54"/>
  <c r="K29" i="54"/>
  <c r="O192" i="54"/>
  <c r="H54" i="54"/>
  <c r="K141" i="54"/>
  <c r="J146" i="54"/>
  <c r="J62" i="54"/>
  <c r="K60" i="54"/>
  <c r="K172" i="54"/>
  <c r="J174" i="54"/>
  <c r="H63" i="54"/>
  <c r="H64" i="54" s="1"/>
  <c r="K104" i="54"/>
  <c r="K100" i="54"/>
  <c r="K121" i="54"/>
  <c r="K99" i="54"/>
  <c r="O189" i="54"/>
  <c r="J47" i="54"/>
  <c r="K40" i="54"/>
  <c r="H175" i="54"/>
  <c r="H176" i="54" s="1"/>
  <c r="K130" i="54"/>
  <c r="N188" i="54"/>
  <c r="P188" i="54" s="1"/>
  <c r="K154" i="54"/>
  <c r="N189" i="54"/>
  <c r="H48" i="54"/>
  <c r="H49" i="54" s="1"/>
  <c r="K102" i="54"/>
  <c r="K53" i="54"/>
  <c r="K68" i="54"/>
  <c r="J70" i="54"/>
  <c r="K93" i="54"/>
  <c r="J95" i="54"/>
  <c r="K95" i="54" s="1"/>
  <c r="K167" i="54"/>
  <c r="J169" i="54"/>
  <c r="K69" i="54"/>
  <c r="O187" i="54"/>
  <c r="G5" i="54"/>
  <c r="H34" i="54"/>
  <c r="K61" i="54"/>
  <c r="H109" i="54"/>
  <c r="J135" i="54"/>
  <c r="K128" i="54"/>
  <c r="K27" i="54"/>
  <c r="N187" i="54"/>
  <c r="J34" i="54"/>
  <c r="H5" i="54"/>
  <c r="K103" i="54"/>
  <c r="J109" i="54"/>
  <c r="K98" i="54"/>
  <c r="H135" i="54"/>
  <c r="N192" i="54"/>
  <c r="J54" i="54"/>
  <c r="K52" i="54"/>
  <c r="K155" i="54"/>
  <c r="H70" i="54"/>
  <c r="J122" i="54"/>
  <c r="K116" i="54"/>
  <c r="K156" i="54"/>
  <c r="K109" i="55" l="1"/>
  <c r="O186" i="54"/>
  <c r="O186" i="55"/>
  <c r="Q157" i="59"/>
  <c r="K42" i="59"/>
  <c r="H43" i="59"/>
  <c r="H101" i="59"/>
  <c r="J101" i="59"/>
  <c r="J103" i="59" s="1"/>
  <c r="G167" i="59"/>
  <c r="P154" i="59"/>
  <c r="K53" i="59"/>
  <c r="K57" i="59"/>
  <c r="H179" i="59"/>
  <c r="K85" i="59"/>
  <c r="K100" i="59"/>
  <c r="K77" i="59"/>
  <c r="Q155" i="59"/>
  <c r="J5" i="59"/>
  <c r="O154" i="59"/>
  <c r="Q160" i="59"/>
  <c r="H169" i="59"/>
  <c r="M9" i="59"/>
  <c r="K33" i="59"/>
  <c r="M10" i="59"/>
  <c r="G179" i="59"/>
  <c r="L179" i="59" s="1"/>
  <c r="G171" i="59"/>
  <c r="L171" i="59" s="1"/>
  <c r="H181" i="59"/>
  <c r="M5" i="59"/>
  <c r="H111" i="56"/>
  <c r="K34" i="56"/>
  <c r="J36" i="56"/>
  <c r="K36" i="56" s="1"/>
  <c r="H123" i="56"/>
  <c r="H124" i="56" s="1"/>
  <c r="F211" i="56" s="1"/>
  <c r="K211" i="56" s="1"/>
  <c r="I5" i="56"/>
  <c r="K62" i="56"/>
  <c r="J64" i="56"/>
  <c r="O186" i="56"/>
  <c r="P192" i="56"/>
  <c r="J137" i="56"/>
  <c r="K137" i="56" s="1"/>
  <c r="K135" i="56"/>
  <c r="J213" i="56"/>
  <c r="H213" i="56"/>
  <c r="H63" i="56"/>
  <c r="H64" i="56" s="1"/>
  <c r="J49" i="56"/>
  <c r="K47" i="56"/>
  <c r="J148" i="56"/>
  <c r="K148" i="56" s="1"/>
  <c r="K146" i="56"/>
  <c r="J111" i="56"/>
  <c r="K109" i="56"/>
  <c r="J176" i="56"/>
  <c r="K176" i="56" s="1"/>
  <c r="K174" i="56"/>
  <c r="K169" i="56"/>
  <c r="G201" i="56"/>
  <c r="H48" i="56"/>
  <c r="H49" i="56" s="1"/>
  <c r="N186" i="56"/>
  <c r="P187" i="56"/>
  <c r="K122" i="56"/>
  <c r="J124" i="56"/>
  <c r="P189" i="56"/>
  <c r="I5" i="55"/>
  <c r="N186" i="55"/>
  <c r="P187" i="55"/>
  <c r="K36" i="55"/>
  <c r="J49" i="55"/>
  <c r="G199" i="55" s="1"/>
  <c r="K47" i="55"/>
  <c r="H48" i="55"/>
  <c r="H49" i="55" s="1"/>
  <c r="J176" i="55"/>
  <c r="K176" i="55" s="1"/>
  <c r="K174" i="55"/>
  <c r="H123" i="55"/>
  <c r="H124" i="55" s="1"/>
  <c r="P192" i="55"/>
  <c r="K169" i="55"/>
  <c r="G201" i="55"/>
  <c r="H55" i="55"/>
  <c r="H56" i="55" s="1"/>
  <c r="F213" i="55" s="1"/>
  <c r="K213" i="55" s="1"/>
  <c r="K122" i="55"/>
  <c r="J124" i="55"/>
  <c r="K54" i="55"/>
  <c r="J56" i="55"/>
  <c r="H136" i="55"/>
  <c r="H137" i="55" s="1"/>
  <c r="J64" i="55"/>
  <c r="K62" i="55"/>
  <c r="K146" i="55"/>
  <c r="J148" i="55"/>
  <c r="K148" i="55" s="1"/>
  <c r="P189" i="55"/>
  <c r="H110" i="55"/>
  <c r="H111" i="55" s="1"/>
  <c r="J137" i="55"/>
  <c r="K135" i="55"/>
  <c r="J124" i="54"/>
  <c r="K122" i="54"/>
  <c r="J137" i="54"/>
  <c r="K135" i="54"/>
  <c r="H71" i="54"/>
  <c r="H72" i="54" s="1"/>
  <c r="J111" i="54"/>
  <c r="K109" i="54"/>
  <c r="H110" i="54"/>
  <c r="H111" i="54" s="1"/>
  <c r="K62" i="54"/>
  <c r="J64" i="54"/>
  <c r="P187" i="54"/>
  <c r="N186" i="54"/>
  <c r="H136" i="54"/>
  <c r="H137" i="54" s="1"/>
  <c r="F211" i="54" s="1"/>
  <c r="K211" i="54" s="1"/>
  <c r="G201" i="54"/>
  <c r="K169" i="54"/>
  <c r="J148" i="54"/>
  <c r="K148" i="54" s="1"/>
  <c r="K146" i="54"/>
  <c r="I5" i="54"/>
  <c r="H35" i="54"/>
  <c r="H36" i="54" s="1"/>
  <c r="P189" i="54"/>
  <c r="J49" i="54"/>
  <c r="K49" i="54" s="1"/>
  <c r="K47" i="54"/>
  <c r="J72" i="54"/>
  <c r="K70" i="54"/>
  <c r="J36" i="54"/>
  <c r="K34" i="54"/>
  <c r="J56" i="54"/>
  <c r="K54" i="54"/>
  <c r="P192" i="54"/>
  <c r="J176" i="54"/>
  <c r="K176" i="54" s="1"/>
  <c r="K174" i="54"/>
  <c r="H55" i="54"/>
  <c r="H56" i="54" s="1"/>
  <c r="F213" i="54" s="1"/>
  <c r="K213" i="54" s="1"/>
  <c r="K122" i="59" l="1"/>
  <c r="H103" i="59"/>
  <c r="K133" i="59"/>
  <c r="K101" i="59"/>
  <c r="H177" i="59"/>
  <c r="K177" i="59" s="1"/>
  <c r="Q154" i="59"/>
  <c r="M7" i="59"/>
  <c r="H171" i="59"/>
  <c r="K171" i="59" s="1"/>
  <c r="M8" i="59"/>
  <c r="H167" i="59"/>
  <c r="K167" i="59" s="1"/>
  <c r="I169" i="59"/>
  <c r="K169" i="59"/>
  <c r="I179" i="59"/>
  <c r="K179" i="59"/>
  <c r="L167" i="59"/>
  <c r="G173" i="59"/>
  <c r="K181" i="59"/>
  <c r="I181" i="59"/>
  <c r="K111" i="56"/>
  <c r="F209" i="56"/>
  <c r="K209" i="56" s="1"/>
  <c r="F199" i="56"/>
  <c r="G211" i="56"/>
  <c r="K124" i="56"/>
  <c r="K49" i="56"/>
  <c r="G199" i="56"/>
  <c r="H201" i="56"/>
  <c r="J201" i="56"/>
  <c r="P186" i="56"/>
  <c r="K64" i="56"/>
  <c r="G209" i="56"/>
  <c r="F199" i="55"/>
  <c r="F209" i="55"/>
  <c r="K111" i="55"/>
  <c r="F211" i="55"/>
  <c r="K211" i="55" s="1"/>
  <c r="K49" i="55"/>
  <c r="J199" i="55"/>
  <c r="K137" i="55"/>
  <c r="K56" i="55"/>
  <c r="G213" i="55"/>
  <c r="G211" i="55"/>
  <c r="K124" i="55"/>
  <c r="K64" i="55"/>
  <c r="G209" i="55"/>
  <c r="P186" i="55"/>
  <c r="H201" i="55"/>
  <c r="J201" i="55"/>
  <c r="F209" i="54"/>
  <c r="F215" i="54" s="1"/>
  <c r="K215" i="54" s="1"/>
  <c r="K111" i="54"/>
  <c r="K72" i="54"/>
  <c r="G209" i="54"/>
  <c r="K64" i="54"/>
  <c r="K137" i="54"/>
  <c r="H201" i="54"/>
  <c r="J201" i="54"/>
  <c r="G211" i="54"/>
  <c r="K124" i="54"/>
  <c r="P186" i="54"/>
  <c r="K56" i="54"/>
  <c r="G213" i="54"/>
  <c r="K36" i="54"/>
  <c r="G199" i="54"/>
  <c r="F199" i="54"/>
  <c r="H136" i="59" l="1"/>
  <c r="M4" i="59"/>
  <c r="H153" i="59"/>
  <c r="G177" i="59"/>
  <c r="L177" i="59" s="1"/>
  <c r="K43" i="59"/>
  <c r="H183" i="59"/>
  <c r="I171" i="59"/>
  <c r="I167" i="59"/>
  <c r="H173" i="59"/>
  <c r="K173" i="59" s="1"/>
  <c r="L173" i="59"/>
  <c r="F215" i="56"/>
  <c r="K215" i="56" s="1"/>
  <c r="H209" i="56"/>
  <c r="J209" i="56"/>
  <c r="G215" i="56"/>
  <c r="H211" i="56"/>
  <c r="J211" i="56"/>
  <c r="K199" i="56"/>
  <c r="J199" i="56"/>
  <c r="H199" i="56"/>
  <c r="H211" i="55"/>
  <c r="J211" i="55"/>
  <c r="K199" i="55"/>
  <c r="G215" i="55"/>
  <c r="J209" i="55"/>
  <c r="H209" i="55"/>
  <c r="J213" i="55"/>
  <c r="H213" i="55"/>
  <c r="F215" i="55"/>
  <c r="K215" i="55" s="1"/>
  <c r="K209" i="55"/>
  <c r="H199" i="55"/>
  <c r="K209" i="54"/>
  <c r="J213" i="54"/>
  <c r="H213" i="54"/>
  <c r="K199" i="54"/>
  <c r="H211" i="54"/>
  <c r="J211" i="54"/>
  <c r="J209" i="54"/>
  <c r="G215" i="54"/>
  <c r="H209" i="54"/>
  <c r="J199" i="54"/>
  <c r="H199" i="54"/>
  <c r="H137" i="59" l="1"/>
  <c r="H138" i="59" s="1"/>
  <c r="H140" i="59" s="1"/>
  <c r="I177" i="59"/>
  <c r="K103" i="59"/>
  <c r="J136" i="59"/>
  <c r="G183" i="59"/>
  <c r="L183" i="59" s="1"/>
  <c r="L186" i="59" s="1"/>
  <c r="J153" i="59"/>
  <c r="K153" i="59" s="1"/>
  <c r="K183" i="59"/>
  <c r="K186" i="59" s="1"/>
  <c r="H186" i="59"/>
  <c r="J183" i="59" s="1"/>
  <c r="I173" i="59"/>
  <c r="J215" i="56"/>
  <c r="H215" i="56"/>
  <c r="J215" i="55"/>
  <c r="H215" i="55"/>
  <c r="J215" i="54"/>
  <c r="H215" i="54"/>
  <c r="K136" i="59" l="1"/>
  <c r="J138" i="59"/>
  <c r="G186" i="59"/>
  <c r="I186" i="59" s="1"/>
  <c r="I183" i="59"/>
  <c r="J181" i="59"/>
  <c r="J173" i="59"/>
  <c r="J186" i="59" s="1"/>
  <c r="J179" i="59"/>
  <c r="J167" i="59"/>
  <c r="J177" i="59"/>
  <c r="J171" i="59"/>
  <c r="J169" i="59"/>
  <c r="K138" i="59" l="1"/>
  <c r="J140" i="59"/>
  <c r="K140" i="59" s="1"/>
  <c r="C32" i="19" l="1"/>
  <c r="I109" i="59" l="1"/>
  <c r="I153" i="55"/>
  <c r="I153" i="54"/>
  <c r="I153" i="56"/>
  <c r="I31" i="19"/>
  <c r="J31" i="19"/>
  <c r="K31" i="19"/>
  <c r="L31" i="19"/>
  <c r="M31" i="19"/>
  <c r="N31" i="19"/>
  <c r="O31" i="19"/>
  <c r="P31" i="19"/>
  <c r="Q31" i="19"/>
  <c r="R31" i="19"/>
  <c r="S31" i="19"/>
  <c r="T31" i="19"/>
  <c r="U31" i="19"/>
  <c r="V31" i="19"/>
  <c r="W31" i="19"/>
  <c r="X31" i="19"/>
  <c r="Y31" i="19"/>
  <c r="Z31" i="19"/>
  <c r="AA31" i="19"/>
  <c r="AB31" i="19"/>
  <c r="AC31" i="19"/>
  <c r="AD31" i="19"/>
  <c r="AE31" i="19"/>
  <c r="AF31" i="19"/>
  <c r="E23" i="19"/>
  <c r="F23" i="19"/>
  <c r="G23" i="19"/>
  <c r="H23" i="19"/>
  <c r="D23" i="19"/>
  <c r="C10" i="19"/>
  <c r="J153" i="55" l="1"/>
  <c r="G153" i="55"/>
  <c r="H153" i="55" s="1"/>
  <c r="G153" i="56"/>
  <c r="H153" i="56" s="1"/>
  <c r="J153" i="56"/>
  <c r="G109" i="59"/>
  <c r="H109" i="59" s="1"/>
  <c r="J109" i="59"/>
  <c r="G153" i="54"/>
  <c r="H153" i="54" s="1"/>
  <c r="J153" i="54"/>
  <c r="K153" i="55" l="1"/>
  <c r="H6" i="55"/>
  <c r="J158" i="55"/>
  <c r="N193" i="55"/>
  <c r="K153" i="54"/>
  <c r="H6" i="54"/>
  <c r="J158" i="54"/>
  <c r="N193" i="54"/>
  <c r="K153" i="56"/>
  <c r="N193" i="56"/>
  <c r="H6" i="56"/>
  <c r="J158" i="56"/>
  <c r="O193" i="54"/>
  <c r="O191" i="54" s="1"/>
  <c r="H158" i="54"/>
  <c r="H159" i="54" s="1"/>
  <c r="H160" i="54" s="1"/>
  <c r="G6" i="54"/>
  <c r="G7" i="54" s="1"/>
  <c r="G13" i="54" s="1"/>
  <c r="J110" i="59"/>
  <c r="J115" i="59" s="1"/>
  <c r="J135" i="59" s="1"/>
  <c r="K109" i="59"/>
  <c r="O161" i="59"/>
  <c r="I6" i="59"/>
  <c r="H158" i="55"/>
  <c r="H159" i="55" s="1"/>
  <c r="H160" i="55" s="1"/>
  <c r="O193" i="55"/>
  <c r="O191" i="55" s="1"/>
  <c r="O195" i="55" s="1"/>
  <c r="G6" i="55"/>
  <c r="G7" i="55" s="1"/>
  <c r="G13" i="55" s="1"/>
  <c r="O193" i="56"/>
  <c r="O191" i="56" s="1"/>
  <c r="O195" i="56" s="1"/>
  <c r="H158" i="56"/>
  <c r="H159" i="56" s="1"/>
  <c r="H160" i="56" s="1"/>
  <c r="G6" i="56"/>
  <c r="G7" i="56" s="1"/>
  <c r="G13" i="56" s="1"/>
  <c r="H110" i="59"/>
  <c r="H115" i="59" s="1"/>
  <c r="P161" i="59"/>
  <c r="P159" i="59" s="1"/>
  <c r="H6" i="59"/>
  <c r="H7" i="59" s="1"/>
  <c r="H13" i="59" s="1"/>
  <c r="F7" i="66" l="1"/>
  <c r="F14" i="66" s="1"/>
  <c r="Q161" i="59"/>
  <c r="O159" i="59"/>
  <c r="O195" i="54"/>
  <c r="Q186" i="54" s="1"/>
  <c r="Q191" i="55"/>
  <c r="Q186" i="55"/>
  <c r="P193" i="55"/>
  <c r="N191" i="55"/>
  <c r="F203" i="54"/>
  <c r="H179" i="54"/>
  <c r="H181" i="54" s="1"/>
  <c r="H183" i="54" s="1"/>
  <c r="H185" i="54" s="1"/>
  <c r="F203" i="55"/>
  <c r="H179" i="55"/>
  <c r="H181" i="55" s="1"/>
  <c r="H183" i="55" s="1"/>
  <c r="H185" i="55" s="1"/>
  <c r="J160" i="56"/>
  <c r="K158" i="56"/>
  <c r="P193" i="54"/>
  <c r="N191" i="54"/>
  <c r="J160" i="55"/>
  <c r="K158" i="55"/>
  <c r="Q191" i="56"/>
  <c r="Q186" i="56"/>
  <c r="P163" i="59"/>
  <c r="R154" i="59" s="1"/>
  <c r="H6" i="66"/>
  <c r="G7" i="66"/>
  <c r="H7" i="56"/>
  <c r="I6" i="56"/>
  <c r="J160" i="54"/>
  <c r="K158" i="54"/>
  <c r="I6" i="55"/>
  <c r="H7" i="55"/>
  <c r="K115" i="59"/>
  <c r="H135" i="59"/>
  <c r="K135" i="59" s="1"/>
  <c r="P193" i="56"/>
  <c r="N191" i="56"/>
  <c r="I6" i="54"/>
  <c r="H7" i="54"/>
  <c r="I7" i="59"/>
  <c r="J6" i="59"/>
  <c r="F203" i="56"/>
  <c r="H179" i="56"/>
  <c r="H181" i="56" s="1"/>
  <c r="H183" i="56" s="1"/>
  <c r="H185" i="56" s="1"/>
  <c r="Q191" i="54" l="1"/>
  <c r="K160" i="54"/>
  <c r="J179" i="54"/>
  <c r="G203" i="54"/>
  <c r="P191" i="56"/>
  <c r="N195" i="56"/>
  <c r="P195" i="56" s="1"/>
  <c r="Q159" i="59"/>
  <c r="O163" i="59"/>
  <c r="I7" i="56"/>
  <c r="H13" i="56"/>
  <c r="I13" i="56" s="1"/>
  <c r="G203" i="55"/>
  <c r="J179" i="55"/>
  <c r="K160" i="55"/>
  <c r="P191" i="55"/>
  <c r="N195" i="55"/>
  <c r="P195" i="55" s="1"/>
  <c r="I13" i="59"/>
  <c r="J13" i="59" s="1"/>
  <c r="J7" i="59"/>
  <c r="H7" i="66"/>
  <c r="G14" i="66"/>
  <c r="H14" i="66" s="1"/>
  <c r="P191" i="54"/>
  <c r="N195" i="54"/>
  <c r="P195" i="54" s="1"/>
  <c r="K203" i="56"/>
  <c r="F205" i="56"/>
  <c r="I7" i="54"/>
  <c r="H13" i="54"/>
  <c r="I13" i="54" s="1"/>
  <c r="I7" i="55"/>
  <c r="H13" i="55"/>
  <c r="I13" i="55" s="1"/>
  <c r="R159" i="59"/>
  <c r="K203" i="55"/>
  <c r="F205" i="55"/>
  <c r="K203" i="54"/>
  <c r="F205" i="54"/>
  <c r="K160" i="56"/>
  <c r="J179" i="56"/>
  <c r="G203" i="56"/>
  <c r="J203" i="54" l="1"/>
  <c r="H203" i="54"/>
  <c r="G205" i="54"/>
  <c r="N198" i="54"/>
  <c r="J183" i="54"/>
  <c r="K179" i="54"/>
  <c r="F218" i="56"/>
  <c r="K205" i="56"/>
  <c r="K218" i="56" s="1"/>
  <c r="G205" i="55"/>
  <c r="H205" i="55" s="1"/>
  <c r="J203" i="55"/>
  <c r="H203" i="55"/>
  <c r="K205" i="54"/>
  <c r="K218" i="54" s="1"/>
  <c r="F218" i="54"/>
  <c r="Q163" i="59"/>
  <c r="O166" i="59"/>
  <c r="J203" i="56"/>
  <c r="H203" i="56"/>
  <c r="G205" i="56"/>
  <c r="F218" i="55"/>
  <c r="K205" i="55"/>
  <c r="K218" i="55" s="1"/>
  <c r="K179" i="56"/>
  <c r="N198" i="56"/>
  <c r="J183" i="56"/>
  <c r="N198" i="55"/>
  <c r="K179" i="55"/>
  <c r="J183" i="55"/>
  <c r="K4" i="19"/>
  <c r="J205" i="55" l="1"/>
  <c r="J218" i="55" s="1"/>
  <c r="G218" i="55"/>
  <c r="I205" i="55"/>
  <c r="J185" i="54"/>
  <c r="K185" i="54" s="1"/>
  <c r="K183" i="54"/>
  <c r="J205" i="54"/>
  <c r="J218" i="54" s="1"/>
  <c r="H205" i="54"/>
  <c r="G218" i="54"/>
  <c r="I205" i="54" s="1"/>
  <c r="J205" i="56"/>
  <c r="J218" i="56" s="1"/>
  <c r="H205" i="56"/>
  <c r="G218" i="56"/>
  <c r="K183" i="56"/>
  <c r="J185" i="56"/>
  <c r="K185" i="56" s="1"/>
  <c r="J185" i="55"/>
  <c r="K185" i="55" s="1"/>
  <c r="K183" i="55"/>
  <c r="G34" i="19"/>
  <c r="G31" i="19" s="1"/>
  <c r="G37" i="19" s="1"/>
  <c r="G38" i="19" s="1"/>
  <c r="F34" i="19"/>
  <c r="F31" i="19" s="1"/>
  <c r="F37" i="19" s="1"/>
  <c r="F38" i="19" s="1"/>
  <c r="H34" i="19"/>
  <c r="H31" i="19" s="1"/>
  <c r="H37" i="19" s="1"/>
  <c r="H38" i="19" s="1"/>
  <c r="E34" i="19"/>
  <c r="E31" i="19" s="1"/>
  <c r="E37" i="19" s="1"/>
  <c r="E38" i="19" s="1"/>
  <c r="D34" i="19"/>
  <c r="D31" i="19" s="1"/>
  <c r="D37" i="19" s="1"/>
  <c r="D38" i="19" s="1"/>
  <c r="I24" i="19"/>
  <c r="C35" i="19"/>
  <c r="AF22" i="19"/>
  <c r="K7" i="19"/>
  <c r="K5" i="19"/>
  <c r="C33" i="19"/>
  <c r="I215" i="54" l="1"/>
  <c r="I218" i="54" s="1"/>
  <c r="I213" i="54"/>
  <c r="H218" i="54"/>
  <c r="I199" i="54"/>
  <c r="I201" i="54"/>
  <c r="I211" i="54"/>
  <c r="I209" i="54"/>
  <c r="I203" i="54"/>
  <c r="I213" i="55"/>
  <c r="I209" i="55"/>
  <c r="I211" i="55"/>
  <c r="I199" i="55"/>
  <c r="I215" i="55"/>
  <c r="I218" i="55" s="1"/>
  <c r="I201" i="55"/>
  <c r="I203" i="55"/>
  <c r="I205" i="56"/>
  <c r="H218" i="56"/>
  <c r="I213" i="56"/>
  <c r="I201" i="56"/>
  <c r="I199" i="56"/>
  <c r="I215" i="56"/>
  <c r="I209" i="56"/>
  <c r="I211" i="56"/>
  <c r="I203" i="56"/>
  <c r="H218" i="55"/>
  <c r="I26" i="19"/>
  <c r="I25" i="19"/>
  <c r="L24" i="19"/>
  <c r="T24" i="19"/>
  <c r="AB24" i="19"/>
  <c r="AD24" i="19"/>
  <c r="AE24" i="19"/>
  <c r="P24" i="19"/>
  <c r="M24" i="19"/>
  <c r="U24" i="19"/>
  <c r="AC24" i="19"/>
  <c r="N24" i="19"/>
  <c r="W24" i="19"/>
  <c r="J24" i="19"/>
  <c r="Y24" i="19"/>
  <c r="K24" i="19"/>
  <c r="V24" i="19"/>
  <c r="X24" i="19"/>
  <c r="Z24" i="19"/>
  <c r="S24" i="19"/>
  <c r="O24" i="19"/>
  <c r="AF24" i="19"/>
  <c r="Q24" i="19"/>
  <c r="R24" i="19"/>
  <c r="AA24" i="19"/>
  <c r="I218" i="56" l="1"/>
  <c r="I23" i="19"/>
  <c r="M25" i="19"/>
  <c r="U25" i="19"/>
  <c r="AC25" i="19"/>
  <c r="AE25" i="19"/>
  <c r="AE23" i="19" s="1"/>
  <c r="R25" i="19"/>
  <c r="S25" i="19"/>
  <c r="T25" i="19"/>
  <c r="N25" i="19"/>
  <c r="V25" i="19"/>
  <c r="AD25" i="19"/>
  <c r="W25" i="19"/>
  <c r="Z25" i="19"/>
  <c r="O25" i="19"/>
  <c r="P25" i="19"/>
  <c r="X25" i="19"/>
  <c r="AF25" i="19"/>
  <c r="J25" i="19"/>
  <c r="Y25" i="19"/>
  <c r="AA25" i="19"/>
  <c r="AB25" i="19"/>
  <c r="Q25" i="19"/>
  <c r="Q23" i="19" s="1"/>
  <c r="K25" i="19"/>
  <c r="L25" i="19"/>
  <c r="O26" i="19"/>
  <c r="W26" i="19"/>
  <c r="AE26" i="19"/>
  <c r="AF26" i="19"/>
  <c r="Y26" i="19"/>
  <c r="K26" i="19"/>
  <c r="AB26" i="19"/>
  <c r="U26" i="19"/>
  <c r="P26" i="19"/>
  <c r="X26" i="19"/>
  <c r="Q26" i="19"/>
  <c r="J26" i="19"/>
  <c r="S26" i="19"/>
  <c r="AA26" i="19"/>
  <c r="N26" i="19"/>
  <c r="R26" i="19"/>
  <c r="Z26" i="19"/>
  <c r="L26" i="19"/>
  <c r="T26" i="19"/>
  <c r="M26" i="19"/>
  <c r="AC26" i="19"/>
  <c r="AC23" i="19" s="1"/>
  <c r="AD26" i="19"/>
  <c r="V26" i="19"/>
  <c r="C31" i="19"/>
  <c r="K23" i="19" l="1"/>
  <c r="P23" i="19"/>
  <c r="O23" i="19"/>
  <c r="AB23" i="19"/>
  <c r="AF23" i="19"/>
  <c r="AD23" i="19"/>
  <c r="U23" i="19"/>
  <c r="V23" i="19"/>
  <c r="M23" i="19"/>
  <c r="Z23" i="19"/>
  <c r="J23" i="19"/>
  <c r="N23" i="19"/>
  <c r="W23" i="19"/>
  <c r="R23" i="19"/>
  <c r="L23" i="19"/>
  <c r="X23" i="19"/>
  <c r="T23" i="19"/>
  <c r="Y23" i="19"/>
  <c r="AA23" i="19"/>
  <c r="S23" i="19"/>
  <c r="C17" i="19"/>
  <c r="D17" i="19" s="1"/>
  <c r="E17" i="19" s="1"/>
  <c r="F17" i="19" s="1"/>
  <c r="G17" i="19" s="1"/>
  <c r="H17" i="19" s="1"/>
  <c r="C37" i="19"/>
  <c r="C38" i="19" s="1"/>
  <c r="I21" i="19" l="1"/>
  <c r="O22" i="19" l="1"/>
  <c r="O20" i="19" s="1"/>
  <c r="O37" i="19" s="1"/>
  <c r="O38" i="19" s="1"/>
  <c r="AE22" i="19" l="1"/>
  <c r="AE20" i="19" s="1"/>
  <c r="AE37" i="19" s="1"/>
  <c r="AE38" i="19" s="1"/>
  <c r="Q22" i="19"/>
  <c r="Q20" i="19" s="1"/>
  <c r="Q37" i="19" s="1"/>
  <c r="Q38" i="19" s="1"/>
  <c r="X22" i="19"/>
  <c r="X20" i="19" s="1"/>
  <c r="X37" i="19" s="1"/>
  <c r="X38" i="19" s="1"/>
  <c r="P22" i="19"/>
  <c r="P20" i="19" s="1"/>
  <c r="P37" i="19" s="1"/>
  <c r="P38" i="19" s="1"/>
  <c r="N22" i="19"/>
  <c r="N20" i="19" s="1"/>
  <c r="N37" i="19" s="1"/>
  <c r="N38" i="19" s="1"/>
  <c r="AB22" i="19"/>
  <c r="AB20" i="19" s="1"/>
  <c r="AB37" i="19" s="1"/>
  <c r="AB38" i="19" s="1"/>
  <c r="K22" i="19"/>
  <c r="K20" i="19" s="1"/>
  <c r="K37" i="19" s="1"/>
  <c r="K38" i="19" s="1"/>
  <c r="W22" i="19"/>
  <c r="W20" i="19" s="1"/>
  <c r="W37" i="19" s="1"/>
  <c r="W38" i="19" s="1"/>
  <c r="V22" i="19"/>
  <c r="V20" i="19" s="1"/>
  <c r="V37" i="19" s="1"/>
  <c r="V38" i="19" s="1"/>
  <c r="AA22" i="19"/>
  <c r="AA20" i="19" s="1"/>
  <c r="AA37" i="19" s="1"/>
  <c r="AA38" i="19" s="1"/>
  <c r="R22" i="19"/>
  <c r="R20" i="19" s="1"/>
  <c r="R37" i="19" s="1"/>
  <c r="R38" i="19" s="1"/>
  <c r="J22" i="19"/>
  <c r="J20" i="19" s="1"/>
  <c r="J37" i="19" s="1"/>
  <c r="J38" i="19" s="1"/>
  <c r="L22" i="19"/>
  <c r="L20" i="19" s="1"/>
  <c r="L37" i="19" s="1"/>
  <c r="L38" i="19" s="1"/>
  <c r="AF20" i="19"/>
  <c r="AF37" i="19" s="1"/>
  <c r="AF38" i="19" s="1"/>
  <c r="T22" i="19"/>
  <c r="T20" i="19" s="1"/>
  <c r="T37" i="19" s="1"/>
  <c r="T38" i="19" s="1"/>
  <c r="I22" i="19"/>
  <c r="I20" i="19" s="1"/>
  <c r="I37" i="19" s="1"/>
  <c r="Y22" i="19"/>
  <c r="Y20" i="19" s="1"/>
  <c r="Y37" i="19" s="1"/>
  <c r="Y38" i="19" s="1"/>
  <c r="AD22" i="19"/>
  <c r="AD20" i="19" s="1"/>
  <c r="AD37" i="19" s="1"/>
  <c r="AD38" i="19" s="1"/>
  <c r="U22" i="19"/>
  <c r="U20" i="19" s="1"/>
  <c r="U37" i="19" s="1"/>
  <c r="U38" i="19" s="1"/>
  <c r="M22" i="19"/>
  <c r="M20" i="19" s="1"/>
  <c r="M37" i="19" s="1"/>
  <c r="M38" i="19" s="1"/>
  <c r="Z22" i="19"/>
  <c r="Z20" i="19" s="1"/>
  <c r="Z37" i="19" s="1"/>
  <c r="Z38" i="19" s="1"/>
  <c r="S22" i="19"/>
  <c r="S20" i="19" s="1"/>
  <c r="S37" i="19" s="1"/>
  <c r="S38" i="19" s="1"/>
  <c r="AC22" i="19"/>
  <c r="AC20" i="19" s="1"/>
  <c r="AC37" i="19" s="1"/>
  <c r="AC38" i="19" s="1"/>
  <c r="C6" i="19" l="1"/>
  <c r="I17" i="19"/>
  <c r="J17" i="19" s="1"/>
  <c r="C7" i="19"/>
  <c r="C8" i="19"/>
  <c r="I38" i="19"/>
  <c r="C5" i="19"/>
  <c r="I13" i="19" l="1"/>
  <c r="K17" i="19"/>
  <c r="J13" i="19"/>
  <c r="K13" i="19" l="1"/>
  <c r="L17" i="19"/>
  <c r="M17" i="19" l="1"/>
  <c r="L13" i="19"/>
  <c r="N17" i="19" l="1"/>
  <c r="M13" i="19"/>
  <c r="O17" i="19" l="1"/>
  <c r="N13" i="19"/>
  <c r="P17" i="19" l="1"/>
  <c r="O13" i="19"/>
  <c r="Q17" i="19" l="1"/>
  <c r="P13" i="19"/>
  <c r="R17" i="19" l="1"/>
  <c r="Q13" i="19"/>
  <c r="S17" i="19" l="1"/>
  <c r="R13" i="19"/>
  <c r="T17" i="19" l="1"/>
  <c r="S13" i="19"/>
  <c r="U17" i="19" l="1"/>
  <c r="T13" i="19"/>
  <c r="V17" i="19" l="1"/>
  <c r="U13" i="19"/>
  <c r="W17" i="19" l="1"/>
  <c r="V13" i="19"/>
  <c r="X17" i="19" l="1"/>
  <c r="W13" i="19"/>
  <c r="Y17" i="19" l="1"/>
  <c r="X13" i="19"/>
  <c r="Z17" i="19" l="1"/>
  <c r="Y13" i="19"/>
  <c r="AA17" i="19" l="1"/>
  <c r="Z13" i="19"/>
  <c r="AB17" i="19" l="1"/>
  <c r="AA13" i="19"/>
  <c r="AC17" i="19" l="1"/>
  <c r="AB13" i="19"/>
  <c r="AD17" i="19" l="1"/>
  <c r="AC13" i="19"/>
  <c r="AE17" i="19" l="1"/>
  <c r="AD13" i="19"/>
  <c r="AF17" i="19" l="1"/>
  <c r="AE13" i="19"/>
  <c r="AF13" i="19" l="1"/>
  <c r="C4" i="19" l="1"/>
  <c r="K110" i="5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tc={9308ADC0-CA01-47E7-9BBC-E18A736C7F26}</author>
    <author>tc={F36818F9-0A6F-4D87-AA61-572D711CBBD1}</author>
    <author>tc={2C1F3146-8DC4-4721-80A7-05FDD5C47BD8}</author>
  </authors>
  <commentList>
    <comment ref="J7" authorId="0" shapeId="0" xr:uid="{9308ADC0-CA01-47E7-9BBC-E18A736C7F26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Added $3M for Call Center</t>
        </r>
      </text>
    </comment>
    <comment ref="I15" authorId="1" shapeId="0" xr:uid="{F36818F9-0A6F-4D87-AA61-572D711CBBD1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Kbps</t>
        </r>
      </text>
    </comment>
    <comment ref="I16" authorId="2" shapeId="0" xr:uid="{2C1F3146-8DC4-4721-80A7-05FDD5C47BD8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Kbps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2E964C0-1950-4C7F-98D0-A1E47B726354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86188624-D0F6-4568-B340-36012C992DCA}" name="WorksheetConnection_QTO TEMPLATE JAN1724.xlsx!Table1" type="102" refreshedVersion="8" minRefreshableVersion="5">
    <extLst>
      <ext xmlns:x15="http://schemas.microsoft.com/office/spreadsheetml/2010/11/main" uri="{DE250136-89BD-433C-8126-D09CA5730AF9}">
        <x15:connection id="Table1">
          <x15:rangePr sourceName="_xlcn.WorksheetConnection_QTOTEMPLATEJAN1724.xlsxTable11"/>
        </x15:connection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1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<sst xmlns="http://schemas.openxmlformats.org/spreadsheetml/2006/main" count="18407" uniqueCount="3940">
  <si>
    <t>CAPEX</t>
  </si>
  <si>
    <t>OPEX</t>
  </si>
  <si>
    <t>Sites</t>
  </si>
  <si>
    <t>Margin</t>
  </si>
  <si>
    <t>Price</t>
  </si>
  <si>
    <t>Type</t>
  </si>
  <si>
    <t>Logistics (Storage center)</t>
  </si>
  <si>
    <t>ITEM 3</t>
  </si>
  <si>
    <t>Penalties</t>
  </si>
  <si>
    <t>Movings or Relocation 10% (Unistallation &amp; re installation)</t>
  </si>
  <si>
    <t>Without IVA</t>
  </si>
  <si>
    <t>Installation + Site Survey + Materials Sites Ka Band</t>
  </si>
  <si>
    <t xml:space="preserve">Local training about the monitoring tool and web filtering tool </t>
  </si>
  <si>
    <t>Profit Margin</t>
  </si>
  <si>
    <t>UIT</t>
  </si>
  <si>
    <t>Diferents Penalties on the month</t>
  </si>
  <si>
    <t>% sites with Penalties / month</t>
  </si>
  <si>
    <t>One time Network Operations and Management setup</t>
  </si>
  <si>
    <t>Space Segment Ka - T19V &amp; SES-17</t>
  </si>
  <si>
    <t>Cost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</si>
  <si>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</si>
  <si>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</si>
  <si>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</si>
  <si>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</si>
  <si>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</si>
  <si>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</si>
  <si>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</si>
  <si>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</si>
  <si>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</si>
  <si>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</si>
  <si>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</si>
  <si>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</si>
  <si>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</si>
  <si>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</si>
  <si>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</si>
  <si>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</si>
  <si>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</si>
  <si>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</si>
  <si>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</si>
  <si>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</si>
  <si>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</si>
  <si>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</si>
  <si>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</si>
  <si>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</si>
  <si>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</si>
  <si>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</si>
  <si>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</si>
  <si>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</si>
  <si>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</si>
  <si>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M29</t>
  </si>
  <si>
    <t>CASH BALANCE</t>
  </si>
  <si>
    <t>OPERATING CASH FLOW</t>
  </si>
  <si>
    <t>INCOME</t>
  </si>
  <si>
    <t>OUTFLOW</t>
  </si>
  <si>
    <t>MONTHLY PAYMENT</t>
  </si>
  <si>
    <t>FCF</t>
  </si>
  <si>
    <t>FCF Discounted</t>
  </si>
  <si>
    <t>WACC (Monthly)</t>
  </si>
  <si>
    <t>WACC (annual)</t>
  </si>
  <si>
    <t>NPV (12m)</t>
  </si>
  <si>
    <t>NPV (24m)</t>
  </si>
  <si>
    <t>NPV (36m)</t>
  </si>
  <si>
    <t>NPV PROJECT (41m)</t>
  </si>
  <si>
    <t>PAYBACK</t>
  </si>
  <si>
    <t>TOTAL PRICE (USD)</t>
  </si>
  <si>
    <t>TOTAL PRICE (S/)</t>
  </si>
  <si>
    <t>FIRST PAYMENT</t>
  </si>
  <si>
    <t>ROLL OUT</t>
  </si>
  <si>
    <t>Description</t>
  </si>
  <si>
    <t>Qty</t>
  </si>
  <si>
    <t>Development and Implementation of Speed ​​Tests</t>
  </si>
  <si>
    <t>Mbps</t>
  </si>
  <si>
    <t xml:space="preserve">Hughes de Peru Operations </t>
  </si>
  <si>
    <t>COST</t>
  </si>
  <si>
    <t>PRICE</t>
  </si>
  <si>
    <t>Total</t>
  </si>
  <si>
    <t>SERVICE DESCRIPTION</t>
  </si>
  <si>
    <t>% Project Cost</t>
  </si>
  <si>
    <t>Cost / Site/Mo</t>
  </si>
  <si>
    <t>Price / Site/Mo</t>
  </si>
  <si>
    <t>This includes:</t>
  </si>
  <si>
    <t>Ka Band Managed Capacity</t>
  </si>
  <si>
    <t>Total Capacity</t>
  </si>
  <si>
    <t>Total Sites</t>
  </si>
  <si>
    <t>HW 3rd Party</t>
  </si>
  <si>
    <t>Contract Duration</t>
  </si>
  <si>
    <t>Installation &amp; Support</t>
  </si>
  <si>
    <t>Monitoring Platform for Links</t>
  </si>
  <si>
    <t>Monitoring Operation</t>
  </si>
  <si>
    <t>Tranportation Hughes</t>
  </si>
  <si>
    <t>Inputs</t>
  </si>
  <si>
    <t>HUGHES T19 Number of Sites</t>
  </si>
  <si>
    <t>Sites out of coverage</t>
  </si>
  <si>
    <t>Number of Sites</t>
  </si>
  <si>
    <t>Total capacity T19 (Mbps)</t>
  </si>
  <si>
    <t>Average Mbps per Site</t>
  </si>
  <si>
    <t>Terminal Unit Price (USD)</t>
  </si>
  <si>
    <t>COST - HUGHES  Ka band Mbps / Month (USD)</t>
  </si>
  <si>
    <t>Remote Spares</t>
  </si>
  <si>
    <t>Total of Spares</t>
  </si>
  <si>
    <t>Total capacity SES-17 (Mbps)</t>
  </si>
  <si>
    <t>Total Ka band Capacity (Mbps)</t>
  </si>
  <si>
    <t>COST - SES Ka band Mbps / Month (USD)</t>
  </si>
  <si>
    <t>Tipo de Cambio</t>
  </si>
  <si>
    <t xml:space="preserve">Contract </t>
  </si>
  <si>
    <t>Manufacturer Part #</t>
  </si>
  <si>
    <t>Product Code</t>
  </si>
  <si>
    <t>Unit of Pricing</t>
  </si>
  <si>
    <t>Unit Price</t>
  </si>
  <si>
    <t>Ext. Price</t>
  </si>
  <si>
    <t>Unit Cost</t>
  </si>
  <si>
    <t>Ext. Cost</t>
  </si>
  <si>
    <t>1505216-0332</t>
  </si>
  <si>
    <t>HT2010</t>
  </si>
  <si>
    <t>HT2010 Consumer Broadband Satellite Router, Ka Band only</t>
  </si>
  <si>
    <t>ea</t>
  </si>
  <si>
    <t>3W Multi-mode radio, Ka-Band, RHCP</t>
  </si>
  <si>
    <t>1506307-0001+1506307-0101</t>
  </si>
  <si>
    <t>AN-120-SG-P1 + AN-120-SG-P2</t>
  </si>
  <si>
    <t>1.2m Ka-Band antenna, Single IFL</t>
  </si>
  <si>
    <t>Discount</t>
  </si>
  <si>
    <t>1.2m Ka antenna tri-mast mount</t>
  </si>
  <si>
    <t>1506689-1004</t>
  </si>
  <si>
    <t>HB220-L</t>
  </si>
  <si>
    <t>Antenna Mast</t>
  </si>
  <si>
    <t xml:space="preserve">CAPEX REMOTE TERMINALS - VSAT </t>
  </si>
  <si>
    <t>CAPEX REMOTE TERMINALS - SPARE VSAT (20 kits vandalism and 5% for operations)</t>
  </si>
  <si>
    <t>INFRAESTRUCTURE</t>
  </si>
  <si>
    <t>Vendor</t>
  </si>
  <si>
    <t>CABINETS</t>
  </si>
  <si>
    <t>ROUTERS MIKROTIK</t>
  </si>
  <si>
    <t>MIKROTIK</t>
  </si>
  <si>
    <t>RB760IGS</t>
  </si>
  <si>
    <t>5x Gigabit Ethernet, SFP, Dual Core 880MHz CPU, 256MB RAM, USB, microSD, RouterOS L4, IPsec hardware encryption support and The Dude server package</t>
  </si>
  <si>
    <t>5x Gigabit Ethernet, SFP, Dual Core 880MHz CPU, 256MB RAM, USB, microSD, RouterOS L4, IPsec hardware encryption support and The Dude server package (20 kits vandalism and 5% for operations)</t>
  </si>
  <si>
    <t>DESKTOP COMPUTER</t>
  </si>
  <si>
    <t>ONE TIME SERVICES</t>
  </si>
  <si>
    <t>Failed visits during installation</t>
  </si>
  <si>
    <t>HUGHES</t>
  </si>
  <si>
    <t>RECURRING SERVICES</t>
  </si>
  <si>
    <t>Recurring services - Managemen</t>
  </si>
  <si>
    <t>SES-17</t>
  </si>
  <si>
    <t xml:space="preserve">TOTAL </t>
  </si>
  <si>
    <t>Overall Discount</t>
  </si>
  <si>
    <t>T19V</t>
  </si>
  <si>
    <t>MARGIN</t>
  </si>
  <si>
    <t>Digital Repositoriy</t>
  </si>
  <si>
    <t>Management and service desk system - Speed Test Reporting (hardware included) - 24 months</t>
  </si>
  <si>
    <t>ACCESS POINTS</t>
  </si>
  <si>
    <t>SOLAR PANELS</t>
  </si>
  <si>
    <t>Solar Panel</t>
  </si>
  <si>
    <t>Cabinet Outdoor</t>
  </si>
  <si>
    <t>Field Services - Site Corrective Maintenance - Ka Band (2Y)</t>
  </si>
  <si>
    <t>GRAND TOTAL</t>
  </si>
  <si>
    <t>Outdoor Dual radio WiFi 6 AP Omni 2x2, GbE. RW</t>
  </si>
  <si>
    <t>AC line cord, US Type B, 720mm, C5 connector</t>
  </si>
  <si>
    <t>XMS-Cloud 3-year subscription for Education: 2 and 3-radio AP with all EasyPass modules and Cambium Care Advanced Support</t>
  </si>
  <si>
    <t>QTO PRONATEL-EPAD SELVA</t>
  </si>
  <si>
    <t>Price x Site x Month</t>
  </si>
  <si>
    <t>Cost x Site x Month</t>
  </si>
  <si>
    <t>Local Training to 2 people of the EPAD about process to verify the terminal</t>
  </si>
  <si>
    <t>Ka managed capacity during the implementation - 6 months</t>
  </si>
  <si>
    <t>Managed Capacity Operations</t>
  </si>
  <si>
    <t>SUB TOTAL</t>
  </si>
  <si>
    <t>Solar Panel + Installation</t>
  </si>
  <si>
    <t>Months</t>
  </si>
  <si>
    <t>1376 X VSAT</t>
  </si>
  <si>
    <t>Total (IVA NOT INCLUDED)</t>
  </si>
  <si>
    <t xml:space="preserve">Dedicated FTE from Germantown </t>
  </si>
  <si>
    <t>Monitoring Plataform</t>
  </si>
  <si>
    <t>Price per Site per Month (with IVA)</t>
  </si>
  <si>
    <t>CAMBIUM</t>
  </si>
  <si>
    <t>PoE, 60W, 56V, 5GbE DC Injector, Indoor, Energy Level 6 Supply, accepts C5 connector</t>
  </si>
  <si>
    <t>Computadora para Monitoreo</t>
  </si>
  <si>
    <t>IBOSS-WEB FILTERING SOLUTION</t>
  </si>
  <si>
    <t>FORTINET ITEM 1</t>
  </si>
  <si>
    <t>FORTINET ITEM 2</t>
  </si>
  <si>
    <t>FORTINET ITEM 3</t>
  </si>
  <si>
    <t>FORTINET ITEM 4</t>
  </si>
  <si>
    <t>FORTINET ITEM 5</t>
  </si>
  <si>
    <t>FORTINET ALL ITEMS</t>
  </si>
  <si>
    <t>Edulink Mini Servidor Industrial</t>
  </si>
  <si>
    <t>Edulink Implementation</t>
  </si>
  <si>
    <t>Support 2 years</t>
  </si>
  <si>
    <t>Software Edulink</t>
  </si>
  <si>
    <t>Edulink Mini Servidor Industrial - Spare</t>
  </si>
  <si>
    <t>1506560-0012+1506561-0011</t>
  </si>
  <si>
    <t>AN-90-KA1-NL-4PK + AN-90-KA2-4PK</t>
  </si>
  <si>
    <t>90cm Ka-Band antenna, Single IFL, 4 PK- 4 antennas</t>
  </si>
  <si>
    <t>1506560-0022+ 1506561-0021</t>
  </si>
  <si>
    <t>AN-90-KA1-NL-1PK + AN-90-KA2-1PK</t>
  </si>
  <si>
    <t>90cm Ka-Band antenna, Single IFL, 1 PK</t>
  </si>
  <si>
    <t>Trimast Mount for 74cm and 90cm antenna</t>
  </si>
  <si>
    <t>Network Operation and Management - 24 months</t>
  </si>
  <si>
    <t>Owner</t>
  </si>
  <si>
    <t>HNS</t>
  </si>
  <si>
    <t>HDP</t>
  </si>
  <si>
    <t>Markup</t>
  </si>
  <si>
    <t>HNS - CAPEX - VSAT</t>
  </si>
  <si>
    <t>HNS - CAPEX - GW INFRA</t>
  </si>
  <si>
    <t>HNS - OPEX</t>
  </si>
  <si>
    <t>HDP CAPEX</t>
  </si>
  <si>
    <t>HDP - OPEX</t>
  </si>
  <si>
    <t>VSAT</t>
  </si>
  <si>
    <t>GW-INFRA</t>
  </si>
  <si>
    <t>Capacity (T19V+SES-17)</t>
  </si>
  <si>
    <t>QTO PRONATEL-EPAD SELVA - ITEM 1</t>
  </si>
  <si>
    <t>PRONATEL EPAD SELVA - ITEM 1</t>
  </si>
  <si>
    <t>QTO PRONATEL-EPAD SELVA - ITEM 2</t>
  </si>
  <si>
    <t>PRONATEL EPAD SELVA - ITEM 2</t>
  </si>
  <si>
    <t>QTO PRONATEL-EPAD SELVA - ITEM 3</t>
  </si>
  <si>
    <t>PRONATEL EPAD SELVA - ITEM 3</t>
  </si>
  <si>
    <t>Infraestructure</t>
  </si>
  <si>
    <t>One Time Services</t>
  </si>
  <si>
    <t>One Time Network and Management Operations</t>
  </si>
  <si>
    <t>ESTIMATED CASH FLOW - EPAD SATELITAL - ALL ITEMS - HUGHES AS A PRIME</t>
  </si>
  <si>
    <t>PRONATEL First Payment</t>
  </si>
  <si>
    <t>PRONATEL Monthly Payment</t>
  </si>
  <si>
    <t>Recurring services - Management, call out</t>
  </si>
  <si>
    <t>Transportation Hughes</t>
  </si>
  <si>
    <t>SES Capacity (0 Sites) - 0 Mbps</t>
  </si>
  <si>
    <t xml:space="preserve">Ka managed capacity for 24 Months -   970 Mbps - assuming 1:10 overbooking </t>
  </si>
  <si>
    <t xml:space="preserve">Ka managed capacity for 24 Months -   675 Mbps - assuming 1:10 overbooking </t>
  </si>
  <si>
    <t>SES Capacity  - 853 Mbps</t>
  </si>
  <si>
    <t xml:space="preserve">Ka managed capacity for 24 Months -   53 Mbps - assuming 1:10 overbooking </t>
  </si>
  <si>
    <t>Penalties / Reserve</t>
  </si>
  <si>
    <t>Server for SpeedTest - HP DL360</t>
  </si>
  <si>
    <t>Hosting for SpeedTest Servers</t>
  </si>
  <si>
    <t xml:space="preserve">SES Capacity  </t>
  </si>
  <si>
    <t xml:space="preserve">Ka managed capacity for 24 Months -  </t>
  </si>
  <si>
    <t>Thousends f</t>
  </si>
  <si>
    <t>add 3rd party caapcity</t>
  </si>
  <si>
    <t>in thousands</t>
  </si>
  <si>
    <t>Caacity cost  )our and 3rd party)</t>
  </si>
  <si>
    <t>Total caapacity (Hughes and 3rd party)</t>
  </si>
  <si>
    <t>Monthlky leased</t>
  </si>
  <si>
    <t>Show purchase price, exclude financing</t>
  </si>
  <si>
    <t>exclude financing analysis</t>
  </si>
  <si>
    <t>Price per site</t>
  </si>
  <si>
    <t>Price per Mbps</t>
  </si>
  <si>
    <t>Cost per site</t>
  </si>
  <si>
    <t>Number  of sites</t>
  </si>
  <si>
    <t xml:space="preserve">local quotes in local currency to avoid risk </t>
  </si>
  <si>
    <r>
      <rPr>
        <b/>
        <sz val="14"/>
        <color rgb="FFFF0000"/>
        <rFont val="Calibri"/>
        <family val="2"/>
        <scheme val="minor"/>
      </rPr>
      <t>Installation</t>
    </r>
    <r>
      <rPr>
        <b/>
        <sz val="14"/>
        <color rgb="FFFFFF00"/>
        <rFont val="Calibri"/>
        <family val="2"/>
        <scheme val="minor"/>
      </rPr>
      <t xml:space="preserve"> &amp; Support</t>
    </r>
  </si>
  <si>
    <t>One Time</t>
  </si>
  <si>
    <t>Vsats</t>
  </si>
  <si>
    <t>3rd party</t>
  </si>
  <si>
    <t>installation</t>
  </si>
  <si>
    <t>separate tab</t>
  </si>
  <si>
    <t>UPDATED COST HUGHES</t>
  </si>
  <si>
    <t>Hughes Equipment</t>
  </si>
  <si>
    <t>Baseline Equipment</t>
  </si>
  <si>
    <t>Spares (20 kits vandalism and 5% for operations)</t>
  </si>
  <si>
    <t>Subtotal Baseline Equipment</t>
  </si>
  <si>
    <t>Subtotal Spares</t>
  </si>
  <si>
    <t>Summary Hughes Equipment</t>
  </si>
  <si>
    <t>Third Party Equipment</t>
  </si>
  <si>
    <t>Spare Solar Panel</t>
  </si>
  <si>
    <t>Spare Cabinets</t>
  </si>
  <si>
    <t>Subtotal Solar Panels</t>
  </si>
  <si>
    <t>Subtotal Cabinets</t>
  </si>
  <si>
    <t xml:space="preserve">Subtotal Routers </t>
  </si>
  <si>
    <t>Subtotal Desktop Computer</t>
  </si>
  <si>
    <t>Subtotal IBOSS Web Filtering Solution</t>
  </si>
  <si>
    <t>Subtotal Access Points</t>
  </si>
  <si>
    <t>Subtotal One Time Services</t>
  </si>
  <si>
    <t>Subtotal One Time NW Ops and Mgmnt</t>
  </si>
  <si>
    <t>Subtotal Digital Repository</t>
  </si>
  <si>
    <t>Summary Third Party Equipment</t>
  </si>
  <si>
    <t>Hughes Services</t>
  </si>
  <si>
    <t>Hughes Capacity</t>
  </si>
  <si>
    <t>Third Party Capacity</t>
  </si>
  <si>
    <t>Subtotal Hughes Cpacity</t>
  </si>
  <si>
    <t>Subtotal Third Party Capacity</t>
  </si>
  <si>
    <t>Subtotal Penalties</t>
  </si>
  <si>
    <t>Summary OPEX</t>
  </si>
  <si>
    <t>Grand Total</t>
  </si>
  <si>
    <t>Total (CAPEX + OPEX)</t>
  </si>
  <si>
    <t>Monthly Price per Site (Icluding VAT)</t>
  </si>
  <si>
    <t>Notes</t>
  </si>
  <si>
    <t>SUBTOTAL CAPEX</t>
  </si>
  <si>
    <t>Network Operations &amp; Management</t>
  </si>
  <si>
    <t>Subtotal Network O&amp;M</t>
  </si>
  <si>
    <t>Monitoring and Hosting</t>
  </si>
  <si>
    <t>Subtotal Monitoring and Hosting</t>
  </si>
  <si>
    <t>Field Services</t>
  </si>
  <si>
    <t>Subtotal Field Services</t>
  </si>
  <si>
    <t>Third Party Services</t>
  </si>
  <si>
    <t>Summary Hughes Services</t>
  </si>
  <si>
    <t>Summary Third Party Services</t>
  </si>
  <si>
    <t>SUBTOTAL OPEX</t>
  </si>
  <si>
    <t>Hughes Eq.</t>
  </si>
  <si>
    <t>3rd Party Eq.</t>
  </si>
  <si>
    <t>3rd Party Services</t>
  </si>
  <si>
    <t>Category</t>
  </si>
  <si>
    <t>Subcategory</t>
  </si>
  <si>
    <t>Total Mbps</t>
  </si>
  <si>
    <t>Contract Term</t>
  </si>
  <si>
    <t>Unit Disc. Price</t>
  </si>
  <si>
    <t>Ext. Disc. Price</t>
  </si>
  <si>
    <t>Monthly Cost per Site</t>
  </si>
  <si>
    <t>Disct. Ext. Price</t>
  </si>
  <si>
    <t>Ext. Cost.</t>
  </si>
  <si>
    <t>% of Project</t>
  </si>
  <si>
    <t>Monthly Cost / Site</t>
  </si>
  <si>
    <t>MARGIN ANALYSIS SUMMARY</t>
  </si>
  <si>
    <t>Monthly Cost per Mbps</t>
  </si>
  <si>
    <t>Monthly Cost / Mbps</t>
  </si>
  <si>
    <t>Monthly Price per Site</t>
  </si>
  <si>
    <t>Monthly Price / Site</t>
  </si>
  <si>
    <t>Monthly Price per Mbps</t>
  </si>
  <si>
    <t>Monthly Price / Mbps</t>
  </si>
  <si>
    <t>3rd Party Equipment</t>
  </si>
  <si>
    <t>Ka- Band Managed Capacity</t>
  </si>
  <si>
    <t>Maintenace</t>
  </si>
  <si>
    <t>Installation</t>
  </si>
  <si>
    <t>Unit of Measure</t>
  </si>
  <si>
    <t>Kbps</t>
  </si>
  <si>
    <t>GB</t>
  </si>
  <si>
    <t>Version</t>
  </si>
  <si>
    <t>Editor</t>
  </si>
  <si>
    <t>Change</t>
  </si>
  <si>
    <t>Date</t>
  </si>
  <si>
    <t>Initial Version</t>
  </si>
  <si>
    <t>Comments</t>
  </si>
  <si>
    <t>MB</t>
  </si>
  <si>
    <t>Financed?</t>
  </si>
  <si>
    <t>Unit</t>
  </si>
  <si>
    <t>Month</t>
  </si>
  <si>
    <t>Year</t>
  </si>
  <si>
    <t>Finance?</t>
  </si>
  <si>
    <t>CAPEX Financing Rate</t>
  </si>
  <si>
    <t>Financed CAPEX</t>
  </si>
  <si>
    <t>Financed Monthly Price per Site</t>
  </si>
  <si>
    <t>MRC</t>
  </si>
  <si>
    <t>NRC</t>
  </si>
  <si>
    <t>QUOTE</t>
  </si>
  <si>
    <t>Quote #:</t>
  </si>
  <si>
    <t xml:space="preserve">Date: </t>
  </si>
  <si>
    <t>QTO_000XXXX-00</t>
  </si>
  <si>
    <t>DO NOT DISTRIBUTE</t>
  </si>
  <si>
    <t>Prepared For:</t>
  </si>
  <si>
    <t>Client:</t>
  </si>
  <si>
    <t>Prepared By:</t>
  </si>
  <si>
    <t>Proposal Manager:</t>
  </si>
  <si>
    <t>Item</t>
  </si>
  <si>
    <t xml:space="preserve"> Unit Price</t>
  </si>
  <si>
    <t xml:space="preserve"> Unit Disc. Price</t>
  </si>
  <si>
    <t xml:space="preserve"> Ext. Disc. Price</t>
  </si>
  <si>
    <t xml:space="preserve"> Discount</t>
  </si>
  <si>
    <t xml:space="preserve">  Monthly Price per Site</t>
  </si>
  <si>
    <t>Monthly Recurring Payment per Site</t>
  </si>
  <si>
    <t>One Time Payment</t>
  </si>
  <si>
    <t>4)</t>
  </si>
  <si>
    <t>5)</t>
  </si>
  <si>
    <t>6)</t>
  </si>
  <si>
    <t>7)</t>
  </si>
  <si>
    <t>8)</t>
  </si>
  <si>
    <t>9)</t>
  </si>
  <si>
    <t>10)</t>
  </si>
  <si>
    <t>11)</t>
  </si>
  <si>
    <t>12)</t>
  </si>
  <si>
    <t>Service</t>
  </si>
  <si>
    <t>Unlimited Satellite Internet Service (Includes 74cm ant.,2W Radio and HT2000W IDU)</t>
  </si>
  <si>
    <t>Servicios</t>
  </si>
  <si>
    <t>Costo (USD)</t>
  </si>
  <si>
    <t>Precio (USD)</t>
  </si>
  <si>
    <t>Pais</t>
  </si>
  <si>
    <t>Zona</t>
  </si>
  <si>
    <t>Tipo de Servicios</t>
  </si>
  <si>
    <t xml:space="preserve">Instalación servicio de internet con 
VSAT: 90cm /2W/ HT2010 /HT2010W 
equipo refurbish o nuevo </t>
  </si>
  <si>
    <t>PERU</t>
  </si>
  <si>
    <t>BASICA</t>
  </si>
  <si>
    <t>Internet</t>
  </si>
  <si>
    <t>INTERMEDIA</t>
  </si>
  <si>
    <t>CRITICA</t>
  </si>
  <si>
    <t>EXTREMO</t>
  </si>
  <si>
    <t xml:space="preserve">Instalación servicio de internet con 
VSAT: 120cm /3W/ HT2010 /HT2010W 
equipo refurbish o nuevo </t>
  </si>
  <si>
    <t>Internet o CBoS</t>
  </si>
  <si>
    <t xml:space="preserve">Instalación servicio de CBoS con 
VSAT: 120cm /3W/ HT2524
equipo nuevo </t>
  </si>
  <si>
    <t>CBoS</t>
  </si>
  <si>
    <t>Paneles solares
Autonomía :  8 Horas
Potencia de Carga : VSAT + AP + CPE = 170W  
Numero de paneles: 2 Paneles
Inversor 600W
Controlador de Panel Solar 20A 
Bateria 100 ah
Kit de Cables y Conectores</t>
  </si>
  <si>
    <t>Montaje de tablero de energía; instalación de controlador solar, cargador de baterías, baterías e inversor</t>
  </si>
  <si>
    <t>Mantenimiento Correctivo 8x5 x mes</t>
  </si>
  <si>
    <t>Mantenimiento Correctivo 24x7 x mes</t>
  </si>
  <si>
    <t>Mantenimiento Correctivo x Evento</t>
  </si>
  <si>
    <t>Mantenimiento Preventivo x Evento</t>
  </si>
  <si>
    <t>Obra Civil con base de concreto - antena 90cm</t>
  </si>
  <si>
    <t>Obra Civil con base de concreto - antena 120cm</t>
  </si>
  <si>
    <t>Implementacion de Pozo a Tierra - 10 ohm</t>
  </si>
  <si>
    <t>Instalacion Basica Access Point Indoor</t>
  </si>
  <si>
    <t>Instalacion Basica Access Point Outdoor</t>
  </si>
  <si>
    <t>Instalacion y Configuracion Router CPE Mikrotik</t>
  </si>
  <si>
    <t>Cableado Estructurado UTP CAT6/6A 30 mts</t>
  </si>
  <si>
    <t>Cableado Estructurado CAT6/6A 60 mts</t>
  </si>
  <si>
    <t>Cableado Estructurado CAT6/6A 90 mts</t>
  </si>
  <si>
    <t xml:space="preserve"> Montaje de panel informativo - Zona WiFi - Digital</t>
  </si>
  <si>
    <t>Departamento</t>
  </si>
  <si>
    <t>Provincia</t>
  </si>
  <si>
    <t>Distrito</t>
  </si>
  <si>
    <t>Nivel</t>
  </si>
  <si>
    <t>AMAZONAS</t>
  </si>
  <si>
    <t>CHACHAPOYAS</t>
  </si>
  <si>
    <t>Todos</t>
  </si>
  <si>
    <t>Básica</t>
  </si>
  <si>
    <t>BAGUA</t>
  </si>
  <si>
    <t>LUYA</t>
  </si>
  <si>
    <t>BONGARA</t>
  </si>
  <si>
    <t>CONDORCANQUI</t>
  </si>
  <si>
    <t>Critica</t>
  </si>
  <si>
    <t>RODRIGUEZ DE MENDOZA</t>
  </si>
  <si>
    <t>Intermedia</t>
  </si>
  <si>
    <t>UTCUBAMBA</t>
  </si>
  <si>
    <t>ANCASH</t>
  </si>
  <si>
    <t>HUARAZ</t>
  </si>
  <si>
    <t>AIJA</t>
  </si>
  <si>
    <t>ANTONIO RAYMONDI</t>
  </si>
  <si>
    <t>ASUNCION</t>
  </si>
  <si>
    <t>BOLOGNESI</t>
  </si>
  <si>
    <t>CARHUAZ</t>
  </si>
  <si>
    <t>CARLOS FERMIN FITZCARRALD</t>
  </si>
  <si>
    <t>CASMA</t>
  </si>
  <si>
    <t>CORONGO</t>
  </si>
  <si>
    <t>HUARI</t>
  </si>
  <si>
    <t>HUARMEY</t>
  </si>
  <si>
    <t>HUAYLAS</t>
  </si>
  <si>
    <t>MARISCAL LUZURIAGA</t>
  </si>
  <si>
    <t>OCROS</t>
  </si>
  <si>
    <t>PALLASCA</t>
  </si>
  <si>
    <t>POMABAMBA</t>
  </si>
  <si>
    <t>RECUAY</t>
  </si>
  <si>
    <t>SANTA</t>
  </si>
  <si>
    <t>SIHUAS</t>
  </si>
  <si>
    <t>YUNGAY</t>
  </si>
  <si>
    <t>APURIMAC</t>
  </si>
  <si>
    <t>CHINCHEROS</t>
  </si>
  <si>
    <t>ANDAHUAYLAS</t>
  </si>
  <si>
    <t>AYMARAES</t>
  </si>
  <si>
    <t>ABANCAY</t>
  </si>
  <si>
    <t>GRAU</t>
  </si>
  <si>
    <t>ANTABAMBA</t>
  </si>
  <si>
    <t>COTABAMBAS</t>
  </si>
  <si>
    <t>AREQUIPA</t>
  </si>
  <si>
    <t>CARAVELI</t>
  </si>
  <si>
    <t>LA UNION</t>
  </si>
  <si>
    <t>CAYLLOMA</t>
  </si>
  <si>
    <t>CONDESUYOS</t>
  </si>
  <si>
    <t>CASTILLAS</t>
  </si>
  <si>
    <t>CAMANA</t>
  </si>
  <si>
    <t>ISLAY</t>
  </si>
  <si>
    <t>AYACUCHO</t>
  </si>
  <si>
    <t>HUANTA</t>
  </si>
  <si>
    <t>LA MAR</t>
  </si>
  <si>
    <t>HUAMANGA</t>
  </si>
  <si>
    <t>CANGALLO</t>
  </si>
  <si>
    <t>VILCAS HUAMAN</t>
  </si>
  <si>
    <t>HUANCAS SANCO</t>
  </si>
  <si>
    <t>VICTOR FAJARDO</t>
  </si>
  <si>
    <t>SUCRE</t>
  </si>
  <si>
    <t>LUCANAS</t>
  </si>
  <si>
    <t>PARINACOCHAS</t>
  </si>
  <si>
    <t>PAUCAR DEL SARA SARA</t>
  </si>
  <si>
    <t>CAJAMARCA</t>
  </si>
  <si>
    <t>CAJABAMBA</t>
  </si>
  <si>
    <t>CELENDIN</t>
  </si>
  <si>
    <t>CHOTA</t>
  </si>
  <si>
    <t>CONTUMAZA</t>
  </si>
  <si>
    <t>CUTERVO</t>
  </si>
  <si>
    <t>HUALGAYOC</t>
  </si>
  <si>
    <t>JAEN</t>
  </si>
  <si>
    <t>SAN IGNACIO</t>
  </si>
  <si>
    <t>SAN MARCOS</t>
  </si>
  <si>
    <t>SAN MIGUEL</t>
  </si>
  <si>
    <t>SAN PABLO</t>
  </si>
  <si>
    <t>SANTA CRUZ</t>
  </si>
  <si>
    <t>CUSCO</t>
  </si>
  <si>
    <t>LA CONVENCION</t>
  </si>
  <si>
    <t>Extremo</t>
  </si>
  <si>
    <t>CALCA</t>
  </si>
  <si>
    <t>URUBAMBA</t>
  </si>
  <si>
    <t>ANTA</t>
  </si>
  <si>
    <t>PARURO</t>
  </si>
  <si>
    <t>ACOMAYO</t>
  </si>
  <si>
    <t>PAUCARTAMBO</t>
  </si>
  <si>
    <t>QUISPICANCHI</t>
  </si>
  <si>
    <t>CHUMBIVILCAS</t>
  </si>
  <si>
    <t>CANAS</t>
  </si>
  <si>
    <t>ESPINAR</t>
  </si>
  <si>
    <t>CANCHIS</t>
  </si>
  <si>
    <t>HUANCAVELICA</t>
  </si>
  <si>
    <t>TAYACAJA</t>
  </si>
  <si>
    <t>CHURCAMPA</t>
  </si>
  <si>
    <t>ACOBAMBA</t>
  </si>
  <si>
    <t>ANGARAES</t>
  </si>
  <si>
    <t>HUAYTARA</t>
  </si>
  <si>
    <t>CATROVIRREYNA</t>
  </si>
  <si>
    <t>HUANUCO</t>
  </si>
  <si>
    <t>AMBO</t>
  </si>
  <si>
    <t>DOS DE MAYO</t>
  </si>
  <si>
    <t>HUACAYBAMBA</t>
  </si>
  <si>
    <t>HUAMALIES</t>
  </si>
  <si>
    <t>LEONCIO PRADO</t>
  </si>
  <si>
    <t>MARAÑON</t>
  </si>
  <si>
    <t>PACHITEA</t>
  </si>
  <si>
    <t>PUERTO INCA</t>
  </si>
  <si>
    <t>LAURICOCHA</t>
  </si>
  <si>
    <t>YAROWILCA</t>
  </si>
  <si>
    <t>ICA</t>
  </si>
  <si>
    <t>CHINCHA</t>
  </si>
  <si>
    <t>PISCO</t>
  </si>
  <si>
    <t>PALPA</t>
  </si>
  <si>
    <t>NAZCA</t>
  </si>
  <si>
    <t>JUNIN</t>
  </si>
  <si>
    <t>HUANCAYO</t>
  </si>
  <si>
    <t>CHUPACA</t>
  </si>
  <si>
    <t>CONCEPCION</t>
  </si>
  <si>
    <t>JAUJA</t>
  </si>
  <si>
    <t>YAULI</t>
  </si>
  <si>
    <t>TARMA</t>
  </si>
  <si>
    <t>CHANCHAMAYO</t>
  </si>
  <si>
    <t>SATIPO</t>
  </si>
  <si>
    <t>LA LIBERTAD</t>
  </si>
  <si>
    <t>TRUJILLO</t>
  </si>
  <si>
    <t>ASCOPE</t>
  </si>
  <si>
    <t>BOLIVAR</t>
  </si>
  <si>
    <t>CHEPEN</t>
  </si>
  <si>
    <t>JULCAN</t>
  </si>
  <si>
    <t>OTUZCO</t>
  </si>
  <si>
    <t>PACASMAYO</t>
  </si>
  <si>
    <t>PATAZ</t>
  </si>
  <si>
    <t>SANCHEZ CARRION</t>
  </si>
  <si>
    <t>SANTIAGO DE CHUCO</t>
  </si>
  <si>
    <t>GRAN CHIMU</t>
  </si>
  <si>
    <t>VIRU</t>
  </si>
  <si>
    <t>LAMBAYEQUE</t>
  </si>
  <si>
    <t>CHICLAYO</t>
  </si>
  <si>
    <t>FERREÑAFE</t>
  </si>
  <si>
    <t>OLMOS</t>
  </si>
  <si>
    <t>LIMA</t>
  </si>
  <si>
    <t>BARRANCA</t>
  </si>
  <si>
    <t>CAJATAMBO</t>
  </si>
  <si>
    <t>CANTA</t>
  </si>
  <si>
    <t>CAÑETE</t>
  </si>
  <si>
    <t>HUARAL</t>
  </si>
  <si>
    <t>HUAROCHIRI</t>
  </si>
  <si>
    <t>HUAURA</t>
  </si>
  <si>
    <t>OYON</t>
  </si>
  <si>
    <t>YAUYOS</t>
  </si>
  <si>
    <t>LORETO</t>
  </si>
  <si>
    <t>MADRE DE DIOS</t>
  </si>
  <si>
    <t>TAHUAMANU</t>
  </si>
  <si>
    <t>TAMBOPATA</t>
  </si>
  <si>
    <t>MANU</t>
  </si>
  <si>
    <t>MOQUEGUA</t>
  </si>
  <si>
    <t>GENERAL SANCHEZ CERRO</t>
  </si>
  <si>
    <t>ILO</t>
  </si>
  <si>
    <t>MARISCAL NIETO</t>
  </si>
  <si>
    <t>PASCO</t>
  </si>
  <si>
    <t>DANIEL ALCIDES CARRION</t>
  </si>
  <si>
    <t>OXAPAMPA</t>
  </si>
  <si>
    <t>PIURA</t>
  </si>
  <si>
    <t>AYABACA</t>
  </si>
  <si>
    <t>HUANCABAMBA</t>
  </si>
  <si>
    <t>MORROPON</t>
  </si>
  <si>
    <t>PAITA</t>
  </si>
  <si>
    <t>SULLANA</t>
  </si>
  <si>
    <t>TALARA</t>
  </si>
  <si>
    <t>SECHURA</t>
  </si>
  <si>
    <t>PUNO</t>
  </si>
  <si>
    <t>CARABAYA</t>
  </si>
  <si>
    <t>SANDIA</t>
  </si>
  <si>
    <t>MELGAR</t>
  </si>
  <si>
    <t>AZANGARO</t>
  </si>
  <si>
    <t>SAN ANTONIO DE PUTINA</t>
  </si>
  <si>
    <t>SAN ROMAN</t>
  </si>
  <si>
    <t>HUANCANE</t>
  </si>
  <si>
    <t>MOHO</t>
  </si>
  <si>
    <t>YUNGUYO</t>
  </si>
  <si>
    <t>EL COLLAO</t>
  </si>
  <si>
    <t>CHUCUITO</t>
  </si>
  <si>
    <t>LAMPA</t>
  </si>
  <si>
    <t>SAN MARTIN</t>
  </si>
  <si>
    <t>MOYOBAMBA</t>
  </si>
  <si>
    <t>BELLAVISTA</t>
  </si>
  <si>
    <t>EL DORADO</t>
  </si>
  <si>
    <t>HUALLAGA</t>
  </si>
  <si>
    <t>LAMAS</t>
  </si>
  <si>
    <t>MARISCAL CACERES</t>
  </si>
  <si>
    <t>PICOTA</t>
  </si>
  <si>
    <t>RIOJA</t>
  </si>
  <si>
    <t>TOCACHE</t>
  </si>
  <si>
    <t>TACNA</t>
  </si>
  <si>
    <t>JORGE BASADRE</t>
  </si>
  <si>
    <t>CANDARAVE</t>
  </si>
  <si>
    <t>TARATA</t>
  </si>
  <si>
    <t>UCAYALI</t>
  </si>
  <si>
    <t>CORONEL PORTILLO</t>
  </si>
  <si>
    <t>ATALAYA</t>
  </si>
  <si>
    <t>PADRE ABAD</t>
  </si>
  <si>
    <t>PURUS</t>
  </si>
  <si>
    <t>CHUQUIBAMBA</t>
  </si>
  <si>
    <t>LIEIMEBAMBA
(Valle Los Chilchos)</t>
  </si>
  <si>
    <t>EL CENEPA</t>
  </si>
  <si>
    <t>ALTO SAPOSOA</t>
  </si>
  <si>
    <t>Rene Ibarra</t>
  </si>
  <si>
    <t>Adding Peru Field Services</t>
  </si>
  <si>
    <t>U019</t>
  </si>
  <si>
    <t>Monee, IL</t>
  </si>
  <si>
    <t>U020</t>
  </si>
  <si>
    <t>North Platte, NE</t>
  </si>
  <si>
    <t>U023</t>
  </si>
  <si>
    <t>Spokane, WA</t>
  </si>
  <si>
    <t>U025</t>
  </si>
  <si>
    <t>U026</t>
  </si>
  <si>
    <t>U027</t>
  </si>
  <si>
    <t>OFFNET</t>
  </si>
  <si>
    <t>U021</t>
  </si>
  <si>
    <t>Riverside, CA</t>
  </si>
  <si>
    <t>Count of Hughes ID</t>
  </si>
  <si>
    <t>Column Labels</t>
  </si>
  <si>
    <t>Row Labels</t>
  </si>
  <si>
    <t xml:space="preserve">Service Plan </t>
  </si>
  <si>
    <t>Country</t>
  </si>
  <si>
    <t xml:space="preserve">LATAM SERVICE PLANS </t>
  </si>
  <si>
    <t>UNLIMTED SERVICE PLANS</t>
  </si>
  <si>
    <t>HUGHES Unlimited Service Plan´s Pricing</t>
  </si>
  <si>
    <t>MIR</t>
  </si>
  <si>
    <t>CIR</t>
  </si>
  <si>
    <t>%</t>
  </si>
  <si>
    <t>Download (Mbps)</t>
  </si>
  <si>
    <t>Upload (Mbps)</t>
  </si>
  <si>
    <t>Total CIR</t>
  </si>
  <si>
    <t>SLA</t>
  </si>
  <si>
    <t>Cost per Mbps Ka Band T19</t>
  </si>
  <si>
    <t>Operations Cost per Site</t>
  </si>
  <si>
    <t>Internet Cost per Mbps</t>
  </si>
  <si>
    <t>Total Cost</t>
  </si>
  <si>
    <t>Target Price</t>
  </si>
  <si>
    <t>Price / MBPS</t>
  </si>
  <si>
    <t>Price MRC</t>
  </si>
  <si>
    <t>MRC Price</t>
  </si>
  <si>
    <t>Target Price for TGS</t>
  </si>
  <si>
    <t>BACKUP PLAN</t>
  </si>
  <si>
    <t>Monthly Allowance</t>
  </si>
  <si>
    <t>GB/Month</t>
  </si>
  <si>
    <t>Operations Cost per Mbps</t>
  </si>
  <si>
    <t>aquamanager</t>
  </si>
  <si>
    <t>Extra GB/Month</t>
  </si>
  <si>
    <t>UNLIMTED SERVICE PLANS for TGS</t>
  </si>
  <si>
    <t>HUGHES Unlimited Service Plan´s Pricing for TGS</t>
  </si>
  <si>
    <t>Target price</t>
  </si>
  <si>
    <t>Overbooking</t>
  </si>
  <si>
    <t>Fixed Margin Formula, Fixed Ext. Price Formula to multiply by term when OPEX</t>
  </si>
  <si>
    <t>When entering an OPEX item, the unit price and unit cost should be the monthly amount per site, and the qty should be the amount of sites / service plans not the months.</t>
  </si>
  <si>
    <t>Miguel Hernandez</t>
  </si>
  <si>
    <t>Fixed minor format changes</t>
  </si>
  <si>
    <t>Total general</t>
  </si>
  <si>
    <t>JUAN ASTO</t>
  </si>
  <si>
    <t>Web Filtering</t>
  </si>
  <si>
    <t>GW T19V</t>
  </si>
  <si>
    <t>EL MOLINO</t>
  </si>
  <si>
    <t>Rural</t>
  </si>
  <si>
    <t>YES</t>
  </si>
  <si>
    <t>NORTH PLATTE</t>
  </si>
  <si>
    <t>18030</t>
  </si>
  <si>
    <t>CHUMBOL</t>
  </si>
  <si>
    <t>RIVERSIDE</t>
  </si>
  <si>
    <t>NUEVA ESPERANZA</t>
  </si>
  <si>
    <t>INCA GARCILASO DE LA VEGA || 54492 INCA GARCILASO DE LA VEGA</t>
  </si>
  <si>
    <t>KISHUARA</t>
  </si>
  <si>
    <t>SOTCCOMAYO</t>
  </si>
  <si>
    <t>MONEE</t>
  </si>
  <si>
    <t>SAN PEDRO</t>
  </si>
  <si>
    <t>SPOKANE</t>
  </si>
  <si>
    <t>SANTA MARIA</t>
  </si>
  <si>
    <t>U024</t>
  </si>
  <si>
    <t>ARAMANGO</t>
  </si>
  <si>
    <t>EL PORVENIR</t>
  </si>
  <si>
    <t>SAN CARLOS</t>
  </si>
  <si>
    <t>CALLE BOLIVAR S/N</t>
  </si>
  <si>
    <t>NUEVO HORIZONTE</t>
  </si>
  <si>
    <t>YUTUPIS</t>
  </si>
  <si>
    <t>RIO SANTIAGO</t>
  </si>
  <si>
    <t>YUTUPIS S/N</t>
  </si>
  <si>
    <t>18266 YURI RANGEL GOMEZ</t>
  </si>
  <si>
    <t>SANTA CATALINA</t>
  </si>
  <si>
    <t>SALAZAR</t>
  </si>
  <si>
    <t>PARQUE CENTRAL</t>
  </si>
  <si>
    <t>18265</t>
  </si>
  <si>
    <t>TINGO</t>
  </si>
  <si>
    <t>KUELAP</t>
  </si>
  <si>
    <t>SAN ANTONIO</t>
  </si>
  <si>
    <t>NO</t>
  </si>
  <si>
    <t>18331</t>
  </si>
  <si>
    <t>OMIA</t>
  </si>
  <si>
    <t>NUEVO CHIRIMOTO</t>
  </si>
  <si>
    <t>NUEVO CHIRIMOTO S/N</t>
  </si>
  <si>
    <t>17063</t>
  </si>
  <si>
    <t>BAGUA GRANDE</t>
  </si>
  <si>
    <t>PROGRESO SAN ANTONIO</t>
  </si>
  <si>
    <t>17076 CESAR VALLEJO MENDOZA</t>
  </si>
  <si>
    <t>BALCON</t>
  </si>
  <si>
    <t>EL BALCON</t>
  </si>
  <si>
    <t>17231</t>
  </si>
  <si>
    <t>SAN JUAN DE CHOTA</t>
  </si>
  <si>
    <t>16126</t>
  </si>
  <si>
    <t>CUMBA</t>
  </si>
  <si>
    <t>MIRAFLORES</t>
  </si>
  <si>
    <t>MIRAFLORES S/N</t>
  </si>
  <si>
    <t>16247</t>
  </si>
  <si>
    <t>HUALANGO</t>
  </si>
  <si>
    <t>SAN PEDRO S/N</t>
  </si>
  <si>
    <t>JOSE CARLOS MARIATEGUI || 16250</t>
  </si>
  <si>
    <t>VISTA ALEGRE</t>
  </si>
  <si>
    <t>17208</t>
  </si>
  <si>
    <t>SAN ANTONIO S/N</t>
  </si>
  <si>
    <t>MANUEL GONZALES PRADA</t>
  </si>
  <si>
    <t>PROGRESO S/N</t>
  </si>
  <si>
    <t>EL PALTO</t>
  </si>
  <si>
    <t>86014 TUPAC AMARU II</t>
  </si>
  <si>
    <t>HUALLCOR</t>
  </si>
  <si>
    <t>86038 VIVIANO PAREDES MACEDO</t>
  </si>
  <si>
    <t>INDEPENDENCIA</t>
  </si>
  <si>
    <t>UQUIA</t>
  </si>
  <si>
    <t>86154</t>
  </si>
  <si>
    <t>CORIS</t>
  </si>
  <si>
    <t>QUISHUAR</t>
  </si>
  <si>
    <t>VICTOR ANDRES BELAUNDE || 86194</t>
  </si>
  <si>
    <t>ACZO</t>
  </si>
  <si>
    <t>CHACAS</t>
  </si>
  <si>
    <t>AVENIDA CANADA S/N</t>
  </si>
  <si>
    <t>MIRGAS</t>
  </si>
  <si>
    <t>86806</t>
  </si>
  <si>
    <t>SAN JOSE DE ILLAURO</t>
  </si>
  <si>
    <t>86299</t>
  </si>
  <si>
    <t>ÑIHUIN</t>
  </si>
  <si>
    <t>NIVIN</t>
  </si>
  <si>
    <t>86295</t>
  </si>
  <si>
    <t>PONQUEZ</t>
  </si>
  <si>
    <t>86282 FRANCISCO ALEGRE SERRANO</t>
  </si>
  <si>
    <t>YUNGAR</t>
  </si>
  <si>
    <t>CARIAN</t>
  </si>
  <si>
    <t>AVENIDA FLOR DE YUNGAR S/N</t>
  </si>
  <si>
    <t>SAN NICOLAS</t>
  </si>
  <si>
    <t>BUENA VISTA ALTA</t>
  </si>
  <si>
    <t>88112 RICARDO PALMA</t>
  </si>
  <si>
    <t>SECHIN ALTO</t>
  </si>
  <si>
    <t>Urbana</t>
  </si>
  <si>
    <t>86843</t>
  </si>
  <si>
    <t>SAN PEDRO DE CHANA</t>
  </si>
  <si>
    <t>HUANCAYOC</t>
  </si>
  <si>
    <t>CARRETERA HUANCAYOC</t>
  </si>
  <si>
    <t>AGROPECUARIO</t>
  </si>
  <si>
    <t>SANTA CRUZ DE PICHIU</t>
  </si>
  <si>
    <t>86478 FRAY MARTIN DE PORRAS</t>
  </si>
  <si>
    <t>CARAZ</t>
  </si>
  <si>
    <t>PAVAS</t>
  </si>
  <si>
    <t>86484 EMILIANO HARO COLLAS</t>
  </si>
  <si>
    <t>JIRON CUZCO 640</t>
  </si>
  <si>
    <t>86492 JOSE STRAUSSBERGER</t>
  </si>
  <si>
    <t>MATO</t>
  </si>
  <si>
    <t>VILLA SUCRE</t>
  </si>
  <si>
    <t>AVENIDA AUGUSTO B LEGUIA S/N</t>
  </si>
  <si>
    <t>86783</t>
  </si>
  <si>
    <t>PAMPAROMAS</t>
  </si>
  <si>
    <t>CAJAY</t>
  </si>
  <si>
    <t>SAN ANTONIO DE PADUA</t>
  </si>
  <si>
    <t>CASCA</t>
  </si>
  <si>
    <t>CHUSPIPAMPA</t>
  </si>
  <si>
    <t>COLCABAMBA</t>
  </si>
  <si>
    <t>LUCMA</t>
  </si>
  <si>
    <t>ROSASPAMPA</t>
  </si>
  <si>
    <t>CARRETERA ROSASPAMPA</t>
  </si>
  <si>
    <t>CONCHUCOS</t>
  </si>
  <si>
    <t>88190 VICTOR RAUL HAYA DE LA TORRE</t>
  </si>
  <si>
    <t>MAYAS</t>
  </si>
  <si>
    <t>AVENIDA JUAN VELAZCO ALVARADO S/N</t>
  </si>
  <si>
    <t>MONTE GRANDE</t>
  </si>
  <si>
    <t>CONOPA</t>
  </si>
  <si>
    <t>PAROBAMBA</t>
  </si>
  <si>
    <t>84022 || APOSTOL SANTIAGO</t>
  </si>
  <si>
    <t>HUANCHAYLLO</t>
  </si>
  <si>
    <t>JIRON HUANCHAYLLO S/N</t>
  </si>
  <si>
    <t>86564 SANTA ROSA</t>
  </si>
  <si>
    <t>PAMPACANCHA</t>
  </si>
  <si>
    <t>86582</t>
  </si>
  <si>
    <t>CANTU</t>
  </si>
  <si>
    <t>86586 SEÑOR DE MAYO</t>
  </si>
  <si>
    <t>OCOPAMPA</t>
  </si>
  <si>
    <t>86604</t>
  </si>
  <si>
    <t>TICAPAMPA</t>
  </si>
  <si>
    <t>YACUCANCHA</t>
  </si>
  <si>
    <t>86606</t>
  </si>
  <si>
    <t>BUENOS AIRES</t>
  </si>
  <si>
    <t>88062</t>
  </si>
  <si>
    <t>MACATE</t>
  </si>
  <si>
    <t>HUANROC</t>
  </si>
  <si>
    <t>88269 SANTISIMA CRUZ DE MOTUPE</t>
  </si>
  <si>
    <t>MORO</t>
  </si>
  <si>
    <t>TAMBAR</t>
  </si>
  <si>
    <t>89537</t>
  </si>
  <si>
    <t>NEPEÑA</t>
  </si>
  <si>
    <t>CAPELLANIA</t>
  </si>
  <si>
    <t>RAGASH</t>
  </si>
  <si>
    <t>PACCHA</t>
  </si>
  <si>
    <t>SAN JUAN</t>
  </si>
  <si>
    <t>84259 ALEJANDRO TOLEDO MANRIQUE</t>
  </si>
  <si>
    <t>CILINDRE</t>
  </si>
  <si>
    <t>86647</t>
  </si>
  <si>
    <t>CHILCA</t>
  </si>
  <si>
    <t>86754</t>
  </si>
  <si>
    <t>SANTA TERESA</t>
  </si>
  <si>
    <t>87009-1</t>
  </si>
  <si>
    <t>CASCAPARA</t>
  </si>
  <si>
    <t>PAMPAHUASI</t>
  </si>
  <si>
    <t>86871</t>
  </si>
  <si>
    <t>CASHAHIRCA</t>
  </si>
  <si>
    <t>86676</t>
  </si>
  <si>
    <t>QUILLO</t>
  </si>
  <si>
    <t>MACRAY</t>
  </si>
  <si>
    <t>86786</t>
  </si>
  <si>
    <t>HUELLAPAMPA</t>
  </si>
  <si>
    <t>SHUPLUY</t>
  </si>
  <si>
    <t>86683</t>
  </si>
  <si>
    <t>PONCOS</t>
  </si>
  <si>
    <t>54040</t>
  </si>
  <si>
    <t>ASILLO</t>
  </si>
  <si>
    <t>54042</t>
  </si>
  <si>
    <t>ATUMPATA</t>
  </si>
  <si>
    <t>CIRCA</t>
  </si>
  <si>
    <t>JOSE CARLOS MARIATEGUI</t>
  </si>
  <si>
    <t>TACCACCA</t>
  </si>
  <si>
    <t>54021 NUESTRA SEÑORA DE LAS MERCEDES</t>
  </si>
  <si>
    <t>CURAHUASI</t>
  </si>
  <si>
    <t>ANTILLA</t>
  </si>
  <si>
    <t>54491</t>
  </si>
  <si>
    <t>CCACCE</t>
  </si>
  <si>
    <t>COPRODELI</t>
  </si>
  <si>
    <t>PALTACC</t>
  </si>
  <si>
    <t>JOSE MARIA ARGUEDAS DE PALTACC 4</t>
  </si>
  <si>
    <t>PATAHUASI</t>
  </si>
  <si>
    <t>54706</t>
  </si>
  <si>
    <t>SANTIAGO</t>
  </si>
  <si>
    <t>54094 FEDERICO LATORRE ORMACHEA</t>
  </si>
  <si>
    <t>PACOBAMBA</t>
  </si>
  <si>
    <t>HUANCANE CRUZ PAMPA</t>
  </si>
  <si>
    <t>55006-7</t>
  </si>
  <si>
    <t>SAN JERONIMO</t>
  </si>
  <si>
    <t>CHOCCECANCHA</t>
  </si>
  <si>
    <t>54720</t>
  </si>
  <si>
    <t>SANTA MARIA DE CHICMO</t>
  </si>
  <si>
    <t>PUCAHUASI</t>
  </si>
  <si>
    <t>54215</t>
  </si>
  <si>
    <t>TALAVERA</t>
  </si>
  <si>
    <t>CCACCACHA</t>
  </si>
  <si>
    <t>BUENA VISTA</t>
  </si>
  <si>
    <t>TURPO</t>
  </si>
  <si>
    <t>50683</t>
  </si>
  <si>
    <t>HAQUIRA</t>
  </si>
  <si>
    <t>HUILLUCA</t>
  </si>
  <si>
    <t>PLAZA PRINCIPAL</t>
  </si>
  <si>
    <t>HUACCANA</t>
  </si>
  <si>
    <t>40217 VIRGEN DE LA ASUNTA</t>
  </si>
  <si>
    <t>SAN JUAN DE TARUCANI</t>
  </si>
  <si>
    <t>SALINAS HUITO</t>
  </si>
  <si>
    <t>CARRETERA A PUNO KM.120</t>
  </si>
  <si>
    <t>SAN JOSE</t>
  </si>
  <si>
    <t>CALLE PRINCIPAL S/N</t>
  </si>
  <si>
    <t>40573</t>
  </si>
  <si>
    <t>CASTILLA</t>
  </si>
  <si>
    <t>CHACHAS</t>
  </si>
  <si>
    <t>HUARACOPALLCA</t>
  </si>
  <si>
    <t>HUAROCOPALCA</t>
  </si>
  <si>
    <t>SIMON BOLIVAR</t>
  </si>
  <si>
    <t>40030 SAN FRANCISCO DE ASIS</t>
  </si>
  <si>
    <t>JACHAÑA</t>
  </si>
  <si>
    <t>40406</t>
  </si>
  <si>
    <t>CUCHO CAPILLA</t>
  </si>
  <si>
    <t>40398</t>
  </si>
  <si>
    <t>SAN ANTONIO DE CHUCA</t>
  </si>
  <si>
    <t>COLCA HUALLATA</t>
  </si>
  <si>
    <t>40395</t>
  </si>
  <si>
    <t>TISCO</t>
  </si>
  <si>
    <t>COTA COTA</t>
  </si>
  <si>
    <t>CALLE LA PAZ S/N</t>
  </si>
  <si>
    <t>CALLE JERUSALEN S/N</t>
  </si>
  <si>
    <t>CAYARANI</t>
  </si>
  <si>
    <t>ARCATA</t>
  </si>
  <si>
    <t>ARCATA PUEBLO</t>
  </si>
  <si>
    <t>HUAYNACOTAS</t>
  </si>
  <si>
    <t>38015 VIRGEN DEL CARMEN</t>
  </si>
  <si>
    <t>RANCHA</t>
  </si>
  <si>
    <t>PARQUE PLAZA PRINCIPAL S/N</t>
  </si>
  <si>
    <t>38738</t>
  </si>
  <si>
    <t>CCORIHUILLCA CHICO</t>
  </si>
  <si>
    <t>ACOCRO</t>
  </si>
  <si>
    <t>38739</t>
  </si>
  <si>
    <t>ACOS VINCHOS</t>
  </si>
  <si>
    <t>MATARILLA</t>
  </si>
  <si>
    <t>CARRETERA MATARILLA S/N COMUNIDAD CAMPESINA</t>
  </si>
  <si>
    <t>CHIARA</t>
  </si>
  <si>
    <t>ALLPACHAKA</t>
  </si>
  <si>
    <t>MARISCAL ANTONIO JOSE DE SUCRE</t>
  </si>
  <si>
    <t>PACAYCASA</t>
  </si>
  <si>
    <t>38099</t>
  </si>
  <si>
    <t>VINCHOS</t>
  </si>
  <si>
    <t>ANCHAK HUASI</t>
  </si>
  <si>
    <t>AVENIDA 5 DE ABRIL S/N</t>
  </si>
  <si>
    <t>CANAYRE</t>
  </si>
  <si>
    <t>CARRETERA PLAZA PRINCIPAL S/N</t>
  </si>
  <si>
    <t>CHUSCHI</t>
  </si>
  <si>
    <t>38792</t>
  </si>
  <si>
    <t>PAMPAMARCA</t>
  </si>
  <si>
    <t>38793</t>
  </si>
  <si>
    <t>TUCO</t>
  </si>
  <si>
    <t>PLAZA PRINCIPAL S/N</t>
  </si>
  <si>
    <t>38862</t>
  </si>
  <si>
    <t>HUERTAHUASI</t>
  </si>
  <si>
    <t>38590</t>
  </si>
  <si>
    <t>LOS MOROCHUCOS</t>
  </si>
  <si>
    <t>CUCHUCANCHA</t>
  </si>
  <si>
    <t>38206</t>
  </si>
  <si>
    <t>PARAS</t>
  </si>
  <si>
    <t>CHALANA</t>
  </si>
  <si>
    <t>38209</t>
  </si>
  <si>
    <t>SANTA CRUZ DE HOSPICIO</t>
  </si>
  <si>
    <t>38652</t>
  </si>
  <si>
    <t>LLANTALLACCTA</t>
  </si>
  <si>
    <t>UCHURACCAY</t>
  </si>
  <si>
    <t>38301</t>
  </si>
  <si>
    <t>UCHURACCAY S/N</t>
  </si>
  <si>
    <t>JUAN VELASQUEZ CHAVEZ</t>
  </si>
  <si>
    <t>HUAYCHAO</t>
  </si>
  <si>
    <t>38342 SEÑOR DE EXALTACION</t>
  </si>
  <si>
    <t>HUAMANGUILLA</t>
  </si>
  <si>
    <t>CHILCACCASA</t>
  </si>
  <si>
    <t>CHILLCAQASA</t>
  </si>
  <si>
    <t>38642 INCA GARCILAZO DE LA VEGA</t>
  </si>
  <si>
    <t>LA VEGA</t>
  </si>
  <si>
    <t>38280</t>
  </si>
  <si>
    <t>LURICOCHA</t>
  </si>
  <si>
    <t>PAMPAY</t>
  </si>
  <si>
    <t>TAYABAMBA</t>
  </si>
  <si>
    <t>ANCO</t>
  </si>
  <si>
    <t>UNION PROGRESO</t>
  </si>
  <si>
    <t>38613</t>
  </si>
  <si>
    <t>TAMBO</t>
  </si>
  <si>
    <t>CHALLHUAMAYO ALTA</t>
  </si>
  <si>
    <t>AUCARA</t>
  </si>
  <si>
    <t>SANTA ANA</t>
  </si>
  <si>
    <t>CHIPAO</t>
  </si>
  <si>
    <t>YANAMA</t>
  </si>
  <si>
    <t>24388</t>
  </si>
  <si>
    <t>LA QUINA</t>
  </si>
  <si>
    <t>PLAZA DE ARMAS</t>
  </si>
  <si>
    <t>24381</t>
  </si>
  <si>
    <t>PEDREGAL</t>
  </si>
  <si>
    <t>CARRETERA PEDREGAL</t>
  </si>
  <si>
    <t>24207</t>
  </si>
  <si>
    <t>OCAÑA</t>
  </si>
  <si>
    <t>SAN JOSE DE TOMATE</t>
  </si>
  <si>
    <t>AREAS TECNICAS SAN PEDRO DE SONCONC</t>
  </si>
  <si>
    <t>SONCONCHE / SAN PEDRO DE SONCONCHE</t>
  </si>
  <si>
    <t>AVENIDA EL PORVENIR S/N</t>
  </si>
  <si>
    <t>SANCOS</t>
  </si>
  <si>
    <t>SANTA ROSA</t>
  </si>
  <si>
    <t>CORACORA</t>
  </si>
  <si>
    <t>PULLO</t>
  </si>
  <si>
    <t>SAN MARTIN DE PORRES DE HUILLCALLAMA</t>
  </si>
  <si>
    <t>HUILLCALLAMA</t>
  </si>
  <si>
    <t>SAN MARTIN DE PORRES</t>
  </si>
  <si>
    <t>PARARCA</t>
  </si>
  <si>
    <t>PARARCA S/N</t>
  </si>
  <si>
    <t>24148</t>
  </si>
  <si>
    <t>QUEROBAMBA</t>
  </si>
  <si>
    <t>ICATITA</t>
  </si>
  <si>
    <t>CARRETERA POTONGO ECCATITA</t>
  </si>
  <si>
    <t>38517</t>
  </si>
  <si>
    <t>CANARIA</t>
  </si>
  <si>
    <t>UMASI</t>
  </si>
  <si>
    <t>CALLE CARMEN PAMPA S/N</t>
  </si>
  <si>
    <t>38519</t>
  </si>
  <si>
    <t>HUAMANQUIQUIA</t>
  </si>
  <si>
    <t>NAZARET DE UCHU</t>
  </si>
  <si>
    <t>JIRON LIMA S/N</t>
  </si>
  <si>
    <t>38966</t>
  </si>
  <si>
    <t>VILCANCHOS</t>
  </si>
  <si>
    <t>JESUS</t>
  </si>
  <si>
    <t>82106</t>
  </si>
  <si>
    <t>CUSHUNGA</t>
  </si>
  <si>
    <t>RAMON CASTILLA</t>
  </si>
  <si>
    <t>SAPUC</t>
  </si>
  <si>
    <t>COSPAN</t>
  </si>
  <si>
    <t>82046</t>
  </si>
  <si>
    <t>SIRACAT</t>
  </si>
  <si>
    <t>821179</t>
  </si>
  <si>
    <t>SUNCHUBAMBA</t>
  </si>
  <si>
    <t>CESAR VALLEJO</t>
  </si>
  <si>
    <t>EL TAMBO</t>
  </si>
  <si>
    <t>CATACHE</t>
  </si>
  <si>
    <t>MATARA</t>
  </si>
  <si>
    <t>ASI 82363 || 82363</t>
  </si>
  <si>
    <t>CACHACHI</t>
  </si>
  <si>
    <t>TABACAL</t>
  </si>
  <si>
    <t>TABACAL S/N</t>
  </si>
  <si>
    <t>82318</t>
  </si>
  <si>
    <t>CALLUAN</t>
  </si>
  <si>
    <t>ANDRES AVELINO CACERES</t>
  </si>
  <si>
    <t>CONDEBAMBA</t>
  </si>
  <si>
    <t>RICARDO PALMA</t>
  </si>
  <si>
    <t>LLUCHUBAMBA</t>
  </si>
  <si>
    <t>CORTEGANA</t>
  </si>
  <si>
    <t>YAGEN</t>
  </si>
  <si>
    <t>HUASMIN</t>
  </si>
  <si>
    <t>TUPAC AMARU</t>
  </si>
  <si>
    <t>SAN SANTIAGO</t>
  </si>
  <si>
    <t>JIRON AREQUIPA S/N S/N</t>
  </si>
  <si>
    <t>OXAMARCA</t>
  </si>
  <si>
    <t>UTCO</t>
  </si>
  <si>
    <t>LIMON</t>
  </si>
  <si>
    <t>LIMON S/N</t>
  </si>
  <si>
    <t>CHACAPAMPA</t>
  </si>
  <si>
    <t>10515</t>
  </si>
  <si>
    <t>CHIMBAN</t>
  </si>
  <si>
    <t>SUSANGATE</t>
  </si>
  <si>
    <t>CONCHAN</t>
  </si>
  <si>
    <t>HUAMBOS</t>
  </si>
  <si>
    <t>10445</t>
  </si>
  <si>
    <t>LAJAS</t>
  </si>
  <si>
    <t>CADMALCA ALTO</t>
  </si>
  <si>
    <t>JOSE ANTONIO ENCINAS</t>
  </si>
  <si>
    <t>CARRETERA CADMALCA S/N</t>
  </si>
  <si>
    <t>QUEROCOTO</t>
  </si>
  <si>
    <t>PARAGUAY</t>
  </si>
  <si>
    <t>CALLE SAN FERNANDO S/N</t>
  </si>
  <si>
    <t>EL NARANJO</t>
  </si>
  <si>
    <t>10449 GENOVEVA DIAZ LOYZA</t>
  </si>
  <si>
    <t>TACABAMBA</t>
  </si>
  <si>
    <t>CHUCMAR</t>
  </si>
  <si>
    <t>CARRETERA CHUCMAR S/N</t>
  </si>
  <si>
    <t>AVENIDA PERU S/N</t>
  </si>
  <si>
    <t>16977</t>
  </si>
  <si>
    <t>CACHULQUE</t>
  </si>
  <si>
    <t>CALLAYUC</t>
  </si>
  <si>
    <t>VICTOR RAUL HAYA DE LA TORRE</t>
  </si>
  <si>
    <t>HUABAL</t>
  </si>
  <si>
    <t>16406</t>
  </si>
  <si>
    <t>CHOROS</t>
  </si>
  <si>
    <t>MESARRUME</t>
  </si>
  <si>
    <t>16409</t>
  </si>
  <si>
    <t>SANTA LUCIA</t>
  </si>
  <si>
    <t>PIMPINGOS</t>
  </si>
  <si>
    <t>CHOLOQUE</t>
  </si>
  <si>
    <t>16432</t>
  </si>
  <si>
    <t>SAN JUAN DE CUTERVO</t>
  </si>
  <si>
    <t>JIRON CHORRILLOS S/N</t>
  </si>
  <si>
    <t>10388</t>
  </si>
  <si>
    <t>SANTO DOMINGO DE LA CAPILLA</t>
  </si>
  <si>
    <t>SANTO TOMAS</t>
  </si>
  <si>
    <t>16979</t>
  </si>
  <si>
    <t>EL FRAILE</t>
  </si>
  <si>
    <t>SAN JOSE OBRERO</t>
  </si>
  <si>
    <t>TAMBILLO</t>
  </si>
  <si>
    <t>BAMBAMARCA</t>
  </si>
  <si>
    <t>CUMBE CHONTABAMBA</t>
  </si>
  <si>
    <t>EL CUMBE S/N</t>
  </si>
  <si>
    <t>17415</t>
  </si>
  <si>
    <t>SAN ANDRES</t>
  </si>
  <si>
    <t>SAN ANDRES S/N</t>
  </si>
  <si>
    <t>LA VICTORIA</t>
  </si>
  <si>
    <t>SAN AGUSTIN</t>
  </si>
  <si>
    <t>16109</t>
  </si>
  <si>
    <t>CHONTALI</t>
  </si>
  <si>
    <t>AGUA AZUL</t>
  </si>
  <si>
    <t>17408</t>
  </si>
  <si>
    <t>SAN MIGUEL DEL CORCOVADO</t>
  </si>
  <si>
    <t>SAN MIGUEL DE CORCOVADO S/N</t>
  </si>
  <si>
    <t>NUEVO PROGRESO</t>
  </si>
  <si>
    <t>SAN FRANCISCO</t>
  </si>
  <si>
    <t>QUILLABAMBA</t>
  </si>
  <si>
    <t>CRUZ ROJA</t>
  </si>
  <si>
    <t>PUCARA</t>
  </si>
  <si>
    <t>LA PAUCA</t>
  </si>
  <si>
    <t>SALLIQUE</t>
  </si>
  <si>
    <t>16840</t>
  </si>
  <si>
    <t>ALLACATE</t>
  </si>
  <si>
    <t>17602</t>
  </si>
  <si>
    <t>SAN FELIPE</t>
  </si>
  <si>
    <t>CUMBA S/N</t>
  </si>
  <si>
    <t>NUEVA ALIANZA</t>
  </si>
  <si>
    <t>17690</t>
  </si>
  <si>
    <t>HUARANGO</t>
  </si>
  <si>
    <t>SAN LUIS</t>
  </si>
  <si>
    <t>LA COIPA</t>
  </si>
  <si>
    <t>16478 PEDRO RUIZ GALLO</t>
  </si>
  <si>
    <t>LA LIMA</t>
  </si>
  <si>
    <t>SAN JOSE DE LOURDES</t>
  </si>
  <si>
    <t>16976 || CPED - 16976</t>
  </si>
  <si>
    <t>NUEVO TRUJILLO</t>
  </si>
  <si>
    <t>TABACONAS</t>
  </si>
  <si>
    <t>16921 VIRGEN DE LA ASUNCION</t>
  </si>
  <si>
    <t>GUAYABAL</t>
  </si>
  <si>
    <t>CHANCAY</t>
  </si>
  <si>
    <t>GREGORIO PITA</t>
  </si>
  <si>
    <t>ULLILLIN</t>
  </si>
  <si>
    <t>82885</t>
  </si>
  <si>
    <t>JOSE SABOGAL</t>
  </si>
  <si>
    <t>PAUCA</t>
  </si>
  <si>
    <t>CIRO ALEGRIA</t>
  </si>
  <si>
    <t>LLAPA</t>
  </si>
  <si>
    <t>SAN JUAN DE DIOS</t>
  </si>
  <si>
    <t>NIEPOS</t>
  </si>
  <si>
    <t>JIRON SAN MARTIN</t>
  </si>
  <si>
    <t>821067</t>
  </si>
  <si>
    <t>LAS VIZCACHAS</t>
  </si>
  <si>
    <t>SANTA ROSA DE UNANCA</t>
  </si>
  <si>
    <t>SAN BERNARDINO</t>
  </si>
  <si>
    <t>CARRETERA SAN BERNARDINO</t>
  </si>
  <si>
    <t>82282</t>
  </si>
  <si>
    <t>TUMBADEN</t>
  </si>
  <si>
    <t>821172</t>
  </si>
  <si>
    <t>INGATAMBO</t>
  </si>
  <si>
    <t>10954</t>
  </si>
  <si>
    <t>LOS DOS RIOS</t>
  </si>
  <si>
    <t>DOS RIOS</t>
  </si>
  <si>
    <t>OSCAR DEMETRIO URRACA</t>
  </si>
  <si>
    <t>YAUYUCAN</t>
  </si>
  <si>
    <t>PUCHUDEN</t>
  </si>
  <si>
    <t>TOTORA S/N</t>
  </si>
  <si>
    <t>SAN SEBASTIAN</t>
  </si>
  <si>
    <t>HUASCAR</t>
  </si>
  <si>
    <t>50128</t>
  </si>
  <si>
    <t>CASACUNCA</t>
  </si>
  <si>
    <t>CCASACUNCA S/N</t>
  </si>
  <si>
    <t>ANCAHUASI</t>
  </si>
  <si>
    <t>KATAÑARAY</t>
  </si>
  <si>
    <t>CHINCHAYPUJIO</t>
  </si>
  <si>
    <t>50140</t>
  </si>
  <si>
    <t>PARCOTICA</t>
  </si>
  <si>
    <t>PARCCOTICA S/N</t>
  </si>
  <si>
    <t>501096</t>
  </si>
  <si>
    <t>HACIENDA PAUCARCOTO</t>
  </si>
  <si>
    <t>PAUCCARCCOTO</t>
  </si>
  <si>
    <t>50108</t>
  </si>
  <si>
    <t>HUAROCONDO</t>
  </si>
  <si>
    <t>AVENIDA HUAROCONDO S/N</t>
  </si>
  <si>
    <t>50136</t>
  </si>
  <si>
    <t>LIMATAMBO</t>
  </si>
  <si>
    <t>CHOQUEMARCA</t>
  </si>
  <si>
    <t>CHOQUEMARCA S/N</t>
  </si>
  <si>
    <t>50166</t>
  </si>
  <si>
    <t>AMPARAES</t>
  </si>
  <si>
    <t>CALLE EJERCITO S/N</t>
  </si>
  <si>
    <t>50189</t>
  </si>
  <si>
    <t>TTIO</t>
  </si>
  <si>
    <t>TTIO TTIO</t>
  </si>
  <si>
    <t>LARES</t>
  </si>
  <si>
    <t>PISAC</t>
  </si>
  <si>
    <t>50817</t>
  </si>
  <si>
    <t>YANATILE</t>
  </si>
  <si>
    <t>YAVERO</t>
  </si>
  <si>
    <t>YAVERO COMUNIDAD DE YAVERO</t>
  </si>
  <si>
    <t>56145</t>
  </si>
  <si>
    <t>YANAOCA</t>
  </si>
  <si>
    <t>PUNA VAQUERIA</t>
  </si>
  <si>
    <t>SICUANI</t>
  </si>
  <si>
    <t>594 || 56099</t>
  </si>
  <si>
    <t>PITUMARCA</t>
  </si>
  <si>
    <t>HUASAPAMPA</t>
  </si>
  <si>
    <t>UCHULLUCLLU || 56097</t>
  </si>
  <si>
    <t>UCHULLUCLLO</t>
  </si>
  <si>
    <t>SANTA BARBARA || 597 || 56074</t>
  </si>
  <si>
    <t>SANTA BARBARA</t>
  </si>
  <si>
    <t>CALLE SANTA BARBARA S/N</t>
  </si>
  <si>
    <t>56042 || CPED - 56042</t>
  </si>
  <si>
    <t>TINTA</t>
  </si>
  <si>
    <t>QUEROMARCA</t>
  </si>
  <si>
    <t>QUEROMARCA S/N</t>
  </si>
  <si>
    <t>LAYO</t>
  </si>
  <si>
    <t>56256</t>
  </si>
  <si>
    <t>YAVINA</t>
  </si>
  <si>
    <t>56261</t>
  </si>
  <si>
    <t>CAPACMARCA</t>
  </si>
  <si>
    <t>HUASCABAMBA</t>
  </si>
  <si>
    <t>CARRETERA CCAPACMARCA - MARA</t>
  </si>
  <si>
    <t>56277 || 823 || 56277 SAN ANTONIO DE PADUA</t>
  </si>
  <si>
    <t>TAHUAY</t>
  </si>
  <si>
    <t>CRUZ PAMPA</t>
  </si>
  <si>
    <t>LIVITACA</t>
  </si>
  <si>
    <t>56405</t>
  </si>
  <si>
    <t>PARCCO LLAULLIPATA</t>
  </si>
  <si>
    <t>56392 JUAN VELASCO ALVARADO</t>
  </si>
  <si>
    <t>KAYNO</t>
  </si>
  <si>
    <t>K'AYNO S/N</t>
  </si>
  <si>
    <t>56297</t>
  </si>
  <si>
    <t>QUIÑOTA</t>
  </si>
  <si>
    <t>UTUTA</t>
  </si>
  <si>
    <t>56299</t>
  </si>
  <si>
    <t>VELILLE</t>
  </si>
  <si>
    <t>ALJA VICTORIA</t>
  </si>
  <si>
    <t>ALCCAVICTORIA</t>
  </si>
  <si>
    <t>COPORAQUE</t>
  </si>
  <si>
    <t>HUAYHUAHUASI</t>
  </si>
  <si>
    <t>56214 ANDRES AVELINO CACERES</t>
  </si>
  <si>
    <t>QQUEROCCOLLANA</t>
  </si>
  <si>
    <t>BARTOLOME DE LAS CASAS</t>
  </si>
  <si>
    <t>56348</t>
  </si>
  <si>
    <t>PICHIGUA</t>
  </si>
  <si>
    <t>50282</t>
  </si>
  <si>
    <t>CHAUPIMAYO B</t>
  </si>
  <si>
    <t>MEGANTONI</t>
  </si>
  <si>
    <t>ECHARATE</t>
  </si>
  <si>
    <t>50784</t>
  </si>
  <si>
    <t>ILLAPANI</t>
  </si>
  <si>
    <t>64452</t>
  </si>
  <si>
    <t>SHIVANKORENI</t>
  </si>
  <si>
    <t>PUERTO RICO</t>
  </si>
  <si>
    <t>OCOBAMBA</t>
  </si>
  <si>
    <t>VERSALLES</t>
  </si>
  <si>
    <t>SANTA ELENA</t>
  </si>
  <si>
    <t>SAN JUAN BAUTISTA</t>
  </si>
  <si>
    <t>719 || 50321</t>
  </si>
  <si>
    <t>VILCABAMBA</t>
  </si>
  <si>
    <t>YUVENI</t>
  </si>
  <si>
    <t>50325 INCA SAYRI TUPAC</t>
  </si>
  <si>
    <t>PAMPACONAS</t>
  </si>
  <si>
    <t>YANAHUANCA</t>
  </si>
  <si>
    <t>50268 || JOSE BERNARDO ALCEDO</t>
  </si>
  <si>
    <t>OYARA</t>
  </si>
  <si>
    <t>SAN JUAN UNDARA</t>
  </si>
  <si>
    <t>30284-2</t>
  </si>
  <si>
    <t>MARISCAL CASTILLA</t>
  </si>
  <si>
    <t>YANAYACU</t>
  </si>
  <si>
    <t>50394</t>
  </si>
  <si>
    <t>HUANOQUITE</t>
  </si>
  <si>
    <t>HUANCAHUANCA</t>
  </si>
  <si>
    <t>HUANCA HUANCA</t>
  </si>
  <si>
    <t>50437 INCA ROCA</t>
  </si>
  <si>
    <t>QUERO GRANDE</t>
  </si>
  <si>
    <t>QUEROS GRANDE S/N</t>
  </si>
  <si>
    <t>50465 DANIEL ALCIDES CARRION</t>
  </si>
  <si>
    <t>CHALLABAMBA</t>
  </si>
  <si>
    <t>COLQUEPATA</t>
  </si>
  <si>
    <t>899 || 50461</t>
  </si>
  <si>
    <t>50446 VALENTIN PANIAGUA CORAZAO</t>
  </si>
  <si>
    <t>HUANCARANI</t>
  </si>
  <si>
    <t>CHURO</t>
  </si>
  <si>
    <t>50718</t>
  </si>
  <si>
    <t>CCATCA</t>
  </si>
  <si>
    <t>AUSARAY</t>
  </si>
  <si>
    <t>OCONGATE</t>
  </si>
  <si>
    <t>50854</t>
  </si>
  <si>
    <t>PATAPALLPA</t>
  </si>
  <si>
    <t>50515</t>
  </si>
  <si>
    <t>QUIQUIJANA</t>
  </si>
  <si>
    <t>LLAMPA</t>
  </si>
  <si>
    <t>HUACAHUASI</t>
  </si>
  <si>
    <t>CHINCHERO</t>
  </si>
  <si>
    <t>50585</t>
  </si>
  <si>
    <t>OLLANTAYTAMBO</t>
  </si>
  <si>
    <t>CHILLCA</t>
  </si>
  <si>
    <t>50621</t>
  </si>
  <si>
    <t>QELQANQA</t>
  </si>
  <si>
    <t>36062</t>
  </si>
  <si>
    <t>PALLCCAPAMPA</t>
  </si>
  <si>
    <t>36344 VALENTIN LOPEZ MOLINA || CPED 36344 VALENTIN LOPEZ MOLINA</t>
  </si>
  <si>
    <t>CALLQUI CHICO</t>
  </si>
  <si>
    <t>CARRETERA HUANCAVELICA - PISCO</t>
  </si>
  <si>
    <t>INGENIO</t>
  </si>
  <si>
    <t>36033</t>
  </si>
  <si>
    <t>ACOBAMBILLA</t>
  </si>
  <si>
    <t>ANCCAPA</t>
  </si>
  <si>
    <t>CALLE REAL S/N</t>
  </si>
  <si>
    <t>JIRON 28 DE JULIO S/N</t>
  </si>
  <si>
    <t>36044</t>
  </si>
  <si>
    <t>CUENCA</t>
  </si>
  <si>
    <t>LUQUIA</t>
  </si>
  <si>
    <t>LARIA</t>
  </si>
  <si>
    <t>36101</t>
  </si>
  <si>
    <t>NUEVO OCCORO</t>
  </si>
  <si>
    <t>VILLA RICA</t>
  </si>
  <si>
    <t>AVENIDA 9 DE MAYO S/N</t>
  </si>
  <si>
    <t>36374 ISAAC NEWTON</t>
  </si>
  <si>
    <t>PAUCARA</t>
  </si>
  <si>
    <t>CHECCO CRUZ</t>
  </si>
  <si>
    <t>36209 SAGRADO CORAZON DE JESUS</t>
  </si>
  <si>
    <t>ROSARIO</t>
  </si>
  <si>
    <t>ACCOMACHAY</t>
  </si>
  <si>
    <t>LIRCAY</t>
  </si>
  <si>
    <t>BUENAVISTA</t>
  </si>
  <si>
    <t>36403</t>
  </si>
  <si>
    <t>UNION PROGRESO PATAHUASI</t>
  </si>
  <si>
    <t>36479</t>
  </si>
  <si>
    <t>CCOCHACCASA</t>
  </si>
  <si>
    <t>PONGOS GRANDE</t>
  </si>
  <si>
    <t>SECCLLA</t>
  </si>
  <si>
    <t>36283 JESUS DE NAZARETH</t>
  </si>
  <si>
    <t>QUISPICANCHA</t>
  </si>
  <si>
    <t>36285</t>
  </si>
  <si>
    <t>RUPASCCAHUASI</t>
  </si>
  <si>
    <t>CASTROVIRREYNA</t>
  </si>
  <si>
    <t>AURAHUA</t>
  </si>
  <si>
    <t>COCHAMARCA</t>
  </si>
  <si>
    <t>31131 JOSE SALVADOR CAVERO OVALLE</t>
  </si>
  <si>
    <t>EL CARMEN</t>
  </si>
  <si>
    <t>PUCUTO</t>
  </si>
  <si>
    <t>CARRETERA PALERMO - LARCAY</t>
  </si>
  <si>
    <t>AVENIDA HUANCAVELICA S/N</t>
  </si>
  <si>
    <t>SAN ANTONIO DE CUSICANCHA</t>
  </si>
  <si>
    <t>SACSAQUERO</t>
  </si>
  <si>
    <t>NUESTRA SEÑORA DE LA ASUNCION</t>
  </si>
  <si>
    <t>ACOSTAMBO</t>
  </si>
  <si>
    <t>CARRETERA HUANCAYO - HUANCAVELICA KM. 38</t>
  </si>
  <si>
    <t>31032</t>
  </si>
  <si>
    <t>ANDAYMARCA</t>
  </si>
  <si>
    <t>HUARANHUAY</t>
  </si>
  <si>
    <t>ENRIQUETA SAMANEZ DE HERMOZA</t>
  </si>
  <si>
    <t>TOCAS</t>
  </si>
  <si>
    <t>AVENIDA SAN JULIAN</t>
  </si>
  <si>
    <t>HUARIBAMBA</t>
  </si>
  <si>
    <t>SALCABAMBA</t>
  </si>
  <si>
    <t>PALCA</t>
  </si>
  <si>
    <t>31100</t>
  </si>
  <si>
    <t>SAN MARCOS DE ROCCHAC</t>
  </si>
  <si>
    <t>PALOMA RUMI</t>
  </si>
  <si>
    <t>BARRIO PALOMA RUMI</t>
  </si>
  <si>
    <t>31110</t>
  </si>
  <si>
    <t>COCHABAMBA</t>
  </si>
  <si>
    <t>COCHABAMBA GRANDE</t>
  </si>
  <si>
    <t>SEICHI IZUMI || 32753</t>
  </si>
  <si>
    <t>PUCUCHINCHE</t>
  </si>
  <si>
    <t>32045</t>
  </si>
  <si>
    <t>AMARILIS</t>
  </si>
  <si>
    <t>CACHUNA</t>
  </si>
  <si>
    <t>CHINCHAO</t>
  </si>
  <si>
    <t>32265</t>
  </si>
  <si>
    <t>32653</t>
  </si>
  <si>
    <t>MALLQUI</t>
  </si>
  <si>
    <t>CARRETERA MALLQUI</t>
  </si>
  <si>
    <t>NUESTRA SEÑORA DE LOURDES</t>
  </si>
  <si>
    <t>AVENIDA SAN PEDRO S/N</t>
  </si>
  <si>
    <t>32076 JAVIER PULGAR VIDAL</t>
  </si>
  <si>
    <t>CHURUBAMBA</t>
  </si>
  <si>
    <t>UTAO</t>
  </si>
  <si>
    <t>TAMBOGAN || 32075</t>
  </si>
  <si>
    <t>TAMBOGAN</t>
  </si>
  <si>
    <t>33076 PEDRO VILCA APAZA</t>
  </si>
  <si>
    <t>QUISQUI (KICHKI)</t>
  </si>
  <si>
    <t>MITOTAMBO</t>
  </si>
  <si>
    <t>CONDORMARCA</t>
  </si>
  <si>
    <t>SAN FRANCISCO DE CAYRAN</t>
  </si>
  <si>
    <t>CONDOMARCA</t>
  </si>
  <si>
    <t>RICARDO PALMA SORIANO</t>
  </si>
  <si>
    <t>SANTA MARIA DEL VALLE</t>
  </si>
  <si>
    <t>SAN JUAN DE MARAMBUCO</t>
  </si>
  <si>
    <t>32123 || 32123 JOSE ANTONIO ENCINAS FRANCO</t>
  </si>
  <si>
    <t>MITOQUERA</t>
  </si>
  <si>
    <t>MITOQUERA S/N</t>
  </si>
  <si>
    <t>32124 ALEJO HUARAUYA PALOMINO</t>
  </si>
  <si>
    <t>PACHABAMBA</t>
  </si>
  <si>
    <t>PACHABAMBA - SAN JUAN DE ÑAUZA</t>
  </si>
  <si>
    <t>32630</t>
  </si>
  <si>
    <t>LLACSA</t>
  </si>
  <si>
    <t>SAN MIGUEL DE LLACZA</t>
  </si>
  <si>
    <t>33015</t>
  </si>
  <si>
    <t>CONCHUMAYO</t>
  </si>
  <si>
    <t>32040 || NACIONAL CHULLAY</t>
  </si>
  <si>
    <t>YARUMAYO</t>
  </si>
  <si>
    <t>CHULLAY</t>
  </si>
  <si>
    <t>32138 MIGUEL GRAU SEMINARIO</t>
  </si>
  <si>
    <t>HUAYLLA</t>
  </si>
  <si>
    <t>HUAYLLA S/N</t>
  </si>
  <si>
    <t>32136 || JORGE CHAVEZ DARTNELL</t>
  </si>
  <si>
    <t>CHAUCHA</t>
  </si>
  <si>
    <t>CHAUCHA S/N</t>
  </si>
  <si>
    <t>32169 DAYSI YENY SOTO MORY</t>
  </si>
  <si>
    <t>MARAYPATA</t>
  </si>
  <si>
    <t>SAN RAFAEL</t>
  </si>
  <si>
    <t>32198</t>
  </si>
  <si>
    <t>ALCAS</t>
  </si>
  <si>
    <t>32201</t>
  </si>
  <si>
    <t>CORRALCANCHA</t>
  </si>
  <si>
    <t>MARIAS</t>
  </si>
  <si>
    <t>TANTACOTO</t>
  </si>
  <si>
    <t>32316</t>
  </si>
  <si>
    <t>PURA</t>
  </si>
  <si>
    <t>33020</t>
  </si>
  <si>
    <t>MILAGROS</t>
  </si>
  <si>
    <t>32337</t>
  </si>
  <si>
    <t>PACHAS</t>
  </si>
  <si>
    <t>SANTA ROSA DE ACLLAHUAYIN</t>
  </si>
  <si>
    <t>ACLLAHUAYIN</t>
  </si>
  <si>
    <t>RIPAN</t>
  </si>
  <si>
    <t>32673</t>
  </si>
  <si>
    <t>CONOC</t>
  </si>
  <si>
    <t>84106</t>
  </si>
  <si>
    <t>PINRA</t>
  </si>
  <si>
    <t>LLATA</t>
  </si>
  <si>
    <t>PROGRESO</t>
  </si>
  <si>
    <t>32431</t>
  </si>
  <si>
    <t>SAN MIGUEL DE QUEROS</t>
  </si>
  <si>
    <t>SAN MIGUEL QUEROSH</t>
  </si>
  <si>
    <t>33201</t>
  </si>
  <si>
    <t>DANIEL ALOMIA ROBLES</t>
  </si>
  <si>
    <t>32573</t>
  </si>
  <si>
    <t>HERMILIO VALDIZAN</t>
  </si>
  <si>
    <t>SORTILEGIO</t>
  </si>
  <si>
    <t>SAN ISIDRO</t>
  </si>
  <si>
    <t>CARRETERA SAN ISIDRO</t>
  </si>
  <si>
    <t>33152</t>
  </si>
  <si>
    <t>JOSE CRESPO Y CASTILLO</t>
  </si>
  <si>
    <t>NUEVO COPAL</t>
  </si>
  <si>
    <t>32306</t>
  </si>
  <si>
    <t>MARIANO DAMASO BERAUN</t>
  </si>
  <si>
    <t>CHUNATAHUA</t>
  </si>
  <si>
    <t>32570</t>
  </si>
  <si>
    <t>BEJUCAL</t>
  </si>
  <si>
    <t>BEJUCAL S/N</t>
  </si>
  <si>
    <t>CHAGLLA</t>
  </si>
  <si>
    <t>84049 JUAN CLAUDIO VILLAFUERTE</t>
  </si>
  <si>
    <t>HUACRACHUCO</t>
  </si>
  <si>
    <t>HUANCHAY</t>
  </si>
  <si>
    <t>32580</t>
  </si>
  <si>
    <t>PANAO</t>
  </si>
  <si>
    <t>32601</t>
  </si>
  <si>
    <t>COÑAYCA</t>
  </si>
  <si>
    <t>COÑAICA</t>
  </si>
  <si>
    <t>32612</t>
  </si>
  <si>
    <t>PUERTO GUADALUPE</t>
  </si>
  <si>
    <t>PUERTO GUADALUPE S/N</t>
  </si>
  <si>
    <t>MOLINO</t>
  </si>
  <si>
    <t>UMARI</t>
  </si>
  <si>
    <t>CODO DEL POZUZO</t>
  </si>
  <si>
    <t>U022</t>
  </si>
  <si>
    <t>ALBUQUERQUE</t>
  </si>
  <si>
    <t>YUYAPICHIS</t>
  </si>
  <si>
    <t>32371</t>
  </si>
  <si>
    <t>RONDOS</t>
  </si>
  <si>
    <t>32326</t>
  </si>
  <si>
    <t>OBAS</t>
  </si>
  <si>
    <t>PARIACANCHA</t>
  </si>
  <si>
    <t>22347</t>
  </si>
  <si>
    <t>OCUCAJE</t>
  </si>
  <si>
    <t>PAMPA CHACALTANA</t>
  </si>
  <si>
    <t>22348 SANTIAGO BARRIOS TORREALVA || 518 LOS MILAGRITOS DE SAN FELIPE</t>
  </si>
  <si>
    <t>22677</t>
  </si>
  <si>
    <t>PACHACUTEC</t>
  </si>
  <si>
    <t>PUEBLO NUEVO</t>
  </si>
  <si>
    <t>22342</t>
  </si>
  <si>
    <t>EL OLIVO</t>
  </si>
  <si>
    <t>AVENIDA PROGRESO S/N</t>
  </si>
  <si>
    <t>22340</t>
  </si>
  <si>
    <t>CALLE JUAN CANCIO CASTILLO 152</t>
  </si>
  <si>
    <t>22380 SEÑOR DE LUREN</t>
  </si>
  <si>
    <t>SAN MATIAS</t>
  </si>
  <si>
    <t>CARRETERA PANAMERICANA SUR KM 319</t>
  </si>
  <si>
    <t>22705 || 520</t>
  </si>
  <si>
    <t>SANTA VICENTA</t>
  </si>
  <si>
    <t>22391</t>
  </si>
  <si>
    <t>YAUCA DEL ROSARIO</t>
  </si>
  <si>
    <t>SAN JOSE DE CURIS</t>
  </si>
  <si>
    <t>22272</t>
  </si>
  <si>
    <t>ALTO LARAN</t>
  </si>
  <si>
    <t>HACIENDA HUACHINGA</t>
  </si>
  <si>
    <t>HUACHINGA</t>
  </si>
  <si>
    <t>22613</t>
  </si>
  <si>
    <t>FUNDO YAURITAMBO</t>
  </si>
  <si>
    <t>YAURITAMBO</t>
  </si>
  <si>
    <t>ABRAHAM VALDELOMAR PINTO</t>
  </si>
  <si>
    <t>CHINCHA BAJA</t>
  </si>
  <si>
    <t>CAMPO ALEGRE</t>
  </si>
  <si>
    <t>22249</t>
  </si>
  <si>
    <t>CALLE BERANARDO RAMOS HIDALGO 101</t>
  </si>
  <si>
    <t>PEDRO RONCEROS CALDERON</t>
  </si>
  <si>
    <t>SANTA ROSA S/N</t>
  </si>
  <si>
    <t>22751</t>
  </si>
  <si>
    <t>AVENIDA PRINCIPAL S/N</t>
  </si>
  <si>
    <t>SAN REGIS</t>
  </si>
  <si>
    <t>22283</t>
  </si>
  <si>
    <t>SAN JUAN DE YANAC</t>
  </si>
  <si>
    <t>SAN LUIS DE HUAÑUPIZA</t>
  </si>
  <si>
    <t>22284</t>
  </si>
  <si>
    <t>SAN ANTONIO DE SIHUAY</t>
  </si>
  <si>
    <t>22665</t>
  </si>
  <si>
    <t>HUASIPIRCANA</t>
  </si>
  <si>
    <t>SAN PEDRO DE HUACARPANA</t>
  </si>
  <si>
    <t>22645</t>
  </si>
  <si>
    <t>SAN JUAN DE HUCHPA</t>
  </si>
  <si>
    <t>SAN JUAN DE UCHPA</t>
  </si>
  <si>
    <t>22662</t>
  </si>
  <si>
    <t>TAMBULLA</t>
  </si>
  <si>
    <t>TAMBULLA S/N</t>
  </si>
  <si>
    <t>CARRETERA FERNANDO BELAUNDE TERRY KM.4</t>
  </si>
  <si>
    <t>22719 JOSEFINA MUÑOZ BAYLON</t>
  </si>
  <si>
    <t>NASCA</t>
  </si>
  <si>
    <t>CHANGUILLO</t>
  </si>
  <si>
    <t>COYUNGO</t>
  </si>
  <si>
    <t>22414</t>
  </si>
  <si>
    <t>EL INGENIO</t>
  </si>
  <si>
    <t>813 || 22675 JOSE ANTONIO HUAMANI MITACC</t>
  </si>
  <si>
    <t>EL ESTUDIANTE</t>
  </si>
  <si>
    <t>CALLE 2 S/N MZ K LOTE 3</t>
  </si>
  <si>
    <t>22436 || PALMAR</t>
  </si>
  <si>
    <t>RIO GRANDE</t>
  </si>
  <si>
    <t>PALMAR</t>
  </si>
  <si>
    <t>22709</t>
  </si>
  <si>
    <t>PAMPA BLANCA</t>
  </si>
  <si>
    <t>CARRETERA PAMPA BLANCA KM 52</t>
  </si>
  <si>
    <t>22441 SANTA ANA</t>
  </si>
  <si>
    <t>TIBILLO</t>
  </si>
  <si>
    <t>CALLE PALPA S/N</t>
  </si>
  <si>
    <t>22717</t>
  </si>
  <si>
    <t>HUMAY</t>
  </si>
  <si>
    <t>SAN TADEO</t>
  </si>
  <si>
    <t>SAN TADEO S/N</t>
  </si>
  <si>
    <t>22673</t>
  </si>
  <si>
    <t>LAS DELICIAS</t>
  </si>
  <si>
    <t>DELICIAS</t>
  </si>
  <si>
    <t>22443 JOSE GABRIEL AGUILAR</t>
  </si>
  <si>
    <t>CABEZA DE TORO LATERAL 4</t>
  </si>
  <si>
    <t>22498 FAUSTINO ROSAS BARBOZA</t>
  </si>
  <si>
    <t>TOMA DE LEON</t>
  </si>
  <si>
    <t>SANTA ISABEL</t>
  </si>
  <si>
    <t>31181</t>
  </si>
  <si>
    <t>SAÑO</t>
  </si>
  <si>
    <t>SAN JOSE DE TISO</t>
  </si>
  <si>
    <t>SAPALLANGA</t>
  </si>
  <si>
    <t>SANTO DOMINGO DE ACOBAMBA</t>
  </si>
  <si>
    <t>YUNCA</t>
  </si>
  <si>
    <t>YUNCA CHAQUICOCHA</t>
  </si>
  <si>
    <t>CARMEN ALTO</t>
  </si>
  <si>
    <t>ANDAMARCA</t>
  </si>
  <si>
    <t>30345</t>
  </si>
  <si>
    <t>PUNCO</t>
  </si>
  <si>
    <t>30352</t>
  </si>
  <si>
    <t>COMAS</t>
  </si>
  <si>
    <t>30372</t>
  </si>
  <si>
    <t>POMAMANTA</t>
  </si>
  <si>
    <t>CARRETERA A COMAS S/N</t>
  </si>
  <si>
    <t>30906</t>
  </si>
  <si>
    <t>BARRIO LA LIBERTAD</t>
  </si>
  <si>
    <t>CENTRAL HUANCAYO SATIPO</t>
  </si>
  <si>
    <t>31186</t>
  </si>
  <si>
    <t>AYCHANA</t>
  </si>
  <si>
    <t>31482</t>
  </si>
  <si>
    <t>SAN CRISTOBAL DE MARANCOCHA</t>
  </si>
  <si>
    <t>MITO</t>
  </si>
  <si>
    <t>30404</t>
  </si>
  <si>
    <t>SAN JOSE DE QUERO</t>
  </si>
  <si>
    <t>JOSE GALVEZ BARRENECHEA</t>
  </si>
  <si>
    <t>PERENE</t>
  </si>
  <si>
    <t>JOSE GALVEZ</t>
  </si>
  <si>
    <t>CALLE JOSE GALVEZ S/N</t>
  </si>
  <si>
    <t>31256</t>
  </si>
  <si>
    <t>NACIENTE KIMARINI</t>
  </si>
  <si>
    <t>NACIENTE KIMARINI S/N</t>
  </si>
  <si>
    <t>31258</t>
  </si>
  <si>
    <t>SAN JUAN KIMARINI</t>
  </si>
  <si>
    <t>31436</t>
  </si>
  <si>
    <t>ALTO INCARIADO</t>
  </si>
  <si>
    <t>31496</t>
  </si>
  <si>
    <t>CENTRO PUMPURIANI</t>
  </si>
  <si>
    <t>31616</t>
  </si>
  <si>
    <t>LAS PALMAS SATINAKI</t>
  </si>
  <si>
    <t>31697</t>
  </si>
  <si>
    <t>31892</t>
  </si>
  <si>
    <t>PAMPA WHALEY</t>
  </si>
  <si>
    <t>31579 || SANTA ROSA DE CAMONASHARI</t>
  </si>
  <si>
    <t>SANTA ROSA DE CAMONASHARI</t>
  </si>
  <si>
    <t>SAN JOSE || 31565 SAN JOSE</t>
  </si>
  <si>
    <t>PAMPA AZANGARO</t>
  </si>
  <si>
    <t>SAN LUIS DE SHUARO</t>
  </si>
  <si>
    <t>31269</t>
  </si>
  <si>
    <t>SANTA ROSA DE PUÑIZAS</t>
  </si>
  <si>
    <t>31815</t>
  </si>
  <si>
    <t>PUÑIZAS PARNAZO</t>
  </si>
  <si>
    <t>PUÑIZAS PARNAZU</t>
  </si>
  <si>
    <t>ACOPAMPA</t>
  </si>
  <si>
    <t>JOSE ANTONIO ENCINAS FRANCO</t>
  </si>
  <si>
    <t>JANJAILLO</t>
  </si>
  <si>
    <t>RICRAN</t>
  </si>
  <si>
    <t>30471 JULIAN CHAVEZ HUANUCO</t>
  </si>
  <si>
    <t>CHULEC JANCHISCOCHA</t>
  </si>
  <si>
    <t>30473 VIRGEN DEL CARMEN</t>
  </si>
  <si>
    <t>30610 MARISCAL CASTILLA</t>
  </si>
  <si>
    <t>ULCUMAYO</t>
  </si>
  <si>
    <t>TAMBOS</t>
  </si>
  <si>
    <t>AUTOPISTA A ANTURQUI KM 28</t>
  </si>
  <si>
    <t>RIO NEGRO</t>
  </si>
  <si>
    <t>30661</t>
  </si>
  <si>
    <t>LLAYLLA</t>
  </si>
  <si>
    <t>CAMANTARO</t>
  </si>
  <si>
    <t>PARQUE CAMANTARO</t>
  </si>
  <si>
    <t>30001-14</t>
  </si>
  <si>
    <t>PANGOA</t>
  </si>
  <si>
    <t>SANTA TERESA DE ALTO ANAPATI</t>
  </si>
  <si>
    <t>SANTA TERESITA</t>
  </si>
  <si>
    <t>NUEVA JERUSALEN</t>
  </si>
  <si>
    <t>30166</t>
  </si>
  <si>
    <t>SANTA ROSA DE ALTO KIATARI</t>
  </si>
  <si>
    <t>CARRETERA PRINCIPAL S/N</t>
  </si>
  <si>
    <t>30672</t>
  </si>
  <si>
    <t>ALTO ANAPATI</t>
  </si>
  <si>
    <t>CALLE PLAZA PRINCIPAL S/N</t>
  </si>
  <si>
    <t>64425</t>
  </si>
  <si>
    <t>TRES UNIDOS DE MATERENI</t>
  </si>
  <si>
    <t>MATERENI</t>
  </si>
  <si>
    <t>SANTIAGO ANTUNEZ DE MAYOLO</t>
  </si>
  <si>
    <t>PRIMAVERA</t>
  </si>
  <si>
    <t>MICAELA BASTIDAS</t>
  </si>
  <si>
    <t>HUARICOLCA</t>
  </si>
  <si>
    <t>APAYCANCHILLA</t>
  </si>
  <si>
    <t>ANTONIO RAIMONDI</t>
  </si>
  <si>
    <t>SANTO DOMINGO</t>
  </si>
  <si>
    <t>31598</t>
  </si>
  <si>
    <t>YANAMA ALTO</t>
  </si>
  <si>
    <t>HUAY-HUAY</t>
  </si>
  <si>
    <t>SAN JOSE DE ANDAYCHAGUA</t>
  </si>
  <si>
    <t>ZONA ALTA S/N</t>
  </si>
  <si>
    <t>31175</t>
  </si>
  <si>
    <t>MARCAPOMACOCHA</t>
  </si>
  <si>
    <t>YANTAC</t>
  </si>
  <si>
    <t>YANTAC S/N</t>
  </si>
  <si>
    <t>64556 || CPED - 64556</t>
  </si>
  <si>
    <t>HACIENDA CORPACANCHA</t>
  </si>
  <si>
    <t>PARQUE HACIENDA CORPACANCHA S/N</t>
  </si>
  <si>
    <t>LEONCIO PRADO GUTIERREZ</t>
  </si>
  <si>
    <t>SAN CRISTOBAL</t>
  </si>
  <si>
    <t>CAMPAMENTO MINERO SAN CRISTOBAL S/N</t>
  </si>
  <si>
    <t>80694 JESUS EL GRAN MAESTRO</t>
  </si>
  <si>
    <t>LAREDO</t>
  </si>
  <si>
    <t>MENOCUCHO</t>
  </si>
  <si>
    <t>CARRETERA INTERIOR KM 26</t>
  </si>
  <si>
    <t>81604 JOSE WATANABE VARAS</t>
  </si>
  <si>
    <t>JESUS MARIA</t>
  </si>
  <si>
    <t>JESUS MARIA S/N</t>
  </si>
  <si>
    <t>CHICAMA</t>
  </si>
  <si>
    <t>PAIJAN</t>
  </si>
  <si>
    <t>UNAMEN</t>
  </si>
  <si>
    <t>CALLE BELLAVISTA S/N</t>
  </si>
  <si>
    <t>PACANGA</t>
  </si>
  <si>
    <t>CARABAMBA</t>
  </si>
  <si>
    <t>80233</t>
  </si>
  <si>
    <t>ALLACDAY</t>
  </si>
  <si>
    <t>ALLACDAY S/N</t>
  </si>
  <si>
    <t>AGALLPAMPA</t>
  </si>
  <si>
    <t>EFRAIN MOROTE BEST</t>
  </si>
  <si>
    <t>80255</t>
  </si>
  <si>
    <t>MACHE</t>
  </si>
  <si>
    <t>CALLE LA SOLEDAD 304</t>
  </si>
  <si>
    <t>SALPO</t>
  </si>
  <si>
    <t>SINSICAP</t>
  </si>
  <si>
    <t>80271 PEDRO OSWALDO CERNA VALDIVIEZO</t>
  </si>
  <si>
    <t>PASAJE JOSE BALTA 225</t>
  </si>
  <si>
    <t>81629 CESAR A. VALLEJO MENDOZA</t>
  </si>
  <si>
    <t>CUCHANGA</t>
  </si>
  <si>
    <t>81644</t>
  </si>
  <si>
    <t>CHUITE</t>
  </si>
  <si>
    <t>CHUITE S/N</t>
  </si>
  <si>
    <t>82046 JESUS ES MI GUIA</t>
  </si>
  <si>
    <t>CALLUNCHAS</t>
  </si>
  <si>
    <t>80004</t>
  </si>
  <si>
    <t>USQUIL</t>
  </si>
  <si>
    <t>ZULLANDAS</t>
  </si>
  <si>
    <t>80280</t>
  </si>
  <si>
    <t>SAHUACHIQUE</t>
  </si>
  <si>
    <t>80708</t>
  </si>
  <si>
    <t>MIGUEL GRAU</t>
  </si>
  <si>
    <t>MIGUEL GRAU S/N</t>
  </si>
  <si>
    <t>80709 JAVIER HERAUD PEREZ</t>
  </si>
  <si>
    <t>MONCHACAP</t>
  </si>
  <si>
    <t>81633</t>
  </si>
  <si>
    <t>LOS ANDES</t>
  </si>
  <si>
    <t>AVENIDA LOS ANDES</t>
  </si>
  <si>
    <t>82084</t>
  </si>
  <si>
    <t>82085</t>
  </si>
  <si>
    <t>ALFONSO UGARTE</t>
  </si>
  <si>
    <t>AVENIDA ALFONSO UGARTE</t>
  </si>
  <si>
    <t>80378 VIRGEN DE FATIMA</t>
  </si>
  <si>
    <t>SANTONTE</t>
  </si>
  <si>
    <t>AVENIDA NELIDA LIZARZABURU DIAZ S/N</t>
  </si>
  <si>
    <t>81565 BENJAMIN H. KAUFFMAN</t>
  </si>
  <si>
    <t>GUADALUPE</t>
  </si>
  <si>
    <t>FACLO GRANDE</t>
  </si>
  <si>
    <t>JIRON SEGUNDO MUÑOZ ZAMORA S/N</t>
  </si>
  <si>
    <t>81705</t>
  </si>
  <si>
    <t>SEMAN</t>
  </si>
  <si>
    <t>AVENIDA NUESTRA SEÑORA DE FATIMA S/N</t>
  </si>
  <si>
    <t>81570 SUSANA CORREA PALACIOS</t>
  </si>
  <si>
    <t>CULTAMBO</t>
  </si>
  <si>
    <t>AVENIDA JERUSALEN S/N</t>
  </si>
  <si>
    <t>81571</t>
  </si>
  <si>
    <t>TECAPA</t>
  </si>
  <si>
    <t>CALLE 21 DE ENERO 125</t>
  </si>
  <si>
    <t>81572 MICAELA BASTIDAS</t>
  </si>
  <si>
    <t>EDGARDO MIGUEL ALARCON VERA</t>
  </si>
  <si>
    <t>CALLE NUEVA JERUSALEN S/N</t>
  </si>
  <si>
    <t>80669</t>
  </si>
  <si>
    <t>PORTADA DE LA SIERRA</t>
  </si>
  <si>
    <t>AVENIDA VIRGILIO PURIZAGA S/N</t>
  </si>
  <si>
    <t>CHILLIA</t>
  </si>
  <si>
    <t>80442 CESAR ABRAHAM VALLEJO MENDOZA</t>
  </si>
  <si>
    <t>HUANCASPATA</t>
  </si>
  <si>
    <t>LIBERTAD</t>
  </si>
  <si>
    <t>CARRETERA A LIBERTAD S/N</t>
  </si>
  <si>
    <t>SAN FERNANDO</t>
  </si>
  <si>
    <t>80135</t>
  </si>
  <si>
    <t>HUAMACHUCO</t>
  </si>
  <si>
    <t>URPAY</t>
  </si>
  <si>
    <t>URPAY S/N</t>
  </si>
  <si>
    <t>80152</t>
  </si>
  <si>
    <t>CURGOS</t>
  </si>
  <si>
    <t>80263</t>
  </si>
  <si>
    <t>QUEROBAL</t>
  </si>
  <si>
    <t>80967</t>
  </si>
  <si>
    <t>CORRAL COLORADO</t>
  </si>
  <si>
    <t>80143 TORIBIO RODRIGUEZ DE MENDOZA</t>
  </si>
  <si>
    <t>MARCABAL</t>
  </si>
  <si>
    <t>CALLE DAMIAN NICOLAO S/N</t>
  </si>
  <si>
    <t>80197</t>
  </si>
  <si>
    <t>80198</t>
  </si>
  <si>
    <t>HABAS HORCO</t>
  </si>
  <si>
    <t>80849</t>
  </si>
  <si>
    <t>TAYANGA</t>
  </si>
  <si>
    <t>80893 NUESTRA SEÑORA DE LA CANDELARIA</t>
  </si>
  <si>
    <t>CHOROBAMBA</t>
  </si>
  <si>
    <t>80955</t>
  </si>
  <si>
    <t>SHAYAPUAYCO</t>
  </si>
  <si>
    <t>SHAYAPUAICO</t>
  </si>
  <si>
    <t>SANAGORAN</t>
  </si>
  <si>
    <t>PUEBLO LIBRE</t>
  </si>
  <si>
    <t>80526</t>
  </si>
  <si>
    <t>CONRA</t>
  </si>
  <si>
    <t>CACHICADAN</t>
  </si>
  <si>
    <t>CORRALES</t>
  </si>
  <si>
    <t>80075</t>
  </si>
  <si>
    <t>CARRETERA SANTA ELENA S/N</t>
  </si>
  <si>
    <t>1724 || 80634</t>
  </si>
  <si>
    <t>ZARAQUE</t>
  </si>
  <si>
    <t>80757 LA CALERA</t>
  </si>
  <si>
    <t>MAYASGO</t>
  </si>
  <si>
    <t>81590</t>
  </si>
  <si>
    <t>SAN ILDEFONSO</t>
  </si>
  <si>
    <t>SAN IDELFONSO</t>
  </si>
  <si>
    <t>CHAO</t>
  </si>
  <si>
    <t>80638</t>
  </si>
  <si>
    <t>80875</t>
  </si>
  <si>
    <t>81750 CESAR VALLEJO MENDOZA</t>
  </si>
  <si>
    <t>EL ROSARIO</t>
  </si>
  <si>
    <t>EL ROSARIO S/N</t>
  </si>
  <si>
    <t>81772</t>
  </si>
  <si>
    <t>CAÑARIS</t>
  </si>
  <si>
    <t>LA LAGUNA</t>
  </si>
  <si>
    <t>10776 JUAN VELASCO ALVARADO</t>
  </si>
  <si>
    <t>HUAYABAMBA</t>
  </si>
  <si>
    <t>CARRETERA HUAYABAMBA</t>
  </si>
  <si>
    <t>RODEOPAMPA</t>
  </si>
  <si>
    <t>11210</t>
  </si>
  <si>
    <t>MOCHUMI</t>
  </si>
  <si>
    <t>PUNTO UNO</t>
  </si>
  <si>
    <t>MOTUPE</t>
  </si>
  <si>
    <t>11040 VALENTIN DEMETRIO PANIAGUA CORAZAO</t>
  </si>
  <si>
    <t>SALAS</t>
  </si>
  <si>
    <t>LAGUNA HUANAMA</t>
  </si>
  <si>
    <t>LAGUNAS HUANAMA</t>
  </si>
  <si>
    <t>JOSE OLAYA</t>
  </si>
  <si>
    <t>11139</t>
  </si>
  <si>
    <t>PACORA</t>
  </si>
  <si>
    <t>LOS BANCOS</t>
  </si>
  <si>
    <t>LOS BANCES</t>
  </si>
  <si>
    <t>10219</t>
  </si>
  <si>
    <t>CORAZON DE JESUS</t>
  </si>
  <si>
    <t>64127 || PADRE FRANCISCO ALVAREZ</t>
  </si>
  <si>
    <t>SEPAHUA</t>
  </si>
  <si>
    <t>SEPAHUA COMUNIDAD NATIVA</t>
  </si>
  <si>
    <t>20050</t>
  </si>
  <si>
    <t>SAN JUAN DE TARUCAYA</t>
  </si>
  <si>
    <t>SAN JUAN DE YARUCAYA</t>
  </si>
  <si>
    <t>VEGUETA</t>
  </si>
  <si>
    <t>SUPE</t>
  </si>
  <si>
    <t>20263</t>
  </si>
  <si>
    <t>ARAHUAY</t>
  </si>
  <si>
    <t>COLLO</t>
  </si>
  <si>
    <t>CARRETERA A ARAHUAY KM 17.7</t>
  </si>
  <si>
    <t>SAN VICENTE DE CAÑETE</t>
  </si>
  <si>
    <t>20451 ANDRES AVELINO CACERES</t>
  </si>
  <si>
    <t>ITUATA</t>
  </si>
  <si>
    <t>AUCALLAMA</t>
  </si>
  <si>
    <t>21551 CAPITAN JUAN VICENTE SUAREZ</t>
  </si>
  <si>
    <t>CAQUI</t>
  </si>
  <si>
    <t>CALLE VIRGEN DE FATIMA 130</t>
  </si>
  <si>
    <t>MARIATANA</t>
  </si>
  <si>
    <t>CUCULI</t>
  </si>
  <si>
    <t>CARRETERA ANEXO CUCULI VILLA PAMPILLA S/N</t>
  </si>
  <si>
    <t>AMBAR</t>
  </si>
  <si>
    <t>20096</t>
  </si>
  <si>
    <t>AYNACA</t>
  </si>
  <si>
    <t>20999</t>
  </si>
  <si>
    <t>EL SOL</t>
  </si>
  <si>
    <t>20120 CESAR VALLEJO</t>
  </si>
  <si>
    <t>SANTA LEONOR</t>
  </si>
  <si>
    <t>CHIUCHIN</t>
  </si>
  <si>
    <t>CHIUCHIN S/N</t>
  </si>
  <si>
    <t>21009</t>
  </si>
  <si>
    <t>LANCHA</t>
  </si>
  <si>
    <t>20099</t>
  </si>
  <si>
    <t>CALPA</t>
  </si>
  <si>
    <t>20103</t>
  </si>
  <si>
    <t>SHANQUIJIRCA</t>
  </si>
  <si>
    <t>20982</t>
  </si>
  <si>
    <t>QUILCA</t>
  </si>
  <si>
    <t>RIO COCHAMARCA</t>
  </si>
  <si>
    <t>20049</t>
  </si>
  <si>
    <t>COLCAPAMPA</t>
  </si>
  <si>
    <t>21004</t>
  </si>
  <si>
    <t>TAULE</t>
  </si>
  <si>
    <t>20077 ANTONIO RAYMONDI</t>
  </si>
  <si>
    <t>PACHANGARA</t>
  </si>
  <si>
    <t>CALLE MARTIR OLAYA S/N</t>
  </si>
  <si>
    <t>20111</t>
  </si>
  <si>
    <t>20763</t>
  </si>
  <si>
    <t>HUANTAN</t>
  </si>
  <si>
    <t>ATCAS</t>
  </si>
  <si>
    <t>MAYNAS</t>
  </si>
  <si>
    <t>BELEN</t>
  </si>
  <si>
    <t>32733 CESAR MORALES NEGRETE</t>
  </si>
  <si>
    <t>ACOCHACAN</t>
  </si>
  <si>
    <t>JIRON ACOCHACAN</t>
  </si>
  <si>
    <t>60087 LUCILLE GAGNE PELLERIN || LUCILLE GAGNE PELLERIN</t>
  </si>
  <si>
    <t>NAPO</t>
  </si>
  <si>
    <t>SANTA CLOTILDE</t>
  </si>
  <si>
    <t>RIO NAPO</t>
  </si>
  <si>
    <t>60342</t>
  </si>
  <si>
    <t>PUTUMAYO</t>
  </si>
  <si>
    <t>TENIENTE MANUEL CLAVERO</t>
  </si>
  <si>
    <t>TRES FRONTERAS</t>
  </si>
  <si>
    <t>TRES FRONTERAS S/N</t>
  </si>
  <si>
    <t>60558</t>
  </si>
  <si>
    <t>NAUTA</t>
  </si>
  <si>
    <t>NUEVA YORK</t>
  </si>
  <si>
    <t>RIO TIGRE</t>
  </si>
  <si>
    <t>6010200</t>
  </si>
  <si>
    <t>TIGRE</t>
  </si>
  <si>
    <t>DOCE DE OCTUBRE</t>
  </si>
  <si>
    <t>60276 EUGENIO RIVERA LOPEZ</t>
  </si>
  <si>
    <t>MARISCAL RAMON CASTILLA</t>
  </si>
  <si>
    <t>YAVARI</t>
  </si>
  <si>
    <t>ISLANDIA</t>
  </si>
  <si>
    <t>RIO AMAZONAS</t>
  </si>
  <si>
    <t>TIERRA BLANCA</t>
  </si>
  <si>
    <t>SARAYACU</t>
  </si>
  <si>
    <t>JIRON LIBERTAD S/N</t>
  </si>
  <si>
    <t>JUANCITO</t>
  </si>
  <si>
    <t>CALLE SAN JUAN S/N</t>
  </si>
  <si>
    <t>VARGAS GUERRA</t>
  </si>
  <si>
    <t>ORELLANA</t>
  </si>
  <si>
    <t>CARLOS CAVERO EGUZQUIZA</t>
  </si>
  <si>
    <t>52035 || SAN BERNARDO</t>
  </si>
  <si>
    <t>SAN BERNARDO</t>
  </si>
  <si>
    <t>CARRETERA PUERTO MALDONADO - CUSCO KM 29</t>
  </si>
  <si>
    <t>RICARDO PALMA SORIANO || 52187 RICARDO PALMA SORIANO</t>
  </si>
  <si>
    <t>INAMBARI</t>
  </si>
  <si>
    <t>CARRETERA MALDONADO - CUSCO KM 110</t>
  </si>
  <si>
    <t>52027 PUNKIRI</t>
  </si>
  <si>
    <t>HUEPETUHE</t>
  </si>
  <si>
    <t>PUNKIRI CHICO</t>
  </si>
  <si>
    <t>CARRETERA MALDONADO - HUEPETUHE KM 177</t>
  </si>
  <si>
    <t>52159 CIENCIAS DE NUEVA || CIENCIAS DE NUEVA</t>
  </si>
  <si>
    <t>CAYCHIHUE ALTO Y QUEBRADA NUEVA</t>
  </si>
  <si>
    <t>PASAJE MIGUEL GRAU S/N</t>
  </si>
  <si>
    <t>43017</t>
  </si>
  <si>
    <t>EL CONDE</t>
  </si>
  <si>
    <t>CARRETERA PANAMERICANA SUR KM 21</t>
  </si>
  <si>
    <t>AGROPECUARIO SALINAS MOCHE</t>
  </si>
  <si>
    <t>PUQUINA</t>
  </si>
  <si>
    <t>SALINAS MOCHE</t>
  </si>
  <si>
    <t>AVENIDA ROMA S/N</t>
  </si>
  <si>
    <t>34058 JOSE FAUSTINO SANCHEZ CARRION</t>
  </si>
  <si>
    <t>SAN FRANCISCO DE ASIS DE YARUSYACAN</t>
  </si>
  <si>
    <t>MACHCAN</t>
  </si>
  <si>
    <t>PASAJE COYLLARCANCHA S/N</t>
  </si>
  <si>
    <t>34109 JOSE ANTONIO ENCINAS FRANCO</t>
  </si>
  <si>
    <t>YANACANCHA</t>
  </si>
  <si>
    <t>TINGO PALCA</t>
  </si>
  <si>
    <t>AVENIDA MIGUEL BRAVO QUISPE 204</t>
  </si>
  <si>
    <t>34206 INDEPENDENCIA</t>
  </si>
  <si>
    <t>SOGORMO</t>
  </si>
  <si>
    <t>CARRETERA SOGORMO KM. 40</t>
  </si>
  <si>
    <t>34010 DANIEL ALCIDES CARRION</t>
  </si>
  <si>
    <t>MALLAMPAMPA</t>
  </si>
  <si>
    <t>CARRETERA MALLAMPAMPA KM.27</t>
  </si>
  <si>
    <t>34266</t>
  </si>
  <si>
    <t>PALCAZU</t>
  </si>
  <si>
    <t>34287</t>
  </si>
  <si>
    <t>MAIME</t>
  </si>
  <si>
    <t>CARRETERA MAYME S/N</t>
  </si>
  <si>
    <t>CURA MORI</t>
  </si>
  <si>
    <t>15447</t>
  </si>
  <si>
    <t>LAS LOMAS</t>
  </si>
  <si>
    <t>FRANCISCO BOLOGNESI ALTO YUSCAY</t>
  </si>
  <si>
    <t>TAMBO GRANDE</t>
  </si>
  <si>
    <t>15195</t>
  </si>
  <si>
    <t>CP2 COLERA</t>
  </si>
  <si>
    <t>COLERA MZ C-P LOTE 2</t>
  </si>
  <si>
    <t>EL PAPAYO</t>
  </si>
  <si>
    <t>20082</t>
  </si>
  <si>
    <t>SAN EDUARDO</t>
  </si>
  <si>
    <t>CARRETERA SAN EDUARDO S/N</t>
  </si>
  <si>
    <t>IGNACIA DEL CARMEN POZO ARIAS</t>
  </si>
  <si>
    <t>SAMANGUILLA</t>
  </si>
  <si>
    <t>NUESTRA SEÑORA DEL CARMEN</t>
  </si>
  <si>
    <t>TACALPO</t>
  </si>
  <si>
    <t>14206</t>
  </si>
  <si>
    <t>YANCHALA</t>
  </si>
  <si>
    <t>CALVAS DE SAMANGA</t>
  </si>
  <si>
    <t>ESPINDOLA</t>
  </si>
  <si>
    <t>CABUYAL</t>
  </si>
  <si>
    <t>SAN VICENTE</t>
  </si>
  <si>
    <t>14334</t>
  </si>
  <si>
    <t>FRIAS</t>
  </si>
  <si>
    <t>LAS PIRCAS</t>
  </si>
  <si>
    <t>PIRCAS</t>
  </si>
  <si>
    <t>NOGAL</t>
  </si>
  <si>
    <t>15306</t>
  </si>
  <si>
    <t>PECHUQUIZ</t>
  </si>
  <si>
    <t>JUAN VELASCO ALVARADO</t>
  </si>
  <si>
    <t>SAN JORGE</t>
  </si>
  <si>
    <t>LAGUNAS</t>
  </si>
  <si>
    <t>14360</t>
  </si>
  <si>
    <t>YERBAS BUENAS</t>
  </si>
  <si>
    <t>MONTERO</t>
  </si>
  <si>
    <t>NUESTRA SEÑORA DE LAS MERCEDES</t>
  </si>
  <si>
    <t>PACAIPAMPA</t>
  </si>
  <si>
    <t>14373</t>
  </si>
  <si>
    <t>CUMBICUS ALTO</t>
  </si>
  <si>
    <t>CURILCAS</t>
  </si>
  <si>
    <t>CURILCAS S/N</t>
  </si>
  <si>
    <t>NANGAY DE MATALACAS</t>
  </si>
  <si>
    <t>CESAR VALLEJO MENDOZA</t>
  </si>
  <si>
    <t>15138</t>
  </si>
  <si>
    <t>VILCAS</t>
  </si>
  <si>
    <t>NANGAY</t>
  </si>
  <si>
    <t>SAPILLICA</t>
  </si>
  <si>
    <t>QUINUA</t>
  </si>
  <si>
    <t>EL CARMEN DE LA FRONTERA</t>
  </si>
  <si>
    <t>14466 CESAR TRELLES LARA</t>
  </si>
  <si>
    <t>ROSARIOS BAJO</t>
  </si>
  <si>
    <t>ROSARIOS BAJOS</t>
  </si>
  <si>
    <t>HUARMACA</t>
  </si>
  <si>
    <t>SEÑOR CAUTIVO</t>
  </si>
  <si>
    <t>TUNAS</t>
  </si>
  <si>
    <t>LUIS ALBERTO SANCHEZ || 14585 LUIS ALBERTO SANCHEZ</t>
  </si>
  <si>
    <t>CALLANCAS</t>
  </si>
  <si>
    <t>MARIO VARGAS LLOSA</t>
  </si>
  <si>
    <t>HUALAPAMPA ALTO</t>
  </si>
  <si>
    <t>ALEJANDRO SANCHEZ ARTEAGA</t>
  </si>
  <si>
    <t>HIGUERON PAMPA</t>
  </si>
  <si>
    <t>SAGRADO CORAZON DE JESUS</t>
  </si>
  <si>
    <t>CIRO ALEGRIA BAZAN</t>
  </si>
  <si>
    <t>AREAS TECNICAS</t>
  </si>
  <si>
    <t>CONGOÑA</t>
  </si>
  <si>
    <t>LALAQUIZ</t>
  </si>
  <si>
    <t>COMPLEJO EDUCATIVO TEC AGROPECUARIO NESTOR MARTOS GARRIDO</t>
  </si>
  <si>
    <t>TUPAC AMARU II</t>
  </si>
  <si>
    <t>CHULUCANAS</t>
  </si>
  <si>
    <t>KM 41 CC JOSE IGNACIO TAVARA PASAPERA</t>
  </si>
  <si>
    <t>CARRETERA EX- PANAMERICANA NORTE KM 41</t>
  </si>
  <si>
    <t>20054</t>
  </si>
  <si>
    <t>SANTA CRUZ KM 48</t>
  </si>
  <si>
    <t>CARRETERA EX- PANAMERICANA NORTE KM 48</t>
  </si>
  <si>
    <t>CHALACO</t>
  </si>
  <si>
    <t>15385</t>
  </si>
  <si>
    <t>LA RAMADA DE MALACHE</t>
  </si>
  <si>
    <t>LA RAMDA DE MALACHE S/N</t>
  </si>
  <si>
    <t>SILAHUA</t>
  </si>
  <si>
    <t>LA MATANZA</t>
  </si>
  <si>
    <t>14709</t>
  </si>
  <si>
    <t>TIERRAS DURAS BAJO</t>
  </si>
  <si>
    <t>TIERRAS DURAS BAJAS</t>
  </si>
  <si>
    <t>15167</t>
  </si>
  <si>
    <t>CRUZ VERDE</t>
  </si>
  <si>
    <t>15257</t>
  </si>
  <si>
    <t>KM. 65</t>
  </si>
  <si>
    <t>CARRETERA KM. 65</t>
  </si>
  <si>
    <t>20179</t>
  </si>
  <si>
    <t>KM 62 SANTA ROSA</t>
  </si>
  <si>
    <t>HORACIO ZEVALLOS GAMEZ</t>
  </si>
  <si>
    <t>SALITRAL</t>
  </si>
  <si>
    <t>JOSE SANTOS LOPEZ BERRU</t>
  </si>
  <si>
    <t>SIMIRIS</t>
  </si>
  <si>
    <t>SIMIRIS S/N</t>
  </si>
  <si>
    <t>JACANACAS</t>
  </si>
  <si>
    <t>JACANACAS S/N</t>
  </si>
  <si>
    <t>YAMANGO</t>
  </si>
  <si>
    <t>15170</t>
  </si>
  <si>
    <t>COCA</t>
  </si>
  <si>
    <t>COCA S/N</t>
  </si>
  <si>
    <t>LIBERTADOR SIMON BOLIVAR</t>
  </si>
  <si>
    <t>PISCAN</t>
  </si>
  <si>
    <t>PISCAN S/N</t>
  </si>
  <si>
    <t>LA HUACA</t>
  </si>
  <si>
    <t>LANCONES</t>
  </si>
  <si>
    <t>14805</t>
  </si>
  <si>
    <t>MURCIELAGOS</t>
  </si>
  <si>
    <t>14826</t>
  </si>
  <si>
    <t>EL SALTO</t>
  </si>
  <si>
    <t>QUEBRADA EL SALTO</t>
  </si>
  <si>
    <t>14827 FRANCISCO GARCIA CALDERON</t>
  </si>
  <si>
    <t>LACAS</t>
  </si>
  <si>
    <t>15288 CARLOS CUETO FERNANDINI</t>
  </si>
  <si>
    <t>PUEBLO NUEVO DE ROMERO</t>
  </si>
  <si>
    <t>PUEBLO NVO. DE ROMERO</t>
  </si>
  <si>
    <t>20521</t>
  </si>
  <si>
    <t>LA PEÑA</t>
  </si>
  <si>
    <t>14854 JOSE SANTOS CHOCANO</t>
  </si>
  <si>
    <t>MARCAVELICA</t>
  </si>
  <si>
    <t>VISTA FLORIDA</t>
  </si>
  <si>
    <t>SANTA TERESA DE CALCUTA</t>
  </si>
  <si>
    <t>EL PENCO</t>
  </si>
  <si>
    <t>20513 MILAGROSA VIRGEN DEL CARMEN</t>
  </si>
  <si>
    <t>QUERECOTILLO</t>
  </si>
  <si>
    <t>HUALTACAL</t>
  </si>
  <si>
    <t>SAN BENITO DE PALERMO</t>
  </si>
  <si>
    <t>SAN JACINTO</t>
  </si>
  <si>
    <t>VICE</t>
  </si>
  <si>
    <t>14095</t>
  </si>
  <si>
    <t>SANCHEZ</t>
  </si>
  <si>
    <t>JIRON SIMON BOLIVAR 217</t>
  </si>
  <si>
    <t>CALLE LIMA S/N</t>
  </si>
  <si>
    <t>70008</t>
  </si>
  <si>
    <t>AMANTANI</t>
  </si>
  <si>
    <t>SANCAYUNI</t>
  </si>
  <si>
    <t>ATUNCOLLA</t>
  </si>
  <si>
    <t>70015</t>
  </si>
  <si>
    <t>CAPACHICA</t>
  </si>
  <si>
    <t>CAPANO</t>
  </si>
  <si>
    <t>70704</t>
  </si>
  <si>
    <t>70805</t>
  </si>
  <si>
    <t>MAÑAZO</t>
  </si>
  <si>
    <t>CHARAMAYA</t>
  </si>
  <si>
    <t>PLATERIA</t>
  </si>
  <si>
    <t>72612</t>
  </si>
  <si>
    <t>72673</t>
  </si>
  <si>
    <t>CHOQUEMOROCO</t>
  </si>
  <si>
    <t>CHUPA</t>
  </si>
  <si>
    <t>72199</t>
  </si>
  <si>
    <t>CORANI</t>
  </si>
  <si>
    <t>VILUYO CHIMBOYA</t>
  </si>
  <si>
    <t>CHIMBOYA</t>
  </si>
  <si>
    <t>72670</t>
  </si>
  <si>
    <t>ACCONSAYA</t>
  </si>
  <si>
    <t>ACONSAYA</t>
  </si>
  <si>
    <t>72202</t>
  </si>
  <si>
    <t>PAGO CARABAYA</t>
  </si>
  <si>
    <t>INDEPENDENCIA AMERICANA</t>
  </si>
  <si>
    <t>72214</t>
  </si>
  <si>
    <t>OLLACHEA</t>
  </si>
  <si>
    <t>70202</t>
  </si>
  <si>
    <t>JULI</t>
  </si>
  <si>
    <t>COLLPA JAHUIRA</t>
  </si>
  <si>
    <t>ANCOMARCA</t>
  </si>
  <si>
    <t>KELLUYO</t>
  </si>
  <si>
    <t>TOTORAMA</t>
  </si>
  <si>
    <t>TOTOROMA</t>
  </si>
  <si>
    <t>JUAN VELAZCO ALVARADO</t>
  </si>
  <si>
    <t>PISACOMA</t>
  </si>
  <si>
    <t>ZEPITA</t>
  </si>
  <si>
    <t>70161</t>
  </si>
  <si>
    <t>ILAVE</t>
  </si>
  <si>
    <t>SUQUINAPE</t>
  </si>
  <si>
    <t>SUQUINAPI S/N</t>
  </si>
  <si>
    <t>70214</t>
  </si>
  <si>
    <t>CAPAZO</t>
  </si>
  <si>
    <t>ROSARIO ALTO ANCOMARCA</t>
  </si>
  <si>
    <t>71543</t>
  </si>
  <si>
    <t>TUPALA HACIENDA</t>
  </si>
  <si>
    <t>TUPALA</t>
  </si>
  <si>
    <t>PILCUYO</t>
  </si>
  <si>
    <t>ACCASO</t>
  </si>
  <si>
    <t>ACCASO S/N</t>
  </si>
  <si>
    <t>70342</t>
  </si>
  <si>
    <t>CHINCHILLAPI</t>
  </si>
  <si>
    <t>CHICHILLAPI</t>
  </si>
  <si>
    <t>73018</t>
  </si>
  <si>
    <t>COJATA</t>
  </si>
  <si>
    <t>73025</t>
  </si>
  <si>
    <t>KANTATI URURI</t>
  </si>
  <si>
    <t>70406</t>
  </si>
  <si>
    <t>OCUVIRI</t>
  </si>
  <si>
    <t>VILCAMARCA</t>
  </si>
  <si>
    <t>ANTONIO TICONA MAMANI || 70473</t>
  </si>
  <si>
    <t>PARINA</t>
  </si>
  <si>
    <t>70439</t>
  </si>
  <si>
    <t>PARATIA</t>
  </si>
  <si>
    <t>QUILLISANI</t>
  </si>
  <si>
    <t>70453</t>
  </si>
  <si>
    <t>LLANCA</t>
  </si>
  <si>
    <t>70459</t>
  </si>
  <si>
    <t>CCOLQUE</t>
  </si>
  <si>
    <t>COLQUE</t>
  </si>
  <si>
    <t>70446</t>
  </si>
  <si>
    <t>VILAVILA</t>
  </si>
  <si>
    <t>CHIVAY</t>
  </si>
  <si>
    <t>AYAVIRI</t>
  </si>
  <si>
    <t>70482</t>
  </si>
  <si>
    <t>ANTAUTA</t>
  </si>
  <si>
    <t>CCOROCCA</t>
  </si>
  <si>
    <t>ORURILLO</t>
  </si>
  <si>
    <t>70511</t>
  </si>
  <si>
    <t>HUARACONI</t>
  </si>
  <si>
    <t>AVENIDA CENTENARIO S/N</t>
  </si>
  <si>
    <t>ACLLAMAYO</t>
  </si>
  <si>
    <t>70858</t>
  </si>
  <si>
    <t>TIAHUANACO</t>
  </si>
  <si>
    <t>SAN JOSE DE TIAHUANACO</t>
  </si>
  <si>
    <t>UMACHIRI</t>
  </si>
  <si>
    <t>CONIMA</t>
  </si>
  <si>
    <t>TILALI</t>
  </si>
  <si>
    <t>PATAMBUCO</t>
  </si>
  <si>
    <t>PUNCU KEARI</t>
  </si>
  <si>
    <t>PUNCO KEARI</t>
  </si>
  <si>
    <t>72456</t>
  </si>
  <si>
    <t>TIRACA</t>
  </si>
  <si>
    <t>TIRACA S/N</t>
  </si>
  <si>
    <t>SAN PEDRO DE PUTINA PUNCO</t>
  </si>
  <si>
    <t>70241</t>
  </si>
  <si>
    <t>TINICACHI</t>
  </si>
  <si>
    <t>ALTO SIHUALAYA</t>
  </si>
  <si>
    <t>SIHUALAYA</t>
  </si>
  <si>
    <t>70605</t>
  </si>
  <si>
    <t>UNICACHI</t>
  </si>
  <si>
    <t>ISLA ISCAYA</t>
  </si>
  <si>
    <t>ISCAYA</t>
  </si>
  <si>
    <t>SORITOR</t>
  </si>
  <si>
    <t>00900</t>
  </si>
  <si>
    <t>LOS CLAVELES</t>
  </si>
  <si>
    <t>JIRON SAN MARTIN S/N</t>
  </si>
  <si>
    <t>SAN JOSE DE SISA</t>
  </si>
  <si>
    <t>0542</t>
  </si>
  <si>
    <t>NUEVO PACAIPAMPA</t>
  </si>
  <si>
    <t>CARLOS A SALAVERRY 252</t>
  </si>
  <si>
    <t>0573</t>
  </si>
  <si>
    <t>ALTO ROQUE</t>
  </si>
  <si>
    <t>BARRANQUITA</t>
  </si>
  <si>
    <t>CAYNARACHI</t>
  </si>
  <si>
    <t>EL PIÑAL</t>
  </si>
  <si>
    <t>TABALOSOS</t>
  </si>
  <si>
    <t>SAN RAMON</t>
  </si>
  <si>
    <t>JIRON FRANCISCO BOLOGNESI S/N</t>
  </si>
  <si>
    <t>ALMIRANTE MIGUEL GRAU</t>
  </si>
  <si>
    <t>NUEVA CAJAMARCA</t>
  </si>
  <si>
    <t>PALESTINA</t>
  </si>
  <si>
    <t>42222</t>
  </si>
  <si>
    <t>RIO KAÑO</t>
  </si>
  <si>
    <t>42246 JOSE OLAYA BALANDRA</t>
  </si>
  <si>
    <t>43010 HORACIO ZEBALLOS GAMEZ</t>
  </si>
  <si>
    <t>KALLAPUMA</t>
  </si>
  <si>
    <t>CARRETERA KALLAPUMA</t>
  </si>
  <si>
    <t>42215</t>
  </si>
  <si>
    <t>ESTIQUE</t>
  </si>
  <si>
    <t>PALQUILLA</t>
  </si>
  <si>
    <t>TUMBES</t>
  </si>
  <si>
    <t>039 OLIMPIA A. BOYER CORONADO DE VASQUEZ</t>
  </si>
  <si>
    <t>PAMPAS DE HOSPITAL</t>
  </si>
  <si>
    <t>CARRETERA SANTA MARIA KM 14</t>
  </si>
  <si>
    <t>064</t>
  </si>
  <si>
    <t>CONTRALMIRANTE VILLAR</t>
  </si>
  <si>
    <t>CANOAS DE PUNTA SAL</t>
  </si>
  <si>
    <t>PAJARITOS</t>
  </si>
  <si>
    <t>085</t>
  </si>
  <si>
    <t>FERNANDEZ</t>
  </si>
  <si>
    <t>CASITAS</t>
  </si>
  <si>
    <t>CAÑAVERAL</t>
  </si>
  <si>
    <t>64054 || SANTA ELVITA</t>
  </si>
  <si>
    <t>CAMPOVERDE</t>
  </si>
  <si>
    <t>SANTA ELVITA</t>
  </si>
  <si>
    <t>AUTOPISTA FEDERICO BASADRE INT 200 M KM 40</t>
  </si>
  <si>
    <t>CURIMANA</t>
  </si>
  <si>
    <t>64165-B</t>
  </si>
  <si>
    <t>IPARIA</t>
  </si>
  <si>
    <t>PUERTO BELEN</t>
  </si>
  <si>
    <t>RIO ALTO UCAYALI</t>
  </si>
  <si>
    <t>64122 SAN JUAN BAUTISTA DE MALDONADILLO || SAN JUAN BAUTISTA DE MALDONADILLO</t>
  </si>
  <si>
    <t>RAYMONDI</t>
  </si>
  <si>
    <t>MALDONADILLO</t>
  </si>
  <si>
    <t>JIRON FUJIMORI CON BOLIVAR S/N</t>
  </si>
  <si>
    <t>64337</t>
  </si>
  <si>
    <t>ALEXANDER VON HUMBOLDT</t>
  </si>
  <si>
    <t>EL MILAGRO</t>
  </si>
  <si>
    <t>CARRETERA FEDERICO BASADRE KM 83</t>
  </si>
  <si>
    <t>NESHUYA</t>
  </si>
  <si>
    <t>65054</t>
  </si>
  <si>
    <t>CARRETERA NESHUYA CURIMANA INT 1 KM KM 36</t>
  </si>
  <si>
    <t>PILOTO ESPERANZA</t>
  </si>
  <si>
    <t>PUERTO ESPERANZA</t>
  </si>
  <si>
    <t>AVENIDA AMERICO LOAYZA GABANCHO S/N</t>
  </si>
  <si>
    <t>RIO BAJO PURUS MARGEN IZQUIERDA S/N</t>
  </si>
  <si>
    <t>38774</t>
  </si>
  <si>
    <t>CCOCHACHIN</t>
  </si>
  <si>
    <t>CHACA</t>
  </si>
  <si>
    <t>INTERNADO EXPERIMENTAL DE HUATACCOCHA</t>
  </si>
  <si>
    <t>HUATACCOCHA</t>
  </si>
  <si>
    <t>SAN FRANCISCO DE DAGUAS</t>
  </si>
  <si>
    <t>PIPUS</t>
  </si>
  <si>
    <t>TENIENTE CORONEL MARIANO SOSA LOZANO</t>
  </si>
  <si>
    <t>AVENIDA RAZUHUILLCA S/N</t>
  </si>
  <si>
    <t>17596</t>
  </si>
  <si>
    <t>LA CORDILLERA</t>
  </si>
  <si>
    <t>LA CORDILLERA S/N</t>
  </si>
  <si>
    <t>LOS HEROES DEL PERU</t>
  </si>
  <si>
    <t>0726</t>
  </si>
  <si>
    <t>RIO BLANCO</t>
  </si>
  <si>
    <t>CARRETERA FERNANDO BELAUNDE - TOCACHE - TINGO MARIA</t>
  </si>
  <si>
    <t>SANTA ROSA DE PACHACCLLA</t>
  </si>
  <si>
    <t>ANTILLA S/N</t>
  </si>
  <si>
    <t>ELIAS AGUIRRE</t>
  </si>
  <si>
    <t>BAJO INCARIADO</t>
  </si>
  <si>
    <t>CC.NN.ALTO INCARIADO S/N</t>
  </si>
  <si>
    <t>PATACANCHA</t>
  </si>
  <si>
    <t>AVENIDA 13 DE MAYO S/N</t>
  </si>
  <si>
    <t>LA PUCARA</t>
  </si>
  <si>
    <t>20817</t>
  </si>
  <si>
    <t>CASERIO EL SALTO</t>
  </si>
  <si>
    <t>AREAS TECNICAS SANTIAGO DE VADO</t>
  </si>
  <si>
    <t>SANTIAGO DE VADO</t>
  </si>
  <si>
    <t>ACROPECUARIO SANTA ANA DE AUCARA</t>
  </si>
  <si>
    <t>JIRON LA CULTURA S/N</t>
  </si>
  <si>
    <t>TOTORILLA</t>
  </si>
  <si>
    <t>JOSE MARIA ARGUEDAS</t>
  </si>
  <si>
    <t>EL TINGO</t>
  </si>
  <si>
    <t>CRUZ CONGA</t>
  </si>
  <si>
    <t>PAMPA LA CALZADA</t>
  </si>
  <si>
    <t>LA CALZADA</t>
  </si>
  <si>
    <t>LA PAMPA</t>
  </si>
  <si>
    <t>FERNANDO BELAUNDE TERRY</t>
  </si>
  <si>
    <t>CARLOS AUGUSTO SALAVERRY</t>
  </si>
  <si>
    <t>16151 NUESTRA SEÑORA DEL CARMEN</t>
  </si>
  <si>
    <t>PIQUIJACA</t>
  </si>
  <si>
    <t>VIRGEN DEL ROSARIO</t>
  </si>
  <si>
    <t>HUARO</t>
  </si>
  <si>
    <t>SULLUMAYO</t>
  </si>
  <si>
    <t>ACOPIA</t>
  </si>
  <si>
    <t>PADRE JOAQUIN MESEGUER</t>
  </si>
  <si>
    <t>KATAÑIRAY</t>
  </si>
  <si>
    <t>MIRACOSTA</t>
  </si>
  <si>
    <t>LLOCHEGUA</t>
  </si>
  <si>
    <t>22736</t>
  </si>
  <si>
    <t>HUANACO</t>
  </si>
  <si>
    <t>ALEJANDRO TOLEDO MANRIQUE</t>
  </si>
  <si>
    <t>DURAZNOPATA</t>
  </si>
  <si>
    <t>CARRETERA CENTRAL</t>
  </si>
  <si>
    <t>ANTONIO BRACK EGG</t>
  </si>
  <si>
    <t>31064</t>
  </si>
  <si>
    <t>NACIENTE RIO KIVINAKI</t>
  </si>
  <si>
    <t>CPED - 60762</t>
  </si>
  <si>
    <t>YAGUAS</t>
  </si>
  <si>
    <t>EL ALAMO</t>
  </si>
  <si>
    <t>RIO YAHUAS</t>
  </si>
  <si>
    <t>82088</t>
  </si>
  <si>
    <t>CALUARA</t>
  </si>
  <si>
    <t>82134</t>
  </si>
  <si>
    <t>CALLE CESAR VALLEJO S/N</t>
  </si>
  <si>
    <t>AVENIDA 21 DE ENERO 75</t>
  </si>
  <si>
    <t>11608 SEÑOR CAUTIVO DE AYABACA</t>
  </si>
  <si>
    <t>LOS SANCHEZ</t>
  </si>
  <si>
    <t>ANEXO LOS SANCHEZ</t>
  </si>
  <si>
    <t>JUAN SANTOS ATAHUALPA</t>
  </si>
  <si>
    <t>20976</t>
  </si>
  <si>
    <t>NUEVO CAÑETE</t>
  </si>
  <si>
    <t>CARRETERA NUEVO CAÑETE KM 170</t>
  </si>
  <si>
    <t>DEMETRIO TEMPLADERA MARTINEZ</t>
  </si>
  <si>
    <t>TICLACAYAN</t>
  </si>
  <si>
    <t>SUNEC</t>
  </si>
  <si>
    <t>SUNEC S/N</t>
  </si>
  <si>
    <t>TOCTO</t>
  </si>
  <si>
    <t>EL TOCTO</t>
  </si>
  <si>
    <t>CARLOS NORIEGA JIMENEZ</t>
  </si>
  <si>
    <t>NUÑOA</t>
  </si>
  <si>
    <t>AVENIDA 28 DE JULIO S/N</t>
  </si>
  <si>
    <t>SEÑOR DE LOS MILAGROS</t>
  </si>
  <si>
    <t>0762</t>
  </si>
  <si>
    <t>NUEVA REFORMA</t>
  </si>
  <si>
    <t>NUEVO REFORMA</t>
  </si>
  <si>
    <t>PUTINA</t>
  </si>
  <si>
    <t>54027 DANIEL DEL PINO MUÑOZ</t>
  </si>
  <si>
    <t>CHACOCHE</t>
  </si>
  <si>
    <t>38990-7</t>
  </si>
  <si>
    <t>CCEROBAMBA</t>
  </si>
  <si>
    <t>Etiquetas de fila</t>
  </si>
  <si>
    <t>Etiquetas de columna</t>
  </si>
  <si>
    <t>(Todas)</t>
  </si>
  <si>
    <t>.30/5</t>
  </si>
  <si>
    <t>1503931-0004</t>
  </si>
  <si>
    <t>TRIMAST-MOUNT</t>
  </si>
  <si>
    <t>Assy, Trimast, Jonsa, 1-pack, Painted</t>
  </si>
  <si>
    <t>SPARE</t>
  </si>
  <si>
    <t>3W Multi-mode radio, Ka-Band, RHCP (Linear)</t>
  </si>
  <si>
    <t>MINEDU</t>
  </si>
  <si>
    <t>HUGHES ID</t>
  </si>
  <si>
    <t>DOWNLOAD MIR</t>
  </si>
  <si>
    <t>UPLOAD MIR</t>
  </si>
  <si>
    <t>DOWNLOAD OVB</t>
  </si>
  <si>
    <t>UPLOAD OVB</t>
  </si>
  <si>
    <t>TOTAL CAPACITY</t>
  </si>
  <si>
    <t>COVERAGE T19V</t>
  </si>
  <si>
    <t>BEAM T19V</t>
  </si>
  <si>
    <t>OBSERVACION</t>
  </si>
  <si>
    <t>16206</t>
  </si>
  <si>
    <t>TUTUMBEROS</t>
  </si>
  <si>
    <t>TUTUMBEROS S/N</t>
  </si>
  <si>
    <t>SATELITAL</t>
  </si>
  <si>
    <t>Selva</t>
  </si>
  <si>
    <t>60544 ELIAS AGUIRRE ROMERO</t>
  </si>
  <si>
    <t>SAN JOAQUIN DE OMAGUAS</t>
  </si>
  <si>
    <t>PADRE SEVERINO DESHAIES</t>
  </si>
  <si>
    <t>FERNANDO LORES</t>
  </si>
  <si>
    <t>ROSARIO AUCAYO</t>
  </si>
  <si>
    <t>60188 SIMON BOLIVAR</t>
  </si>
  <si>
    <t>IQUITOS</t>
  </si>
  <si>
    <t>CALLE PUTUMAYO CUADRA 26</t>
  </si>
  <si>
    <t>52087 CAYCHIHUE || JOSE ANTONIO ENCINAS</t>
  </si>
  <si>
    <t>CAYCHIHUE BARRACA</t>
  </si>
  <si>
    <t>CHOQUE || 52121</t>
  </si>
  <si>
    <t>CHOQUE</t>
  </si>
  <si>
    <t>CARRETERA MALDONADO - HUEPETUHE - CHOQUE KM 210</t>
  </si>
  <si>
    <t>52082 HORACIO ZEBALLOS GAMEZ</t>
  </si>
  <si>
    <t>HUAYPETUE</t>
  </si>
  <si>
    <t>AVENIDA INDEPENDENCIA S/N</t>
  </si>
  <si>
    <t>RVDO. PADRE PABLO ZAVALA MARTINEZ</t>
  </si>
  <si>
    <t>BOCA COLORADO</t>
  </si>
  <si>
    <t>AVENIDA MADRE DE DIOS S/N</t>
  </si>
  <si>
    <t>MAZUKO</t>
  </si>
  <si>
    <t>52129</t>
  </si>
  <si>
    <t>PUERTO MAZUKO</t>
  </si>
  <si>
    <t>CARRETERA MALDONADO - PUERTO MAZUKO S/N</t>
  </si>
  <si>
    <t>52115</t>
  </si>
  <si>
    <t>CARRETERA PUERTO MALDONADO - CUSCO KM 83</t>
  </si>
  <si>
    <t>52062 JAVIER HERAUD</t>
  </si>
  <si>
    <t>LABERINTO</t>
  </si>
  <si>
    <t>JIRON LAS PIEDRAS S/N</t>
  </si>
  <si>
    <t>JAVIER HERAUD</t>
  </si>
  <si>
    <t>AVENIDA TAMBOPATA S/N</t>
  </si>
  <si>
    <t>52020 CAP. FAP JOSE ABELARDO QUIÑONES</t>
  </si>
  <si>
    <t>LA JOYA</t>
  </si>
  <si>
    <t>LA PASTORA</t>
  </si>
  <si>
    <t>CARRETERA PUERTO MALDONADO - CUSCO</t>
  </si>
  <si>
    <t>0194 TEODOCIA NAVARRO VEGA</t>
  </si>
  <si>
    <t>PERUATE</t>
  </si>
  <si>
    <t>0272 ANDRES REATEGUI REATEGUI</t>
  </si>
  <si>
    <t>JIRON INDEPENDENCIA CUADRA 4</t>
  </si>
  <si>
    <t>0278</t>
  </si>
  <si>
    <t>TANGARANA</t>
  </si>
  <si>
    <t>JIRON CHICLAYO CUADRA 2</t>
  </si>
  <si>
    <t>0723 || 0723 BILINGUE</t>
  </si>
  <si>
    <t>0589 GERARDO PINEDO VELA</t>
  </si>
  <si>
    <t>YUMBATOS</t>
  </si>
  <si>
    <t>PINTO RECODO</t>
  </si>
  <si>
    <t>LA LIBERTAD BAJO MAYO</t>
  </si>
  <si>
    <t>LA LIBERTAD DEL BAJO MAYO</t>
  </si>
  <si>
    <t>0340</t>
  </si>
  <si>
    <t>RUMISAPA</t>
  </si>
  <si>
    <t>CHURUZAPA</t>
  </si>
  <si>
    <t>CARRETERA MARGINAL NORTE KM. 15</t>
  </si>
  <si>
    <t>0285</t>
  </si>
  <si>
    <t>RUMIZAPA</t>
  </si>
  <si>
    <t>JIRON SAN MARTIN CUADRA 2</t>
  </si>
  <si>
    <t>0754 JOSE ABRAHAM RAMIREZ HERNANDEZ</t>
  </si>
  <si>
    <t>SAN MIGUEL DEL RIO MAYO</t>
  </si>
  <si>
    <t>0403 SAGRADO CORAZON DE JESUS</t>
  </si>
  <si>
    <t>JUANJUI</t>
  </si>
  <si>
    <t>VILLA PRADO</t>
  </si>
  <si>
    <t>0444 JUAN PABLO II</t>
  </si>
  <si>
    <t>PAJARILLO</t>
  </si>
  <si>
    <t>COSTA RICA</t>
  </si>
  <si>
    <t>0438 FERNANDO BELAUNDE TERRY</t>
  </si>
  <si>
    <t>JIRON MIGUEL GRAU S/N</t>
  </si>
  <si>
    <t>ARTURO BARTRA GARCIA</t>
  </si>
  <si>
    <t>ANTENA 1.2M + 3W</t>
  </si>
  <si>
    <t>0118 MERRITT P. BROADY</t>
  </si>
  <si>
    <t>PUMAHUASI</t>
  </si>
  <si>
    <t>CARRETERA PUMAHUASI</t>
  </si>
  <si>
    <t>0777 MANUEL SCORZA</t>
  </si>
  <si>
    <t>JIRON COMERCIO S/N</t>
  </si>
  <si>
    <t>00110 LINORIO CHAVEZ HERNANDEZ</t>
  </si>
  <si>
    <t>AWAJUN</t>
  </si>
  <si>
    <t>SAN FRANCISCO DEL ALTO MAYO</t>
  </si>
  <si>
    <t>SANTIAGO ANTUNES DE MAYOLO</t>
  </si>
  <si>
    <t>AVENIDA SAN MARTIN S/N</t>
  </si>
  <si>
    <t>00925</t>
  </si>
  <si>
    <t>JIRON SANTA TORIBIO MZ 8 LOTE 1,2,3</t>
  </si>
  <si>
    <t>00624 JUAN DANIEL DEL AGUILA VELASQUEZ</t>
  </si>
  <si>
    <t>JIRON ANDRES MORI 10 MZ O LOTE 0</t>
  </si>
  <si>
    <t>00537 MATILDE DEL AGUILA VELASQUEZ</t>
  </si>
  <si>
    <t>JIRON SAN MARTIN 1367</t>
  </si>
  <si>
    <t>00550</t>
  </si>
  <si>
    <t>PASAJE PACIFICO MZ 69 LOTE 1</t>
  </si>
  <si>
    <t>WILFREDO EZEQUIEL PONCE CHIRINOS</t>
  </si>
  <si>
    <t>YORONGOS</t>
  </si>
  <si>
    <t>JIRON SIMON BOLIVAR S/N</t>
  </si>
  <si>
    <t>0048 SALOMON REATEGUI HIDALGO</t>
  </si>
  <si>
    <t>CACATACHI</t>
  </si>
  <si>
    <t>JIRON FRANCISCO BOLOGNESI CUADRA 2</t>
  </si>
  <si>
    <t>0049 ANTONIO RAIMONDI</t>
  </si>
  <si>
    <t>JIRON SAN MARTIN CUADRA 4</t>
  </si>
  <si>
    <t>0528</t>
  </si>
  <si>
    <t>TARAPOTO</t>
  </si>
  <si>
    <t>10 DE AGOSTO</t>
  </si>
  <si>
    <t>JIRON SALAVERRY S/N MZ H LOTE 02</t>
  </si>
  <si>
    <t>AGROP. LEONCIO PRADO || 64962</t>
  </si>
  <si>
    <t>64041 MONSEÑOR GUSTAVO PREVOST GODARD</t>
  </si>
  <si>
    <t>CARRETERA FEDERICO BASADRE KM 75</t>
  </si>
  <si>
    <t>Centro</t>
  </si>
  <si>
    <t>86145</t>
  </si>
  <si>
    <t>LA MERCED</t>
  </si>
  <si>
    <t>MALLAKAYAN / MALLUCALLAN</t>
  </si>
  <si>
    <t>MALLACAYAN</t>
  </si>
  <si>
    <t>AMAUTA ATUSPARIA</t>
  </si>
  <si>
    <t>VISCAS / JAMBON</t>
  </si>
  <si>
    <t>CARRETERA JAMBON S/N</t>
  </si>
  <si>
    <t>86719</t>
  </si>
  <si>
    <t>OBRAJE</t>
  </si>
  <si>
    <t>86286 SEÑOR DE LOS AUXILIOS</t>
  </si>
  <si>
    <t>TINCO</t>
  </si>
  <si>
    <t>TOMA</t>
  </si>
  <si>
    <t>CALLE 3 TOMA S/N</t>
  </si>
  <si>
    <t>86009 MICAELA BASTIDAS PUYUCAHUA</t>
  </si>
  <si>
    <t>HUAMARIN</t>
  </si>
  <si>
    <t>86079</t>
  </si>
  <si>
    <t>ICHOCA</t>
  </si>
  <si>
    <t>86005 RICARDO PALMA CARRILLO</t>
  </si>
  <si>
    <t>CARRETERA SAN NICOLAS S/N</t>
  </si>
  <si>
    <t>86012</t>
  </si>
  <si>
    <t>TOCLLA</t>
  </si>
  <si>
    <t>86093 JOSE PARDO Y BARREDA</t>
  </si>
  <si>
    <t>NUEVA FLORIDA S/N</t>
  </si>
  <si>
    <t>86849</t>
  </si>
  <si>
    <t>CASHACANCHA</t>
  </si>
  <si>
    <t>86086</t>
  </si>
  <si>
    <t>CHICNEY</t>
  </si>
  <si>
    <t>86039 VICTOR ZUÑIGA TOLEDO</t>
  </si>
  <si>
    <t>CURHUAS</t>
  </si>
  <si>
    <t>86029 ROSA MARIA RAMIREZ ARIAS</t>
  </si>
  <si>
    <t>HUANCHAC</t>
  </si>
  <si>
    <t>86778</t>
  </si>
  <si>
    <t>MATCOR</t>
  </si>
  <si>
    <t>86080</t>
  </si>
  <si>
    <t>MITUCRO</t>
  </si>
  <si>
    <t>MITUCRU</t>
  </si>
  <si>
    <t>86097</t>
  </si>
  <si>
    <t>86035 SAN CRISTOBAL</t>
  </si>
  <si>
    <t>PARIA</t>
  </si>
  <si>
    <t>PARIA WILLCAHUAIN</t>
  </si>
  <si>
    <t>86091 MANUEL GONZALES PRADA</t>
  </si>
  <si>
    <t>PICUT / PICUP</t>
  </si>
  <si>
    <t>PICUP</t>
  </si>
  <si>
    <t>86033</t>
  </si>
  <si>
    <t>PONGOR</t>
  </si>
  <si>
    <t>JATUN PONGOR</t>
  </si>
  <si>
    <t>86084</t>
  </si>
  <si>
    <t>RIVAS</t>
  </si>
  <si>
    <t>86943</t>
  </si>
  <si>
    <t>SAN MIGUEL DE RECRESH</t>
  </si>
  <si>
    <t>86127</t>
  </si>
  <si>
    <t>PARIACOTO</t>
  </si>
  <si>
    <t>CACCHAN</t>
  </si>
  <si>
    <t>CHACCHAN</t>
  </si>
  <si>
    <t>INDUSTRIAL PILOTO MIGUEL GRAU</t>
  </si>
  <si>
    <t>PUERTO HUARMEY</t>
  </si>
  <si>
    <t>AVENIDA PUERTO GRANDE MZ B LOTE 1</t>
  </si>
  <si>
    <t>86922 JUAN DE DIOS HUAMAN</t>
  </si>
  <si>
    <t>CABINA</t>
  </si>
  <si>
    <t>86802 EL MIRADOR SAN MATEO</t>
  </si>
  <si>
    <t>86523 SAN MIGUEL ARCANGEL</t>
  </si>
  <si>
    <t>LLACSHO</t>
  </si>
  <si>
    <t>CARRETERA LLACSHU S/N</t>
  </si>
  <si>
    <t>86519</t>
  </si>
  <si>
    <t>PAKIAN</t>
  </si>
  <si>
    <t>CARRETERA SANTO TORIBIO S/N</t>
  </si>
  <si>
    <t>86495 SAN JUAN BAUTISTA</t>
  </si>
  <si>
    <t>CATUCANCHA</t>
  </si>
  <si>
    <t>86533 VIRGEN DE GUADALUPE</t>
  </si>
  <si>
    <t>TOCASH</t>
  </si>
  <si>
    <t>CARRETERA TOCASH - PUEBLO LIBRE S/N</t>
  </si>
  <si>
    <t>86506 AMADEO GADEA LANDAVERY</t>
  </si>
  <si>
    <t>HUARIPAMPA</t>
  </si>
  <si>
    <t>JIRON HILDEBRANDO CASTRO S/N</t>
  </si>
  <si>
    <t>84065 NUEVA ESPERANZA</t>
  </si>
  <si>
    <t>RUMICHACA</t>
  </si>
  <si>
    <t>PISCOBAMBA</t>
  </si>
  <si>
    <t>CARRETERA MANZANAPAMPA</t>
  </si>
  <si>
    <t>APOSTOL SANTIAGO</t>
  </si>
  <si>
    <t>CABANA</t>
  </si>
  <si>
    <t>JIRON LAS ANIMAS 103</t>
  </si>
  <si>
    <t>84008 SANTISIMA TRINIDAD</t>
  </si>
  <si>
    <t>CHUYAS</t>
  </si>
  <si>
    <t>CALLE CHUYAS S/N ZONA RURAL</t>
  </si>
  <si>
    <t>ZACARIAS MORENO JIMENES</t>
  </si>
  <si>
    <t>CALLE CHUYAS S/N</t>
  </si>
  <si>
    <t>84026</t>
  </si>
  <si>
    <t>SOCSI</t>
  </si>
  <si>
    <t>HUARACUY</t>
  </si>
  <si>
    <t>86598</t>
  </si>
  <si>
    <t>CATAC</t>
  </si>
  <si>
    <t>SHIQUI</t>
  </si>
  <si>
    <t>87508 DON MIGUEL DE CERVANTES SAAVEDRA</t>
  </si>
  <si>
    <t>UTCUYACU</t>
  </si>
  <si>
    <t>CARRETERA CATAC - COTAPARACO KM 3.60</t>
  </si>
  <si>
    <t>86593</t>
  </si>
  <si>
    <t>YANAMITO</t>
  </si>
  <si>
    <t>86569 SANTIAGO ANTUNEZ DE MAYOLO</t>
  </si>
  <si>
    <t>CAYAC</t>
  </si>
  <si>
    <t>CALLE CAMINO REAL 1020</t>
  </si>
  <si>
    <t>86605 NUESTRA SEÑORADE GUADALUPE</t>
  </si>
  <si>
    <t>LLULLUCACHI</t>
  </si>
  <si>
    <t>86568 NUESTRA SEÑORA DEL PILAR</t>
  </si>
  <si>
    <t>RAMCAP - TICAPAMPA</t>
  </si>
  <si>
    <t>88303</t>
  </si>
  <si>
    <t>LIMONHIRCA</t>
  </si>
  <si>
    <t>89510</t>
  </si>
  <si>
    <t>CERRO BLANCO</t>
  </si>
  <si>
    <t>MZ B LOTE 01</t>
  </si>
  <si>
    <t>88393 AMIGO JESUS</t>
  </si>
  <si>
    <t>NUEVO CHIMBOTE</t>
  </si>
  <si>
    <t>MZ R LOTE 01</t>
  </si>
  <si>
    <t>88237</t>
  </si>
  <si>
    <t>CASA COLORADA</t>
  </si>
  <si>
    <t>JIRON TACNA S/N</t>
  </si>
  <si>
    <t>84185 SANTA CRUZ</t>
  </si>
  <si>
    <t>JIRON RAGASH S/N</t>
  </si>
  <si>
    <t>84107</t>
  </si>
  <si>
    <t>COLPAPAMPA</t>
  </si>
  <si>
    <t>ALEJANDRO CALDERON ASTEIZA || CAPITAN MARCELINO VALVERDE SOLORZANO</t>
  </si>
  <si>
    <t>AGOSHIRCA</t>
  </si>
  <si>
    <t>86629 JOSE CARLOS MARIATEGUI</t>
  </si>
  <si>
    <t>MANCOS</t>
  </si>
  <si>
    <t>HUASHCAO</t>
  </si>
  <si>
    <t>CARRETERA HUASHCAO S/N</t>
  </si>
  <si>
    <t>86672</t>
  </si>
  <si>
    <t>CORACOLLO</t>
  </si>
  <si>
    <t>86640 SEÑOR DE LOS MILAGROS</t>
  </si>
  <si>
    <t>RANRAHIRCA</t>
  </si>
  <si>
    <t>JIRON FELIPE VASQUEZ S/N</t>
  </si>
  <si>
    <t>86746</t>
  </si>
  <si>
    <t>LLANLLA</t>
  </si>
  <si>
    <t>CARRETERA LLANLLA - POMABAMBA</t>
  </si>
  <si>
    <t>86749</t>
  </si>
  <si>
    <t>CANCHARRUMI</t>
  </si>
  <si>
    <t>86659</t>
  </si>
  <si>
    <t>CARHUAN</t>
  </si>
  <si>
    <t>CARHUAN- YUNGAY</t>
  </si>
  <si>
    <t>86658</t>
  </si>
  <si>
    <t>CAYEPAMPA</t>
  </si>
  <si>
    <t>86626 LEOCADIO DONATO LEON MENDOZA</t>
  </si>
  <si>
    <t>MAZAC</t>
  </si>
  <si>
    <t>36393 GABRIELA MISTRAL</t>
  </si>
  <si>
    <t>CCELLCCAYA</t>
  </si>
  <si>
    <t>PLAZA PRNCIPAL</t>
  </si>
  <si>
    <t>36810</t>
  </si>
  <si>
    <t>ANCHONGA</t>
  </si>
  <si>
    <t>VACAPUCLLANA</t>
  </si>
  <si>
    <t>36231</t>
  </si>
  <si>
    <t>ALLATO</t>
  </si>
  <si>
    <t>36232 NUESTRA SEÑORA DE GUADALUPE</t>
  </si>
  <si>
    <t>CARHUAPATA</t>
  </si>
  <si>
    <t>AVENIDA RICARDO PALMA S/N</t>
  </si>
  <si>
    <t>36512</t>
  </si>
  <si>
    <t>HUAYLLAYPATA</t>
  </si>
  <si>
    <t>AVENIDA LIMA S/N</t>
  </si>
  <si>
    <t>36284</t>
  </si>
  <si>
    <t>CCOCHATAY</t>
  </si>
  <si>
    <t>AVENIDA CASTROVIRREYNA S/N</t>
  </si>
  <si>
    <t>CHOCCEPARCO / SANTA ELENA</t>
  </si>
  <si>
    <t>SANTA ELENA S/N</t>
  </si>
  <si>
    <t>36131</t>
  </si>
  <si>
    <t>ZUNIPAMPA</t>
  </si>
  <si>
    <t>36097</t>
  </si>
  <si>
    <t>TANSIRI</t>
  </si>
  <si>
    <t>CHUÑUNAPAMPA</t>
  </si>
  <si>
    <t>36321</t>
  </si>
  <si>
    <t>PUCAPAMPA</t>
  </si>
  <si>
    <t>36319</t>
  </si>
  <si>
    <t>31008</t>
  </si>
  <si>
    <t>CARPAPATA</t>
  </si>
  <si>
    <t>31059</t>
  </si>
  <si>
    <t>SANTA CRUZ DE HUALLARQUI</t>
  </si>
  <si>
    <t>CALLE 01 HUAYARQUI</t>
  </si>
  <si>
    <t>31067</t>
  </si>
  <si>
    <t>ÑAHUIMPUQUIO</t>
  </si>
  <si>
    <t>IMPERIAL</t>
  </si>
  <si>
    <t>CALLE 28 DE JULIO</t>
  </si>
  <si>
    <t>30963</t>
  </si>
  <si>
    <t>PAZOS</t>
  </si>
  <si>
    <t>COYLLORPAMPA / CCOYLLORPAMPA</t>
  </si>
  <si>
    <t>CALLE PLAZA PRINCIPAL</t>
  </si>
  <si>
    <t>MANUEL SCORZA TORRES</t>
  </si>
  <si>
    <t>MULLACA / SAN PEDRO DE MULLACA</t>
  </si>
  <si>
    <t>MULLACA</t>
  </si>
  <si>
    <t>SAN LUCAS</t>
  </si>
  <si>
    <t>TONGOS</t>
  </si>
  <si>
    <t>32741</t>
  </si>
  <si>
    <t>ANDAHUAYLLA</t>
  </si>
  <si>
    <t>32826</t>
  </si>
  <si>
    <t>CONCHAMARCA</t>
  </si>
  <si>
    <t>SAN MIGUEL DE RANCAY</t>
  </si>
  <si>
    <t>33108</t>
  </si>
  <si>
    <t>1 DE MAYO</t>
  </si>
  <si>
    <t>32161 || CPED - 32161</t>
  </si>
  <si>
    <t>MATIHUACA</t>
  </si>
  <si>
    <t>MATIHUACA S/N</t>
  </si>
  <si>
    <t>OCUCALLA || 32191</t>
  </si>
  <si>
    <t>OCUCALLA</t>
  </si>
  <si>
    <t>84288</t>
  </si>
  <si>
    <t>PUEBLO VIEJO</t>
  </si>
  <si>
    <t>400 || 32639</t>
  </si>
  <si>
    <t>CANCALLA</t>
  </si>
  <si>
    <t>32125</t>
  </si>
  <si>
    <t>MATAMARCA</t>
  </si>
  <si>
    <t>PUENTE DURAND || 32055</t>
  </si>
  <si>
    <t>PUENTE DURAND</t>
  </si>
  <si>
    <t>SAN JOSE DE NAZARET || 32024</t>
  </si>
  <si>
    <t>CHULLQUI</t>
  </si>
  <si>
    <t>LAS PALMERAS</t>
  </si>
  <si>
    <t>32819</t>
  </si>
  <si>
    <t>SIMON BOLIVAR DE QUENRA</t>
  </si>
  <si>
    <t>QUENRRA</t>
  </si>
  <si>
    <t>PILLCO MARCA</t>
  </si>
  <si>
    <t>VICHAYCOTO</t>
  </si>
  <si>
    <t>32857</t>
  </si>
  <si>
    <t>HUACALLE</t>
  </si>
  <si>
    <t>CARRETERA HUACALLE S/N</t>
  </si>
  <si>
    <t>32709</t>
  </si>
  <si>
    <t>MIRACHI</t>
  </si>
  <si>
    <t>MIRACHE</t>
  </si>
  <si>
    <t>32932 VICTOR DOMINGUEZ CONDEZO</t>
  </si>
  <si>
    <t>RATACOCHA</t>
  </si>
  <si>
    <t>AVENIDA LA REPUBLICA S/N</t>
  </si>
  <si>
    <t>32038</t>
  </si>
  <si>
    <t>TAULLIGAN</t>
  </si>
  <si>
    <t>32132</t>
  </si>
  <si>
    <t>ANDAS CHICO</t>
  </si>
  <si>
    <t>ANDAS</t>
  </si>
  <si>
    <t>32507</t>
  </si>
  <si>
    <t>CEPPAT RIO AZUL</t>
  </si>
  <si>
    <t>RIO AZUL</t>
  </si>
  <si>
    <t>RIO AZUL S/N</t>
  </si>
  <si>
    <t>33111</t>
  </si>
  <si>
    <t>CARRETERA SAN SEBASTIAN 25</t>
  </si>
  <si>
    <t>TAMBILLO GRANDE</t>
  </si>
  <si>
    <t>CARRETERA TAMBILLO GRANDE S/N</t>
  </si>
  <si>
    <t>32627</t>
  </si>
  <si>
    <t>CUCHO</t>
  </si>
  <si>
    <t>CUCHO S/N</t>
  </si>
  <si>
    <t>33301</t>
  </si>
  <si>
    <t>GOYAR PUNTA</t>
  </si>
  <si>
    <t>32624</t>
  </si>
  <si>
    <t>HUIYAN</t>
  </si>
  <si>
    <t>32628</t>
  </si>
  <si>
    <t>MANTACOCHA</t>
  </si>
  <si>
    <t>32625</t>
  </si>
  <si>
    <t>PANAOCOCHA</t>
  </si>
  <si>
    <t>PANAOCOCHA S/N</t>
  </si>
  <si>
    <t>32633</t>
  </si>
  <si>
    <t>PAVINA</t>
  </si>
  <si>
    <t>PAVINA S/N</t>
  </si>
  <si>
    <t>32631</t>
  </si>
  <si>
    <t>RACO</t>
  </si>
  <si>
    <t>RACO S/N</t>
  </si>
  <si>
    <t>32629</t>
  </si>
  <si>
    <t>SANTO TORIBIO LA PUNTA</t>
  </si>
  <si>
    <t>LA PUNTA S/N</t>
  </si>
  <si>
    <t>406</t>
  </si>
  <si>
    <t>CALLE SARITA COLONIA S/N</t>
  </si>
  <si>
    <t>541</t>
  </si>
  <si>
    <t>NUEVO DANTAS</t>
  </si>
  <si>
    <t>245</t>
  </si>
  <si>
    <t>113</t>
  </si>
  <si>
    <t>AVENIDA JUAN MANUEL DIAZ SANTILLAN S/N</t>
  </si>
  <si>
    <t>22770</t>
  </si>
  <si>
    <t>PIEDRA RAJADA</t>
  </si>
  <si>
    <t>PIEDRA RAJADA S/N</t>
  </si>
  <si>
    <t>22271</t>
  </si>
  <si>
    <t>VIÑA VIEJA</t>
  </si>
  <si>
    <t>22761</t>
  </si>
  <si>
    <t>CANYAR</t>
  </si>
  <si>
    <t>CENTRO POBLADO CANYAR</t>
  </si>
  <si>
    <t>JIRON PROLONGACION CHINCHA S/N</t>
  </si>
  <si>
    <t>ALEJANDRO HERNANDEZ BONILLA</t>
  </si>
  <si>
    <t>AVENIDA EL CARMEN S/N</t>
  </si>
  <si>
    <t>445 || 22756</t>
  </si>
  <si>
    <t>22519</t>
  </si>
  <si>
    <t>GROCIO PRADO</t>
  </si>
  <si>
    <t>PASAJE TORRES 101</t>
  </si>
  <si>
    <t>22281</t>
  </si>
  <si>
    <t>PAMPA DE ÑOCO</t>
  </si>
  <si>
    <t>22253</t>
  </si>
  <si>
    <t>CALLE SAN JUAN 245</t>
  </si>
  <si>
    <t>22282</t>
  </si>
  <si>
    <t>ALMACEN</t>
  </si>
  <si>
    <t>SAN GERONIMO DE ALMACEN</t>
  </si>
  <si>
    <t>22679</t>
  </si>
  <si>
    <t>LIMANI</t>
  </si>
  <si>
    <t>448 || 22603</t>
  </si>
  <si>
    <t>CULLUHANCA</t>
  </si>
  <si>
    <t>ANEXO DE CULLUHUANCA</t>
  </si>
  <si>
    <t>22289</t>
  </si>
  <si>
    <t>CARRETERA SAN JOSE DE HUACARPANA</t>
  </si>
  <si>
    <t>22599</t>
  </si>
  <si>
    <t>SUNAMPE</t>
  </si>
  <si>
    <t>AVENIDA PRINCIPAL</t>
  </si>
  <si>
    <t>22520</t>
  </si>
  <si>
    <t>22308 || 515</t>
  </si>
  <si>
    <t>LA TINGUIÑA</t>
  </si>
  <si>
    <t>CHANCHAJALLA</t>
  </si>
  <si>
    <t>22764 || 516</t>
  </si>
  <si>
    <t>LA MAQUINA</t>
  </si>
  <si>
    <t>22364</t>
  </si>
  <si>
    <t>22526 MEDARDO JESUS APARCANA HERNANDEZ</t>
  </si>
  <si>
    <t>BARRIONUEVO</t>
  </si>
  <si>
    <t>NUEVO</t>
  </si>
  <si>
    <t>22325 VIRGEN DE FATIMA</t>
  </si>
  <si>
    <t>PONGO DE LOS ZEGARRA</t>
  </si>
  <si>
    <t>22373</t>
  </si>
  <si>
    <t>PONGO GRANDE</t>
  </si>
  <si>
    <t>22671</t>
  </si>
  <si>
    <t>SAN RAFAEL DE AGUAGUANA</t>
  </si>
  <si>
    <t>22328</t>
  </si>
  <si>
    <t>CERRO PRIETO</t>
  </si>
  <si>
    <t>22374</t>
  </si>
  <si>
    <t>CAMINO DE REYES</t>
  </si>
  <si>
    <t>22376 VIRGEN DE LA MEDALLA MILAGROSA || 76</t>
  </si>
  <si>
    <t>YANQUIZA</t>
  </si>
  <si>
    <t>22770 SAN ANTONIO DE COPRODELI</t>
  </si>
  <si>
    <t>SUBTANJALLA</t>
  </si>
  <si>
    <t>ESQUINA CALLE A CON PASAJE 36</t>
  </si>
  <si>
    <t>22395 MOISES REBATA</t>
  </si>
  <si>
    <t>CALLE JULIO LA PUENTE S/N</t>
  </si>
  <si>
    <t>JOSE MANUEL MEZA</t>
  </si>
  <si>
    <t>AVENIDA MAMALA S/N</t>
  </si>
  <si>
    <t>22397 ADELINA FERNANDEZ ALVARADO</t>
  </si>
  <si>
    <t>TULIN</t>
  </si>
  <si>
    <t>283 || 22407 MARIA SIMON CONTRERAS</t>
  </si>
  <si>
    <t>SAN LUIS DE PAJONAL</t>
  </si>
  <si>
    <t>22693 JOSE OLAYA BALANDRA</t>
  </si>
  <si>
    <t>NUEVA VILLA</t>
  </si>
  <si>
    <t>22424</t>
  </si>
  <si>
    <t>CALLE TUPAC AMARU S/N MZ I LOTE 1 SECTOR RIO GRANDE</t>
  </si>
  <si>
    <t>CAP. FAP JOSE ABELARDO QUIÑONES GONZALES</t>
  </si>
  <si>
    <t>AVENIDA TUPAC AMARU S/N</t>
  </si>
  <si>
    <t>22728 || 311</t>
  </si>
  <si>
    <t>CARRETERA LOS LIBERTADORES KM. 11.5</t>
  </si>
  <si>
    <t>22544 PEDRO PABLO CASTRO PELAEZ</t>
  </si>
  <si>
    <t>AVENIDA SAN MARTIN 604</t>
  </si>
  <si>
    <t>22469</t>
  </si>
  <si>
    <t>CALLE SAN JOSE 275</t>
  </si>
  <si>
    <t>22468 MARIA PARADO DE BELLIDO</t>
  </si>
  <si>
    <t>SAN CLEMENTE</t>
  </si>
  <si>
    <t>AVENIDA MIRAFLORES 609</t>
  </si>
  <si>
    <t>22453 FRANCISCO BOLOGNESI CERVANTES</t>
  </si>
  <si>
    <t>TUPAC AMARU INCA</t>
  </si>
  <si>
    <t>LA VILLA TUPAC AMARU INCA</t>
  </si>
  <si>
    <t>CALLE FRANCISCO LAZO S/N</t>
  </si>
  <si>
    <t>FE Y ALEGRIA 77</t>
  </si>
  <si>
    <t>CALLE 06 Y 09 INTERSECCION</t>
  </si>
  <si>
    <t>RAMON CASTILLA || 30763 - RAMON CASTILLA</t>
  </si>
  <si>
    <t>BAJO ALDEA</t>
  </si>
  <si>
    <t>CARRETERA MARGINAL KM. 4</t>
  </si>
  <si>
    <t>31865</t>
  </si>
  <si>
    <t>GRAN PLAYA INDEPENDIENTE</t>
  </si>
  <si>
    <t>CALLE GRAN PLAYA INDEPENDIENTE S/N</t>
  </si>
  <si>
    <t>31198</t>
  </si>
  <si>
    <t>CALLE JUAN SANTOS ATAHUALPA S/N</t>
  </si>
  <si>
    <t>1045</t>
  </si>
  <si>
    <t>NUEVA ESPERARNZA</t>
  </si>
  <si>
    <t>30756</t>
  </si>
  <si>
    <t>RIO SECO</t>
  </si>
  <si>
    <t>VICTOR ANDRES BELAUNDE</t>
  </si>
  <si>
    <t>VITOC</t>
  </si>
  <si>
    <t>CALLE PARTE CENTRAL DE SANTA ANA VITOC S/N</t>
  </si>
  <si>
    <t>30121</t>
  </si>
  <si>
    <t>ACHIPAMPA</t>
  </si>
  <si>
    <t>JIRON TUPAC AMARU 44</t>
  </si>
  <si>
    <t>30388</t>
  </si>
  <si>
    <t>CHAMBARA</t>
  </si>
  <si>
    <t>RONCHA</t>
  </si>
  <si>
    <t>CARRETERA CHUPACA - YAUYOS KM. 67</t>
  </si>
  <si>
    <t>30308</t>
  </si>
  <si>
    <t>SAN BLAS</t>
  </si>
  <si>
    <t>CARRETERA HUANCAYO-YAUYOS KM 26</t>
  </si>
  <si>
    <t>460</t>
  </si>
  <si>
    <t>TUNZO ALTO</t>
  </si>
  <si>
    <t>30397</t>
  </si>
  <si>
    <t>MAMAC</t>
  </si>
  <si>
    <t>30321</t>
  </si>
  <si>
    <t>CARRETERA CENTRAL KM 17</t>
  </si>
  <si>
    <t>30403</t>
  </si>
  <si>
    <t>SAN FRANCISCO DE SALVIO</t>
  </si>
  <si>
    <t>AVENIDA YAUYOS S/N</t>
  </si>
  <si>
    <t>SAN ROQUE</t>
  </si>
  <si>
    <t>SAN ROQUE DE HUARMITA</t>
  </si>
  <si>
    <t>AVENIDA 28 DE JULIO 215</t>
  </si>
  <si>
    <t>30337</t>
  </si>
  <si>
    <t>SANTA ROSA DE HUARMITA</t>
  </si>
  <si>
    <t>377 LAS ESTRELLITAS DE LA VIRGEN DE OCOPA</t>
  </si>
  <si>
    <t>SANTA ROSA DE OCOPA</t>
  </si>
  <si>
    <t>30681</t>
  </si>
  <si>
    <t>CULLHUAS</t>
  </si>
  <si>
    <t>AZACRUZ</t>
  </si>
  <si>
    <t>30138</t>
  </si>
  <si>
    <t>JIRON S M PORRAS 190</t>
  </si>
  <si>
    <t>30219</t>
  </si>
  <si>
    <t>30172</t>
  </si>
  <si>
    <t>HUANCAN</t>
  </si>
  <si>
    <t>AVENIDA ALFONSO UGARTE 601</t>
  </si>
  <si>
    <t>31542 VIRGEN MARIA ADMIRABLE</t>
  </si>
  <si>
    <t>AVENIDA OCOPILLA 106-108</t>
  </si>
  <si>
    <t>31458 SAN JUDAS TADEO</t>
  </si>
  <si>
    <t>PAMPAS DE OCOPILLA</t>
  </si>
  <si>
    <t>CALLE PIURA 1095</t>
  </si>
  <si>
    <t>30173</t>
  </si>
  <si>
    <t>HUAYUCACHI</t>
  </si>
  <si>
    <t>AVENIDA SIMON BOLIVAR S/N</t>
  </si>
  <si>
    <t>30576</t>
  </si>
  <si>
    <t>CASACANCHA</t>
  </si>
  <si>
    <t>401</t>
  </si>
  <si>
    <t>QUICHUAY</t>
  </si>
  <si>
    <t>JIRON DANIEL A. CARRION 577</t>
  </si>
  <si>
    <t>30238 ANDRES A. CACERES DORREGARAY</t>
  </si>
  <si>
    <t>SAN AGUSTIN DE CAJAS</t>
  </si>
  <si>
    <t>AVENIDA LEONCIO PRADO 631</t>
  </si>
  <si>
    <t>SANTA CRUZ DE PUMABAMBA</t>
  </si>
  <si>
    <t>PAURAN</t>
  </si>
  <si>
    <t>YANABAMBA</t>
  </si>
  <si>
    <t>30241</t>
  </si>
  <si>
    <t>BARRIO CENTRO</t>
  </si>
  <si>
    <t>CALLE MARCOS URIBE S/N</t>
  </si>
  <si>
    <t>CARRETERA HUANCAYO - PUCARA KM 6</t>
  </si>
  <si>
    <t>SAN FRANCISCO JAVIER</t>
  </si>
  <si>
    <t>CURICACA</t>
  </si>
  <si>
    <t>CHAPOPAMPA</t>
  </si>
  <si>
    <t>AVENIDA SAN FRANCISCO JAVIER S/N</t>
  </si>
  <si>
    <t>30430 CORAZON DE MARIA</t>
  </si>
  <si>
    <t>LLOCLLAPAMPA</t>
  </si>
  <si>
    <t>JIRON SANTA ROSA 242</t>
  </si>
  <si>
    <t>30511 VIRGEN DE LAS MERCEDES</t>
  </si>
  <si>
    <t>MUQUI</t>
  </si>
  <si>
    <t>JIRON BOLIVAR 1270</t>
  </si>
  <si>
    <t>30525 ANDINO</t>
  </si>
  <si>
    <t>SINCOS</t>
  </si>
  <si>
    <t>ARAMACHAY</t>
  </si>
  <si>
    <t>AVENIDA HUANCAYO S/N</t>
  </si>
  <si>
    <t>HEROES DEL CENEPA</t>
  </si>
  <si>
    <t>LLAUPI</t>
  </si>
  <si>
    <t>JULIO C. TELLO</t>
  </si>
  <si>
    <t>COCHAS ALTO</t>
  </si>
  <si>
    <t>CALLE JOSE BASTERES S/N</t>
  </si>
  <si>
    <t>ANDRES AVELINO CACERES || 753 ANDRES A. CACERES || 31763 ANDRES A. CACERES</t>
  </si>
  <si>
    <t>21607</t>
  </si>
  <si>
    <t>CHIU CHIU</t>
  </si>
  <si>
    <t>CHIU CHIU S/N</t>
  </si>
  <si>
    <t>21606 FRANCISCO BOLOGNESI</t>
  </si>
  <si>
    <t>POTAO</t>
  </si>
  <si>
    <t>20516</t>
  </si>
  <si>
    <t>CALETA VIDAL</t>
  </si>
  <si>
    <t>CALETA VIDAL S/N</t>
  </si>
  <si>
    <t>20973</t>
  </si>
  <si>
    <t>ASIA</t>
  </si>
  <si>
    <t>9 DE OCTUBRE</t>
  </si>
  <si>
    <t>ANEXO 09 DE OCTUBRE S/N</t>
  </si>
  <si>
    <t>20935</t>
  </si>
  <si>
    <t>IMPERIAL ASUNCION OCHO</t>
  </si>
  <si>
    <t>AVENIDA ELVIRA TOVAR CORTIJO MZ H</t>
  </si>
  <si>
    <t>20974</t>
  </si>
  <si>
    <t>POPULAR LAS LOMAS</t>
  </si>
  <si>
    <t>20444 JOSE ALEJANDRO LOPEZ DURAND</t>
  </si>
  <si>
    <t>CHACRA Y MAR</t>
  </si>
  <si>
    <t>AUTOPISTA PANAMERICANA NORTE KM. 75.5</t>
  </si>
  <si>
    <t>20803 ROSA DE SANTA MARIA</t>
  </si>
  <si>
    <t>SALINAS ALTA</t>
  </si>
  <si>
    <t>AUTOPISTA PANAMERICANA NORTE KM. 77</t>
  </si>
  <si>
    <t>20865 LA FLORIDA</t>
  </si>
  <si>
    <t>CABAYAL ALTO</t>
  </si>
  <si>
    <t>CARRETERA LA FLORIDA S/N</t>
  </si>
  <si>
    <t>20396 ANTONIO ARELLANO BUITRON</t>
  </si>
  <si>
    <t>CABUYAL S/N LOTE 12</t>
  </si>
  <si>
    <t>20397 VIRGEN DE LA ASUNCION</t>
  </si>
  <si>
    <t>ESPERANZA ALTA</t>
  </si>
  <si>
    <t>CARRETERA ESPERANZA ALTA S/N</t>
  </si>
  <si>
    <t>ALONSO DE MESSIAS</t>
  </si>
  <si>
    <t>PACARAOS</t>
  </si>
  <si>
    <t>AVENIDA ALONZO DE MESSIAS S/N</t>
  </si>
  <si>
    <t>20829 || 20829 DANIEL ALCIDES CARRION</t>
  </si>
  <si>
    <t>20997</t>
  </si>
  <si>
    <t>ACARAY</t>
  </si>
  <si>
    <t>21013 CORONEL JUAN VALER SANDOVAL</t>
  </si>
  <si>
    <t>PAMPA COLORADA</t>
  </si>
  <si>
    <t>AVENIDA EL OLIVAR S/N ETAPA I</t>
  </si>
  <si>
    <t>20348</t>
  </si>
  <si>
    <t>ZAPATA</t>
  </si>
  <si>
    <t>AVENIDA LIBERTAD S/N</t>
  </si>
  <si>
    <t>20880 ALCIBIADES FERNANDEZ GUERRERO</t>
  </si>
  <si>
    <t>TIROLER</t>
  </si>
  <si>
    <t>CARRETERA PANAMERICANA NORTE KM 159</t>
  </si>
  <si>
    <t>20073 LA MERCED</t>
  </si>
  <si>
    <t>VIROC</t>
  </si>
  <si>
    <t>VIROC S/N</t>
  </si>
  <si>
    <t>ERNESTO DIEZ CANSECO</t>
  </si>
  <si>
    <t>JIRON SAN MARTIN 303</t>
  </si>
  <si>
    <t>CONSTITUCIÓN</t>
  </si>
  <si>
    <t>LORENCILLO 1</t>
  </si>
  <si>
    <t>CARRETERA LORENCILLO I KM 55</t>
  </si>
  <si>
    <t>315 LOS ANGELITOS</t>
  </si>
  <si>
    <t>ACUZAZU</t>
  </si>
  <si>
    <t>316</t>
  </si>
  <si>
    <t>ALTO CHURUMAZU</t>
  </si>
  <si>
    <t>NIÑO MANUELITO</t>
  </si>
  <si>
    <t>ALTO PLAYA PAMPA</t>
  </si>
  <si>
    <t>318 VIRGEN DEL CARMEN</t>
  </si>
  <si>
    <t>CHACOS</t>
  </si>
  <si>
    <t>CHURUMAZU</t>
  </si>
  <si>
    <t>CARRETERA CHURUMAZU KM. 38</t>
  </si>
  <si>
    <t>GOTITAS DE AMOR</t>
  </si>
  <si>
    <t>LA CAÑERA</t>
  </si>
  <si>
    <t>LA CAÑERA SECTOR LA CAÑERA</t>
  </si>
  <si>
    <t>321 SEÑOR DE MURUHUAY</t>
  </si>
  <si>
    <t>RIO PISCO</t>
  </si>
  <si>
    <t>CASRIO RIO PISCO</t>
  </si>
  <si>
    <t>LAS NAZARENAS</t>
  </si>
  <si>
    <t>ISCOZACIN</t>
  </si>
  <si>
    <t>AVENIDA JUAN FRANTZEN WESTREICHER S/N</t>
  </si>
  <si>
    <t>PUERTO ISCOZACIN</t>
  </si>
  <si>
    <t>CARRETERA ISCOZACIN MAYRO</t>
  </si>
  <si>
    <t>CRISTO REDENTOR</t>
  </si>
  <si>
    <t>CEDROPAMPA</t>
  </si>
  <si>
    <t>CARRETERA CEDROPAMPA S/N</t>
  </si>
  <si>
    <t>OCONAL</t>
  </si>
  <si>
    <t>EL OCONAL</t>
  </si>
  <si>
    <t>CARRETERA EL SOL S/N</t>
  </si>
  <si>
    <t>LOS MELLIZOS</t>
  </si>
  <si>
    <t>LOS MELLIZOS I</t>
  </si>
  <si>
    <t>CARRETERA MARGINAL KM.15</t>
  </si>
  <si>
    <t>352</t>
  </si>
  <si>
    <t>PAMPA ENCANTADA</t>
  </si>
  <si>
    <t>DE PAMPA ENCANTADA</t>
  </si>
  <si>
    <t>35001 CIPRIANO PROAÑO</t>
  </si>
  <si>
    <t>CHAUPIMARCA</t>
  </si>
  <si>
    <t>AVENIDA CIRCUNVALACION TUPAC AMARU 212</t>
  </si>
  <si>
    <t>34460 JOSE OLAYA BALANBRA</t>
  </si>
  <si>
    <t>HUARIACA</t>
  </si>
  <si>
    <t>ACOPALCA</t>
  </si>
  <si>
    <t>AVENIDA LIRIO DE LOS VALLES S/N</t>
  </si>
  <si>
    <t>34056 DAVID PATIÑO LOPEZ</t>
  </si>
  <si>
    <t>SANTA ROSA DE PITIC</t>
  </si>
  <si>
    <t>CARRETERA POMACOCHA S/N</t>
  </si>
  <si>
    <t>Sur</t>
  </si>
  <si>
    <t>54059</t>
  </si>
  <si>
    <t>CASINCHIHUA</t>
  </si>
  <si>
    <t>CARRETERA CASINCHIHUA</t>
  </si>
  <si>
    <t>EDGAR SEGOVIA CAMPANA</t>
  </si>
  <si>
    <t>PALMIRA</t>
  </si>
  <si>
    <t>931 || 55006-9</t>
  </si>
  <si>
    <t>COLLPA</t>
  </si>
  <si>
    <t>CCOLLPA AA.HH.</t>
  </si>
  <si>
    <t>54159</t>
  </si>
  <si>
    <t>BELEN ANTA</t>
  </si>
  <si>
    <t>LOS CHANKAS DE QUILLABAMBA</t>
  </si>
  <si>
    <t>LUZ DIVINA DE LOS ANDES</t>
  </si>
  <si>
    <t>PACUCHA</t>
  </si>
  <si>
    <t>COTAHUACHO ALTO</t>
  </si>
  <si>
    <t>54208</t>
  </si>
  <si>
    <t>SAN ANTONIO DE CACHI</t>
  </si>
  <si>
    <t>CHULLISANA</t>
  </si>
  <si>
    <t>CHULLIZANA S/N</t>
  </si>
  <si>
    <t>JUAN ANTONIO LIGARDA PINEDA</t>
  </si>
  <si>
    <t>SECTOR TIKAPATA</t>
  </si>
  <si>
    <t>54819-6</t>
  </si>
  <si>
    <t>ANCO_HUALLO</t>
  </si>
  <si>
    <t>AVENIDA VIRGEN DE COCHARCAS BUENA VISTA S/N</t>
  </si>
  <si>
    <t>ANDRES AVELLINO CACERES</t>
  </si>
  <si>
    <t>HUARAPARI</t>
  </si>
  <si>
    <t>54204</t>
  </si>
  <si>
    <t>TOCSOPAMPA</t>
  </si>
  <si>
    <t>TOCCSOPAMPA</t>
  </si>
  <si>
    <t>PATAN</t>
  </si>
  <si>
    <t>40203 TUPAC AMARU</t>
  </si>
  <si>
    <t>SAMUEL PASTOR</t>
  </si>
  <si>
    <t>CALLE PRINCIPAL MZ G LOTE 8</t>
  </si>
  <si>
    <t>40568 || ARCATA</t>
  </si>
  <si>
    <t>SAN LUIS GONZAGA</t>
  </si>
  <si>
    <t>JIRON IRAY S/N</t>
  </si>
  <si>
    <t>41513 SAGRADO CORAZON DE JESUS</t>
  </si>
  <si>
    <t>COCACHACRA</t>
  </si>
  <si>
    <t>CHUCARAPI</t>
  </si>
  <si>
    <t>CALLE VILLA HERMOSA</t>
  </si>
  <si>
    <t>40505</t>
  </si>
  <si>
    <t>PUNTA DE BOMBON</t>
  </si>
  <si>
    <t>BOMBON</t>
  </si>
  <si>
    <t>CALLE SAN MARTIN S/N</t>
  </si>
  <si>
    <t>PIRAMARCA || 40545</t>
  </si>
  <si>
    <t>PIRAMARCA</t>
  </si>
  <si>
    <t>40520 GREGORIO SEGOVIA</t>
  </si>
  <si>
    <t>VISBE</t>
  </si>
  <si>
    <t>MARIA PARADO DE BELLIDO</t>
  </si>
  <si>
    <t>AVENIDA VICTOR FAJARDO S/N</t>
  </si>
  <si>
    <t>38545</t>
  </si>
  <si>
    <t>CCOTARARA</t>
  </si>
  <si>
    <t>38858</t>
  </si>
  <si>
    <t>KALLCABAMBA</t>
  </si>
  <si>
    <t>38543</t>
  </si>
  <si>
    <t>PUNCUPATA</t>
  </si>
  <si>
    <t>38940</t>
  </si>
  <si>
    <t>38197</t>
  </si>
  <si>
    <t>SATICA</t>
  </si>
  <si>
    <t>38589 MARTIN CASTO CAMPOS</t>
  </si>
  <si>
    <t>SANTA CRUZ DE ÑUÑUNHUAYCCO</t>
  </si>
  <si>
    <t>CCARHUACC LICAPA</t>
  </si>
  <si>
    <t>PARQUE PRINCIPAL CCARHUACC LICAPA S/N</t>
  </si>
  <si>
    <t>38203</t>
  </si>
  <si>
    <t>VISTA ALEGRE DE CCARHUACCOCCO</t>
  </si>
  <si>
    <t>TOTOS</t>
  </si>
  <si>
    <t>QUIÑASI</t>
  </si>
  <si>
    <t>38140</t>
  </si>
  <si>
    <t>VERACRUZ</t>
  </si>
  <si>
    <t>407 HERMILIO VALDIZAN || 38033 HERMILIO VALDIZAN || HERMILIO VALDIZAN</t>
  </si>
  <si>
    <t>AVENIDA MARISCAL CACERES S/N</t>
  </si>
  <si>
    <t>38700 SN.PASTOR DE HUAMANCCOCHA</t>
  </si>
  <si>
    <t>HACIENDA HUAMANCONA</t>
  </si>
  <si>
    <t>38012 SEÑOR AMANCAES</t>
  </si>
  <si>
    <t>ANDRES AVELINO CACERES DORREGARAY</t>
  </si>
  <si>
    <t>CONCHOPATA</t>
  </si>
  <si>
    <t>AMANCAES</t>
  </si>
  <si>
    <t>JARDIN</t>
  </si>
  <si>
    <t>AVENIDA LAS MERCEDES 351</t>
  </si>
  <si>
    <t>38060 SIMON BOLIVAR</t>
  </si>
  <si>
    <t>JIRON TACNA 385</t>
  </si>
  <si>
    <t>39003 CORAZON DE JESUS</t>
  </si>
  <si>
    <t>16 DE ABRIL</t>
  </si>
  <si>
    <t>GUAMAN POMA DE AYALA</t>
  </si>
  <si>
    <t>PASAJE HUAMAN POMA S/N</t>
  </si>
  <si>
    <t>AVENIDA INDEPENDENCIA 435</t>
  </si>
  <si>
    <t>38018 DE MARAVILLAS || 38018</t>
  </si>
  <si>
    <t>JIRON GARCILAZO DE LA VEGA 878</t>
  </si>
  <si>
    <t>LOS LIBERTADORES</t>
  </si>
  <si>
    <t>JIRON JOSE OLAYA 277</t>
  </si>
  <si>
    <t>38001 GUSTAVO CASTRO PANTOJA</t>
  </si>
  <si>
    <t>JIRON GARCILAZO DE LA VEGA 111</t>
  </si>
  <si>
    <t>38059 ABILIO SOTO YUPANQUI</t>
  </si>
  <si>
    <t>AVENIDA ARRIBA PERU 303</t>
  </si>
  <si>
    <t>39002 MARIA PARADO DE BELLIDO || MARIA PARADO DE BELIDO</t>
  </si>
  <si>
    <t>JIRON CALLAO 289</t>
  </si>
  <si>
    <t>39008 YURAQ YURAQ</t>
  </si>
  <si>
    <t>AVENIDA LOS ANDES 102</t>
  </si>
  <si>
    <t>JIRON ALAMEDA BOLOGNESI 754</t>
  </si>
  <si>
    <t>38984-2</t>
  </si>
  <si>
    <t>BACILIO</t>
  </si>
  <si>
    <t>CALLE BASILIO AUQUI S/N</t>
  </si>
  <si>
    <t>MELITON CARVAJAL</t>
  </si>
  <si>
    <t>JIRON UNSCH 511</t>
  </si>
  <si>
    <t>HUASCAHURA</t>
  </si>
  <si>
    <t>38083</t>
  </si>
  <si>
    <t>LICENCIADOS</t>
  </si>
  <si>
    <t>AVENIDA LA MARINA S/N</t>
  </si>
  <si>
    <t>38876 VIRGEN DEL CARMEN</t>
  </si>
  <si>
    <t>PILA CUCHO</t>
  </si>
  <si>
    <t>AVENIDA WARI S/N</t>
  </si>
  <si>
    <t>39006</t>
  </si>
  <si>
    <t>FRANCISCO BOLOGNESI</t>
  </si>
  <si>
    <t>YURAC YURAC</t>
  </si>
  <si>
    <t>JIRON JAVIER HERAUD S/N</t>
  </si>
  <si>
    <t>38023 NUESTRA SEÑORA DEL CARMEN</t>
  </si>
  <si>
    <t>AVENIDA MARISCAL CACERES 204</t>
  </si>
  <si>
    <t>38984-8</t>
  </si>
  <si>
    <t>QUICAPATA</t>
  </si>
  <si>
    <t>AVENIDA HEROES DEL CENEPA MZ 8 LOTE 10</t>
  </si>
  <si>
    <t>38736</t>
  </si>
  <si>
    <t>SAN CRISTOBAL DE CASAORCCO</t>
  </si>
  <si>
    <t>38582 ABRAHAM VALDELOMAR</t>
  </si>
  <si>
    <t>AVENIDA VISTA ALEGRE S/N</t>
  </si>
  <si>
    <t>JESUS NAZARENO</t>
  </si>
  <si>
    <t>JIRON CIRO ALEGRIA 500</t>
  </si>
  <si>
    <t>38020</t>
  </si>
  <si>
    <t>JIRON PORRAS BARRENECHEA 477</t>
  </si>
  <si>
    <t>38054</t>
  </si>
  <si>
    <t>CARRETERA TOTORILLA S/N</t>
  </si>
  <si>
    <t>38977</t>
  </si>
  <si>
    <t>VILLA SAN CRISTOBAL</t>
  </si>
  <si>
    <t>LOS INKAS MZ LL LOTE 7</t>
  </si>
  <si>
    <t>38983 BRAULIO ZAGA PARIONA || BRAULIO ZAGA PARIONA</t>
  </si>
  <si>
    <t>HATUN CUSI</t>
  </si>
  <si>
    <t>CARRETERA CUSI - VALLE SAN FRANSICO</t>
  </si>
  <si>
    <t>38064</t>
  </si>
  <si>
    <t>JACASPAMPA</t>
  </si>
  <si>
    <t>38025</t>
  </si>
  <si>
    <t>LLACCOLLA</t>
  </si>
  <si>
    <t>38937</t>
  </si>
  <si>
    <t>VACAHUASI</t>
  </si>
  <si>
    <t>38037 LIBERTAD DE AMERICA || LIBERTAD DE AMERICA</t>
  </si>
  <si>
    <t>ANANSAYOCC</t>
  </si>
  <si>
    <t>JIRON LA MAR S/N</t>
  </si>
  <si>
    <t>38078</t>
  </si>
  <si>
    <t>MUYURINA</t>
  </si>
  <si>
    <t>38913</t>
  </si>
  <si>
    <t>PINAO</t>
  </si>
  <si>
    <t>CARRETERA BORDE DE CARRETERA S/N</t>
  </si>
  <si>
    <t>JOSE DE SAN MARTIN</t>
  </si>
  <si>
    <t>ACCOPAMPA</t>
  </si>
  <si>
    <t>HUANCA SANCOS</t>
  </si>
  <si>
    <t>JIRON LOS ANDES S/N</t>
  </si>
  <si>
    <t>38754</t>
  </si>
  <si>
    <t>PUEBLO NUEVO SANTA ROSA</t>
  </si>
  <si>
    <t>38734</t>
  </si>
  <si>
    <t>JIRON PUMA S/N</t>
  </si>
  <si>
    <t>38790</t>
  </si>
  <si>
    <t>CEDROPATA</t>
  </si>
  <si>
    <t>38259</t>
  </si>
  <si>
    <t>ESPIRITU SANTO</t>
  </si>
  <si>
    <t>PASAJE SAN MARTIN S/N</t>
  </si>
  <si>
    <t>38990-13</t>
  </si>
  <si>
    <t>ICHPICO</t>
  </si>
  <si>
    <t>AGRUPACION DE ICHPICO</t>
  </si>
  <si>
    <t>ALBERTO SANCHEZ PORTOCARRERO</t>
  </si>
  <si>
    <t>MIO</t>
  </si>
  <si>
    <t>MIO S/N</t>
  </si>
  <si>
    <t>38878</t>
  </si>
  <si>
    <t>PATASUCRO</t>
  </si>
  <si>
    <t>38261</t>
  </si>
  <si>
    <t>PUCARAQAY</t>
  </si>
  <si>
    <t>PUCARACCAY</t>
  </si>
  <si>
    <t>38294</t>
  </si>
  <si>
    <t>QUINRAPA</t>
  </si>
  <si>
    <t>38331 JESUS NAZARENO</t>
  </si>
  <si>
    <t>AZANGARO S/N</t>
  </si>
  <si>
    <t>38276 SAN MARTIN DE PORRES</t>
  </si>
  <si>
    <t>AVENIDA CARLOS CH HIRAOKA S/N</t>
  </si>
  <si>
    <t>NUESTRA SEÑORA DEL PERPETUO SOCORRO</t>
  </si>
  <si>
    <t>JOSE SALVADOR CAVERO OVALLE</t>
  </si>
  <si>
    <t>38994-12 || 9 DE DICIEMBRE</t>
  </si>
  <si>
    <t>JIRON FRANCISCO PIZARRO S/N</t>
  </si>
  <si>
    <t>39016</t>
  </si>
  <si>
    <t>QEQRA</t>
  </si>
  <si>
    <t>QUEBRADA</t>
  </si>
  <si>
    <t>237 || 24054</t>
  </si>
  <si>
    <t>PUQUIO</t>
  </si>
  <si>
    <t>CARRETERA NAZCA-PUQUIO</t>
  </si>
  <si>
    <t>INDUSTRIAL TECNICO METALURGICO AMADEO PICKMAN SOLIER</t>
  </si>
  <si>
    <t>SAN LUIS ALTA</t>
  </si>
  <si>
    <t>24233</t>
  </si>
  <si>
    <t>CONDORCOCCHA</t>
  </si>
  <si>
    <t>CONDORCCOCHA</t>
  </si>
  <si>
    <t>NEGRO MAYO</t>
  </si>
  <si>
    <t>CARRETERA SUR ANDINA KM 130</t>
  </si>
  <si>
    <t>ARQ. FERNANDO BELAUNDE TERRY</t>
  </si>
  <si>
    <t>GENARO TABOADA GUTIERREZ</t>
  </si>
  <si>
    <t>SAN JUAN DE CHITO</t>
  </si>
  <si>
    <t>50063</t>
  </si>
  <si>
    <t>SANGARARA</t>
  </si>
  <si>
    <t>PARQUE PLAZA DE ARMAS S/N AA.HH.</t>
  </si>
  <si>
    <t>LIBERTADORES DE AMERICA</t>
  </si>
  <si>
    <t>PARQUE PLAZA DE ARMAS S/N</t>
  </si>
  <si>
    <t>AVENIDA 18 DE NOVIEMBRE S/N</t>
  </si>
  <si>
    <t>50062</t>
  </si>
  <si>
    <t>UNION CHAHUAY</t>
  </si>
  <si>
    <t>CHAHUAY</t>
  </si>
  <si>
    <t>LAGUNA AZUL</t>
  </si>
  <si>
    <t>50738</t>
  </si>
  <si>
    <t>CHAMANCALLA</t>
  </si>
  <si>
    <t>50123 SAN LUIS GONZAGA</t>
  </si>
  <si>
    <t>CHAQUILLCCASA</t>
  </si>
  <si>
    <t>CHAQUILCCASA</t>
  </si>
  <si>
    <t>501102</t>
  </si>
  <si>
    <t>CIRGAKCACYA</t>
  </si>
  <si>
    <t>CIRCA KCACYA S/N</t>
  </si>
  <si>
    <t>50098</t>
  </si>
  <si>
    <t>CALLE CONFRATERNIDAD S/N</t>
  </si>
  <si>
    <t>501225</t>
  </si>
  <si>
    <t>LAMAY</t>
  </si>
  <si>
    <t>CHAUPIMAYO / HUARQUI</t>
  </si>
  <si>
    <t>50171</t>
  </si>
  <si>
    <t>CHOQUECANCHA</t>
  </si>
  <si>
    <t>CHOQUECANCHA S/N</t>
  </si>
  <si>
    <t>50214</t>
  </si>
  <si>
    <t>CHAHUAYTIRE</t>
  </si>
  <si>
    <t>50170</t>
  </si>
  <si>
    <t>CUQUIPATA</t>
  </si>
  <si>
    <t>ALTIVA CANAS || 56160</t>
  </si>
  <si>
    <t>CHECCA</t>
  </si>
  <si>
    <t>CHITIBAMBA</t>
  </si>
  <si>
    <t>56167</t>
  </si>
  <si>
    <t>LANGUI</t>
  </si>
  <si>
    <t>URINSAYA CCOLLANA</t>
  </si>
  <si>
    <t>EL PORVENIR S/N</t>
  </si>
  <si>
    <t>URINSAYA CCOLLANA / CALCA PAMPA</t>
  </si>
  <si>
    <t>56119</t>
  </si>
  <si>
    <t>PABELLONES</t>
  </si>
  <si>
    <t>56094</t>
  </si>
  <si>
    <t>CHECACUPE</t>
  </si>
  <si>
    <t>LLOCLLORA</t>
  </si>
  <si>
    <t>56022</t>
  </si>
  <si>
    <t>CCOCHACUNCA</t>
  </si>
  <si>
    <t>COCHACUNCA S/N</t>
  </si>
  <si>
    <t>56267</t>
  </si>
  <si>
    <t>TOTORA</t>
  </si>
  <si>
    <t>50859</t>
  </si>
  <si>
    <t>AVENIDA CHINCHAYSUYO S/N</t>
  </si>
  <si>
    <t>50966</t>
  </si>
  <si>
    <t>AYUDA MUTUA</t>
  </si>
  <si>
    <t>50040</t>
  </si>
  <si>
    <t>HUILLCARPATA</t>
  </si>
  <si>
    <t>CARRETERA HUILLCAPATA</t>
  </si>
  <si>
    <t>56209</t>
  </si>
  <si>
    <t>MAMANIHUAYTA</t>
  </si>
  <si>
    <t>50985 ALTO SALKANTAY</t>
  </si>
  <si>
    <t>SAHUAYACO</t>
  </si>
  <si>
    <t>50333 MIGUEL GRAU</t>
  </si>
  <si>
    <t>50802</t>
  </si>
  <si>
    <t>CCAPI</t>
  </si>
  <si>
    <t>CCASCCAS</t>
  </si>
  <si>
    <t>50395</t>
  </si>
  <si>
    <t>CHANCCA</t>
  </si>
  <si>
    <t>CHANCA S/N</t>
  </si>
  <si>
    <t>HERMANOS AYAR</t>
  </si>
  <si>
    <t>50419</t>
  </si>
  <si>
    <t>CAICAY</t>
  </si>
  <si>
    <t>AUTOPISTA VILCABAMBA</t>
  </si>
  <si>
    <t>50435</t>
  </si>
  <si>
    <t>MOLLOMARCA</t>
  </si>
  <si>
    <t>MOLLOMARCA S/N</t>
  </si>
  <si>
    <t>50495</t>
  </si>
  <si>
    <t>CCAPANA</t>
  </si>
  <si>
    <t>50534</t>
  </si>
  <si>
    <t>CHICHINA</t>
  </si>
  <si>
    <t>50529</t>
  </si>
  <si>
    <t>CUSIPATA</t>
  </si>
  <si>
    <t>CHILLIHUANI</t>
  </si>
  <si>
    <t>CHILLIHUANI S/N</t>
  </si>
  <si>
    <t>50527</t>
  </si>
  <si>
    <t>TINTINCO</t>
  </si>
  <si>
    <t>TINTINCO S/N</t>
  </si>
  <si>
    <t>51501</t>
  </si>
  <si>
    <t>501400</t>
  </si>
  <si>
    <t>CHAUPIMAYO</t>
  </si>
  <si>
    <t>50978</t>
  </si>
  <si>
    <t>POCOYAYQUI / MAHUALLANE</t>
  </si>
  <si>
    <t>MAHUAYANI S/N</t>
  </si>
  <si>
    <t>50485</t>
  </si>
  <si>
    <t>TTIO S/N</t>
  </si>
  <si>
    <t>50536</t>
  </si>
  <si>
    <t>URCOS</t>
  </si>
  <si>
    <t>CCOÑAMURO</t>
  </si>
  <si>
    <t>50610</t>
  </si>
  <si>
    <t>CHUSO</t>
  </si>
  <si>
    <t>50611</t>
  </si>
  <si>
    <t>PONGOBAMBA</t>
  </si>
  <si>
    <t>50618</t>
  </si>
  <si>
    <t>50721</t>
  </si>
  <si>
    <t>CHICON</t>
  </si>
  <si>
    <t>50596 TUPAC AMARU || 50596</t>
  </si>
  <si>
    <t>50595</t>
  </si>
  <si>
    <t>PALCCARAQUI</t>
  </si>
  <si>
    <t>50574</t>
  </si>
  <si>
    <t>YANAHUARA</t>
  </si>
  <si>
    <t>SEÑOR DE TORRECHAYOC</t>
  </si>
  <si>
    <t>43005</t>
  </si>
  <si>
    <t>SAMEGUA</t>
  </si>
  <si>
    <t>EL COMUN</t>
  </si>
  <si>
    <t>AÑO NUEVO</t>
  </si>
  <si>
    <t>EL MOLINO TUMILACA</t>
  </si>
  <si>
    <t>CARRETERA EL MOLINO - TUMILACA</t>
  </si>
  <si>
    <t>TORATA</t>
  </si>
  <si>
    <t>CALLE ALFONSO UGARTE S/N</t>
  </si>
  <si>
    <t>VIDAL HERRERA DIAZ</t>
  </si>
  <si>
    <t>YACANGO</t>
  </si>
  <si>
    <t>CALLE YACANGO S/N</t>
  </si>
  <si>
    <t>72070</t>
  </si>
  <si>
    <t>KALAHUALA</t>
  </si>
  <si>
    <t>72686</t>
  </si>
  <si>
    <t>CONDORIRI</t>
  </si>
  <si>
    <t>MORORCCO</t>
  </si>
  <si>
    <t>72025</t>
  </si>
  <si>
    <t>TIRAMAZA</t>
  </si>
  <si>
    <t>72136</t>
  </si>
  <si>
    <t>CHUCAHUACAS</t>
  </si>
  <si>
    <t>72080</t>
  </si>
  <si>
    <t>MUÑANI</t>
  </si>
  <si>
    <t>72009</t>
  </si>
  <si>
    <t>SAMAN</t>
  </si>
  <si>
    <t>MUNI GRANDE</t>
  </si>
  <si>
    <t>DANTE NAVA</t>
  </si>
  <si>
    <t>72045</t>
  </si>
  <si>
    <t>QUEJON MOCCO</t>
  </si>
  <si>
    <t>JOSE MACEDO MENDOZA</t>
  </si>
  <si>
    <t>MACUSANI</t>
  </si>
  <si>
    <t>JIRON PUNO 104</t>
  </si>
  <si>
    <t>MOLINO S/N</t>
  </si>
  <si>
    <t>70173</t>
  </si>
  <si>
    <t>JIRON BERTONIO 240</t>
  </si>
  <si>
    <t>71004</t>
  </si>
  <si>
    <t>JIRON JULI 428</t>
  </si>
  <si>
    <t>PERU BIRF INDUSTRIAL</t>
  </si>
  <si>
    <t>JIRON SAN JUAN BELLAVISTA S/N</t>
  </si>
  <si>
    <t>70210</t>
  </si>
  <si>
    <t>PASIRI</t>
  </si>
  <si>
    <t>70664</t>
  </si>
  <si>
    <t>VILCALLAMI</t>
  </si>
  <si>
    <t>70258</t>
  </si>
  <si>
    <t>AGRO INDUSTRIAL KELLUYO</t>
  </si>
  <si>
    <t>JIRON TUPAC AMARU S/N</t>
  </si>
  <si>
    <t>PIZACOMA</t>
  </si>
  <si>
    <t>70262</t>
  </si>
  <si>
    <t>ALTO AYRIGUAS</t>
  </si>
  <si>
    <t>BAJO PAVITA B</t>
  </si>
  <si>
    <t>BAJO PAVITA</t>
  </si>
  <si>
    <t>70743</t>
  </si>
  <si>
    <t>CALACOTA</t>
  </si>
  <si>
    <t>LIBERTADOR JOSE DE SAN MARTIN</t>
  </si>
  <si>
    <t>HUARIZANI</t>
  </si>
  <si>
    <t>HUARISANI</t>
  </si>
  <si>
    <t>PIAS HUAYTA</t>
  </si>
  <si>
    <t>CENTRAL HUAYTA</t>
  </si>
  <si>
    <t>70405</t>
  </si>
  <si>
    <t>QUELLO QUELLO</t>
  </si>
  <si>
    <t>70394</t>
  </si>
  <si>
    <t>JIRON PUNO S/N S/N</t>
  </si>
  <si>
    <t>70847</t>
  </si>
  <si>
    <t>PUEBLO LIBRE / BALSA PATA</t>
  </si>
  <si>
    <t>JIRON PEDRO NAYHUA S/N</t>
  </si>
  <si>
    <t>202</t>
  </si>
  <si>
    <t>MACARI</t>
  </si>
  <si>
    <t>70808</t>
  </si>
  <si>
    <t>CANGALLI PICHACANI/CANGALLI</t>
  </si>
  <si>
    <t>CANGALLI PICHACANI</t>
  </si>
  <si>
    <t>70475 SAN JUAN BAUTISTA DE LA SALLE</t>
  </si>
  <si>
    <t>CALLE MOQUEGUA S/N</t>
  </si>
  <si>
    <t>70478 NUESTRA SEÑORA DE FATIMA</t>
  </si>
  <si>
    <t>CALLE AREQUIPA S/N</t>
  </si>
  <si>
    <t>108</t>
  </si>
  <si>
    <t>AVENIDA INKAÑAN S/N</t>
  </si>
  <si>
    <t>AVENIDA AREQUIPA 503</t>
  </si>
  <si>
    <t>INDUSTRIAL</t>
  </si>
  <si>
    <t>JAPISE</t>
  </si>
  <si>
    <t>SUCUNI JAPISSE</t>
  </si>
  <si>
    <t>72356</t>
  </si>
  <si>
    <t>PATASCACHI</t>
  </si>
  <si>
    <t>CARRETERA PATASCACHI S/N</t>
  </si>
  <si>
    <t>70143</t>
  </si>
  <si>
    <t>ACORA</t>
  </si>
  <si>
    <t>CHALLOCOLLO</t>
  </si>
  <si>
    <t>CHALLACOLLO</t>
  </si>
  <si>
    <t>70148</t>
  </si>
  <si>
    <t>CHAMCHILLA</t>
  </si>
  <si>
    <t>CULTA</t>
  </si>
  <si>
    <t>CARRETERA PANAMERICANA SUR KM 1401</t>
  </si>
  <si>
    <t>TAQUILE</t>
  </si>
  <si>
    <t>QUINUA PATA</t>
  </si>
  <si>
    <t>SAN JOSE DE LLUNGO</t>
  </si>
  <si>
    <t>LLUNGO</t>
  </si>
  <si>
    <t>EMILIO ROMERO PADILLA</t>
  </si>
  <si>
    <t>JIRON TRUCOS 460</t>
  </si>
  <si>
    <t>MANUEL ZUÑIGA CAMACHO</t>
  </si>
  <si>
    <t>JIRON TEODORO VALCARCEL 280</t>
  </si>
  <si>
    <t>70725 || RINCONADA</t>
  </si>
  <si>
    <t>RINCONADA</t>
  </si>
  <si>
    <t>70801 NUESTRA SEÑORA DE GUADALUPE</t>
  </si>
  <si>
    <t>CIUDAD DE LA HUMANIDAD</t>
  </si>
  <si>
    <t>CIUDAD DE UNAMUNO</t>
  </si>
  <si>
    <t>70090</t>
  </si>
  <si>
    <t>JAYLLIHUAYA</t>
  </si>
  <si>
    <t>CARLOS DANTE NAVA</t>
  </si>
  <si>
    <t>70026</t>
  </si>
  <si>
    <t>PORTEÑO</t>
  </si>
  <si>
    <t>AVENIDA TITICACA 516</t>
  </si>
  <si>
    <t>FRANCISCO</t>
  </si>
  <si>
    <t>70709</t>
  </si>
  <si>
    <t>HORACIO ZEBALLOS</t>
  </si>
  <si>
    <t>JIRON MARINERO S/N</t>
  </si>
  <si>
    <t>SAN ISIDRO DE CCACCACHI || 70671</t>
  </si>
  <si>
    <t>NATIVIDAD CCACCACHI</t>
  </si>
  <si>
    <t>CARRETERA NATIVIDAD CCACCACHI KM 6</t>
  </si>
  <si>
    <t>72461 NUESTRA SEÑORA DE LA MERCED</t>
  </si>
  <si>
    <t>CHIRIGUAYA</t>
  </si>
  <si>
    <t>CHIRIHUAYA</t>
  </si>
  <si>
    <t>OLLARAYA</t>
  </si>
  <si>
    <t>SAN MIGUEL DE OLLARAYA</t>
  </si>
  <si>
    <t>70264</t>
  </si>
  <si>
    <t>ACCARI</t>
  </si>
  <si>
    <t>ACARI</t>
  </si>
  <si>
    <t>70666</t>
  </si>
  <si>
    <t>MACHAJMARCA / MACHAMARCA</t>
  </si>
  <si>
    <t>MACHACA MARCA</t>
  </si>
  <si>
    <t>375</t>
  </si>
  <si>
    <t>LOCUMBA</t>
  </si>
  <si>
    <t>ALTO CAMIARA / CAMIARA</t>
  </si>
  <si>
    <t>CARRETERA PANAMERICANA NORTE</t>
  </si>
  <si>
    <t>42196 SANTA RITA DE CASIA</t>
  </si>
  <si>
    <t>CALANA</t>
  </si>
  <si>
    <t>SANTA RITA</t>
  </si>
  <si>
    <t>CARRETERA TACNA - PACHIA KM 10 5</t>
  </si>
  <si>
    <t>42131 CORONEL FRANCISCO BOLOGNESI</t>
  </si>
  <si>
    <t>SITAJARA</t>
  </si>
  <si>
    <t>CHALLAGUAYA</t>
  </si>
  <si>
    <t>CARRETERA CHALLAGUAYA</t>
  </si>
  <si>
    <t>42099 MANUELA FLOR DE SILVA</t>
  </si>
  <si>
    <t>TARUCACHI</t>
  </si>
  <si>
    <t>CALLE TACNA S/N</t>
  </si>
  <si>
    <t>42101 JORGE BASADRE GROHMANN</t>
  </si>
  <si>
    <t>TICACO</t>
  </si>
  <si>
    <t>CALLE A B LEGUIA - ELOY G URETA S/N</t>
  </si>
  <si>
    <t>CARRETERA CACHACHI S/N</t>
  </si>
  <si>
    <t>Norte</t>
  </si>
  <si>
    <t>821084</t>
  </si>
  <si>
    <t>SHAHUINDO DE AMARCUCHO</t>
  </si>
  <si>
    <t>82320</t>
  </si>
  <si>
    <t>CAUDAY</t>
  </si>
  <si>
    <t>JIRON AUGUSTO MADALENGOITIA S/N</t>
  </si>
  <si>
    <t>JIRON RICARDO PALMA S/N</t>
  </si>
  <si>
    <t>82322</t>
  </si>
  <si>
    <t>SARIN</t>
  </si>
  <si>
    <t>821373</t>
  </si>
  <si>
    <t>CAPILLANIA</t>
  </si>
  <si>
    <t>MANZANAS CAPELLANIA</t>
  </si>
  <si>
    <t>82119</t>
  </si>
  <si>
    <t>CORISORGONA</t>
  </si>
  <si>
    <t>821062</t>
  </si>
  <si>
    <t>82105</t>
  </si>
  <si>
    <t>PURUAY ALTO</t>
  </si>
  <si>
    <t>821372</t>
  </si>
  <si>
    <t>RONQUILLO</t>
  </si>
  <si>
    <t>82115 EL CUMBE</t>
  </si>
  <si>
    <t>SAN VICENTE ALTO</t>
  </si>
  <si>
    <t>AGUA TAPADA</t>
  </si>
  <si>
    <t>SAN PABLO DE JESUS</t>
  </si>
  <si>
    <t>82211</t>
  </si>
  <si>
    <t>CIRUC</t>
  </si>
  <si>
    <t>82423</t>
  </si>
  <si>
    <t>PIOBAMBA</t>
  </si>
  <si>
    <t>821093</t>
  </si>
  <si>
    <t>SOROCHUCO</t>
  </si>
  <si>
    <t>CRUZPAMPA</t>
  </si>
  <si>
    <t>FUNDO TUCTUHUA</t>
  </si>
  <si>
    <t>CARRETERA FUNDO TUCTUHUASI S/N</t>
  </si>
  <si>
    <t>10487</t>
  </si>
  <si>
    <t>CARRETERA CRUZ CONGA S/N</t>
  </si>
  <si>
    <t>CUTAXI</t>
  </si>
  <si>
    <t>10568</t>
  </si>
  <si>
    <t>CHENTEN</t>
  </si>
  <si>
    <t>CARRETERA CHENTEN S/N</t>
  </si>
  <si>
    <t>10573 ELEODORO GUEVARA RUFASTO</t>
  </si>
  <si>
    <t>CALLE CHOTA S/N</t>
  </si>
  <si>
    <t>ANDRES A. CACERES</t>
  </si>
  <si>
    <t>JIRON LA PUCARA S/N</t>
  </si>
  <si>
    <t>17019</t>
  </si>
  <si>
    <t>CHAQUIMAYO</t>
  </si>
  <si>
    <t>CARRETERA CHAQUIMAYO</t>
  </si>
  <si>
    <t>10885</t>
  </si>
  <si>
    <t>10265</t>
  </si>
  <si>
    <t>CULLUNA</t>
  </si>
  <si>
    <t>LA CULLUNA</t>
  </si>
  <si>
    <t>JOSE VILLEGAS FERNANDEZ</t>
  </si>
  <si>
    <t>REJO PAMPA</t>
  </si>
  <si>
    <t>REJOPAMPA</t>
  </si>
  <si>
    <t>PIMPINCOS</t>
  </si>
  <si>
    <t>CALLE HUMBERTO CARRANZA PIEDRA 02</t>
  </si>
  <si>
    <t>10355</t>
  </si>
  <si>
    <t>LIMON GUAYAQUIL</t>
  </si>
  <si>
    <t>10356</t>
  </si>
  <si>
    <t>CARRETERA SAN ANTONIO</t>
  </si>
  <si>
    <t>16378</t>
  </si>
  <si>
    <t>CALLE 2 DE DICIEMBRE S/N</t>
  </si>
  <si>
    <t>18023</t>
  </si>
  <si>
    <t>TORIBIO CASANOVA</t>
  </si>
  <si>
    <t>16617</t>
  </si>
  <si>
    <t>EL CHOLOQUE</t>
  </si>
  <si>
    <t>16445</t>
  </si>
  <si>
    <t>LA SACILIA</t>
  </si>
  <si>
    <t>CALLE 28 DE JULIO - SANTA CRUZ S/N</t>
  </si>
  <si>
    <t>SAGRADO PERFIL DE CRISTO</t>
  </si>
  <si>
    <t>CHALA</t>
  </si>
  <si>
    <t>CHALA S/N</t>
  </si>
  <si>
    <t>821032</t>
  </si>
  <si>
    <t>CHALAPAMPA ALTO</t>
  </si>
  <si>
    <t>DIVINO CORAZON DE JESUS</t>
  </si>
  <si>
    <t>101157</t>
  </si>
  <si>
    <t>CUMBE CHONTABAMBA BAJO</t>
  </si>
  <si>
    <t>CUMBE CHONTABAMBA BAJO S/N</t>
  </si>
  <si>
    <t>821030</t>
  </si>
  <si>
    <t>CUMBE LIRIO ALTO</t>
  </si>
  <si>
    <t>LA LLICA</t>
  </si>
  <si>
    <t>CARRETERA LA LLICA S/N</t>
  </si>
  <si>
    <t>821133</t>
  </si>
  <si>
    <t>TAMBO ALTO</t>
  </si>
  <si>
    <t>101026</t>
  </si>
  <si>
    <t>MORAN ALTO</t>
  </si>
  <si>
    <t>16610</t>
  </si>
  <si>
    <t>16013</t>
  </si>
  <si>
    <t>CHAMAYA</t>
  </si>
  <si>
    <t>CALLE ANDRES AVELINO CACERES - CHAMAYA S/N</t>
  </si>
  <si>
    <t>16042 FRANCISCO BOLOGNESI</t>
  </si>
  <si>
    <t>LINDEROS</t>
  </si>
  <si>
    <t>16048</t>
  </si>
  <si>
    <t>MOCHENTA</t>
  </si>
  <si>
    <t>MOCHENTA S/N</t>
  </si>
  <si>
    <t>16019 || SAN MARCOS</t>
  </si>
  <si>
    <t>EL NOGAL S/N</t>
  </si>
  <si>
    <t>16144 || TABACAL</t>
  </si>
  <si>
    <t>PARQUE TABACAL S/N</t>
  </si>
  <si>
    <t>16152 || CPED - 16152</t>
  </si>
  <si>
    <t>KM. 81</t>
  </si>
  <si>
    <t>KILOMETRO 81</t>
  </si>
  <si>
    <t>SAN FELIPE SANTIAGO</t>
  </si>
  <si>
    <t>JIRON SAN FELIPE S/N</t>
  </si>
  <si>
    <t>16485</t>
  </si>
  <si>
    <t>CHIRINOS</t>
  </si>
  <si>
    <t>CALLE JOSE CARLOS MARIATEGUI S/N</t>
  </si>
  <si>
    <t>16488</t>
  </si>
  <si>
    <t>CALLE CAJAMARCA S/N</t>
  </si>
  <si>
    <t>CALLE SAN IGNACIO S/N</t>
  </si>
  <si>
    <t>16487 SAN PEDRO</t>
  </si>
  <si>
    <t>PERICOS</t>
  </si>
  <si>
    <t>PERICO</t>
  </si>
  <si>
    <t>16536 SAN MIGUEL</t>
  </si>
  <si>
    <t>CALLE BOLOGNESI</t>
  </si>
  <si>
    <t>82663</t>
  </si>
  <si>
    <t>ICHOCAN</t>
  </si>
  <si>
    <t>JIRON GONZALES PRADA 342</t>
  </si>
  <si>
    <t>82531</t>
  </si>
  <si>
    <t>82252</t>
  </si>
  <si>
    <t>CALLE SAN AGUSTIN S/N</t>
  </si>
  <si>
    <t>SAN JUAN DE UDIMA</t>
  </si>
  <si>
    <t>HACIENDA UDIMA</t>
  </si>
  <si>
    <t>80689 DANIEL ALCIDES CARRION</t>
  </si>
  <si>
    <t>PAMPAS DE JAGUEY</t>
  </si>
  <si>
    <t>80053 JOSE OLAYA BALANDRA</t>
  </si>
  <si>
    <t>LA NUEVA ARENITA</t>
  </si>
  <si>
    <t>CARRETERA PANAMERICANA KM. 620</t>
  </si>
  <si>
    <t>80098 VIRGEN DE LAS MERCEDES</t>
  </si>
  <si>
    <t>80118 SAN JUAN BAUTISTA</t>
  </si>
  <si>
    <t>80391 ALFREDO NOVOA CAVA</t>
  </si>
  <si>
    <t>CALLE GUADALUPE 145</t>
  </si>
  <si>
    <t>81585</t>
  </si>
  <si>
    <t>EL SALVADOR</t>
  </si>
  <si>
    <t>10 DE MARZO</t>
  </si>
  <si>
    <t>81560</t>
  </si>
  <si>
    <t>AVENIDA SEÑOR DE LOS MILAGROS</t>
  </si>
  <si>
    <t>7 DE JUNIO</t>
  </si>
  <si>
    <t>PUENTE MAYTA</t>
  </si>
  <si>
    <t>AVENIDA LAS AMERICAS S/N</t>
  </si>
  <si>
    <t>81903</t>
  </si>
  <si>
    <t>SANTA CECILIA</t>
  </si>
  <si>
    <t>PANAMERICANA NORTE</t>
  </si>
  <si>
    <t>81561 ANTONIO BUENO LUCANO</t>
  </si>
  <si>
    <t>ZAPOTAL</t>
  </si>
  <si>
    <t>CARRETERA CAJAMARCA KM-22</t>
  </si>
  <si>
    <t>EL ALGARROBAL</t>
  </si>
  <si>
    <t>80416 JAVIER HERAUD PEREZ</t>
  </si>
  <si>
    <t>HUACA BLANCA BAJA</t>
  </si>
  <si>
    <t>82170 JESUS DE NAZARET</t>
  </si>
  <si>
    <t>CARRETERA PANAMERICANA NORTE KM. 723.6</t>
  </si>
  <si>
    <t>81719</t>
  </si>
  <si>
    <t>CHARCAPE II</t>
  </si>
  <si>
    <t>CHARCAPE II MZ J LOTE 1</t>
  </si>
  <si>
    <t>81569</t>
  </si>
  <si>
    <t>LOS JARDINES</t>
  </si>
  <si>
    <t>CALLE MIGUEL GRAU MZ Ñ LOTE 01</t>
  </si>
  <si>
    <t>80729</t>
  </si>
  <si>
    <t>CALCHUDAY</t>
  </si>
  <si>
    <t>PARQUE CALCHUDAY</t>
  </si>
  <si>
    <t>81720</t>
  </si>
  <si>
    <t>SANGALLPAMPA ALTA</t>
  </si>
  <si>
    <t>SANGALLPAMPA ALTA S/N</t>
  </si>
  <si>
    <t>80241 VICENTE LUIS VERA MIRANDA</t>
  </si>
  <si>
    <t>SAMNE</t>
  </si>
  <si>
    <t>SINGUIRUAL - SAMNE PARTE ALTA S/N</t>
  </si>
  <si>
    <t>80343</t>
  </si>
  <si>
    <t>COGON</t>
  </si>
  <si>
    <t>COGON S/N</t>
  </si>
  <si>
    <t>80366</t>
  </si>
  <si>
    <t>RAYAMBALL</t>
  </si>
  <si>
    <t>RAYAMBAL S/N</t>
  </si>
  <si>
    <t>80272 TEOFILO BENITES GIL</t>
  </si>
  <si>
    <t>CALLE TIERRA AZUL</t>
  </si>
  <si>
    <t>81789 SAN CARLOS</t>
  </si>
  <si>
    <t>CHAFAN GRANDE</t>
  </si>
  <si>
    <t>CARRETERA CAJAMARCA KM. 11.5</t>
  </si>
  <si>
    <t>67 JESUS NAZARENO</t>
  </si>
  <si>
    <t>CALLE FRANCISCO BOLOGNESI MZ G LOTE 1 Y 2</t>
  </si>
  <si>
    <t>81566</t>
  </si>
  <si>
    <t>LA CALERA</t>
  </si>
  <si>
    <t>AVENIDA JUAN VELASCO ALVARADO S/N</t>
  </si>
  <si>
    <t>80397 HNOS ALBUJAR Y MANUEL GUARNIZ</t>
  </si>
  <si>
    <t>JIRON PROLONGACION UNION S/N</t>
  </si>
  <si>
    <t>89 ALBUJAR Y GUARNIZ</t>
  </si>
  <si>
    <t>AVENIDA INDOAMERICA 681</t>
  </si>
  <si>
    <t>81658</t>
  </si>
  <si>
    <t>JEQUETEPEQUE</t>
  </si>
  <si>
    <t>AVENIDA DANIEL ALCIDES CARRION S/N</t>
  </si>
  <si>
    <t>80668 RAQUEL ABANTO CERDAN</t>
  </si>
  <si>
    <t>AVENIDA MIGUEL GRAU 536</t>
  </si>
  <si>
    <t>80816</t>
  </si>
  <si>
    <t>LLUCHUCBAMBA</t>
  </si>
  <si>
    <t>80466 RICARDO PALMA</t>
  </si>
  <si>
    <t>HUARICHACA</t>
  </si>
  <si>
    <t>MARGEN DERECHA RIO CAJAS</t>
  </si>
  <si>
    <t>80736</t>
  </si>
  <si>
    <t>MACANIA</t>
  </si>
  <si>
    <t>MACANIA - (FRENTE CAMPO DEPORTIVO)</t>
  </si>
  <si>
    <t>80133</t>
  </si>
  <si>
    <t>CHOQUIZONGILLO</t>
  </si>
  <si>
    <t>CHOQUIZONGUILLO S/N</t>
  </si>
  <si>
    <t>80925</t>
  </si>
  <si>
    <t>EL CAPULI</t>
  </si>
  <si>
    <t>80163</t>
  </si>
  <si>
    <t>LA ARENA</t>
  </si>
  <si>
    <t>80157</t>
  </si>
  <si>
    <t>LA CONGA</t>
  </si>
  <si>
    <t>MARCOCHUGO</t>
  </si>
  <si>
    <t>80159</t>
  </si>
  <si>
    <t>SAUSACOCHA</t>
  </si>
  <si>
    <t>80203</t>
  </si>
  <si>
    <t>CARACMACA</t>
  </si>
  <si>
    <t>80535 SAN MARTIN DE PORRES</t>
  </si>
  <si>
    <t>JIRON RAYMONDI 240</t>
  </si>
  <si>
    <t>JIRON RAYMONDI 245</t>
  </si>
  <si>
    <t>80542 JORGE BASADRE GROHMANN</t>
  </si>
  <si>
    <t>MOLLEPATA</t>
  </si>
  <si>
    <t>LA YEGUADA</t>
  </si>
  <si>
    <t>EL MIRADOR - QUEBRADA PALOGON</t>
  </si>
  <si>
    <t>JOSE SANTOS CHOCANO</t>
  </si>
  <si>
    <t>QUIRUVILCA</t>
  </si>
  <si>
    <t>SHOREY</t>
  </si>
  <si>
    <t>80904</t>
  </si>
  <si>
    <t>SHOREY CHICO</t>
  </si>
  <si>
    <t>80079 MIGUEL GRAU</t>
  </si>
  <si>
    <t>HUANCHACO</t>
  </si>
  <si>
    <t>AVENIDA SANTISIMA CRUZ S/N MZ O LOTE 25 ETAPA II</t>
  </si>
  <si>
    <t>81758 TELMO HOYLE DE LOS RIOS</t>
  </si>
  <si>
    <t>AVENIDA TAHUANTISUYO S/N MZ A LOTE 36</t>
  </si>
  <si>
    <t>81764 LA CANTERA</t>
  </si>
  <si>
    <t>CALLE SIN NOMBRE S/N MZ Ñ-14 LOTE 1</t>
  </si>
  <si>
    <t>80832</t>
  </si>
  <si>
    <t>LARAMIE</t>
  </si>
  <si>
    <t>CARRETERA LARAMIE</t>
  </si>
  <si>
    <t>10068</t>
  </si>
  <si>
    <t>HUACAPAMPA</t>
  </si>
  <si>
    <t>10876</t>
  </si>
  <si>
    <t>TOTORAS PAMPA VERDE</t>
  </si>
  <si>
    <t>CARRETERA TOTORAS - PAMPAVERDE</t>
  </si>
  <si>
    <t>VICTOR MONTERO KOSSUTH</t>
  </si>
  <si>
    <t>JAYANCA</t>
  </si>
  <si>
    <t>LA VIÑA</t>
  </si>
  <si>
    <t>CALLE ENRIQUE BRUNING 205</t>
  </si>
  <si>
    <t>10132 JESUS DIVINO MAESTRO</t>
  </si>
  <si>
    <t>AVENIDA FEDERICO VILLARREAL 135</t>
  </si>
  <si>
    <t>10163 JORGE BASADRE GROHMANN</t>
  </si>
  <si>
    <t>MORROPE</t>
  </si>
  <si>
    <t>10142 SAN JULIAN</t>
  </si>
  <si>
    <t>CARRETERA PANAMERICANA NORTE 350</t>
  </si>
  <si>
    <t>10194</t>
  </si>
  <si>
    <t>FILOQUE CHICO</t>
  </si>
  <si>
    <t>FILOQUE</t>
  </si>
  <si>
    <t>11583</t>
  </si>
  <si>
    <t>MI SALVADOR</t>
  </si>
  <si>
    <t>MI SALVADOR S/N</t>
  </si>
  <si>
    <t>10204</t>
  </si>
  <si>
    <t>HUACA RIVERA</t>
  </si>
  <si>
    <t>CARRETERA A SAN JOSE KM 10</t>
  </si>
  <si>
    <t>14149 NUESTRA SEÑORA DEL PILAR</t>
  </si>
  <si>
    <t>CALLE BOLIVAR 100</t>
  </si>
  <si>
    <t>CARRETERA EX QUINTA RIOS S/N</t>
  </si>
  <si>
    <t>15019 HILDEBRANDO CASTRO POZO</t>
  </si>
  <si>
    <t>MANUEL FRANCISCO RENTERIA</t>
  </si>
  <si>
    <t>CALLE LEONCIO PRADO S/N</t>
  </si>
  <si>
    <t>15136 || REMBERTO DE JESUS PARDO OCHOA</t>
  </si>
  <si>
    <t>20633 VIRGEN DEL CISNE</t>
  </si>
  <si>
    <t>LLANOS DE ARAGOTO</t>
  </si>
  <si>
    <t>PAMPAS DE SOCCHABAMBA</t>
  </si>
  <si>
    <t>SOCCHABAMBA</t>
  </si>
  <si>
    <t>MISQUIZ</t>
  </si>
  <si>
    <t>14345</t>
  </si>
  <si>
    <t>RIO SECO ALTO</t>
  </si>
  <si>
    <t>AMAUTA</t>
  </si>
  <si>
    <t>CARRETERA SILAHUA</t>
  </si>
  <si>
    <t>14258</t>
  </si>
  <si>
    <t>LOMA SICACATE</t>
  </si>
  <si>
    <t>LOMA DE SICACATE</t>
  </si>
  <si>
    <t>ERNESTO MERINO RIVERA</t>
  </si>
  <si>
    <t>15141</t>
  </si>
  <si>
    <t>TOJAS</t>
  </si>
  <si>
    <t>PILLO</t>
  </si>
  <si>
    <t>14404</t>
  </si>
  <si>
    <t>SESTEADERO</t>
  </si>
  <si>
    <t>ROSAS</t>
  </si>
  <si>
    <t>14569</t>
  </si>
  <si>
    <t>14578</t>
  </si>
  <si>
    <t>SAN MIGUEL ARCANGEL</t>
  </si>
  <si>
    <t>SUCCHA</t>
  </si>
  <si>
    <t>JUAN PABLO II</t>
  </si>
  <si>
    <t>TOLINGAS</t>
  </si>
  <si>
    <t>LA LAGUNA S/N</t>
  </si>
  <si>
    <t>SAN MIGUEL DE EL FAIQUE</t>
  </si>
  <si>
    <t>EL HIGUERON</t>
  </si>
  <si>
    <t>EL HIGUERON S/N</t>
  </si>
  <si>
    <t>LA CAPILLA</t>
  </si>
  <si>
    <t>15023</t>
  </si>
  <si>
    <t>JIRON BOLIVAR S/N</t>
  </si>
  <si>
    <t>JIRON RASPIGLIOSI S/N</t>
  </si>
  <si>
    <t>EL NARANJO S/N</t>
  </si>
  <si>
    <t>15441</t>
  </si>
  <si>
    <t>EL YUMBE</t>
  </si>
  <si>
    <t>15225</t>
  </si>
  <si>
    <t>15423</t>
  </si>
  <si>
    <t>RIO SECO BAJO</t>
  </si>
  <si>
    <t>JESUS DIVINO MAESTRO</t>
  </si>
  <si>
    <t>VICUS</t>
  </si>
  <si>
    <t>14619</t>
  </si>
  <si>
    <t>YAPATERA</t>
  </si>
  <si>
    <t>CARRETERA YAPATERA</t>
  </si>
  <si>
    <t>JOSE PINTADO BERRU</t>
  </si>
  <si>
    <t>LA BOCANA</t>
  </si>
  <si>
    <t>14643 SANTA ROSA DE LIMA</t>
  </si>
  <si>
    <t>AVENIDA MATANZA</t>
  </si>
  <si>
    <t>14988 MARIA PARADO DE BELLIDO</t>
  </si>
  <si>
    <t>CALLE SAN MARTIN</t>
  </si>
  <si>
    <t>AVENIDA FAUSTINO SANCHEZ CARRION S/N</t>
  </si>
  <si>
    <t>14629</t>
  </si>
  <si>
    <t>PIURA LA VIEJA</t>
  </si>
  <si>
    <t>CALLE PRINCIPAL</t>
  </si>
  <si>
    <t>15265</t>
  </si>
  <si>
    <t>TALANQUERA</t>
  </si>
  <si>
    <t>CARRETERA TALANQUERA</t>
  </si>
  <si>
    <t>20200</t>
  </si>
  <si>
    <t>TIERRAS DURAS ALTO</t>
  </si>
  <si>
    <t>TIERRAS DURAS</t>
  </si>
  <si>
    <t>15223 SANTIAGO ANTUNEZ DE MAYOLO GOMERO</t>
  </si>
  <si>
    <t>TIERRAS DURAS EL VIRREY</t>
  </si>
  <si>
    <t>LA HUAQUILLA</t>
  </si>
  <si>
    <t>JIRON JAVIER PRADO 100</t>
  </si>
  <si>
    <t>14646</t>
  </si>
  <si>
    <t>CALLE LIMA 924</t>
  </si>
  <si>
    <t>EFREN ESTELA ARAMBULO SEMINARIO</t>
  </si>
  <si>
    <t>CALLE COMERCIO S/N</t>
  </si>
  <si>
    <t>15435 DIEGO FERRE</t>
  </si>
  <si>
    <t>ZAPOTAL S/N</t>
  </si>
  <si>
    <t>CHOCO</t>
  </si>
  <si>
    <t>14749</t>
  </si>
  <si>
    <t>AMOTAPE</t>
  </si>
  <si>
    <t>CALLE SIMON RODRIGUEZ S/N</t>
  </si>
  <si>
    <t>20802 APOSTOL SANTIAGO</t>
  </si>
  <si>
    <t>COLAN</t>
  </si>
  <si>
    <t>NUEVO PARAISO</t>
  </si>
  <si>
    <t>14753 MARIA LEONOR FIESTAS DE VARGAS</t>
  </si>
  <si>
    <t>JIRON MARAVILLA 504</t>
  </si>
  <si>
    <t>14754 JUANA ROSA LAZO TALLEDO</t>
  </si>
  <si>
    <t>JIRON SAN MARTIN 1100 SECTOR LA CAPILLA</t>
  </si>
  <si>
    <t>MANUEL PIO DE ZUÑIGA Y RAMIREZ</t>
  </si>
  <si>
    <t>CALLE LA CRUZ S/N</t>
  </si>
  <si>
    <t>14762 LUCIANO CASTILLO COLONNA</t>
  </si>
  <si>
    <t>14740 NUESTRA SEÑORA DE LOURDES</t>
  </si>
  <si>
    <t>JIRON JORGE CHAVEZ 542</t>
  </si>
  <si>
    <t>CAPITAN DE NAVIO JUAN NOEL LASTRA</t>
  </si>
  <si>
    <t>VILLA NAVAL S/N</t>
  </si>
  <si>
    <t>FE Y ALEGRIA 15</t>
  </si>
  <si>
    <t>CALLE E S/N</t>
  </si>
  <si>
    <t>20458</t>
  </si>
  <si>
    <t>CATACAOS</t>
  </si>
  <si>
    <t>BUENOS AIRES LA LEGUA</t>
  </si>
  <si>
    <t>14031</t>
  </si>
  <si>
    <t>AVENIDA LOS PINOS S/N</t>
  </si>
  <si>
    <t>14038</t>
  </si>
  <si>
    <t>AVENIDA PRINCIPAL HNOS. TIMANA ZAPATA S/N</t>
  </si>
  <si>
    <t>14041</t>
  </si>
  <si>
    <t>15143</t>
  </si>
  <si>
    <t>CARRETERA PEDREGAL CHICO</t>
  </si>
  <si>
    <t>15324</t>
  </si>
  <si>
    <t>LA PIEDRA</t>
  </si>
  <si>
    <t>CALLE COMERCIO 2385</t>
  </si>
  <si>
    <t>GENARO MARTINEZ SILVA</t>
  </si>
  <si>
    <t>CALLE TERRESTRE 01</t>
  </si>
  <si>
    <t>FRAY MARTIN DE PORRES</t>
  </si>
  <si>
    <t>MONTE SULLON</t>
  </si>
  <si>
    <t>CALLE COMERCIO 2084</t>
  </si>
  <si>
    <t>14055</t>
  </si>
  <si>
    <t>CHATO CHICO</t>
  </si>
  <si>
    <t>CARRETERA 12 DE OCTUBRE</t>
  </si>
  <si>
    <t>20469</t>
  </si>
  <si>
    <t>CIUDAD NOE</t>
  </si>
  <si>
    <t>CIUDAD NOE MZ I</t>
  </si>
  <si>
    <t>20878</t>
  </si>
  <si>
    <t>NUEVO SANTA ROSA</t>
  </si>
  <si>
    <t>CARRETERA A NUEVO SANTA ROSA KM. 980 AA.HH.</t>
  </si>
  <si>
    <t>CASAGRANDE</t>
  </si>
  <si>
    <t>14127 DORA JACINTA ZAPATA DE ZEGARRA</t>
  </si>
  <si>
    <t>RIO VIEJO NORTE</t>
  </si>
  <si>
    <t>MANUEL ODRIA AMORETTI</t>
  </si>
  <si>
    <t>CHIPILLICO</t>
  </si>
  <si>
    <t>INA 96 || LAS LOMAS</t>
  </si>
  <si>
    <t>JUAN VELASCO ALVARADO S/N</t>
  </si>
  <si>
    <t>20075 NUESTRA SEÑORA DE GUADALUPE</t>
  </si>
  <si>
    <t>CALLE LOS CLAVELES S/N</t>
  </si>
  <si>
    <t>14103 || CPED - 14103</t>
  </si>
  <si>
    <t>CARRETERA EJIDOS DEL NORTE</t>
  </si>
  <si>
    <t>14146</t>
  </si>
  <si>
    <t>LA PEÑITA</t>
  </si>
  <si>
    <t>15116</t>
  </si>
  <si>
    <t>LA RITA</t>
  </si>
  <si>
    <t>15338</t>
  </si>
  <si>
    <t>15434 JESUS DE NAZARET || 15434 JESUS DE NAZARETH</t>
  </si>
  <si>
    <t>SAN MARTIN CP-3 HUALTACO I</t>
  </si>
  <si>
    <t>CENTRO POBLADO SAN MARTIN</t>
  </si>
  <si>
    <t>15158</t>
  </si>
  <si>
    <t>SANTA PAULA</t>
  </si>
  <si>
    <t>14140 NUESTRA SEÑORA DE FATIMA</t>
  </si>
  <si>
    <t>TAMBOGRANDE</t>
  </si>
  <si>
    <t>AVENIDA 9 DE NOVIEMBRE S/N</t>
  </si>
  <si>
    <t>BELLAVISTA DE LA UNION</t>
  </si>
  <si>
    <t>JIRON ELOY RIOFRIO S/N</t>
  </si>
  <si>
    <t>14024</t>
  </si>
  <si>
    <t>BERNAL</t>
  </si>
  <si>
    <t>CHEPITO</t>
  </si>
  <si>
    <t>14027</t>
  </si>
  <si>
    <t>CORONADO</t>
  </si>
  <si>
    <t>BALTAZAR RAMOS JUAREZ</t>
  </si>
  <si>
    <t>RINCONADA LLICUAR</t>
  </si>
  <si>
    <t>DOS PUEBLOS</t>
  </si>
  <si>
    <t>14073</t>
  </si>
  <si>
    <t>LLICUAR</t>
  </si>
  <si>
    <t>AVENIDA PROGRESO 101</t>
  </si>
  <si>
    <t>14083 MARIA VICTORIA RUMICHE FIESTAS DE MARTINEZ</t>
  </si>
  <si>
    <t>LA BOCANA/PARACHIQUE</t>
  </si>
  <si>
    <t>CARRETERA SECHURA - BAYOVAR KM. 65</t>
  </si>
  <si>
    <t>15319</t>
  </si>
  <si>
    <t>NUEVO BAZAN</t>
  </si>
  <si>
    <t>14080</t>
  </si>
  <si>
    <t>NUEVO CHULLIYACHI</t>
  </si>
  <si>
    <t>AVENIDA JOSE MANUEL FIESTAS LLENQUE S/N</t>
  </si>
  <si>
    <t>15318</t>
  </si>
  <si>
    <t>NUEVO PARACHIQUE</t>
  </si>
  <si>
    <t>20208</t>
  </si>
  <si>
    <t>PUERTO RICO / BAYOVAR</t>
  </si>
  <si>
    <t>PUERTO RICO/BAYOVAR</t>
  </si>
  <si>
    <t>14091 MANUEL PURIZACA CHUNGA</t>
  </si>
  <si>
    <t>14093 ABRAHAM RUIZ NUNURA</t>
  </si>
  <si>
    <t>LETIRA</t>
  </si>
  <si>
    <t>CALLE BOLOGNESI S/N</t>
  </si>
  <si>
    <t>20509</t>
  </si>
  <si>
    <t>IGNACIO ESCUDERO</t>
  </si>
  <si>
    <t>15286</t>
  </si>
  <si>
    <t>HUASIMAL DE LOS ENCUENTROS</t>
  </si>
  <si>
    <t>JUAN JOSE FARFAN</t>
  </si>
  <si>
    <t>20507</t>
  </si>
  <si>
    <t>LA GOLONDRINA</t>
  </si>
  <si>
    <t>CARRETERA PANAMERICANA NORTE S/N</t>
  </si>
  <si>
    <t>LA NORIA</t>
  </si>
  <si>
    <t>SAN MIGUEL DE TANGARARA</t>
  </si>
  <si>
    <t>TANGARARA</t>
  </si>
  <si>
    <t>14858</t>
  </si>
  <si>
    <t>MIGUEL CHECA</t>
  </si>
  <si>
    <t>JIBITO</t>
  </si>
  <si>
    <t>SANTA JULIA</t>
  </si>
  <si>
    <t>MARIA LUISA SEMINARIO CAMPOS</t>
  </si>
  <si>
    <t>LA MARGARITA</t>
  </si>
  <si>
    <t>SAN FRANCISCO DE CHOCAN</t>
  </si>
  <si>
    <t>15079</t>
  </si>
  <si>
    <t>VILLA MARIA</t>
  </si>
  <si>
    <t>CAPITAN FAP JOSE EMILIO VELARDE VARGAS</t>
  </si>
  <si>
    <t>PARIÑAS</t>
  </si>
  <si>
    <t>AVENIDA JOSE QUIÑONES S/N MZ C</t>
  </si>
  <si>
    <t>065 JOSE OLAYA BALANDRA</t>
  </si>
  <si>
    <t>CANCAS</t>
  </si>
  <si>
    <t>045 JORGE ONIAS DIOS SILVA</t>
  </si>
  <si>
    <t>CRISTALES</t>
  </si>
  <si>
    <t>CALLE LAS LOMAS MZ 25 LOTE 1</t>
  </si>
  <si>
    <t>021 WILFREDO A. RICARDI CARRASCO</t>
  </si>
  <si>
    <t>MALVAL</t>
  </si>
  <si>
    <t>MALVAL S/N</t>
  </si>
  <si>
    <t>035 HORACIO ZEVALLOS GAMEZ</t>
  </si>
  <si>
    <t>CABUYAL S/N</t>
  </si>
  <si>
    <t>040</t>
  </si>
  <si>
    <t>EL LIMON</t>
  </si>
  <si>
    <t>EL LIMON S/N</t>
  </si>
  <si>
    <t>CPED - 004 || 004</t>
  </si>
  <si>
    <t>EL RODEO</t>
  </si>
  <si>
    <t>EL RODEO S/N</t>
  </si>
  <si>
    <t>048 SANTA ROSA DE LIMA</t>
  </si>
  <si>
    <t>LA PEÑA S/N</t>
  </si>
  <si>
    <t>121 SARITA COLONIA ZAMBRANO</t>
  </si>
  <si>
    <t>PECHICHAL</t>
  </si>
  <si>
    <t>CARRETERA TUMBES - SAN JACINTO KM 35</t>
  </si>
  <si>
    <t>104 INMACULADA CONCEPCION</t>
  </si>
  <si>
    <t>ZARUMILLA</t>
  </si>
  <si>
    <t>PAPAYAL</t>
  </si>
  <si>
    <t>CALLE RAMON CASTILLA S/N</t>
  </si>
  <si>
    <t>Cuenta de HUGHES ID</t>
  </si>
  <si>
    <r>
      <rPr>
        <b/>
        <sz val="10"/>
        <color rgb="FF231F20"/>
        <rFont val="Calibri"/>
        <family val="2"/>
      </rPr>
      <t>ID</t>
    </r>
  </si>
  <si>
    <r>
      <rPr>
        <b/>
        <sz val="10"/>
        <color rgb="FF231F20"/>
        <rFont val="Calibri"/>
        <family val="2"/>
      </rPr>
      <t>Cód Local</t>
    </r>
  </si>
  <si>
    <r>
      <rPr>
        <b/>
        <sz val="10"/>
        <color rgb="FF231F20"/>
        <rFont val="Calibri"/>
        <family val="2"/>
      </rPr>
      <t>Centro Educativo</t>
    </r>
  </si>
  <si>
    <r>
      <rPr>
        <b/>
        <sz val="10"/>
        <color rgb="FF231F20"/>
        <rFont val="Calibri"/>
        <family val="2"/>
      </rPr>
      <t>Departamento</t>
    </r>
  </si>
  <si>
    <r>
      <rPr>
        <b/>
        <sz val="10"/>
        <color rgb="FF231F20"/>
        <rFont val="Calibri"/>
        <family val="2"/>
      </rPr>
      <t>Provincia</t>
    </r>
  </si>
  <si>
    <r>
      <rPr>
        <b/>
        <sz val="10"/>
        <color rgb="FF231F20"/>
        <rFont val="Calibri"/>
        <family val="2"/>
      </rPr>
      <t>Distrito</t>
    </r>
  </si>
  <si>
    <r>
      <rPr>
        <b/>
        <sz val="10"/>
        <color rgb="FF231F20"/>
        <rFont val="Calibri"/>
        <family val="2"/>
      </rPr>
      <t>Centro Poblado</t>
    </r>
  </si>
  <si>
    <r>
      <rPr>
        <b/>
        <sz val="10"/>
        <color rgb="FF231F20"/>
        <rFont val="Calibri"/>
        <family val="2"/>
      </rPr>
      <t>Dirección</t>
    </r>
  </si>
  <si>
    <r>
      <rPr>
        <b/>
        <sz val="10"/>
        <color rgb="FF231F20"/>
        <rFont val="Calibri"/>
        <family val="2"/>
      </rPr>
      <t>Área</t>
    </r>
  </si>
  <si>
    <r>
      <rPr>
        <b/>
        <sz val="10"/>
        <color rgb="FF231F20"/>
        <rFont val="Calibri"/>
        <family val="2"/>
      </rPr>
      <t>Latitud</t>
    </r>
  </si>
  <si>
    <r>
      <rPr>
        <b/>
        <sz val="10"/>
        <color rgb="FF231F20"/>
        <rFont val="Calibri"/>
        <family val="2"/>
      </rPr>
      <t>Longitud</t>
    </r>
  </si>
  <si>
    <r>
      <rPr>
        <b/>
        <sz val="10"/>
        <color rgb="FF231F20"/>
        <rFont val="Calibri"/>
        <family val="2"/>
      </rPr>
      <t>Ancho de Banda
(Mbps)</t>
    </r>
  </si>
  <si>
    <r>
      <rPr>
        <b/>
        <sz val="10"/>
        <color rgb="FF231F20"/>
        <rFont val="Calibri"/>
        <family val="2"/>
      </rPr>
      <t>Tipo</t>
    </r>
  </si>
  <si>
    <r>
      <rPr>
        <b/>
        <sz val="10"/>
        <color rgb="FF231F20"/>
        <rFont val="Calibri"/>
        <family val="2"/>
      </rPr>
      <t>Zona</t>
    </r>
  </si>
  <si>
    <r>
      <rPr>
        <b/>
        <sz val="10"/>
        <color rgb="FF231F20"/>
        <rFont val="Calibri"/>
        <family val="2"/>
      </rPr>
      <t>Item</t>
    </r>
  </si>
  <si>
    <t>OVB</t>
  </si>
  <si>
    <t>Suma de TOTAL CAPACITY</t>
  </si>
  <si>
    <t>1506560-0021+1506561-0021</t>
  </si>
  <si>
    <t>90cm Ka-Band Saturated Antenna (Single IFL) 1pk</t>
  </si>
  <si>
    <t>ANTENA 90CM</t>
  </si>
  <si>
    <t>Managed Capacity</t>
  </si>
  <si>
    <t>Managed Capacity Ka Band -1204 sitios</t>
  </si>
  <si>
    <t>International Link - Dallas - Lima</t>
  </si>
  <si>
    <t>COGENT</t>
  </si>
  <si>
    <t>International Link</t>
  </si>
  <si>
    <t>Network Operations</t>
  </si>
  <si>
    <t>Internet Service</t>
  </si>
  <si>
    <t>Terminal Unit Price (USD) - ExWorks USA</t>
  </si>
  <si>
    <t>Service Plan</t>
  </si>
  <si>
    <t>Price x Mbps</t>
  </si>
  <si>
    <t>Cost x Mbps</t>
  </si>
  <si>
    <t>Cost Internet Service x Mbps</t>
  </si>
  <si>
    <t>Price Internet Service x Mbps</t>
  </si>
  <si>
    <t>Price Network Operations + Web Filtering x Site x Month</t>
  </si>
  <si>
    <t>Cost Network Operations + Web Filtering x Site x Month</t>
  </si>
  <si>
    <t>Price International Link Service x Mbps</t>
  </si>
  <si>
    <t>Cost International Link Service x Mbps</t>
  </si>
  <si>
    <t>Mbps with OVB</t>
  </si>
  <si>
    <t>Total Capacity (Mbps)</t>
  </si>
  <si>
    <t>Service Plan MIR 30/5</t>
  </si>
  <si>
    <t>REQUERIDO EN TDR</t>
  </si>
  <si>
    <t>OW Hughes ESA</t>
  </si>
  <si>
    <t>1508787-0001</t>
  </si>
  <si>
    <t>KIT, AAA, HDX, FIXED, HL1100W,CP</t>
  </si>
  <si>
    <t>1508440-0001</t>
  </si>
  <si>
    <t>KIT, MAST ADAPTER SHORT, AAA UT HDX</t>
  </si>
  <si>
    <t>ESA HL1100W DDP Peru</t>
  </si>
  <si>
    <t>Trimast with Short Mast Adapter DDP Peru</t>
  </si>
  <si>
    <t>OW Service Plan 1TB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</si>
</sst>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&quot;$&quot;#,##0.00_);[Red]\(&quot;$&quot;#,##0.00\)"/>
    <numFmt numFmtId="165" formatCode="_(&quot;$&quot;* #,##0.00_);_(&quot;$&quot;* \(#,##0.00\);_(&quot;$&quot;* &quot;-&quot;??_);_(@_)"/>
    <numFmt numFmtId="166" formatCode="_(* #,##0.00_);_(* \(#,##0.00\);_(* &quot;-&quot;??_);_(@_)"/>
    <numFmt numFmtId="167" formatCode="_-[$$-409]* #,##0_ ;_-[$$-409]* \-#,##0\ ;_-[$$-409]* &quot;-&quot;??_ ;_-@_ "/>
    <numFmt numFmtId="168" formatCode="_-[$S/-280A]\ * #,##0.00_-;\-[$S/-280A]\ * #,##0.00_-;_-[$S/-280A]\ * &quot;-&quot;??_-;_-@_-"/>
    <numFmt numFmtId="169" formatCode="0.0%"/>
    <numFmt numFmtId="170" formatCode="_-[$$-540A]* #,##0.00_ ;_-[$$-540A]* \-#,##0.00\ ;_-[$$-540A]* &quot;-&quot;??_ ;_-@_ "/>
    <numFmt numFmtId="171" formatCode="_(&quot;$&quot;* #,##0_);_(&quot;$&quot;* \(#,##0\);_(&quot;$&quot;* &quot;-&quot;??_);_(@_)"/>
    <numFmt numFmtId="172" formatCode="#,##0.000"/>
    <numFmt numFmtId="173" formatCode="0.0"/>
    <numFmt numFmtId="174" formatCode="_-[$KUSD]\ * #,##0.00_-;\-[$KUSD]\ * #,##0.00_-;_-[$KUSD]\ * &quot;-&quot;??_-;_-@_-"/>
    <numFmt numFmtId="175" formatCode="_([$USD]\ * #,##0.00_);_([$USD]\ * \(#,##0.00\);_([$USD]\ * &quot;-&quot;??_);_(@_)"/>
    <numFmt numFmtId="176" formatCode="[$S/-280A]\ #,##0.00"/>
    <numFmt numFmtId="177" formatCode="_(* #,##0.000_);_(* \(#,##0.000\);_(* &quot;-&quot;??_);_(@_)"/>
    <numFmt numFmtId="178" formatCode="_(&quot;$&quot;* #,##0.000_);_(&quot;$&quot;* \(#,##0.000\);_(&quot;$&quot;* &quot;-&quot;??_);_(@_)"/>
    <numFmt numFmtId="179" formatCode="0.000000"/>
    <numFmt numFmtId="180" formatCode="#,##0.0"/>
  </numFmts>
  <fonts count="5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5"/>
      <color theme="0" tint="-0.249977111117893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9"/>
      <color rgb="FF0070C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6"/>
      <color rgb="FFFFFF00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10"/>
      <name val="Arial"/>
      <family val="2"/>
    </font>
    <font>
      <b/>
      <sz val="14"/>
      <color rgb="FFFFFF00"/>
      <name val="Calibri"/>
      <family val="2"/>
      <scheme val="minor"/>
    </font>
    <font>
      <sz val="11"/>
      <color theme="1"/>
      <name val="Arial"/>
      <family val="2"/>
    </font>
    <font>
      <sz val="10"/>
      <name val="Trebuchet MS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1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sz val="12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b/>
      <sz val="8"/>
      <name val="Arial"/>
      <family val="2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22"/>
      <color theme="1"/>
      <name val="Calibri"/>
      <family val="2"/>
      <scheme val="minor"/>
    </font>
    <font>
      <b/>
      <sz val="22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b/>
      <sz val="10"/>
      <color rgb="FF231F2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5F5F5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00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AE1D4"/>
      </patternFill>
    </fill>
    <fill>
      <patternFill patternType="solid">
        <fgColor theme="3" tint="0.749992370372631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 style="thin">
        <color indexed="64"/>
      </top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theme="7" tint="0.39997558519241921"/>
      </left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0"/>
      </top>
      <bottom style="thin">
        <color theme="0"/>
      </bottom>
      <diagonal/>
    </border>
    <border>
      <left style="medium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166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23" fillId="0" borderId="0"/>
    <xf numFmtId="165" fontId="23" fillId="0" borderId="0" applyFont="0" applyFill="0" applyBorder="0" applyAlignment="0" applyProtection="0"/>
    <xf numFmtId="165" fontId="23" fillId="0" borderId="0" applyFont="0" applyFill="0" applyBorder="0" applyAlignment="0" applyProtection="0"/>
    <xf numFmtId="165" fontId="2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25" fillId="0" borderId="0"/>
    <xf numFmtId="0" fontId="26" fillId="0" borderId="0"/>
    <xf numFmtId="166" fontId="4" fillId="0" borderId="0" applyFont="0" applyFill="0" applyBorder="0" applyAlignment="0" applyProtection="0"/>
    <xf numFmtId="0" fontId="49" fillId="0" borderId="0"/>
    <xf numFmtId="0" fontId="4" fillId="0" borderId="0"/>
  </cellStyleXfs>
  <cellXfs count="510">
    <xf numFmtId="0" fontId="0" fillId="0" borderId="0" xfId="0"/>
    <xf numFmtId="0" fontId="2" fillId="0" borderId="1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vertical="center"/>
    </xf>
    <xf numFmtId="167" fontId="6" fillId="4" borderId="8" xfId="1" applyNumberFormat="1" applyFont="1" applyFill="1" applyBorder="1" applyAlignment="1" applyProtection="1">
      <alignment horizontal="center" vertical="center" wrapText="1"/>
    </xf>
    <xf numFmtId="168" fontId="8" fillId="3" borderId="0" xfId="0" applyNumberFormat="1" applyFont="1" applyFill="1" applyAlignment="1">
      <alignment vertical="center"/>
    </xf>
    <xf numFmtId="0" fontId="7" fillId="0" borderId="1" xfId="0" applyFont="1" applyBorder="1" applyAlignment="1">
      <alignment horizontal="center" vertical="center"/>
    </xf>
    <xf numFmtId="167" fontId="6" fillId="4" borderId="0" xfId="1" applyNumberFormat="1" applyFont="1" applyFill="1" applyBorder="1" applyAlignment="1" applyProtection="1">
      <alignment horizontal="center" vertical="center" wrapText="1"/>
    </xf>
    <xf numFmtId="0" fontId="6" fillId="4" borderId="1" xfId="0" applyFont="1" applyFill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8" xfId="0" applyFont="1" applyFill="1" applyBorder="1"/>
    <xf numFmtId="170" fontId="6" fillId="4" borderId="8" xfId="0" applyNumberFormat="1" applyFont="1" applyFill="1" applyBorder="1"/>
    <xf numFmtId="0" fontId="7" fillId="0" borderId="17" xfId="0" applyFont="1" applyBorder="1"/>
    <xf numFmtId="0" fontId="12" fillId="4" borderId="0" xfId="0" applyFont="1" applyFill="1"/>
    <xf numFmtId="0" fontId="7" fillId="4" borderId="8" xfId="0" applyFont="1" applyFill="1" applyBorder="1"/>
    <xf numFmtId="0" fontId="7" fillId="0" borderId="0" xfId="0" applyFont="1" applyAlignment="1">
      <alignment horizontal="right"/>
    </xf>
    <xf numFmtId="170" fontId="7" fillId="0" borderId="0" xfId="0" applyNumberFormat="1" applyFont="1"/>
    <xf numFmtId="0" fontId="9" fillId="8" borderId="9" xfId="0" applyFont="1" applyFill="1" applyBorder="1"/>
    <xf numFmtId="170" fontId="5" fillId="8" borderId="13" xfId="0" applyNumberFormat="1" applyFont="1" applyFill="1" applyBorder="1"/>
    <xf numFmtId="0" fontId="7" fillId="4" borderId="12" xfId="0" applyFont="1" applyFill="1" applyBorder="1"/>
    <xf numFmtId="0" fontId="7" fillId="8" borderId="8" xfId="0" applyFont="1" applyFill="1" applyBorder="1"/>
    <xf numFmtId="0" fontId="7" fillId="8" borderId="12" xfId="0" applyFont="1" applyFill="1" applyBorder="1"/>
    <xf numFmtId="170" fontId="5" fillId="8" borderId="12" xfId="0" applyNumberFormat="1" applyFont="1" applyFill="1" applyBorder="1"/>
    <xf numFmtId="170" fontId="8" fillId="3" borderId="0" xfId="0" applyNumberFormat="1" applyFont="1" applyFill="1" applyAlignment="1">
      <alignment vertical="center"/>
    </xf>
    <xf numFmtId="0" fontId="13" fillId="0" borderId="0" xfId="0" applyFont="1" applyAlignment="1">
      <alignment horizontal="center" vertical="center"/>
    </xf>
    <xf numFmtId="0" fontId="6" fillId="9" borderId="8" xfId="0" applyFont="1" applyFill="1" applyBorder="1" applyAlignment="1">
      <alignment horizontal="center"/>
    </xf>
    <xf numFmtId="169" fontId="7" fillId="0" borderId="1" xfId="0" applyNumberFormat="1" applyFont="1" applyBorder="1" applyAlignment="1">
      <alignment horizontal="center"/>
    </xf>
    <xf numFmtId="0" fontId="6" fillId="4" borderId="18" xfId="0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169" fontId="7" fillId="0" borderId="11" xfId="0" applyNumberFormat="1" applyFont="1" applyBorder="1" applyAlignment="1">
      <alignment horizontal="center"/>
    </xf>
    <xf numFmtId="170" fontId="7" fillId="0" borderId="11" xfId="0" applyNumberFormat="1" applyFont="1" applyBorder="1" applyAlignment="1">
      <alignment horizontal="center" vertical="center"/>
    </xf>
    <xf numFmtId="9" fontId="7" fillId="0" borderId="11" xfId="0" applyNumberFormat="1" applyFont="1" applyBorder="1" applyAlignment="1">
      <alignment horizontal="center"/>
    </xf>
    <xf numFmtId="0" fontId="9" fillId="8" borderId="19" xfId="0" applyFont="1" applyFill="1" applyBorder="1"/>
    <xf numFmtId="0" fontId="9" fillId="8" borderId="14" xfId="0" applyFont="1" applyFill="1" applyBorder="1"/>
    <xf numFmtId="0" fontId="7" fillId="0" borderId="16" xfId="0" applyFont="1" applyBorder="1"/>
    <xf numFmtId="0" fontId="14" fillId="4" borderId="0" xfId="0" applyFont="1" applyFill="1" applyAlignment="1">
      <alignment horizontal="center"/>
    </xf>
    <xf numFmtId="170" fontId="12" fillId="9" borderId="8" xfId="0" applyNumberFormat="1" applyFont="1" applyFill="1" applyBorder="1"/>
    <xf numFmtId="170" fontId="12" fillId="9" borderId="12" xfId="0" applyNumberFormat="1" applyFont="1" applyFill="1" applyBorder="1"/>
    <xf numFmtId="0" fontId="7" fillId="0" borderId="0" xfId="0" applyFont="1" applyAlignment="1">
      <alignment horizontal="right" vertical="center" wrapText="1"/>
    </xf>
    <xf numFmtId="0" fontId="7" fillId="0" borderId="0" xfId="0" applyFont="1" applyAlignment="1">
      <alignment horizontal="center" vertical="center" wrapText="1"/>
    </xf>
    <xf numFmtId="0" fontId="11" fillId="7" borderId="0" xfId="0" applyFont="1" applyFill="1" applyAlignment="1">
      <alignment horizontal="center" vertical="center"/>
    </xf>
    <xf numFmtId="0" fontId="0" fillId="7" borderId="0" xfId="0" applyFill="1"/>
    <xf numFmtId="171" fontId="11" fillId="5" borderId="22" xfId="0" applyNumberFormat="1" applyFont="1" applyFill="1" applyBorder="1" applyAlignment="1">
      <alignment vertical="center"/>
    </xf>
    <xf numFmtId="10" fontId="11" fillId="5" borderId="0" xfId="0" applyNumberFormat="1" applyFont="1" applyFill="1" applyAlignment="1">
      <alignment horizontal="center"/>
    </xf>
    <xf numFmtId="165" fontId="11" fillId="5" borderId="0" xfId="3" applyFont="1" applyFill="1" applyAlignment="1">
      <alignment horizontal="center"/>
    </xf>
    <xf numFmtId="43" fontId="0" fillId="0" borderId="0" xfId="0" applyNumberFormat="1"/>
    <xf numFmtId="0" fontId="7" fillId="0" borderId="0" xfId="0" applyFont="1" applyAlignment="1">
      <alignment horizontal="center"/>
    </xf>
    <xf numFmtId="0" fontId="2" fillId="0" borderId="0" xfId="0" applyFont="1"/>
    <xf numFmtId="0" fontId="5" fillId="12" borderId="1" xfId="0" applyFont="1" applyFill="1" applyBorder="1" applyAlignment="1">
      <alignment horizontal="right"/>
    </xf>
    <xf numFmtId="3" fontId="19" fillId="10" borderId="1" xfId="0" applyNumberFormat="1" applyFont="1" applyFill="1" applyBorder="1" applyAlignment="1">
      <alignment horizontal="left"/>
    </xf>
    <xf numFmtId="0" fontId="19" fillId="10" borderId="1" xfId="0" applyFont="1" applyFill="1" applyBorder="1" applyAlignment="1">
      <alignment horizontal="left"/>
    </xf>
    <xf numFmtId="3" fontId="7" fillId="10" borderId="1" xfId="0" applyNumberFormat="1" applyFont="1" applyFill="1" applyBorder="1" applyAlignment="1">
      <alignment horizontal="left"/>
    </xf>
    <xf numFmtId="172" fontId="7" fillId="10" borderId="1" xfId="0" applyNumberFormat="1" applyFont="1" applyFill="1" applyBorder="1" applyAlignment="1">
      <alignment horizontal="left"/>
    </xf>
    <xf numFmtId="0" fontId="7" fillId="10" borderId="1" xfId="0" applyFont="1" applyFill="1" applyBorder="1" applyAlignment="1">
      <alignment horizontal="left"/>
    </xf>
    <xf numFmtId="173" fontId="7" fillId="10" borderId="1" xfId="0" applyNumberFormat="1" applyFont="1" applyFill="1" applyBorder="1" applyAlignment="1">
      <alignment horizontal="left"/>
    </xf>
    <xf numFmtId="10" fontId="19" fillId="10" borderId="1" xfId="0" applyNumberFormat="1" applyFont="1" applyFill="1" applyBorder="1" applyAlignment="1">
      <alignment horizontal="left"/>
    </xf>
    <xf numFmtId="0" fontId="5" fillId="12" borderId="0" xfId="0" applyFont="1" applyFill="1"/>
    <xf numFmtId="0" fontId="7" fillId="12" borderId="0" xfId="0" applyFont="1" applyFill="1"/>
    <xf numFmtId="0" fontId="5" fillId="0" borderId="0" xfId="0" applyFont="1"/>
    <xf numFmtId="173" fontId="7" fillId="0" borderId="0" xfId="0" applyNumberFormat="1" applyFont="1"/>
    <xf numFmtId="3" fontId="7" fillId="0" borderId="0" xfId="0" applyNumberFormat="1" applyFont="1"/>
    <xf numFmtId="10" fontId="7" fillId="0" borderId="0" xfId="0" applyNumberFormat="1" applyFont="1"/>
    <xf numFmtId="0" fontId="7" fillId="0" borderId="0" xfId="0" applyFont="1" applyAlignment="1">
      <alignment horizontal="left"/>
    </xf>
    <xf numFmtId="173" fontId="7" fillId="0" borderId="2" xfId="0" applyNumberFormat="1" applyFont="1" applyBorder="1"/>
    <xf numFmtId="3" fontId="7" fillId="0" borderId="2" xfId="0" applyNumberFormat="1" applyFont="1" applyBorder="1"/>
    <xf numFmtId="10" fontId="7" fillId="0" borderId="2" xfId="0" applyNumberFormat="1" applyFont="1" applyBorder="1"/>
    <xf numFmtId="3" fontId="16" fillId="0" borderId="0" xfId="0" applyNumberFormat="1" applyFont="1"/>
    <xf numFmtId="0" fontId="16" fillId="0" borderId="0" xfId="0" applyFont="1"/>
    <xf numFmtId="10" fontId="16" fillId="0" borderId="0" xfId="0" applyNumberFormat="1" applyFont="1"/>
    <xf numFmtId="0" fontId="7" fillId="0" borderId="0" xfId="0" applyFont="1" applyAlignment="1">
      <alignment wrapText="1"/>
    </xf>
    <xf numFmtId="0" fontId="7" fillId="0" borderId="2" xfId="0" applyFont="1" applyBorder="1"/>
    <xf numFmtId="0" fontId="5" fillId="0" borderId="0" xfId="0" applyFont="1" applyAlignment="1">
      <alignment wrapText="1"/>
    </xf>
    <xf numFmtId="43" fontId="7" fillId="0" borderId="2" xfId="0" applyNumberFormat="1" applyFont="1" applyBorder="1"/>
    <xf numFmtId="0" fontId="7" fillId="12" borderId="0" xfId="0" applyFont="1" applyFill="1" applyAlignment="1">
      <alignment wrapText="1"/>
    </xf>
    <xf numFmtId="9" fontId="7" fillId="0" borderId="0" xfId="0" applyNumberFormat="1" applyFont="1" applyAlignment="1">
      <alignment horizontal="center" vertical="center"/>
    </xf>
    <xf numFmtId="43" fontId="7" fillId="0" borderId="0" xfId="0" applyNumberFormat="1" applyFont="1"/>
    <xf numFmtId="0" fontId="5" fillId="11" borderId="0" xfId="0" applyFont="1" applyFill="1"/>
    <xf numFmtId="0" fontId="7" fillId="11" borderId="0" xfId="0" applyFont="1" applyFill="1"/>
    <xf numFmtId="0" fontId="7" fillId="11" borderId="0" xfId="0" applyFont="1" applyFill="1" applyAlignment="1">
      <alignment wrapText="1"/>
    </xf>
    <xf numFmtId="0" fontId="2" fillId="0" borderId="5" xfId="0" applyFont="1" applyBorder="1"/>
    <xf numFmtId="0" fontId="2" fillId="0" borderId="6" xfId="0" applyFont="1" applyBorder="1"/>
    <xf numFmtId="3" fontId="2" fillId="0" borderId="6" xfId="0" applyNumberFormat="1" applyFont="1" applyBorder="1"/>
    <xf numFmtId="10" fontId="20" fillId="0" borderId="7" xfId="0" applyNumberFormat="1" applyFont="1" applyBorder="1"/>
    <xf numFmtId="3" fontId="2" fillId="0" borderId="0" xfId="0" applyNumberFormat="1" applyFont="1"/>
    <xf numFmtId="10" fontId="20" fillId="0" borderId="0" xfId="0" applyNumberFormat="1" applyFont="1"/>
    <xf numFmtId="37" fontId="2" fillId="0" borderId="6" xfId="0" applyNumberFormat="1" applyFont="1" applyBorder="1"/>
    <xf numFmtId="0" fontId="21" fillId="0" borderId="5" xfId="0" applyFont="1" applyBorder="1"/>
    <xf numFmtId="0" fontId="22" fillId="0" borderId="6" xfId="0" applyFont="1" applyBorder="1"/>
    <xf numFmtId="3" fontId="21" fillId="0" borderId="6" xfId="0" applyNumberFormat="1" applyFont="1" applyBorder="1"/>
    <xf numFmtId="10" fontId="21" fillId="0" borderId="7" xfId="0" applyNumberFormat="1" applyFont="1" applyBorder="1"/>
    <xf numFmtId="0" fontId="1" fillId="7" borderId="5" xfId="0" applyFont="1" applyFill="1" applyBorder="1"/>
    <xf numFmtId="0" fontId="1" fillId="7" borderId="6" xfId="0" applyFont="1" applyFill="1" applyBorder="1"/>
    <xf numFmtId="165" fontId="1" fillId="7" borderId="6" xfId="3" applyFont="1" applyFill="1" applyBorder="1"/>
    <xf numFmtId="10" fontId="1" fillId="7" borderId="7" xfId="0" applyNumberFormat="1" applyFont="1" applyFill="1" applyBorder="1"/>
    <xf numFmtId="0" fontId="7" fillId="12" borderId="0" xfId="0" applyFont="1" applyFill="1" applyAlignment="1">
      <alignment horizontal="center" vertical="center"/>
    </xf>
    <xf numFmtId="0" fontId="7" fillId="11" borderId="0" xfId="0" applyFont="1" applyFill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0" fontId="2" fillId="0" borderId="6" xfId="2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3" fontId="2" fillId="0" borderId="3" xfId="0" applyNumberFormat="1" applyFont="1" applyBorder="1"/>
    <xf numFmtId="0" fontId="2" fillId="0" borderId="1" xfId="0" applyFont="1" applyBorder="1" applyAlignment="1">
      <alignment horizontal="center" vertical="center"/>
    </xf>
    <xf numFmtId="10" fontId="20" fillId="0" borderId="4" xfId="0" applyNumberFormat="1" applyFont="1" applyBorder="1"/>
    <xf numFmtId="0" fontId="5" fillId="0" borderId="1" xfId="0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65" fontId="0" fillId="10" borderId="1" xfId="3" applyFont="1" applyFill="1" applyBorder="1" applyAlignment="1">
      <alignment horizontal="center" vertical="center"/>
    </xf>
    <xf numFmtId="9" fontId="0" fillId="10" borderId="1" xfId="2" applyFont="1" applyFill="1" applyBorder="1" applyAlignment="1">
      <alignment horizontal="center" vertical="center"/>
    </xf>
    <xf numFmtId="165" fontId="2" fillId="8" borderId="1" xfId="0" applyNumberFormat="1" applyFont="1" applyFill="1" applyBorder="1" applyAlignment="1">
      <alignment horizontal="center" vertical="center"/>
    </xf>
    <xf numFmtId="9" fontId="2" fillId="8" borderId="1" xfId="2" applyFont="1" applyFill="1" applyBorder="1" applyAlignment="1">
      <alignment horizontal="center" vertical="center"/>
    </xf>
    <xf numFmtId="0" fontId="2" fillId="8" borderId="1" xfId="0" applyFont="1" applyFill="1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6" fillId="7" borderId="0" xfId="0" applyFont="1" applyFill="1" applyAlignment="1">
      <alignment horizontal="center" vertical="center"/>
    </xf>
    <xf numFmtId="0" fontId="5" fillId="14" borderId="0" xfId="0" applyFont="1" applyFill="1" applyAlignment="1">
      <alignment horizontal="right" vertical="center"/>
    </xf>
    <xf numFmtId="165" fontId="5" fillId="14" borderId="2" xfId="3" applyFont="1" applyFill="1" applyBorder="1" applyAlignment="1">
      <alignment vertical="center"/>
    </xf>
    <xf numFmtId="10" fontId="5" fillId="14" borderId="2" xfId="2" applyNumberFormat="1" applyFont="1" applyFill="1" applyBorder="1" applyAlignment="1">
      <alignment horizontal="center" vertical="center"/>
    </xf>
    <xf numFmtId="0" fontId="16" fillId="14" borderId="0" xfId="0" applyFont="1" applyFill="1" applyAlignment="1">
      <alignment horizontal="right" vertical="center"/>
    </xf>
    <xf numFmtId="165" fontId="7" fillId="14" borderId="0" xfId="3" applyFont="1" applyFill="1" applyAlignment="1">
      <alignment vertical="center"/>
    </xf>
    <xf numFmtId="10" fontId="7" fillId="14" borderId="0" xfId="2" applyNumberFormat="1" applyFont="1" applyFill="1" applyAlignment="1">
      <alignment horizontal="center"/>
    </xf>
    <xf numFmtId="0" fontId="5" fillId="8" borderId="0" xfId="0" applyFont="1" applyFill="1" applyAlignment="1">
      <alignment horizontal="right" vertical="center"/>
    </xf>
    <xf numFmtId="165" fontId="5" fillId="8" borderId="2" xfId="3" applyFont="1" applyFill="1" applyBorder="1" applyAlignment="1">
      <alignment vertical="center"/>
    </xf>
    <xf numFmtId="10" fontId="5" fillId="8" borderId="2" xfId="2" applyNumberFormat="1" applyFont="1" applyFill="1" applyBorder="1" applyAlignment="1">
      <alignment horizontal="center" vertical="center"/>
    </xf>
    <xf numFmtId="0" fontId="16" fillId="8" borderId="0" xfId="0" applyFont="1" applyFill="1" applyAlignment="1">
      <alignment horizontal="right" vertical="center"/>
    </xf>
    <xf numFmtId="165" fontId="7" fillId="8" borderId="0" xfId="3" applyFont="1" applyFill="1" applyAlignment="1">
      <alignment vertical="center"/>
    </xf>
    <xf numFmtId="10" fontId="7" fillId="8" borderId="0" xfId="2" applyNumberFormat="1" applyFont="1" applyFill="1" applyAlignment="1">
      <alignment horizontal="center"/>
    </xf>
    <xf numFmtId="0" fontId="7" fillId="10" borderId="0" xfId="0" applyFont="1" applyFill="1" applyAlignment="1">
      <alignment vertical="center"/>
    </xf>
    <xf numFmtId="171" fontId="14" fillId="7" borderId="0" xfId="0" applyNumberFormat="1" applyFont="1" applyFill="1" applyAlignment="1">
      <alignment vertical="center"/>
    </xf>
    <xf numFmtId="10" fontId="14" fillId="7" borderId="0" xfId="2" applyNumberFormat="1" applyFont="1" applyFill="1" applyAlignment="1">
      <alignment horizontal="center"/>
    </xf>
    <xf numFmtId="3" fontId="7" fillId="0" borderId="0" xfId="0" applyNumberFormat="1" applyFont="1" applyAlignment="1">
      <alignment horizontal="center"/>
    </xf>
    <xf numFmtId="0" fontId="7" fillId="6" borderId="0" xfId="0" applyFont="1" applyFill="1"/>
    <xf numFmtId="0" fontId="7" fillId="6" borderId="0" xfId="0" applyFont="1" applyFill="1" applyAlignment="1">
      <alignment wrapText="1"/>
    </xf>
    <xf numFmtId="37" fontId="18" fillId="5" borderId="22" xfId="0" applyNumberFormat="1" applyFont="1" applyFill="1" applyBorder="1" applyAlignment="1">
      <alignment horizontal="center" vertical="center"/>
    </xf>
    <xf numFmtId="37" fontId="18" fillId="5" borderId="23" xfId="0" applyNumberFormat="1" applyFont="1" applyFill="1" applyBorder="1" applyAlignment="1">
      <alignment horizontal="center" vertical="center"/>
    </xf>
    <xf numFmtId="165" fontId="18" fillId="5" borderId="22" xfId="0" applyNumberFormat="1" applyFont="1" applyFill="1" applyBorder="1" applyAlignment="1">
      <alignment horizontal="center" vertical="center"/>
    </xf>
    <xf numFmtId="165" fontId="18" fillId="5" borderId="23" xfId="0" applyNumberFormat="1" applyFont="1" applyFill="1" applyBorder="1" applyAlignment="1">
      <alignment horizontal="center" vertical="center"/>
    </xf>
    <xf numFmtId="171" fontId="18" fillId="5" borderId="22" xfId="0" applyNumberFormat="1" applyFont="1" applyFill="1" applyBorder="1" applyAlignment="1">
      <alignment horizontal="center" vertical="center"/>
    </xf>
    <xf numFmtId="171" fontId="18" fillId="5" borderId="23" xfId="0" applyNumberFormat="1" applyFont="1" applyFill="1" applyBorder="1" applyAlignment="1">
      <alignment horizontal="center" vertical="center"/>
    </xf>
    <xf numFmtId="10" fontId="18" fillId="5" borderId="22" xfId="2" applyNumberFormat="1" applyFont="1" applyFill="1" applyBorder="1" applyAlignment="1">
      <alignment horizontal="center" vertical="center"/>
    </xf>
    <xf numFmtId="10" fontId="18" fillId="5" borderId="23" xfId="2" applyNumberFormat="1" applyFont="1" applyFill="1" applyBorder="1" applyAlignment="1">
      <alignment horizontal="center" vertical="center"/>
    </xf>
    <xf numFmtId="165" fontId="11" fillId="5" borderId="22" xfId="0" applyNumberFormat="1" applyFont="1" applyFill="1" applyBorder="1" applyAlignment="1">
      <alignment horizontal="center" vertical="center"/>
    </xf>
    <xf numFmtId="165" fontId="11" fillId="5" borderId="23" xfId="0" applyNumberFormat="1" applyFont="1" applyFill="1" applyBorder="1" applyAlignment="1">
      <alignment horizontal="center" vertical="center"/>
    </xf>
    <xf numFmtId="171" fontId="11" fillId="5" borderId="22" xfId="0" applyNumberFormat="1" applyFont="1" applyFill="1" applyBorder="1" applyAlignment="1">
      <alignment horizontal="center" vertical="center"/>
    </xf>
    <xf numFmtId="171" fontId="11" fillId="5" borderId="23" xfId="0" applyNumberFormat="1" applyFont="1" applyFill="1" applyBorder="1" applyAlignment="1">
      <alignment horizontal="center" vertical="center"/>
    </xf>
    <xf numFmtId="10" fontId="11" fillId="5" borderId="22" xfId="2" applyNumberFormat="1" applyFont="1" applyFill="1" applyBorder="1" applyAlignment="1">
      <alignment horizontal="center" vertical="center"/>
    </xf>
    <xf numFmtId="10" fontId="11" fillId="5" borderId="23" xfId="2" applyNumberFormat="1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5" borderId="21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 wrapText="1"/>
    </xf>
    <xf numFmtId="0" fontId="11" fillId="5" borderId="2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/>
    </xf>
    <xf numFmtId="0" fontId="17" fillId="4" borderId="0" xfId="0" applyFont="1" applyFill="1" applyAlignment="1">
      <alignment horizontal="center" vertical="center"/>
    </xf>
    <xf numFmtId="0" fontId="7" fillId="10" borderId="0" xfId="0" applyFont="1" applyFill="1"/>
    <xf numFmtId="0" fontId="14" fillId="7" borderId="0" xfId="0" applyFont="1" applyFill="1" applyAlignment="1">
      <alignment vertical="center"/>
    </xf>
    <xf numFmtId="0" fontId="14" fillId="7" borderId="0" xfId="0" applyFont="1" applyFill="1"/>
    <xf numFmtId="0" fontId="24" fillId="7" borderId="0" xfId="0" applyFont="1" applyFill="1" applyAlignment="1">
      <alignment vertical="center" wrapText="1"/>
    </xf>
    <xf numFmtId="0" fontId="24" fillId="7" borderId="0" xfId="0" applyFont="1" applyFill="1" applyAlignment="1">
      <alignment vertical="center"/>
    </xf>
    <xf numFmtId="0" fontId="30" fillId="7" borderId="0" xfId="0" applyFont="1" applyFill="1" applyAlignment="1">
      <alignment vertical="center"/>
    </xf>
    <xf numFmtId="0" fontId="17" fillId="7" borderId="0" xfId="0" applyFont="1" applyFill="1"/>
    <xf numFmtId="9" fontId="29" fillId="14" borderId="0" xfId="2" applyFont="1" applyFill="1" applyAlignment="1">
      <alignment vertical="center"/>
    </xf>
    <xf numFmtId="9" fontId="29" fillId="8" borderId="0" xfId="2" applyFont="1" applyFill="1" applyAlignment="1">
      <alignment vertical="center"/>
    </xf>
    <xf numFmtId="0" fontId="11" fillId="5" borderId="0" xfId="0" applyFont="1" applyFill="1" applyAlignment="1">
      <alignment vertical="center"/>
    </xf>
    <xf numFmtId="0" fontId="11" fillId="5" borderId="21" xfId="0" applyFont="1" applyFill="1" applyBorder="1" applyAlignment="1">
      <alignment vertical="center"/>
    </xf>
    <xf numFmtId="0" fontId="17" fillId="4" borderId="0" xfId="0" applyFont="1" applyFill="1" applyAlignment="1">
      <alignment vertical="center"/>
    </xf>
    <xf numFmtId="0" fontId="12" fillId="7" borderId="21" xfId="0" applyFont="1" applyFill="1" applyBorder="1"/>
    <xf numFmtId="0" fontId="32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7" fillId="0" borderId="0" xfId="0" applyFont="1" applyAlignment="1">
      <alignment horizontal="center" wrapText="1"/>
    </xf>
    <xf numFmtId="3" fontId="27" fillId="0" borderId="0" xfId="0" applyNumberFormat="1" applyFont="1" applyAlignment="1">
      <alignment horizontal="center" vertical="center"/>
    </xf>
    <xf numFmtId="173" fontId="27" fillId="0" borderId="0" xfId="0" applyNumberFormat="1" applyFont="1" applyAlignment="1">
      <alignment horizontal="center"/>
    </xf>
    <xf numFmtId="3" fontId="27" fillId="0" borderId="0" xfId="0" applyNumberFormat="1" applyFont="1" applyAlignment="1">
      <alignment horizontal="center"/>
    </xf>
    <xf numFmtId="10" fontId="27" fillId="0" borderId="0" xfId="0" applyNumberFormat="1" applyFont="1" applyAlignment="1">
      <alignment horizontal="center"/>
    </xf>
    <xf numFmtId="10" fontId="27" fillId="0" borderId="2" xfId="0" applyNumberFormat="1" applyFont="1" applyBorder="1" applyAlignment="1">
      <alignment horizontal="center"/>
    </xf>
    <xf numFmtId="0" fontId="27" fillId="0" borderId="2" xfId="0" applyFont="1" applyBorder="1" applyAlignment="1">
      <alignment horizontal="center"/>
    </xf>
    <xf numFmtId="0" fontId="9" fillId="0" borderId="0" xfId="0" applyFont="1"/>
    <xf numFmtId="0" fontId="9" fillId="0" borderId="0" xfId="0" applyFont="1" applyAlignment="1">
      <alignment wrapText="1"/>
    </xf>
    <xf numFmtId="0" fontId="15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0" fontId="28" fillId="0" borderId="0" xfId="0" applyFont="1" applyAlignment="1">
      <alignment horizontal="center" wrapText="1"/>
    </xf>
    <xf numFmtId="0" fontId="28" fillId="0" borderId="0" xfId="0" applyFont="1" applyAlignment="1">
      <alignment horizontal="center" vertical="center"/>
    </xf>
    <xf numFmtId="0" fontId="15" fillId="0" borderId="0" xfId="0" applyFont="1" applyAlignment="1">
      <alignment horizontal="center"/>
    </xf>
    <xf numFmtId="0" fontId="27" fillId="0" borderId="27" xfId="0" applyFont="1" applyBorder="1" applyAlignment="1">
      <alignment horizontal="center" wrapText="1"/>
    </xf>
    <xf numFmtId="0" fontId="27" fillId="0" borderId="27" xfId="0" applyFont="1" applyBorder="1" applyAlignment="1">
      <alignment horizontal="center" vertical="center"/>
    </xf>
    <xf numFmtId="3" fontId="27" fillId="0" borderId="27" xfId="0" applyNumberFormat="1" applyFont="1" applyBorder="1" applyAlignment="1">
      <alignment horizontal="center"/>
    </xf>
    <xf numFmtId="10" fontId="27" fillId="0" borderId="27" xfId="0" applyNumberFormat="1" applyFont="1" applyBorder="1" applyAlignment="1">
      <alignment horizontal="center"/>
    </xf>
    <xf numFmtId="0" fontId="27" fillId="0" borderId="27" xfId="0" applyFont="1" applyBorder="1" applyAlignment="1">
      <alignment horizontal="center"/>
    </xf>
    <xf numFmtId="0" fontId="27" fillId="0" borderId="29" xfId="0" applyFont="1" applyBorder="1" applyAlignment="1">
      <alignment horizontal="center" wrapText="1"/>
    </xf>
    <xf numFmtId="0" fontId="27" fillId="0" borderId="29" xfId="0" applyFont="1" applyBorder="1" applyAlignment="1">
      <alignment horizontal="center" vertical="center"/>
    </xf>
    <xf numFmtId="3" fontId="27" fillId="0" borderId="29" xfId="0" applyNumberFormat="1" applyFont="1" applyBorder="1" applyAlignment="1">
      <alignment horizontal="center"/>
    </xf>
    <xf numFmtId="10" fontId="27" fillId="0" borderId="29" xfId="0" applyNumberFormat="1" applyFont="1" applyBorder="1" applyAlignment="1">
      <alignment horizontal="center"/>
    </xf>
    <xf numFmtId="0" fontId="27" fillId="0" borderId="29" xfId="0" applyFont="1" applyBorder="1" applyAlignment="1">
      <alignment horizontal="center"/>
    </xf>
    <xf numFmtId="0" fontId="31" fillId="9" borderId="0" xfId="0" applyFont="1" applyFill="1" applyAlignment="1">
      <alignment horizontal="center"/>
    </xf>
    <xf numFmtId="0" fontId="31" fillId="9" borderId="0" xfId="0" applyFont="1" applyFill="1"/>
    <xf numFmtId="0" fontId="27" fillId="12" borderId="0" xfId="0" applyFont="1" applyFill="1" applyAlignment="1">
      <alignment horizontal="center"/>
    </xf>
    <xf numFmtId="0" fontId="34" fillId="12" borderId="0" xfId="0" applyFont="1" applyFill="1" applyAlignment="1">
      <alignment horizontal="center" vertical="center"/>
    </xf>
    <xf numFmtId="0" fontId="34" fillId="12" borderId="0" xfId="0" applyFont="1" applyFill="1" applyAlignment="1">
      <alignment horizontal="center"/>
    </xf>
    <xf numFmtId="3" fontId="34" fillId="12" borderId="0" xfId="0" applyNumberFormat="1" applyFont="1" applyFill="1" applyAlignment="1">
      <alignment horizontal="center"/>
    </xf>
    <xf numFmtId="10" fontId="34" fillId="12" borderId="0" xfId="0" applyNumberFormat="1" applyFont="1" applyFill="1" applyAlignment="1">
      <alignment horizontal="center"/>
    </xf>
    <xf numFmtId="0" fontId="34" fillId="0" borderId="27" xfId="0" applyFont="1" applyBorder="1" applyAlignment="1">
      <alignment horizontal="center" wrapText="1"/>
    </xf>
    <xf numFmtId="0" fontId="34" fillId="0" borderId="29" xfId="0" applyFont="1" applyBorder="1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34" fillId="0" borderId="0" xfId="0" applyFont="1" applyAlignment="1">
      <alignment horizontal="center"/>
    </xf>
    <xf numFmtId="3" fontId="34" fillId="0" borderId="0" xfId="0" applyNumberFormat="1" applyFont="1" applyAlignment="1">
      <alignment horizontal="center"/>
    </xf>
    <xf numFmtId="10" fontId="34" fillId="0" borderId="0" xfId="0" applyNumberFormat="1" applyFont="1" applyAlignment="1">
      <alignment horizontal="center"/>
    </xf>
    <xf numFmtId="0" fontId="34" fillId="0" borderId="0" xfId="0" applyFont="1" applyAlignment="1">
      <alignment horizontal="center" wrapText="1"/>
    </xf>
    <xf numFmtId="0" fontId="27" fillId="0" borderId="2" xfId="0" applyFont="1" applyBorder="1" applyAlignment="1">
      <alignment horizontal="center" wrapText="1"/>
    </xf>
    <xf numFmtId="0" fontId="27" fillId="0" borderId="2" xfId="0" applyFont="1" applyBorder="1" applyAlignment="1">
      <alignment horizontal="center" vertical="center"/>
    </xf>
    <xf numFmtId="0" fontId="35" fillId="16" borderId="0" xfId="0" applyFont="1" applyFill="1" applyAlignment="1">
      <alignment horizontal="center"/>
    </xf>
    <xf numFmtId="0" fontId="35" fillId="17" borderId="0" xfId="0" applyFont="1" applyFill="1" applyAlignment="1">
      <alignment horizontal="center"/>
    </xf>
    <xf numFmtId="0" fontId="31" fillId="18" borderId="0" xfId="0" applyFont="1" applyFill="1"/>
    <xf numFmtId="0" fontId="15" fillId="18" borderId="0" xfId="0" applyFont="1" applyFill="1"/>
    <xf numFmtId="0" fontId="2" fillId="8" borderId="1" xfId="0" applyFont="1" applyFill="1" applyBorder="1" applyAlignment="1">
      <alignment horizontal="center"/>
    </xf>
    <xf numFmtId="0" fontId="31" fillId="18" borderId="0" xfId="0" applyFont="1" applyFill="1" applyAlignment="1">
      <alignment horizontal="center"/>
    </xf>
    <xf numFmtId="0" fontId="15" fillId="18" borderId="0" xfId="0" applyFont="1" applyFill="1" applyAlignment="1">
      <alignment horizontal="center"/>
    </xf>
    <xf numFmtId="10" fontId="9" fillId="0" borderId="0" xfId="0" applyNumberFormat="1" applyFont="1" applyAlignment="1">
      <alignment horizontal="center"/>
    </xf>
    <xf numFmtId="10" fontId="7" fillId="0" borderId="0" xfId="0" applyNumberFormat="1" applyFont="1" applyAlignment="1">
      <alignment horizontal="center"/>
    </xf>
    <xf numFmtId="0" fontId="1" fillId="7" borderId="6" xfId="0" applyFont="1" applyFill="1" applyBorder="1" applyAlignment="1">
      <alignment horizontal="center"/>
    </xf>
    <xf numFmtId="165" fontId="1" fillId="7" borderId="6" xfId="3" applyFont="1" applyFill="1" applyBorder="1" applyAlignment="1">
      <alignment horizontal="center"/>
    </xf>
    <xf numFmtId="10" fontId="1" fillId="7" borderId="7" xfId="0" applyNumberFormat="1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43" fontId="0" fillId="0" borderId="0" xfId="0" applyNumberFormat="1" applyAlignment="1">
      <alignment horizontal="center"/>
    </xf>
    <xf numFmtId="9" fontId="27" fillId="0" borderId="27" xfId="0" applyNumberFormat="1" applyFont="1" applyBorder="1" applyAlignment="1">
      <alignment horizontal="center" vertical="center"/>
    </xf>
    <xf numFmtId="9" fontId="27" fillId="0" borderId="29" xfId="0" applyNumberFormat="1" applyFont="1" applyBorder="1" applyAlignment="1">
      <alignment horizontal="center" vertical="center"/>
    </xf>
    <xf numFmtId="0" fontId="35" fillId="17" borderId="0" xfId="0" applyFont="1" applyFill="1" applyAlignment="1">
      <alignment horizontal="center" vertical="center"/>
    </xf>
    <xf numFmtId="10" fontId="35" fillId="17" borderId="0" xfId="0" applyNumberFormat="1" applyFont="1" applyFill="1" applyAlignment="1">
      <alignment horizontal="center"/>
    </xf>
    <xf numFmtId="0" fontId="35" fillId="16" borderId="0" xfId="0" applyFont="1" applyFill="1" applyAlignment="1">
      <alignment horizontal="center" vertical="center"/>
    </xf>
    <xf numFmtId="10" fontId="35" fillId="16" borderId="0" xfId="0" applyNumberFormat="1" applyFont="1" applyFill="1" applyAlignment="1">
      <alignment horizontal="center"/>
    </xf>
    <xf numFmtId="0" fontId="36" fillId="0" borderId="0" xfId="0" applyFont="1" applyAlignment="1">
      <alignment horizontal="center"/>
    </xf>
    <xf numFmtId="165" fontId="27" fillId="0" borderId="0" xfId="3" applyFont="1" applyFill="1" applyAlignment="1">
      <alignment horizontal="center"/>
    </xf>
    <xf numFmtId="165" fontId="27" fillId="0" borderId="0" xfId="3" applyFont="1" applyFill="1" applyBorder="1" applyAlignment="1">
      <alignment horizontal="center"/>
    </xf>
    <xf numFmtId="165" fontId="27" fillId="0" borderId="27" xfId="3" applyFont="1" applyFill="1" applyBorder="1" applyAlignment="1">
      <alignment horizontal="center"/>
    </xf>
    <xf numFmtId="165" fontId="27" fillId="12" borderId="0" xfId="3" applyFont="1" applyFill="1" applyAlignment="1">
      <alignment horizontal="center"/>
    </xf>
    <xf numFmtId="165" fontId="27" fillId="0" borderId="29" xfId="3" applyFont="1" applyFill="1" applyBorder="1" applyAlignment="1">
      <alignment horizontal="center"/>
    </xf>
    <xf numFmtId="165" fontId="34" fillId="0" borderId="0" xfId="3" applyFont="1" applyFill="1" applyAlignment="1">
      <alignment horizontal="center"/>
    </xf>
    <xf numFmtId="165" fontId="27" fillId="0" borderId="2" xfId="3" applyFont="1" applyFill="1" applyBorder="1" applyAlignment="1">
      <alignment horizontal="center"/>
    </xf>
    <xf numFmtId="165" fontId="35" fillId="16" borderId="0" xfId="3" applyFont="1" applyFill="1" applyAlignment="1">
      <alignment horizontal="center"/>
    </xf>
    <xf numFmtId="165" fontId="15" fillId="18" borderId="0" xfId="3" applyFont="1" applyFill="1" applyAlignment="1">
      <alignment horizontal="center"/>
    </xf>
    <xf numFmtId="165" fontId="31" fillId="18" borderId="0" xfId="3" applyFont="1" applyFill="1" applyAlignment="1">
      <alignment horizontal="center"/>
    </xf>
    <xf numFmtId="165" fontId="15" fillId="18" borderId="0" xfId="3" applyFont="1" applyFill="1" applyBorder="1" applyAlignment="1">
      <alignment horizontal="center"/>
    </xf>
    <xf numFmtId="165" fontId="35" fillId="17" borderId="0" xfId="3" applyFont="1" applyFill="1" applyAlignment="1">
      <alignment horizontal="center"/>
    </xf>
    <xf numFmtId="0" fontId="27" fillId="7" borderId="0" xfId="0" applyFont="1" applyFill="1" applyAlignment="1">
      <alignment horizontal="center" vertical="center"/>
    </xf>
    <xf numFmtId="165" fontId="27" fillId="7" borderId="0" xfId="3" applyFont="1" applyFill="1" applyAlignment="1">
      <alignment horizontal="center"/>
    </xf>
    <xf numFmtId="10" fontId="27" fillId="7" borderId="0" xfId="0" applyNumberFormat="1" applyFont="1" applyFill="1" applyAlignment="1">
      <alignment horizontal="center"/>
    </xf>
    <xf numFmtId="0" fontId="27" fillId="7" borderId="0" xfId="0" applyFont="1" applyFill="1" applyAlignment="1">
      <alignment horizontal="center"/>
    </xf>
    <xf numFmtId="0" fontId="35" fillId="7" borderId="0" xfId="0" applyFont="1" applyFill="1" applyAlignment="1">
      <alignment horizontal="center" vertical="center"/>
    </xf>
    <xf numFmtId="165" fontId="35" fillId="7" borderId="0" xfId="3" applyFont="1" applyFill="1" applyAlignment="1">
      <alignment horizontal="center"/>
    </xf>
    <xf numFmtId="10" fontId="35" fillId="7" borderId="0" xfId="0" applyNumberFormat="1" applyFont="1" applyFill="1" applyAlignment="1">
      <alignment horizontal="center"/>
    </xf>
    <xf numFmtId="0" fontId="35" fillId="7" borderId="0" xfId="0" applyFont="1" applyFill="1" applyAlignment="1">
      <alignment horizontal="center"/>
    </xf>
    <xf numFmtId="9" fontId="37" fillId="9" borderId="0" xfId="0" applyNumberFormat="1" applyFont="1" applyFill="1" applyAlignment="1">
      <alignment horizontal="center" vertical="center"/>
    </xf>
    <xf numFmtId="165" fontId="37" fillId="9" borderId="0" xfId="3" applyFont="1" applyFill="1" applyAlignment="1">
      <alignment horizontal="center"/>
    </xf>
    <xf numFmtId="10" fontId="37" fillId="9" borderId="0" xfId="0" applyNumberFormat="1" applyFont="1" applyFill="1" applyAlignment="1">
      <alignment horizontal="center"/>
    </xf>
    <xf numFmtId="0" fontId="37" fillId="9" borderId="0" xfId="0" applyFont="1" applyFill="1" applyAlignment="1">
      <alignment horizontal="center"/>
    </xf>
    <xf numFmtId="0" fontId="27" fillId="7" borderId="0" xfId="0" applyFont="1" applyFill="1" applyAlignment="1">
      <alignment horizontal="center" wrapText="1"/>
    </xf>
    <xf numFmtId="0" fontId="6" fillId="0" borderId="0" xfId="0" applyFont="1" applyAlignment="1">
      <alignment vertical="center"/>
    </xf>
    <xf numFmtId="0" fontId="6" fillId="0" borderId="21" xfId="0" applyFont="1" applyBorder="1" applyAlignment="1">
      <alignment vertic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3" fontId="0" fillId="0" borderId="0" xfId="0" applyNumberFormat="1"/>
    <xf numFmtId="174" fontId="0" fillId="0" borderId="0" xfId="0" applyNumberFormat="1" applyAlignment="1">
      <alignment horizontal="center"/>
    </xf>
    <xf numFmtId="175" fontId="0" fillId="0" borderId="0" xfId="0" applyNumberFormat="1" applyAlignment="1">
      <alignment horizontal="center"/>
    </xf>
    <xf numFmtId="0" fontId="1" fillId="19" borderId="31" xfId="0" applyFont="1" applyFill="1" applyBorder="1" applyAlignment="1">
      <alignment horizontal="right"/>
    </xf>
    <xf numFmtId="3" fontId="0" fillId="20" borderId="31" xfId="0" applyNumberFormat="1" applyFill="1" applyBorder="1" applyAlignment="1">
      <alignment horizontal="center"/>
    </xf>
    <xf numFmtId="0" fontId="1" fillId="14" borderId="31" xfId="0" applyFont="1" applyFill="1" applyBorder="1" applyAlignment="1">
      <alignment horizontal="right"/>
    </xf>
    <xf numFmtId="3" fontId="0" fillId="14" borderId="31" xfId="0" applyNumberFormat="1" applyFill="1" applyBorder="1" applyAlignment="1">
      <alignment horizontal="center"/>
    </xf>
    <xf numFmtId="0" fontId="5" fillId="12" borderId="0" xfId="0" applyFont="1" applyFill="1" applyAlignment="1">
      <alignment horizontal="right"/>
    </xf>
    <xf numFmtId="0" fontId="5" fillId="12" borderId="26" xfId="0" applyFont="1" applyFill="1" applyBorder="1" applyAlignment="1">
      <alignment horizontal="right"/>
    </xf>
    <xf numFmtId="0" fontId="2" fillId="8" borderId="1" xfId="0" applyFont="1" applyFill="1" applyBorder="1" applyAlignment="1">
      <alignment horizontal="left" vertical="center"/>
    </xf>
    <xf numFmtId="165" fontId="0" fillId="10" borderId="1" xfId="3" applyFont="1" applyFill="1" applyBorder="1" applyAlignment="1">
      <alignment horizontal="left" vertical="center"/>
    </xf>
    <xf numFmtId="165" fontId="2" fillId="8" borderId="1" xfId="0" applyNumberFormat="1" applyFont="1" applyFill="1" applyBorder="1" applyAlignment="1">
      <alignment horizontal="left" vertical="center"/>
    </xf>
    <xf numFmtId="0" fontId="7" fillId="0" borderId="0" xfId="0" applyFont="1" applyAlignment="1">
      <alignment horizontal="left" wrapText="1"/>
    </xf>
    <xf numFmtId="0" fontId="27" fillId="0" borderId="0" xfId="0" applyFont="1" applyAlignment="1">
      <alignment horizontal="center" vertical="center" wrapText="1"/>
    </xf>
    <xf numFmtId="0" fontId="28" fillId="10" borderId="0" xfId="0" applyFont="1" applyFill="1" applyAlignment="1">
      <alignment horizontal="center" vertical="center" wrapText="1"/>
    </xf>
    <xf numFmtId="0" fontId="27" fillId="10" borderId="0" xfId="0" applyFont="1" applyFill="1" applyAlignment="1">
      <alignment horizontal="center"/>
    </xf>
    <xf numFmtId="0" fontId="27" fillId="10" borderId="0" xfId="0" applyFont="1" applyFill="1" applyAlignment="1">
      <alignment horizontal="left" wrapText="1"/>
    </xf>
    <xf numFmtId="3" fontId="27" fillId="10" borderId="0" xfId="0" applyNumberFormat="1" applyFont="1" applyFill="1" applyAlignment="1">
      <alignment horizontal="center" vertical="center"/>
    </xf>
    <xf numFmtId="9" fontId="27" fillId="10" borderId="0" xfId="2" applyFont="1" applyFill="1" applyAlignment="1">
      <alignment horizontal="center" vertical="center"/>
    </xf>
    <xf numFmtId="0" fontId="28" fillId="15" borderId="0" xfId="0" applyFont="1" applyFill="1" applyAlignment="1">
      <alignment horizontal="center" vertical="center" wrapText="1"/>
    </xf>
    <xf numFmtId="165" fontId="27" fillId="15" borderId="0" xfId="3" applyFont="1" applyFill="1" applyAlignment="1">
      <alignment horizontal="center" vertical="center"/>
    </xf>
    <xf numFmtId="165" fontId="27" fillId="15" borderId="0" xfId="3" applyFont="1" applyFill="1" applyAlignment="1">
      <alignment horizontal="center"/>
    </xf>
    <xf numFmtId="165" fontId="27" fillId="15" borderId="0" xfId="0" applyNumberFormat="1" applyFont="1" applyFill="1" applyAlignment="1">
      <alignment horizontal="center"/>
    </xf>
    <xf numFmtId="165" fontId="27" fillId="10" borderId="0" xfId="3" applyFont="1" applyFill="1" applyAlignment="1">
      <alignment horizontal="center"/>
    </xf>
    <xf numFmtId="14" fontId="0" fillId="0" borderId="0" xfId="0" applyNumberFormat="1" applyAlignment="1">
      <alignment horizontal="center"/>
    </xf>
    <xf numFmtId="164" fontId="27" fillId="15" borderId="0" xfId="0" applyNumberFormat="1" applyFont="1" applyFill="1" applyAlignment="1">
      <alignment horizontal="center"/>
    </xf>
    <xf numFmtId="0" fontId="0" fillId="4" borderId="0" xfId="0" applyFill="1"/>
    <xf numFmtId="0" fontId="31" fillId="22" borderId="0" xfId="0" applyFont="1" applyFill="1"/>
    <xf numFmtId="0" fontId="40" fillId="0" borderId="0" xfId="0" applyFont="1" applyAlignment="1">
      <alignment horizontal="right"/>
    </xf>
    <xf numFmtId="0" fontId="32" fillId="0" borderId="0" xfId="0" applyFont="1"/>
    <xf numFmtId="0" fontId="1" fillId="4" borderId="0" xfId="0" applyFont="1" applyFill="1"/>
    <xf numFmtId="14" fontId="0" fillId="0" borderId="0" xfId="0" applyNumberFormat="1"/>
    <xf numFmtId="0" fontId="32" fillId="4" borderId="0" xfId="0" applyFont="1" applyFill="1"/>
    <xf numFmtId="0" fontId="41" fillId="0" borderId="0" xfId="0" applyFont="1" applyAlignment="1">
      <alignment horizontal="right"/>
    </xf>
    <xf numFmtId="0" fontId="32" fillId="0" borderId="25" xfId="0" applyFont="1" applyBorder="1"/>
    <xf numFmtId="0" fontId="32" fillId="0" borderId="8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4" borderId="0" xfId="0" applyFill="1" applyAlignment="1">
      <alignment vertical="center" wrapText="1"/>
    </xf>
    <xf numFmtId="0" fontId="0" fillId="4" borderId="0" xfId="0" applyFill="1" applyAlignment="1">
      <alignment vertical="center"/>
    </xf>
    <xf numFmtId="0" fontId="41" fillId="0" borderId="0" xfId="0" applyFont="1" applyAlignment="1">
      <alignment horizontal="right" vertical="center" wrapText="1"/>
    </xf>
    <xf numFmtId="0" fontId="32" fillId="0" borderId="0" xfId="0" applyFont="1" applyAlignment="1">
      <alignment vertical="center" wrapText="1"/>
    </xf>
    <xf numFmtId="0" fontId="32" fillId="0" borderId="0" xfId="0" applyFont="1" applyAlignment="1">
      <alignment horizontal="left" vertical="center"/>
    </xf>
    <xf numFmtId="0" fontId="38" fillId="23" borderId="33" xfId="0" applyFont="1" applyFill="1" applyBorder="1" applyAlignment="1">
      <alignment horizontal="center" vertical="center" wrapText="1"/>
    </xf>
    <xf numFmtId="0" fontId="32" fillId="0" borderId="35" xfId="0" applyFont="1" applyBorder="1" applyAlignment="1">
      <alignment vertical="center" wrapText="1"/>
    </xf>
    <xf numFmtId="175" fontId="32" fillId="0" borderId="0" xfId="0" applyNumberFormat="1" applyFont="1" applyAlignment="1">
      <alignment vertical="center" wrapText="1"/>
    </xf>
    <xf numFmtId="0" fontId="32" fillId="0" borderId="24" xfId="0" applyFont="1" applyBorder="1" applyAlignment="1">
      <alignment vertical="center" wrapText="1"/>
    </xf>
    <xf numFmtId="0" fontId="32" fillId="0" borderId="0" xfId="0" applyFont="1" applyAlignment="1">
      <alignment vertical="center"/>
    </xf>
    <xf numFmtId="0" fontId="32" fillId="0" borderId="0" xfId="0" applyFont="1" applyAlignment="1">
      <alignment horizontal="center" vertical="center" wrapText="1"/>
    </xf>
    <xf numFmtId="0" fontId="32" fillId="0" borderId="8" xfId="0" pivotButton="1" applyFont="1" applyBorder="1" applyAlignment="1">
      <alignment horizontal="center" vertical="center" wrapText="1"/>
    </xf>
    <xf numFmtId="0" fontId="32" fillId="0" borderId="8" xfId="0" pivotButton="1" applyFont="1" applyBorder="1" applyAlignment="1">
      <alignment horizontal="center" vertical="center"/>
    </xf>
    <xf numFmtId="0" fontId="32" fillId="0" borderId="8" xfId="0" applyFont="1" applyBorder="1" applyAlignment="1">
      <alignment horizontal="center" vertical="center" wrapText="1"/>
    </xf>
    <xf numFmtId="175" fontId="32" fillId="0" borderId="8" xfId="0" applyNumberFormat="1" applyFont="1" applyBorder="1" applyAlignment="1">
      <alignment vertical="center" wrapText="1"/>
    </xf>
    <xf numFmtId="175" fontId="32" fillId="0" borderId="8" xfId="0" applyNumberFormat="1" applyFont="1" applyBorder="1"/>
    <xf numFmtId="9" fontId="32" fillId="0" borderId="8" xfId="0" applyNumberFormat="1" applyFont="1" applyBorder="1" applyAlignment="1">
      <alignment horizontal="center"/>
    </xf>
    <xf numFmtId="0" fontId="31" fillId="13" borderId="36" xfId="0" applyFont="1" applyFill="1" applyBorder="1"/>
    <xf numFmtId="0" fontId="32" fillId="0" borderId="37" xfId="0" applyFont="1" applyBorder="1"/>
    <xf numFmtId="175" fontId="1" fillId="13" borderId="8" xfId="0" applyNumberFormat="1" applyFont="1" applyFill="1" applyBorder="1"/>
    <xf numFmtId="0" fontId="39" fillId="0" borderId="0" xfId="0" applyFont="1"/>
    <xf numFmtId="0" fontId="1" fillId="13" borderId="38" xfId="0" applyFont="1" applyFill="1" applyBorder="1"/>
    <xf numFmtId="0" fontId="1" fillId="13" borderId="39" xfId="0" applyFont="1" applyFill="1" applyBorder="1"/>
    <xf numFmtId="0" fontId="1" fillId="13" borderId="40" xfId="0" applyFont="1" applyFill="1" applyBorder="1"/>
    <xf numFmtId="175" fontId="1" fillId="13" borderId="41" xfId="0" applyNumberFormat="1" applyFont="1" applyFill="1" applyBorder="1"/>
    <xf numFmtId="175" fontId="1" fillId="13" borderId="42" xfId="0" applyNumberFormat="1" applyFont="1" applyFill="1" applyBorder="1"/>
    <xf numFmtId="175" fontId="1" fillId="13" borderId="43" xfId="0" applyNumberFormat="1" applyFont="1" applyFill="1" applyBorder="1"/>
    <xf numFmtId="0" fontId="38" fillId="23" borderId="34" xfId="0" applyFont="1" applyFill="1" applyBorder="1" applyAlignment="1">
      <alignment vertical="center"/>
    </xf>
    <xf numFmtId="3" fontId="32" fillId="0" borderId="32" xfId="0" applyNumberFormat="1" applyFont="1" applyBorder="1" applyAlignment="1">
      <alignment vertical="center"/>
    </xf>
    <xf numFmtId="0" fontId="40" fillId="0" borderId="0" xfId="0" applyFont="1"/>
    <xf numFmtId="3" fontId="0" fillId="0" borderId="0" xfId="0" applyNumberFormat="1" applyAlignment="1">
      <alignment vertical="center"/>
    </xf>
    <xf numFmtId="0" fontId="32" fillId="0" borderId="38" xfId="0" pivotButton="1" applyFont="1" applyBorder="1" applyAlignment="1">
      <alignment horizontal="center" vertical="center" wrapText="1"/>
    </xf>
    <xf numFmtId="0" fontId="32" fillId="0" borderId="40" xfId="0" applyFont="1" applyBorder="1" applyAlignment="1">
      <alignment horizontal="center" vertical="center" wrapText="1"/>
    </xf>
    <xf numFmtId="0" fontId="32" fillId="0" borderId="44" xfId="0" applyFont="1" applyBorder="1" applyAlignment="1">
      <alignment horizontal="center" vertical="center" wrapText="1"/>
    </xf>
    <xf numFmtId="175" fontId="32" fillId="0" borderId="44" xfId="0" applyNumberFormat="1" applyFont="1" applyBorder="1" applyAlignment="1">
      <alignment horizontal="center" vertical="center" wrapText="1"/>
    </xf>
    <xf numFmtId="0" fontId="32" fillId="0" borderId="8" xfId="0" pivotButton="1" applyFont="1" applyBorder="1" applyAlignment="1">
      <alignment wrapText="1"/>
    </xf>
    <xf numFmtId="0" fontId="32" fillId="0" borderId="8" xfId="0" applyFont="1" applyBorder="1" applyAlignment="1">
      <alignment horizontal="left"/>
    </xf>
    <xf numFmtId="0" fontId="32" fillId="0" borderId="8" xfId="0" applyFont="1" applyBorder="1" applyAlignment="1">
      <alignment horizontal="center" indent="1"/>
    </xf>
    <xf numFmtId="3" fontId="32" fillId="0" borderId="8" xfId="0" applyNumberFormat="1" applyFont="1" applyBorder="1" applyAlignment="1">
      <alignment horizontal="left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9" fontId="0" fillId="0" borderId="0" xfId="2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5" fontId="7" fillId="0" borderId="0" xfId="0" applyNumberFormat="1" applyFont="1" applyAlignment="1">
      <alignment horizontal="left"/>
    </xf>
    <xf numFmtId="0" fontId="1" fillId="24" borderId="1" xfId="0" applyFont="1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left" vertical="center" wrapText="1"/>
    </xf>
    <xf numFmtId="0" fontId="42" fillId="26" borderId="11" xfId="0" applyFont="1" applyFill="1" applyBorder="1" applyAlignment="1">
      <alignment horizontal="center" vertical="center"/>
    </xf>
    <xf numFmtId="0" fontId="42" fillId="27" borderId="1" xfId="0" applyFont="1" applyFill="1" applyBorder="1" applyAlignment="1">
      <alignment horizontal="center" vertical="center"/>
    </xf>
    <xf numFmtId="0" fontId="43" fillId="28" borderId="1" xfId="0" applyFont="1" applyFill="1" applyBorder="1" applyAlignment="1">
      <alignment horizontal="center" vertical="center"/>
    </xf>
    <xf numFmtId="0" fontId="43" fillId="29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wrapText="1"/>
    </xf>
    <xf numFmtId="1" fontId="0" fillId="25" borderId="1" xfId="0" applyNumberFormat="1" applyFill="1" applyBorder="1" applyAlignment="1">
      <alignment horizontal="center" vertical="center" wrapText="1"/>
    </xf>
    <xf numFmtId="0" fontId="44" fillId="30" borderId="1" xfId="0" applyFont="1" applyFill="1" applyBorder="1" applyAlignment="1">
      <alignment horizontal="center" vertical="center"/>
    </xf>
    <xf numFmtId="0" fontId="44" fillId="0" borderId="11" xfId="0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0" fontId="42" fillId="26" borderId="1" xfId="0" applyFont="1" applyFill="1" applyBorder="1" applyAlignment="1">
      <alignment horizontal="center" vertical="center"/>
    </xf>
    <xf numFmtId="0" fontId="44" fillId="31" borderId="1" xfId="0" applyFont="1" applyFill="1" applyBorder="1" applyAlignment="1">
      <alignment horizontal="center" vertical="center"/>
    </xf>
    <xf numFmtId="0" fontId="45" fillId="26" borderId="1" xfId="0" applyFont="1" applyFill="1" applyBorder="1" applyAlignment="1">
      <alignment horizontal="center" vertical="center"/>
    </xf>
    <xf numFmtId="0" fontId="44" fillId="26" borderId="1" xfId="0" applyFont="1" applyFill="1" applyBorder="1" applyAlignment="1">
      <alignment horizontal="center" vertical="center"/>
    </xf>
    <xf numFmtId="0" fontId="45" fillId="26" borderId="11" xfId="0" applyFont="1" applyFill="1" applyBorder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3" fillId="28" borderId="0" xfId="0" applyFont="1" applyFill="1" applyAlignment="1">
      <alignment horizontal="center" vertical="center"/>
    </xf>
    <xf numFmtId="3" fontId="19" fillId="10" borderId="1" xfId="0" quotePrefix="1" applyNumberFormat="1" applyFont="1" applyFill="1" applyBorder="1" applyAlignment="1">
      <alignment horizontal="left"/>
    </xf>
    <xf numFmtId="176" fontId="7" fillId="10" borderId="1" xfId="0" applyNumberFormat="1" applyFont="1" applyFill="1" applyBorder="1" applyAlignment="1">
      <alignment horizontal="left"/>
    </xf>
    <xf numFmtId="0" fontId="46" fillId="31" borderId="0" xfId="0" applyFont="1" applyFill="1"/>
    <xf numFmtId="0" fontId="0" fillId="31" borderId="0" xfId="0" applyFill="1"/>
    <xf numFmtId="0" fontId="2" fillId="8" borderId="0" xfId="0" applyFont="1" applyFill="1"/>
    <xf numFmtId="0" fontId="0" fillId="8" borderId="0" xfId="0" applyFill="1"/>
    <xf numFmtId="0" fontId="0" fillId="31" borderId="1" xfId="0" applyFill="1" applyBorder="1" applyAlignment="1">
      <alignment horizontal="center"/>
    </xf>
    <xf numFmtId="0" fontId="0" fillId="31" borderId="0" xfId="0" applyFill="1" applyAlignment="1">
      <alignment horizontal="center"/>
    </xf>
    <xf numFmtId="0" fontId="0" fillId="8" borderId="1" xfId="0" applyFill="1" applyBorder="1" applyAlignment="1">
      <alignment horizontal="center"/>
    </xf>
    <xf numFmtId="0" fontId="0" fillId="32" borderId="1" xfId="0" applyFill="1" applyBorder="1" applyAlignment="1">
      <alignment horizontal="center"/>
    </xf>
    <xf numFmtId="0" fontId="0" fillId="31" borderId="1" xfId="0" applyFill="1" applyBorder="1" applyAlignment="1">
      <alignment horizontal="center" wrapText="1"/>
    </xf>
    <xf numFmtId="0" fontId="0" fillId="31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32" borderId="1" xfId="0" applyFill="1" applyBorder="1" applyAlignment="1">
      <alignment horizontal="center" vertical="center" wrapText="1"/>
    </xf>
    <xf numFmtId="9" fontId="0" fillId="31" borderId="1" xfId="0" applyNumberFormat="1" applyFill="1" applyBorder="1" applyAlignment="1">
      <alignment horizontal="center"/>
    </xf>
    <xf numFmtId="171" fontId="0" fillId="31" borderId="1" xfId="3" applyNumberFormat="1" applyFont="1" applyFill="1" applyBorder="1" applyAlignment="1">
      <alignment horizontal="center"/>
    </xf>
    <xf numFmtId="165" fontId="0" fillId="31" borderId="1" xfId="3" applyFont="1" applyFill="1" applyBorder="1" applyAlignment="1">
      <alignment horizontal="center"/>
    </xf>
    <xf numFmtId="164" fontId="0" fillId="31" borderId="1" xfId="3" applyNumberFormat="1" applyFont="1" applyFill="1" applyBorder="1" applyAlignment="1">
      <alignment horizontal="center"/>
    </xf>
    <xf numFmtId="165" fontId="0" fillId="31" borderId="1" xfId="0" applyNumberFormat="1" applyFill="1" applyBorder="1"/>
    <xf numFmtId="171" fontId="0" fillId="6" borderId="1" xfId="0" applyNumberFormat="1" applyFill="1" applyBorder="1"/>
    <xf numFmtId="9" fontId="0" fillId="31" borderId="1" xfId="2" applyFont="1" applyFill="1" applyBorder="1"/>
    <xf numFmtId="171" fontId="0" fillId="31" borderId="1" xfId="0" applyNumberFormat="1" applyFill="1" applyBorder="1"/>
    <xf numFmtId="171" fontId="0" fillId="8" borderId="1" xfId="0" applyNumberFormat="1" applyFill="1" applyBorder="1"/>
    <xf numFmtId="9" fontId="0" fillId="32" borderId="1" xfId="2" applyFont="1" applyFill="1" applyBorder="1" applyAlignment="1">
      <alignment horizontal="center"/>
    </xf>
    <xf numFmtId="165" fontId="0" fillId="31" borderId="0" xfId="0" applyNumberFormat="1" applyFill="1"/>
    <xf numFmtId="9" fontId="0" fillId="31" borderId="10" xfId="0" applyNumberFormat="1" applyFill="1" applyBorder="1" applyAlignment="1">
      <alignment horizontal="center"/>
    </xf>
    <xf numFmtId="177" fontId="0" fillId="31" borderId="1" xfId="12" applyNumberFormat="1" applyFont="1" applyFill="1" applyBorder="1" applyAlignment="1">
      <alignment horizontal="center"/>
    </xf>
    <xf numFmtId="178" fontId="0" fillId="31" borderId="1" xfId="0" applyNumberFormat="1" applyFill="1" applyBorder="1"/>
    <xf numFmtId="165" fontId="0" fillId="6" borderId="1" xfId="0" applyNumberFormat="1" applyFill="1" applyBorder="1"/>
    <xf numFmtId="171" fontId="0" fillId="32" borderId="1" xfId="0" applyNumberFormat="1" applyFill="1" applyBorder="1"/>
    <xf numFmtId="0" fontId="1" fillId="13" borderId="0" xfId="0" applyFont="1" applyFill="1"/>
    <xf numFmtId="0" fontId="31" fillId="13" borderId="0" xfId="0" applyFont="1" applyFill="1"/>
    <xf numFmtId="171" fontId="0" fillId="31" borderId="0" xfId="0" applyNumberFormat="1" applyFill="1"/>
    <xf numFmtId="0" fontId="27" fillId="10" borderId="0" xfId="0" applyFont="1" applyFill="1" applyAlignment="1">
      <alignment horizontal="left"/>
    </xf>
    <xf numFmtId="9" fontId="19" fillId="10" borderId="1" xfId="2" applyFont="1" applyFill="1" applyBorder="1" applyAlignment="1">
      <alignment horizontal="left"/>
    </xf>
    <xf numFmtId="9" fontId="27" fillId="15" borderId="0" xfId="2" applyFont="1" applyFill="1" applyAlignment="1">
      <alignment horizontal="center"/>
    </xf>
    <xf numFmtId="0" fontId="48" fillId="0" borderId="0" xfId="0" applyFont="1"/>
    <xf numFmtId="2" fontId="0" fillId="0" borderId="0" xfId="0" applyNumberFormat="1" applyAlignment="1">
      <alignment horizontal="center"/>
    </xf>
    <xf numFmtId="173" fontId="0" fillId="0" borderId="0" xfId="0" applyNumberFormat="1" applyAlignment="1">
      <alignment horizontal="center"/>
    </xf>
    <xf numFmtId="165" fontId="7" fillId="0" borderId="0" xfId="3" applyFont="1" applyAlignment="1">
      <alignment horizontal="center"/>
    </xf>
    <xf numFmtId="169" fontId="0" fillId="0" borderId="0" xfId="0" applyNumberFormat="1" applyAlignment="1">
      <alignment horizontal="center"/>
    </xf>
    <xf numFmtId="43" fontId="7" fillId="0" borderId="0" xfId="0" applyNumberFormat="1" applyFont="1" applyAlignment="1">
      <alignment horizontal="center"/>
    </xf>
    <xf numFmtId="43" fontId="7" fillId="0" borderId="0" xfId="0" applyNumberFormat="1" applyFont="1" applyAlignment="1">
      <alignment horizontal="left"/>
    </xf>
    <xf numFmtId="0" fontId="0" fillId="0" borderId="0" xfId="0" pivotButton="1"/>
    <xf numFmtId="0" fontId="39" fillId="33" borderId="1" xfId="0" applyFont="1" applyFill="1" applyBorder="1" applyAlignment="1">
      <alignment horizontal="center" vertical="center"/>
    </xf>
    <xf numFmtId="0" fontId="50" fillId="34" borderId="1" xfId="0" applyFont="1" applyFill="1" applyBorder="1" applyAlignment="1">
      <alignment horizontal="center" vertical="center" wrapText="1"/>
    </xf>
    <xf numFmtId="0" fontId="32" fillId="34" borderId="1" xfId="0" applyFont="1" applyFill="1" applyBorder="1" applyAlignment="1">
      <alignment horizontal="center" vertical="center" wrapText="1"/>
    </xf>
    <xf numFmtId="0" fontId="39" fillId="35" borderId="1" xfId="0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vertical="center"/>
    </xf>
    <xf numFmtId="179" fontId="32" fillId="0" borderId="1" xfId="0" applyNumberFormat="1" applyFont="1" applyBorder="1" applyAlignment="1">
      <alignment horizontal="center" vertical="center"/>
    </xf>
    <xf numFmtId="0" fontId="51" fillId="31" borderId="1" xfId="0" applyFont="1" applyFill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0" fontId="9" fillId="15" borderId="1" xfId="0" applyFont="1" applyFill="1" applyBorder="1" applyAlignment="1">
      <alignment horizontal="center" vertical="center" wrapText="1"/>
    </xf>
    <xf numFmtId="0" fontId="8" fillId="15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 wrapText="1"/>
    </xf>
    <xf numFmtId="10" fontId="8" fillId="10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80" fontId="9" fillId="0" borderId="1" xfId="0" applyNumberFormat="1" applyFont="1" applyBorder="1" applyAlignment="1">
      <alignment horizontal="center" vertical="center" wrapText="1"/>
    </xf>
    <xf numFmtId="165" fontId="9" fillId="0" borderId="1" xfId="0" applyNumberFormat="1" applyFont="1" applyBorder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 vertical="center" wrapText="1"/>
    </xf>
    <xf numFmtId="165" fontId="7" fillId="10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9" fontId="5" fillId="0" borderId="1" xfId="2" applyFont="1" applyBorder="1" applyAlignment="1">
      <alignment horizontal="center"/>
    </xf>
    <xf numFmtId="3" fontId="9" fillId="0" borderId="1" xfId="0" applyNumberFormat="1" applyFont="1" applyBorder="1" applyAlignment="1">
      <alignment horizontal="center" vertical="center" wrapText="1"/>
    </xf>
    <xf numFmtId="165" fontId="9" fillId="10" borderId="1" xfId="0" applyNumberFormat="1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 wrapText="1"/>
    </xf>
    <xf numFmtId="0" fontId="5" fillId="6" borderId="0" xfId="0" applyFont="1" applyFill="1"/>
    <xf numFmtId="170" fontId="8" fillId="6" borderId="1" xfId="0" applyNumberFormat="1" applyFont="1" applyFill="1" applyBorder="1" applyAlignment="1">
      <alignment horizontal="center" vertical="center" wrapText="1"/>
    </xf>
    <xf numFmtId="0" fontId="27" fillId="10" borderId="0" xfId="0" applyFont="1" applyFill="1" applyAlignment="1">
      <alignment horizontal="left" vertical="center" wrapText="1"/>
    </xf>
    <xf numFmtId="0" fontId="32" fillId="0" borderId="8" xfId="0" applyFont="1" applyBorder="1" applyAlignment="1"/>
    <xf numFmtId="0" fontId="35" fillId="7" borderId="0" xfId="0" applyFont="1" applyFill="1" applyAlignment="1">
      <alignment horizontal="center" wrapText="1"/>
    </xf>
    <xf numFmtId="0" fontId="34" fillId="0" borderId="0" xfId="0" applyFont="1" applyAlignment="1">
      <alignment horizontal="center" wrapText="1"/>
    </xf>
    <xf numFmtId="0" fontId="35" fillId="17" borderId="0" xfId="0" applyFont="1" applyFill="1" applyAlignment="1">
      <alignment horizontal="center"/>
    </xf>
    <xf numFmtId="0" fontId="37" fillId="9" borderId="0" xfId="0" applyFont="1" applyFill="1" applyAlignment="1">
      <alignment horizontal="right" wrapText="1"/>
    </xf>
    <xf numFmtId="0" fontId="33" fillId="18" borderId="0" xfId="0" applyFont="1" applyFill="1" applyAlignment="1">
      <alignment horizontal="left"/>
    </xf>
    <xf numFmtId="0" fontId="31" fillId="9" borderId="0" xfId="0" applyFont="1" applyFill="1" applyAlignment="1">
      <alignment horizontal="center"/>
    </xf>
    <xf numFmtId="0" fontId="35" fillId="16" borderId="0" xfId="0" applyFont="1" applyFill="1" applyAlignment="1">
      <alignment horizontal="center" wrapText="1"/>
    </xf>
    <xf numFmtId="0" fontId="33" fillId="12" borderId="0" xfId="0" applyFont="1" applyFill="1" applyAlignment="1">
      <alignment horizontal="left"/>
    </xf>
    <xf numFmtId="0" fontId="34" fillId="0" borderId="30" xfId="0" applyFont="1" applyBorder="1" applyAlignment="1">
      <alignment horizontal="center" wrapText="1"/>
    </xf>
    <xf numFmtId="0" fontId="35" fillId="16" borderId="0" xfId="0" applyFont="1" applyFill="1" applyAlignment="1">
      <alignment horizontal="center"/>
    </xf>
    <xf numFmtId="0" fontId="5" fillId="12" borderId="0" xfId="0" applyFont="1" applyFill="1" applyAlignment="1">
      <alignment horizontal="right"/>
    </xf>
    <xf numFmtId="0" fontId="5" fillId="12" borderId="26" xfId="0" applyFont="1" applyFill="1" applyBorder="1" applyAlignment="1">
      <alignment horizontal="right"/>
    </xf>
    <xf numFmtId="0" fontId="5" fillId="12" borderId="21" xfId="0" applyFont="1" applyFill="1" applyBorder="1" applyAlignment="1">
      <alignment horizontal="right"/>
    </xf>
    <xf numFmtId="0" fontId="5" fillId="12" borderId="28" xfId="0" applyFont="1" applyFill="1" applyBorder="1" applyAlignment="1">
      <alignment horizontal="right"/>
    </xf>
    <xf numFmtId="0" fontId="12" fillId="7" borderId="0" xfId="0" applyFont="1" applyFill="1" applyAlignment="1">
      <alignment horizontal="center"/>
    </xf>
    <xf numFmtId="0" fontId="1" fillId="21" borderId="0" xfId="0" applyFont="1" applyFill="1" applyAlignment="1">
      <alignment horizontal="center"/>
    </xf>
    <xf numFmtId="0" fontId="2" fillId="8" borderId="45" xfId="0" applyFont="1" applyFill="1" applyBorder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1" fillId="13" borderId="45" xfId="0" applyFont="1" applyFill="1" applyBorder="1" applyAlignment="1">
      <alignment horizontal="center"/>
    </xf>
    <xf numFmtId="0" fontId="1" fillId="13" borderId="21" xfId="0" applyFont="1" applyFill="1" applyBorder="1" applyAlignment="1">
      <alignment horizontal="center"/>
    </xf>
    <xf numFmtId="0" fontId="0" fillId="31" borderId="1" xfId="0" applyFill="1" applyBorder="1" applyAlignment="1">
      <alignment horizontal="center" vertical="center"/>
    </xf>
    <xf numFmtId="0" fontId="0" fillId="31" borderId="1" xfId="0" applyFill="1" applyBorder="1" applyAlignment="1">
      <alignment horizontal="center"/>
    </xf>
    <xf numFmtId="0" fontId="0" fillId="31" borderId="46" xfId="0" applyFill="1" applyBorder="1" applyAlignment="1">
      <alignment horizontal="center"/>
    </xf>
    <xf numFmtId="0" fontId="0" fillId="31" borderId="47" xfId="0" applyFill="1" applyBorder="1" applyAlignment="1">
      <alignment horizontal="center"/>
    </xf>
    <xf numFmtId="0" fontId="0" fillId="31" borderId="10" xfId="0" applyFill="1" applyBorder="1" applyAlignment="1">
      <alignment horizontal="center"/>
    </xf>
    <xf numFmtId="0" fontId="0" fillId="31" borderId="46" xfId="0" applyFill="1" applyBorder="1" applyAlignment="1">
      <alignment horizontal="center" vertical="center" wrapText="1"/>
    </xf>
    <xf numFmtId="0" fontId="0" fillId="31" borderId="47" xfId="0" applyFill="1" applyBorder="1" applyAlignment="1">
      <alignment horizontal="center" vertical="center" wrapText="1"/>
    </xf>
    <xf numFmtId="0" fontId="0" fillId="31" borderId="10" xfId="0" applyFill="1" applyBorder="1" applyAlignment="1">
      <alignment horizontal="center" vertical="center" wrapText="1"/>
    </xf>
    <xf numFmtId="0" fontId="47" fillId="13" borderId="1" xfId="0" applyFont="1" applyFill="1" applyBorder="1" applyAlignment="1">
      <alignment horizontal="center" vertical="center"/>
    </xf>
    <xf numFmtId="0" fontId="12" fillId="9" borderId="12" xfId="0" applyFont="1" applyFill="1" applyBorder="1" applyAlignment="1">
      <alignment horizontal="center" vertical="center"/>
    </xf>
    <xf numFmtId="0" fontId="12" fillId="9" borderId="13" xfId="0" applyFont="1" applyFill="1" applyBorder="1" applyAlignment="1">
      <alignment horizontal="center" vertical="center"/>
    </xf>
    <xf numFmtId="0" fontId="12" fillId="9" borderId="9" xfId="0" applyFont="1" applyFill="1" applyBorder="1" applyAlignment="1">
      <alignment horizontal="center" vertical="center"/>
    </xf>
    <xf numFmtId="0" fontId="12" fillId="9" borderId="0" xfId="0" applyFont="1" applyFill="1" applyAlignment="1">
      <alignment horizontal="center" vertical="center" wrapText="1"/>
    </xf>
    <xf numFmtId="167" fontId="6" fillId="4" borderId="15" xfId="1" applyNumberFormat="1" applyFont="1" applyFill="1" applyBorder="1" applyAlignment="1" applyProtection="1">
      <alignment horizontal="center" vertical="center" wrapText="1"/>
    </xf>
    <xf numFmtId="167" fontId="6" fillId="4" borderId="14" xfId="1" applyNumberFormat="1" applyFont="1" applyFill="1" applyBorder="1" applyAlignment="1" applyProtection="1">
      <alignment horizontal="center" vertical="center" wrapText="1"/>
    </xf>
    <xf numFmtId="0" fontId="6" fillId="9" borderId="20" xfId="0" applyFont="1" applyFill="1" applyBorder="1" applyAlignment="1">
      <alignment horizontal="center"/>
    </xf>
    <xf numFmtId="0" fontId="14" fillId="7" borderId="0" xfId="0" applyFont="1" applyFill="1" applyAlignment="1">
      <alignment horizontal="center" vertical="center"/>
    </xf>
    <xf numFmtId="37" fontId="18" fillId="5" borderId="22" xfId="0" applyNumberFormat="1" applyFont="1" applyFill="1" applyBorder="1" applyAlignment="1">
      <alignment horizontal="center" vertical="center"/>
    </xf>
    <xf numFmtId="37" fontId="18" fillId="5" borderId="23" xfId="0" applyNumberFormat="1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/>
    </xf>
    <xf numFmtId="165" fontId="18" fillId="5" borderId="22" xfId="0" applyNumberFormat="1" applyFont="1" applyFill="1" applyBorder="1" applyAlignment="1">
      <alignment horizontal="center" vertical="center"/>
    </xf>
    <xf numFmtId="165" fontId="18" fillId="5" borderId="23" xfId="0" applyNumberFormat="1" applyFont="1" applyFill="1" applyBorder="1" applyAlignment="1">
      <alignment horizontal="center" vertical="center"/>
    </xf>
    <xf numFmtId="171" fontId="11" fillId="5" borderId="22" xfId="0" applyNumberFormat="1" applyFont="1" applyFill="1" applyBorder="1" applyAlignment="1">
      <alignment horizontal="center" vertical="center"/>
    </xf>
    <xf numFmtId="171" fontId="11" fillId="5" borderId="23" xfId="0" applyNumberFormat="1" applyFont="1" applyFill="1" applyBorder="1" applyAlignment="1">
      <alignment horizontal="center" vertical="center"/>
    </xf>
    <xf numFmtId="10" fontId="11" fillId="5" borderId="22" xfId="2" applyNumberFormat="1" applyFont="1" applyFill="1" applyBorder="1" applyAlignment="1">
      <alignment horizontal="center" vertical="center"/>
    </xf>
    <xf numFmtId="10" fontId="11" fillId="5" borderId="23" xfId="2" applyNumberFormat="1" applyFont="1" applyFill="1" applyBorder="1" applyAlignment="1">
      <alignment horizontal="center" vertical="center"/>
    </xf>
    <xf numFmtId="165" fontId="11" fillId="5" borderId="22" xfId="0" applyNumberFormat="1" applyFont="1" applyFill="1" applyBorder="1" applyAlignment="1">
      <alignment horizontal="center" vertical="center"/>
    </xf>
    <xf numFmtId="165" fontId="11" fillId="5" borderId="23" xfId="0" applyNumberFormat="1" applyFont="1" applyFill="1" applyBorder="1" applyAlignment="1">
      <alignment horizontal="center" vertical="center"/>
    </xf>
    <xf numFmtId="0" fontId="24" fillId="7" borderId="0" xfId="0" applyFont="1" applyFill="1" applyAlignment="1">
      <alignment horizontal="center" vertical="center" wrapText="1"/>
    </xf>
    <xf numFmtId="171" fontId="18" fillId="5" borderId="22" xfId="0" applyNumberFormat="1" applyFont="1" applyFill="1" applyBorder="1" applyAlignment="1">
      <alignment horizontal="center" vertical="center"/>
    </xf>
    <xf numFmtId="171" fontId="18" fillId="5" borderId="23" xfId="0" applyNumberFormat="1" applyFont="1" applyFill="1" applyBorder="1" applyAlignment="1">
      <alignment horizontal="center" vertical="center"/>
    </xf>
    <xf numFmtId="10" fontId="18" fillId="5" borderId="22" xfId="2" applyNumberFormat="1" applyFont="1" applyFill="1" applyBorder="1" applyAlignment="1">
      <alignment horizontal="center" vertical="center"/>
    </xf>
    <xf numFmtId="10" fontId="18" fillId="5" borderId="23" xfId="2" applyNumberFormat="1" applyFont="1" applyFill="1" applyBorder="1" applyAlignment="1">
      <alignment horizontal="center" vertical="center"/>
    </xf>
    <xf numFmtId="0" fontId="24" fillId="7" borderId="0" xfId="0" applyFont="1" applyFill="1" applyAlignment="1">
      <alignment horizontal="center" vertical="center"/>
    </xf>
    <xf numFmtId="0" fontId="17" fillId="7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9" fontId="29" fillId="14" borderId="0" xfId="2" applyFont="1" applyFill="1" applyAlignment="1">
      <alignment horizontal="center" vertical="center"/>
    </xf>
    <xf numFmtId="9" fontId="29" fillId="8" borderId="0" xfId="2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5" borderId="21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 wrapText="1"/>
    </xf>
    <xf numFmtId="0" fontId="11" fillId="5" borderId="21" xfId="0" applyFont="1" applyFill="1" applyBorder="1" applyAlignment="1">
      <alignment horizontal="center" vertical="center" wrapText="1"/>
    </xf>
    <xf numFmtId="0" fontId="6" fillId="4" borderId="0" xfId="0" applyFont="1" applyFill="1" applyAlignment="1">
      <alignment horizontal="center"/>
    </xf>
    <xf numFmtId="0" fontId="17" fillId="4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6" fillId="7" borderId="21" xfId="0" applyFont="1" applyFill="1" applyBorder="1" applyAlignment="1">
      <alignment horizontal="center" vertical="center"/>
    </xf>
    <xf numFmtId="0" fontId="12" fillId="7" borderId="21" xfId="0" applyFont="1" applyFill="1" applyBorder="1" applyAlignment="1">
      <alignment horizontal="center"/>
    </xf>
    <xf numFmtId="0" fontId="6" fillId="7" borderId="0" xfId="0" applyFont="1" applyFill="1" applyAlignment="1">
      <alignment horizontal="center"/>
    </xf>
    <xf numFmtId="0" fontId="27" fillId="10" borderId="0" xfId="0" applyFont="1" applyFill="1" applyAlignment="1">
      <alignment horizontal="center" vertical="center"/>
    </xf>
    <xf numFmtId="165" fontId="27" fillId="10" borderId="0" xfId="3" applyFont="1" applyFill="1" applyAlignment="1">
      <alignment horizontal="center" vertical="center"/>
    </xf>
  </cellXfs>
  <cellStyles count="15">
    <cellStyle name="Currency 2" xfId="4" xr:uid="{91E91EF6-B325-468C-B5D3-9A7A982E2E05}"/>
    <cellStyle name="Currency 2 2" xfId="6" xr:uid="{8B599652-8067-4FFE-A9E2-CA2B6581863E}"/>
    <cellStyle name="Currency 2 2 2 2 2" xfId="8" xr:uid="{DC6ED2BE-EED6-4C84-AF27-1627DAC355C6}"/>
    <cellStyle name="Currency 3 2 2" xfId="7" xr:uid="{35DE2DB3-08BB-486D-9DE6-C29BC5A0C4B6}"/>
    <cellStyle name="Millares" xfId="12" builtinId="3"/>
    <cellStyle name="Millares 2" xfId="1" xr:uid="{12A1D27C-8C71-4051-8C44-31BB0837A023}"/>
    <cellStyle name="Moneda" xfId="3" builtinId="4"/>
    <cellStyle name="Normal" xfId="0" builtinId="0"/>
    <cellStyle name="Normal 2" xfId="10" xr:uid="{683F49F9-F42C-4745-A55B-4DDCADFF6A11}"/>
    <cellStyle name="Normal 2 2 2 2" xfId="5" xr:uid="{77746AD9-8939-4BA7-B515-649945F2B5FB}"/>
    <cellStyle name="Normal 2 5" xfId="11" xr:uid="{AB60522C-5F8E-484F-9AC3-16BDAA9A0C40}"/>
    <cellStyle name="Normal 3" xfId="13" xr:uid="{E26D19C6-E659-458F-BAE5-597C1F9D688A}"/>
    <cellStyle name="Normal 9" xfId="14" xr:uid="{A9F3F9B5-5563-43BD-87B0-F77BCA55E358}"/>
    <cellStyle name="Porcentaje" xfId="2" builtinId="5"/>
    <cellStyle name="Pourcentage 2" xfId="9" xr:uid="{76F879A9-8E47-4CDC-A93C-A845D98CE9C7}"/>
  </cellStyles>
  <dxfs count="318">
    <dxf>
      <numFmt numFmtId="175" formatCode="_([$USD]\ * #,##0.00_);_([$USD]\ * \(#,##0.00\);_([$USD]\ * &quot;-&quot;??_);_(@_)"/>
    </dxf>
    <dxf>
      <numFmt numFmtId="13" formatCode="0%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left"/>
    </dxf>
    <dxf>
      <alignment horizontal="left"/>
    </dxf>
    <dxf>
      <alignment horizontal="right" indent="1"/>
    </dxf>
    <dxf>
      <alignment horizontal="right" indent="1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alignment horizontal="general"/>
    </dxf>
    <dxf>
      <alignment horizontal="left"/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/>
        <right/>
        <bottom/>
        <horizontal/>
      </border>
    </dxf>
    <dxf>
      <border>
        <left/>
        <right/>
        <bottom/>
        <horizontal/>
      </border>
    </dxf>
    <dxf>
      <border>
        <left/>
        <right/>
        <bottom/>
        <horizontal/>
      </border>
    </dxf>
    <dxf>
      <border>
        <left/>
        <right/>
        <top/>
        <horizontal/>
      </border>
    </dxf>
    <dxf>
      <border>
        <left/>
        <right/>
        <top/>
        <horizontal/>
      </border>
    </dxf>
    <dxf>
      <border>
        <left/>
        <right/>
        <top/>
        <horizontal/>
      </border>
    </dxf>
    <dxf>
      <alignment horizontal="center"/>
    </dxf>
    <dxf>
      <alignment horizontal="center"/>
    </dxf>
    <dxf>
      <alignment horizontal="center"/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alignment horizontal="center"/>
    </dxf>
    <dxf>
      <alignment horizontal="center"/>
    </dxf>
    <dxf>
      <alignment horizontal="center"/>
    </dxf>
    <dxf>
      <border>
        <left/>
        <right/>
        <top/>
        <horizontal/>
      </border>
    </dxf>
    <dxf>
      <border>
        <left/>
        <right/>
        <top/>
        <horizontal/>
      </border>
    </dxf>
    <dxf>
      <border>
        <left/>
        <right/>
        <top/>
        <horizontal/>
      </border>
    </dxf>
    <dxf>
      <border>
        <left/>
        <right/>
        <bottom/>
        <horizontal/>
      </border>
    </dxf>
    <dxf>
      <border>
        <left/>
        <right/>
        <bottom/>
        <horizontal/>
      </border>
    </dxf>
    <dxf>
      <border>
        <left/>
        <right/>
        <bottom/>
        <horizont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font>
        <sz val="10"/>
      </font>
    </dxf>
    <dxf>
      <font>
        <sz val="10"/>
      </font>
    </dxf>
    <dxf>
      <font>
        <sz val="10"/>
      </font>
    </dxf>
    <dxf>
      <alignment horizontal="left"/>
    </dxf>
    <dxf>
      <alignment horizontal="general"/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right" indent="1"/>
    </dxf>
    <dxf>
      <alignment horizontal="right" indent="1"/>
    </dxf>
    <dxf>
      <alignment horizontal="left"/>
    </dxf>
    <dxf>
      <alignment horizontal="left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numFmt numFmtId="13" formatCode="0%"/>
    </dxf>
    <dxf>
      <numFmt numFmtId="175" formatCode="_([$USD]\ * #,##0.00_);_([$USD]\ * \(#,##0.00\);_([$USD]\ * &quot;-&quot;??_);_(@_)"/>
    </dxf>
    <dxf>
      <numFmt numFmtId="169" formatCode="0.0%"/>
    </dxf>
    <dxf>
      <numFmt numFmtId="175" formatCode="_([$USD]\ * #,##0.00_);_([$USD]\ * \(#,##0.00\);_([$USD]\ * &quot;-&quot;??_);_(@_)"/>
    </dxf>
    <dxf>
      <numFmt numFmtId="175" formatCode="_([$USD]\ * #,##0.00_);_([$USD]\ * \(#,##0.00\);_([$USD]\ * &quot;-&quot;??_);_(@_)"/>
    </dxf>
    <dxf>
      <numFmt numFmtId="175" formatCode="_([$USD]\ * #,##0.00_);_([$USD]\ * \(#,##0.00\);_([$USD]\ * &quot;-&quot;??_);_(@_)"/>
    </dxf>
    <dxf>
      <numFmt numFmtId="175" formatCode="_([$USD]\ * #,##0.00_);_([$USD]\ * \(#,##0.00\);_([$USD]\ * &quot;-&quot;??_);_(@_)"/>
    </dxf>
    <dxf>
      <alignment horizontal="center"/>
    </dxf>
    <dxf>
      <numFmt numFmtId="174" formatCode="_-[$KUSD]\ * #,##0.00_-;\-[$KUSD]\ * #,##0.00_-;_-[$KUSD]\ * &quot;-&quot;??_-;_-@_-"/>
    </dxf>
    <dxf>
      <numFmt numFmtId="174" formatCode="_-[$KUSD]\ * #,##0.00_-;\-[$KUSD]\ * #,##0.00_-;_-[$KUSD]\ * &quot;-&quot;??_-;_-@_-"/>
    </dxf>
    <dxf>
      <numFmt numFmtId="14" formatCode="0.00%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4" formatCode="&quot;$&quot;#,##0.00_);[Red]\(&quot;$&quot;#,##0.00\)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4" formatCode="&quot;$&quot;#,##0.00_);[Red]\(&quot;$&quot;#,##0.00\)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3" formatCode="0%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3" formatCode="#,##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3" formatCode="#,##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3" formatCode="#,##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5F5F5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26" Type="http://schemas.microsoft.com/office/2017/06/relationships/rdRichValue" Target="richData/rdrichvalue.xml"/><Relationship Id="rId39" Type="http://schemas.openxmlformats.org/officeDocument/2006/relationships/customXml" Target="../customXml/item6.xml"/><Relationship Id="rId21" Type="http://schemas.openxmlformats.org/officeDocument/2006/relationships/theme" Target="theme/theme1.xml"/><Relationship Id="rId34" Type="http://schemas.openxmlformats.org/officeDocument/2006/relationships/customXml" Target="../customXml/item1.xml"/><Relationship Id="rId42" Type="http://schemas.openxmlformats.org/officeDocument/2006/relationships/customXml" Target="../customXml/item9.xml"/><Relationship Id="rId47" Type="http://schemas.openxmlformats.org/officeDocument/2006/relationships/customXml" Target="../customXml/item14.xml"/><Relationship Id="rId50" Type="http://schemas.microsoft.com/office/2017/10/relationships/person" Target="persons/perso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17/06/relationships/rdSupportingPropertyBagStructure" Target="richData/rdsupportingpropertybagstructure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32" Type="http://schemas.openxmlformats.org/officeDocument/2006/relationships/powerPivotData" Target="model/item.data"/><Relationship Id="rId37" Type="http://schemas.openxmlformats.org/officeDocument/2006/relationships/customXml" Target="../customXml/item4.xml"/><Relationship Id="rId40" Type="http://schemas.openxmlformats.org/officeDocument/2006/relationships/customXml" Target="../customXml/item7.xml"/><Relationship Id="rId45" Type="http://schemas.openxmlformats.org/officeDocument/2006/relationships/customXml" Target="../customXml/item1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microsoft.com/office/2017/06/relationships/richStyles" Target="richData/richStyles.xml"/><Relationship Id="rId36" Type="http://schemas.openxmlformats.org/officeDocument/2006/relationships/customXml" Target="../customXml/item3.xml"/><Relationship Id="rId49" Type="http://schemas.openxmlformats.org/officeDocument/2006/relationships/customXml" Target="../customXml/item16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3.xml"/><Relationship Id="rId31" Type="http://schemas.microsoft.com/office/2017/06/relationships/rdRichValueTypes" Target="richData/rdRichValueTypes.xml"/><Relationship Id="rId44" Type="http://schemas.openxmlformats.org/officeDocument/2006/relationships/customXml" Target="../customXml/item1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microsoft.com/office/2017/06/relationships/rdRichValueStructure" Target="richData/rdrichvaluestructure.xml"/><Relationship Id="rId30" Type="http://schemas.microsoft.com/office/2017/06/relationships/rdSupportingPropertyBag" Target="richData/rdsupportingpropertybag.xml"/><Relationship Id="rId35" Type="http://schemas.openxmlformats.org/officeDocument/2006/relationships/customXml" Target="../customXml/item2.xml"/><Relationship Id="rId43" Type="http://schemas.openxmlformats.org/officeDocument/2006/relationships/customXml" Target="../customXml/item10.xml"/><Relationship Id="rId48" Type="http://schemas.openxmlformats.org/officeDocument/2006/relationships/customXml" Target="../customXml/item1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5" Type="http://schemas.openxmlformats.org/officeDocument/2006/relationships/sheetMetadata" Target="metadata.xml"/><Relationship Id="rId33" Type="http://schemas.openxmlformats.org/officeDocument/2006/relationships/calcChain" Target="calcChain.xml"/><Relationship Id="rId38" Type="http://schemas.openxmlformats.org/officeDocument/2006/relationships/customXml" Target="../customXml/item5.xml"/><Relationship Id="rId46" Type="http://schemas.openxmlformats.org/officeDocument/2006/relationships/customXml" Target="../customXml/item13.xml"/><Relationship Id="rId20" Type="http://schemas.openxmlformats.org/officeDocument/2006/relationships/pivotCacheDefinition" Target="pivotCache/pivotCacheDefinition4.xml"/><Relationship Id="rId41" Type="http://schemas.openxmlformats.org/officeDocument/2006/relationships/customXml" Target="../customXml/item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1230086</xdr:colOff>
      <xdr:row>44</xdr:row>
      <xdr:rowOff>16329</xdr:rowOff>
    </xdr:from>
    <xdr:to>
      <xdr:col>4</xdr:col>
      <xdr:colOff>974271</xdr:colOff>
      <xdr:row>44</xdr:row>
      <xdr:rowOff>141515</xdr:rowOff>
    </xdr:to>
    <xdr:sp macro="" textlink="">
      <xdr:nvSpPr>
        <xdr:cNvPr id="2" name="Flecha: a la derecha 1">
          <a:extLst>
            <a:ext uri="{FF2B5EF4-FFF2-40B4-BE49-F238E27FC236}">
              <a16:creationId xmlns:a16="http://schemas.microsoft.com/office/drawing/2014/main" id="{181FF833-B5B6-35F6-98B5-B8C42540ED38}"/>
            </a:ext>
          </a:extLst>
        </xdr:cNvPr>
        <xdr:cNvSpPr/>
      </xdr:nvSpPr>
      <xdr:spPr>
        <a:xfrm>
          <a:off x="3918857" y="7620000"/>
          <a:ext cx="1377043" cy="125186"/>
        </a:xfrm>
        <a:prstGeom prst="rightArrow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1</xdr:row>
      <xdr:rowOff>19050</xdr:rowOff>
    </xdr:from>
    <xdr:to>
      <xdr:col>0</xdr:col>
      <xdr:colOff>1657442</xdr:colOff>
      <xdr:row>5</xdr:row>
      <xdr:rowOff>171670</xdr:rowOff>
    </xdr:to>
    <xdr:pic>
      <xdr:nvPicPr>
        <xdr:cNvPr id="2" name="Picture 1" descr="A blue and black text&#10;&#10;Description automatically generated">
          <a:extLst>
            <a:ext uri="{FF2B5EF4-FFF2-40B4-BE49-F238E27FC236}">
              <a16:creationId xmlns:a16="http://schemas.microsoft.com/office/drawing/2014/main" id="{A91261AC-3B0E-4A2F-9267-531D8EF38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209550"/>
          <a:ext cx="1638300" cy="91353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10885</xdr:colOff>
      <xdr:row>1</xdr:row>
      <xdr:rowOff>0</xdr:rowOff>
    </xdr:from>
    <xdr:to>
      <xdr:col>13</xdr:col>
      <xdr:colOff>369632</xdr:colOff>
      <xdr:row>41</xdr:row>
      <xdr:rowOff>204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0929CAB-5E38-0FE5-1C02-7514D12C1B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85" y="185057"/>
          <a:ext cx="10547776" cy="740249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549910</xdr:colOff>
      <xdr:row>7</xdr:row>
      <xdr:rowOff>106681</xdr:rowOff>
    </xdr:from>
    <xdr:to>
      <xdr:col>34</xdr:col>
      <xdr:colOff>357006</xdr:colOff>
      <xdr:row>32</xdr:row>
      <xdr:rowOff>50377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FC0CF3-E1AA-47CB-B2D8-98349F8350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55320" y="1927861"/>
          <a:ext cx="5567816" cy="5098626"/>
        </a:xfrm>
        <a:prstGeom prst="rect">
          <a:avLst/>
        </a:prstGeom>
      </xdr:spPr>
    </xdr:pic>
    <xdr:clientData/>
  </xdr:twoCellAnchor>
  <xdr:twoCellAnchor editAs="oneCell">
    <xdr:from>
      <xdr:col>4</xdr:col>
      <xdr:colOff>298451</xdr:colOff>
      <xdr:row>32</xdr:row>
      <xdr:rowOff>105834</xdr:rowOff>
    </xdr:from>
    <xdr:to>
      <xdr:col>7</xdr:col>
      <xdr:colOff>476430</xdr:colOff>
      <xdr:row>42</xdr:row>
      <xdr:rowOff>37782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5E0FAF9-D547-469D-ACB0-1A2DBE62D7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822701" y="7081944"/>
          <a:ext cx="2433499" cy="176074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hri, Ravin" id="{770C1132-3992-4262-9B0F-7860D492C0F8}" userId="S::Ravin.Ohri@hughes.com::6e76f329-f899-4121-b82d-29a501099006" providerId="AD"/>
</personList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renei/AppData/Local/Microsoft/Windows/INetCache/Content.Outlook/305JVUIT/Capitan&#237;as-Per&#250;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éctor Ávila" refreshedDate="45334.778178587963" createdVersion="8" refreshedVersion="8" minRefreshableVersion="3" recordCount="28" xr:uid="{ED51F5EF-A439-4737-99FE-C8331D23C7B2}">
  <cacheSource type="worksheet">
    <worksheetSource ref="A1:F29" sheet="Capitanías Perú" r:id="rId2"/>
  </cacheSource>
  <cacheFields count="6">
    <cacheField name="Hughes ID" numFmtId="0">
      <sharedItems containsSemiMixedTypes="0" containsString="0" containsNumber="1" containsInteger="1" minValue="1" maxValue="28"/>
    </cacheField>
    <cacheField name="Ubicación" numFmtId="0">
      <sharedItems/>
    </cacheField>
    <cacheField name="Latitud" numFmtId="0">
      <sharedItems containsSemiMixedTypes="0" containsString="0" containsNumber="1" minValue="-18.117333333333335" maxValue="-3.4996749999999999"/>
    </cacheField>
    <cacheField name="Longitud" numFmtId="0">
      <sharedItems containsSemiMixedTypes="0" containsString="0" containsNumber="1" minValue="-81.234230555555555" maxValue="-70.728416666666675"/>
    </cacheField>
    <cacheField name="Beam T19" numFmtId="0">
      <sharedItems count="8">
        <s v="U019"/>
        <s v="U020"/>
        <s v="U023"/>
        <s v="U025"/>
        <s v="U026"/>
        <s v="U027"/>
        <s v="OFFNET"/>
        <s v="U021"/>
      </sharedItems>
    </cacheField>
    <cacheField name="GW T19" numFmtId="0">
      <sharedItems count="5">
        <s v="Monee, IL"/>
        <s v="North Platte, NE"/>
        <s v="Spokane, WA"/>
        <s v="OFFNET"/>
        <s v="Riverside, C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an" refreshedDate="45755.423029861115" createdVersion="8" refreshedVersion="8" minRefreshableVersion="3" recordCount="1229" xr:uid="{EA057CD6-24C5-4C47-BB29-2997D4356574}">
  <cacheSource type="worksheet">
    <worksheetSource ref="A1:Y1230" sheet="Sites"/>
  </cacheSource>
  <cacheFields count="25">
    <cacheField name="HUGHES ID" numFmtId="0">
      <sharedItems containsSemiMixedTypes="0" containsString="0" containsNumber="1" containsInteger="1" minValue="1" maxValue="1229"/>
    </cacheField>
    <cacheField name="ID" numFmtId="0">
      <sharedItems containsSemiMixedTypes="0" containsString="0" containsNumber="1" containsInteger="1" minValue="1" maxValue="1249"/>
    </cacheField>
    <cacheField name="Cód Local" numFmtId="0">
      <sharedItems containsSemiMixedTypes="0" containsString="0" containsNumber="1" containsInteger="1" minValue="665" maxValue="861141"/>
    </cacheField>
    <cacheField name="Centro Educativo" numFmtId="0">
      <sharedItems/>
    </cacheField>
    <cacheField name="Departamento" numFmtId="0">
      <sharedItems/>
    </cacheField>
    <cacheField name="Provincia" numFmtId="0">
      <sharedItems/>
    </cacheField>
    <cacheField name="Distrito" numFmtId="0">
      <sharedItems/>
    </cacheField>
    <cacheField name="Centro Poblado" numFmtId="0">
      <sharedItems/>
    </cacheField>
    <cacheField name="Dirección" numFmtId="0">
      <sharedItems/>
    </cacheField>
    <cacheField name="Área" numFmtId="0">
      <sharedItems/>
    </cacheField>
    <cacheField name="Latitud" numFmtId="179">
      <sharedItems containsSemiMixedTypes="0" containsString="0" containsNumber="1" minValue="-17.980502999999999" maxValue="-9.7939999999999999E-2"/>
    </cacheField>
    <cacheField name="Longitud" numFmtId="179">
      <sharedItems containsSemiMixedTypes="0" containsString="0" containsNumber="1" minValue="-81.260980000000004" maxValue="-68.950433000000004"/>
    </cacheField>
    <cacheField name="Ancho de Banda_x000a_(Mbps)" numFmtId="0">
      <sharedItems containsSemiMixedTypes="0" containsString="0" containsNumber="1" containsInteger="1" minValue="30" maxValue="30"/>
    </cacheField>
    <cacheField name="Tipo" numFmtId="0">
      <sharedItems/>
    </cacheField>
    <cacheField name="Zona" numFmtId="0">
      <sharedItems/>
    </cacheField>
    <cacheField name="Item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DOWNLOAD MIR" numFmtId="0">
      <sharedItems containsSemiMixedTypes="0" containsString="0" containsNumber="1" containsInteger="1" minValue="30" maxValue="30"/>
    </cacheField>
    <cacheField name="UPLOAD MIR" numFmtId="0">
      <sharedItems containsSemiMixedTypes="0" containsString="0" containsNumber="1" containsInteger="1" minValue="5" maxValue="5"/>
    </cacheField>
    <cacheField name="DOWNLOAD OVB" numFmtId="0">
      <sharedItems containsSemiMixedTypes="0" containsString="0" containsNumber="1" containsInteger="1" minValue="5" maxValue="5"/>
    </cacheField>
    <cacheField name="UPLOAD OVB" numFmtId="2">
      <sharedItems containsSemiMixedTypes="0" containsString="0" containsNumber="1" minValue="0.83333333333333337" maxValue="0.83333333333333337"/>
    </cacheField>
    <cacheField name="TOTAL CAPACITY" numFmtId="2">
      <sharedItems containsSemiMixedTypes="0" containsString="0" containsNumber="1" minValue="5.833333333333333" maxValue="5.833333333333333"/>
    </cacheField>
    <cacheField name="COVERAGE T19V" numFmtId="0">
      <sharedItems count="2">
        <s v="YES"/>
        <s v="NO"/>
      </sharedItems>
    </cacheField>
    <cacheField name="BEAM T19V" numFmtId="0">
      <sharedItems count="10">
        <s v="U020"/>
        <s v="U021"/>
        <s v="U019"/>
        <s v="OFFNET"/>
        <s v="U024"/>
        <s v="U022"/>
        <s v="U023"/>
        <s v="U025"/>
        <s v="U026"/>
        <s v="U027"/>
      </sharedItems>
    </cacheField>
    <cacheField name="GW T19V" numFmtId="0">
      <sharedItems count="6">
        <s v="NORTH PLATTE"/>
        <s v="RIVERSIDE"/>
        <s v="MONEE"/>
        <s v="OFFNET"/>
        <s v="SPOKANE"/>
        <s v="ALBUQUERQUE"/>
      </sharedItems>
    </cacheField>
    <cacheField name="OBSERVACIO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an" refreshedDate="45755.465968287041" createdVersion="8" refreshedVersion="8" minRefreshableVersion="3" recordCount="13" xr:uid="{D661CA06-4568-48FA-8A1F-B71C515E3F98}">
  <cacheSource type="worksheet">
    <worksheetSource ref="A24:X40" sheet="QTO DB"/>
  </cacheSource>
  <cacheFields count="30">
    <cacheField name="Type" numFmtId="0">
      <sharedItems count="2">
        <s v="CAPEX"/>
        <s v="OPEX"/>
      </sharedItems>
    </cacheField>
    <cacheField name="Category" numFmtId="0">
      <sharedItems count="6">
        <s v="Hughes Equipment"/>
        <s v="Hughes Services"/>
        <s v="3rd Party Services"/>
        <s v="3rd Party Equipment" u="1"/>
        <s v="Hughes Eq." u="1"/>
        <s v="3rd Party Eq." u="1"/>
      </sharedItems>
    </cacheField>
    <cacheField name="Subcategory" numFmtId="0">
      <sharedItems count="44">
        <s v="VSAT"/>
        <s v="SPARE"/>
        <s v="Managed Capacity"/>
        <s v="Web Filtering"/>
        <s v="International Link"/>
        <s v="Network Operations"/>
        <s v="Internet Service"/>
        <s v="Field Services" u="1"/>
        <s v="GEO Jupiter VSAT" u="1"/>
        <s v="GEO Managed Capacity" u="1"/>
        <s v="Access Points" u="1"/>
        <s v="Solar Panel" u="1"/>
        <s v="Cabinet" u="1"/>
        <s v="Security Cams" u="1"/>
        <s v="Laptop" u="1"/>
        <s v="Tables" u="1"/>
        <s v="Smart TV" u="1"/>
        <s v="Training" u="1"/>
        <s v="Project Manager" u="1"/>
        <s v="Service Manager" u="1"/>
        <s v="Network Operations + Monitoring+Reports" u="1"/>
        <s v="ONE Web Terminal" u="1"/>
        <s v="ONE Web Service Plan" u="1"/>
        <s v="Network Operations + Monitoring" u="1"/>
        <s v="Miscellany" u="1"/>
        <s v="Network O&amp;M" u="1"/>
        <s v="Enterprise Service Plan 10/3" u="1"/>
        <s v="Capacity" u="1"/>
        <s v="Cabinets" u="1"/>
        <s v="Desktop Pc" u="1"/>
        <s v="Penalties" u="1"/>
        <s v="Installation &amp; Support" u="1"/>
        <s v="One Time Services" u="1"/>
        <s v="Baseline Eq." u="1"/>
        <s v="IBOS-Web Filtering" u="1"/>
        <s v="Monitoring and Hosting" u="1"/>
        <s v="Digital Repository" u="1"/>
        <s v="Other" u="1"/>
        <s v="Network O6M" u="1"/>
        <s v="Web Filetring" u="1"/>
        <s v="Routers Microtik" u="1"/>
        <s v="Spare Eq." u="1"/>
        <s v="Installation Services" u="1"/>
        <s v="Solar Panels" u="1"/>
      </sharedItems>
    </cacheField>
    <cacheField name="Manufacturer Part #" numFmtId="0">
      <sharedItems count="6">
        <s v="1505216-0332"/>
        <s v="1506560-0021+1506561-0021"/>
        <s v="1506689-1004"/>
        <s v="1503931-0004"/>
        <s v="HUGHES"/>
        <s v="COGENT"/>
      </sharedItems>
    </cacheField>
    <cacheField name="Product Code" numFmtId="0">
      <sharedItems/>
    </cacheField>
    <cacheField name="Description" numFmtId="0">
      <sharedItems/>
    </cacheField>
    <cacheField name="Qty" numFmtId="3">
      <sharedItems containsSemiMixedTypes="0" containsString="0" containsNumber="1" minValue="37" maxValue="7023.3333333333294"/>
    </cacheField>
    <cacheField name="Unit of Measure" numFmtId="3">
      <sharedItems/>
    </cacheField>
    <cacheField name="Discount" numFmtId="9">
      <sharedItems containsSemiMixedTypes="0" containsString="0" containsNumber="1" containsInteger="1" minValue="0" maxValue="0"/>
    </cacheField>
    <cacheField name="Finance?" numFmtId="9">
      <sharedItems/>
    </cacheField>
    <cacheField name="Unit Price" numFmtId="165">
      <sharedItems containsSemiMixedTypes="0" containsString="0" containsNumber="1" minValue="4.6933333333333334" maxValue="151.07142857142858"/>
    </cacheField>
    <cacheField name="Unit Disc. Price" numFmtId="165">
      <sharedItems containsSemiMixedTypes="0" containsString="0" containsNumber="1" minValue="4.6933333333333334" maxValue="151.07142857142858"/>
    </cacheField>
    <cacheField name="Ext. Disc. Price" numFmtId="165">
      <sharedItems containsSemiMixedTypes="0" containsString="0" containsNumber="1" minValue="736.82857142857142" maxValue="8217299.9999999953"/>
    </cacheField>
    <cacheField name="Unit Cost" numFmtId="165">
      <sharedItems containsSemiMixedTypes="0" containsString="0" containsNumber="1" minValue="3.52" maxValue="105.75"/>
    </cacheField>
    <cacheField name="Ext. Cost" numFmtId="165">
      <sharedItems containsSemiMixedTypes="0" containsString="0" containsNumber="1" minValue="515.78" maxValue="5056799.9999999972"/>
    </cacheField>
    <cacheField name="Profit Margin" numFmtId="9">
      <sharedItems containsSemiMixedTypes="0" containsString="0" containsNumber="1" minValue="0.25" maxValue="0.38461538461538458"/>
    </cacheField>
    <cacheField name="Owner" numFmtId="0">
      <sharedItems/>
    </cacheField>
    <cacheField name="Monthly Price per Site" numFmtId="165">
      <sharedItems containsSemiMixedTypes="0" containsString="0" containsNumber="1" minValue="3.3999103517375943E-2" maxValue="379.16666666666646"/>
    </cacheField>
    <cacheField name="Monthly Cost per Site" numFmtId="165">
      <sharedItems containsSemiMixedTypes="0" containsString="0" containsNumber="1" minValue="2.3799372462163158E-2" maxValue="233.33333333333317"/>
    </cacheField>
    <cacheField name="Monthly Price per Mbps" numFmtId="165">
      <sharedItems containsSemiMixedTypes="0" containsString="0" containsNumber="1" minValue="5.8284177458358755E-3" maxValue="64.999999999999957"/>
    </cacheField>
    <cacheField name="Monthly Cost per Mbps" numFmtId="165">
      <sharedItems containsSemiMixedTypes="0" containsString="0" containsNumber="1" minValue="4.0798924220851124E-3" maxValue="39.999999999999972"/>
    </cacheField>
    <cacheField name="Financed CAPEX" numFmtId="164">
      <sharedItems containsSemiMixedTypes="0" containsString="0" containsNumber="1" containsInteger="1" minValue="0" maxValue="0"/>
    </cacheField>
    <cacheField name="Financed Monthly Price per Site" numFmtId="164">
      <sharedItems containsSemiMixedTypes="0" containsString="0" containsNumber="1" minValue="0" maxValue="379.16666666666646"/>
    </cacheField>
    <cacheField name="Notes" numFmtId="0">
      <sharedItems containsNonDate="0" containsString="0" containsBlank="1"/>
    </cacheField>
    <cacheField name="Ext. Price in KUSD" numFmtId="0" formula="#NAME?/1000" databaseField="0"/>
    <cacheField name="Ext. Cost in KUSD" numFmtId="0" formula="'Ext. Cost'/1000" databaseField="0"/>
    <cacheField name="% of Proyect" numFmtId="0" formula="'Ext. Cost in KUSD'" databaseField="0"/>
    <cacheField name="Disc. Ext. Price" numFmtId="0" formula="'Ext. Disc. Price'/1000" databaseField="0"/>
    <cacheField name="Monthly Cost per Mbps2" numFmtId="0" formula="'Unit Cost'" databaseField="0"/>
    <cacheField name="Margin Calc" numFmtId="0" formula="1-('Ext. Cost'/'Ext. Disc. Price'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Gabriel" refreshedDate="45839.643721412038" createdVersion="8" refreshedVersion="7" minRefreshableVersion="3" recordCount="16" xr:uid="{C1B9D813-D72F-4CB7-A64A-9E422DE22F0C}">
  <cacheSource type="worksheet">
    <worksheetSource name="Table1"/>
  </cacheSource>
  <cacheFields count="24">
    <cacheField name="Type" numFmtId="0">
      <sharedItems/>
    </cacheField>
    <cacheField name="Category" numFmtId="0">
      <sharedItems/>
    </cacheField>
    <cacheField name="Subcategory" numFmtId="0">
      <sharedItems count="42">
        <s v="VSAT"/>
        <s v="SPARE"/>
        <s v="Managed Capacity"/>
        <s v="Web Filtering"/>
        <s v="International Link"/>
        <s v="Network Operations"/>
        <s v="Internet Service"/>
        <s v="OW Hughes ESA"/>
        <s v="ONE Web Terminal" u="1"/>
        <s v="Enterprise Service Plan 10/3" u="1"/>
        <s v="Network Operations + Monitoring" u="1"/>
        <s v="Field Services" u="1"/>
        <s v="Network Operations + Monitoring+Reports" u="1"/>
        <s v="Service Manager" u="1"/>
        <s v="Instalacion" u="1"/>
        <s v="Cabinets" u="1"/>
        <s v="Smart TV" u="1"/>
        <s v="Desktop Pc" u="1"/>
        <s v="Project Manager" u="1"/>
        <s v="Laptop" u="1"/>
        <s v="Access Points" u="1"/>
        <s v="Installation &amp; Support" u="1"/>
        <s v="Ka Band Managed Capacity" u="1"/>
        <s v="Training" u="1"/>
        <s v="GEO Managed Capacity" u="1"/>
        <s v="Network O&amp;M" u="1"/>
        <s v="GEO Jupiter VSAT" u="1"/>
        <s v="Cabinet" u="1"/>
        <s v="Security Cams" u="1"/>
        <s v="Bond" u="1"/>
        <s v="Tables" u="1"/>
        <s v="Digital Repository" u="1"/>
        <s v="Monitoreo" u="1"/>
        <s v="Solar Panel" u="1"/>
        <s v="Ticketing" u="1"/>
        <s v="ONE Web Service Plan" u="1"/>
        <s v="Miscellany" u="1"/>
        <s v="Web Filetring" u="1"/>
        <s v="Routers Microtik" u="1"/>
        <s v="Operations" u="1"/>
        <s v="Solar Panels" u="1"/>
        <s v="Equipos de Terceros" u="1"/>
      </sharedItems>
    </cacheField>
    <cacheField name="Manufacturer Part #" numFmtId="0">
      <sharedItems/>
    </cacheField>
    <cacheField name="Product Code" numFmtId="0">
      <sharedItems/>
    </cacheField>
    <cacheField name="Description" numFmtId="0">
      <sharedItems count="109">
        <s v="HT2010 Consumer Broadband Satellite Router, Ka Band only"/>
        <s v="90cm Ka-Band Saturated Antenna (Single IFL) 1pk"/>
        <s v="3W Multi-mode radio, Ka-Band, RHCP (Linear)"/>
        <s v="Assy, Trimast, Jonsa, 1-pack, Painted"/>
        <s v="Managed Capacity Ka Band -1204 sitios"/>
        <s v="Web Filtering"/>
        <s v="International Link - Dallas - Lima"/>
        <s v="Network Operations"/>
        <s v="Internet Service"/>
        <s v="ESA HL1100W DDP Peru"/>
        <s v="Trimast with Short Mast Adapter DDP Peru"/>
        <s v="OW Service Plan 1TB"/>
        <s v="Field Services - Site Corrective Maintenance - Ka Band (1Y)" u="1"/>
        <s v="OW Service Plan 100/20 Best Effort - 1TB" u="1"/>
        <s v="Software Edulink" u="1"/>
        <s v="Storage reports of the monitoring tool for 12 months  - Ka" u="1"/>
        <s v="Support 2 years" u="1"/>
        <s v="Diferents Penalties on the month" u="1"/>
        <s v="Movings or Relocation 10% (Unistallation &amp; re installation)" u="1"/>
        <s v="Field Services - Site Corrective Maintenance - Ka Band (2Y)" u="1"/>
        <s v="Solar Panel" u="1"/>
        <s v="HUGHES KIT VSAT 1.2m + BUC 5W + HT2524" u="1"/>
        <s v="Installation New Equipment" u="1"/>
        <s v="VNO Managed Capacity 216 Mbps (48 sites Reuso 4:1) CIR 15/3" u="1"/>
        <s v="VNO Managed Capacity 288 Mbps (48 sites Reuso 3:1) CIR 15/3" u="1"/>
        <s v="SES Capacity  " u="1"/>
        <s v="Customized trouble ticket tool : local code of the school, school name, etc" u="1"/>
        <s v="Network Operation and Management - 24 months" u="1"/>
        <s v="Penalties / Reserve" u="1"/>
        <s v="Differents Penalties on the month" u="1"/>
        <s v="Gabinete" u="1"/>
        <s v="Management and service desk system - Speed Test Reporting (hardware included) - 18 months" u="1"/>
        <s v="Outdoor Dual radio WiFi 6 AP Omni 2x2, GbE. RW" u="1"/>
        <s v="Cambium AP Indoor + AP Outdoor" u="1"/>
        <s v="Movings or Relocation 3% (Unistallation &amp; re installation)" u="1"/>
        <s v="Network Operation and Management - 18 months" u="1"/>
        <s v="Ka Band Management Capacity " u="1"/>
        <s v="Ka managed capacity during the implementation - 6 months" u="1"/>
        <s v="AC line cord, US Type B, 720mm, C5 connector" u="1"/>
        <s v="Failed visits during installation" u="1"/>
        <s v="Server for SpeedTest - HP DL360" u="1"/>
        <s v="Support" u="1"/>
        <s v="Bond of Peru" u="1"/>
        <s v="Unistallation existing equipment and new Installation" u="1"/>
        <s v="Tranportation Hughes" u="1"/>
        <s v="Edulink Implementation" u="1"/>
        <s v="Hughes de Peru Operations " u="1"/>
        <s v="Trimast Mount for 74cm and 90cm antenna" u="1"/>
        <s v="Local Training to 2 people of the EPAD about process to verify the terminal" u="1"/>
        <s v="Monitoring Operation" u="1"/>
        <s v="3W Multi-mode radio, Ka-Band, RHCP" u="1"/>
        <s v="Plan OW 100/20 1TB" u="1"/>
        <s v="5x Gigabit Ethernet, SFP, Dual Core 880MHz CPU, 256MB RAM, USB, microSD, RouterOS L4, IPsec hardware encryption support and The Dude server package" u="1"/>
        <s v="NETFLOW Analyzer " u="1"/>
        <s v="146 Mbps 50/15 OVB 8:1" u="1"/>
        <s v="Laptop" u="1"/>
        <s v="Security Cams" u="1"/>
        <s v="Cabinet" u="1"/>
        <s v="Edulink Mini Servidor Industrial" u="1"/>
        <s v="HT2524 Cellular Backhaul Satellite Router" u="1"/>
        <s v="Antenna JONSA 90 cm" u="1"/>
        <s v="Router + AP" u="1"/>
        <s v="OW Service Plan " u="1"/>
        <s v="90cm Ka-Band antenna, Single IFL, 4 PK- 4 antennas" u="1"/>
        <s v="5x Gigabit Ethernet, SFP, Dual Core 880MHz CPU, 256MB RAM, USB, microSD, RouterOS L4, IPsec hardware encryption support and The Dude server package (20 kits vandalism and 5% for operations)" u="1"/>
        <s v="Transportation Hughes" u="1"/>
        <s v="HUGHES VSAT 1.2m + BUC 5W + HT2300" u="1"/>
        <s v="Local Training to 2 people of the school about process to verify the terminal" u="1"/>
        <s v="Dedicated FTE from Germantown " u="1"/>
        <s v="Miscellany" u="1"/>
        <s v="Web Filtering Solution" u="1"/>
        <s v="FORTINET ITEM 1" u="1"/>
        <s v="1.2m Ka-Band antenna, Single IFL" u="1"/>
        <s v="EM7 " u="1"/>
        <s v="1.2m Ka antenna tri-mast mount" u="1"/>
        <s v="Spare Cabinets" u="1"/>
        <s v="ONEWEB LEO Terminal HL1120 - 195 Mbps DL / 32 Mbps UL" u="1"/>
        <s v="Enterprise Service Plan 10/3" u="1"/>
        <s v="FORTINET ITEM 2" u="1"/>
        <s v="Ticketing Tool Management" u="1"/>
        <s v="Edulink Mini Servidor Industrial - Spare" u="1"/>
        <s v="Field Services - Site Corrective Maintenance - Ka Band (18m)" u="1"/>
        <s v="Plan OW FV02 F.Static.B 100/20/12000B " u="1"/>
        <s v="Monitoring Platform for Links" u="1"/>
        <s v="Monitoring Plataform" u="1"/>
        <s v="PoE, 60W, 56V, 5GbE DC Injector, Indoor, Energy Level 6 Supply, accepts C5 connector" u="1"/>
        <s v="90cm Ka-Band antenna, Single IFL, 1 PK" u="1"/>
        <s v="XMS-Cloud 3-year subscription for Education: 2 and 3-radio AP with all EasyPass modules and Cambium Care Advanced Support" u="1"/>
        <s v="FORTINET ITEM 3" u="1"/>
        <s v="Development and Implementation of Speed ​​Tests" u="1"/>
        <s v="Network Operations + Monitoring + Reporting" u="1"/>
        <s v="Local training about the monitoring tool and web filtering tool " u="1"/>
        <s v="Smart TV" u="1"/>
        <s v="Logistics (Storage center)" u="1"/>
        <s v="Tablets" u="1"/>
        <s v="FORTINET ITEM 4" u="1"/>
        <s v="Estabilizador" u="1"/>
        <s v="Computadora para Monitoreo" u="1"/>
        <s v="FORTINET ITEM 5" u="1"/>
        <s v="Installation + Site Survey + Materials Sites Ka Band" u="1"/>
        <s v="Plan OW FV02 F.Static.B 100/20/3000B 3000GB" u="1"/>
        <s v="FORTINET ALL ITEMS" u="1"/>
        <s v="Spare Solar Panel" u="1"/>
        <s v="Project Manager" u="1"/>
        <s v="Management and service desk system - Speed Test Reporting (hardware included) - 24 months" u="1"/>
        <s v="Hughes Training" u="1"/>
        <s v="Service Manager" u="1"/>
        <s v="Ka managed capacity for 24 Months -  " u="1"/>
        <s v="Hosting for SpeedTest Servers" u="1"/>
      </sharedItems>
    </cacheField>
    <cacheField name="Qty" numFmtId="3">
      <sharedItems containsSemiMixedTypes="0" containsString="0" containsNumber="1" minValue="0" maxValue="7023.3333333333294" count="49">
        <n v="1204"/>
        <n v="37"/>
        <n v="7023.3333333333294"/>
        <n v="25"/>
        <n v="0" u="1"/>
        <n v="146.25" u="1"/>
        <n v="356" u="1"/>
        <n v="13" u="1"/>
        <n v="36" u="1"/>
        <n v="288" u="1"/>
        <n v="5" u="1"/>
        <n v="837.375" u="1"/>
        <n v="625" u="1"/>
        <n v="15" u="1"/>
        <n v="423" u="1"/>
        <n v="2" u="1"/>
        <n v="6" u="1"/>
        <n v="48" u="1"/>
        <n v="92.5" u="1"/>
        <n v="540" u="1"/>
        <n v="50" u="1"/>
        <n v="107" u="1"/>
        <n v="300" u="1"/>
        <n v="18" u="1"/>
        <n v="500" u="1"/>
        <n v="90" u="1"/>
        <n v="7" u="1"/>
        <n v="373.8" u="1"/>
        <n v="2107" u="1"/>
        <n v="35" u="1"/>
        <n v="1" u="1"/>
        <n v="3" u="1"/>
        <n v="8" u="1"/>
        <n v="525" u="1"/>
        <n v="150" u="1"/>
        <n v="712" u="1"/>
        <n v="45" u="1"/>
        <n v="2468" u="1"/>
        <n v="10" u="1"/>
        <n v="216" u="1"/>
        <n v="460" u="1"/>
        <n v="28" u="1"/>
        <n v="80" u="1"/>
        <n v="321" u="1"/>
        <n v="392" u="1"/>
        <n v="30" u="1"/>
        <n v="4" u="1"/>
        <n v="12" u="1"/>
        <n v="55" u="1"/>
      </sharedItems>
    </cacheField>
    <cacheField name="Unit of Measure" numFmtId="3">
      <sharedItems/>
    </cacheField>
    <cacheField name="Discount" numFmtId="9">
      <sharedItems containsSemiMixedTypes="0" containsString="0" containsNumber="1" containsInteger="1" minValue="0" maxValue="0"/>
    </cacheField>
    <cacheField name="Finance?" numFmtId="9">
      <sharedItems count="4">
        <s v="NRC"/>
        <s v="MRC"/>
        <s v="No" u="1"/>
        <s v="Yes" u="1"/>
      </sharedItems>
    </cacheField>
    <cacheField name="Unit Price" numFmtId="165">
      <sharedItems containsSemiMixedTypes="0" containsString="0" containsNumber="1" minValue="4.6933333333333334" maxValue="3426.5453932584269"/>
    </cacheField>
    <cacheField name="Unit Disc. Price" numFmtId="165">
      <sharedItems containsSemiMixedTypes="0" containsString="0" containsNumber="1" minValue="4.6933333333333334" maxValue="3426.5453932584269"/>
    </cacheField>
    <cacheField name="Ext. Disc. Price" numFmtId="165">
      <sharedItems containsSemiMixedTypes="0" containsString="0" containsNumber="1" minValue="736.82857142857142" maxValue="8217299.9999999953"/>
    </cacheField>
    <cacheField name="Unit Cost" numFmtId="165">
      <sharedItems containsSemiMixedTypes="0" containsString="0" containsNumber="1" minValue="3.52" maxValue="3049.6253999999999"/>
    </cacheField>
    <cacheField name="Ext. Cost" numFmtId="165">
      <sharedItems containsSemiMixedTypes="0" containsString="0" containsNumber="1" minValue="515.78" maxValue="5056799.9999999972"/>
    </cacheField>
    <cacheField name="Profit Margin" numFmtId="9">
      <sharedItems containsSemiMixedTypes="0" containsString="0" containsNumber="1" minValue="0.1100000000000001" maxValue="0.4"/>
    </cacheField>
    <cacheField name="Owner" numFmtId="0">
      <sharedItems/>
    </cacheField>
    <cacheField name="Monthly Price per Site" numFmtId="165">
      <sharedItems containsSemiMixedTypes="0" containsString="0" containsNumber="1" minValue="3.3999103517375943E-2" maxValue="379.16666666666646"/>
    </cacheField>
    <cacheField name="Monthly Cost per Site" numFmtId="165">
      <sharedItems containsSemiMixedTypes="0" containsString="0" containsNumber="1" minValue="2.3799372462163158E-2" maxValue="233.33333333333317"/>
    </cacheField>
    <cacheField name="Monthly Price per Mbps" numFmtId="165">
      <sharedItems containsSemiMixedTypes="0" containsString="0" containsNumber="1" minValue="5.8284177458358755E-3" maxValue="64.999999999999957"/>
    </cacheField>
    <cacheField name="Monthly Cost per Mbps" numFmtId="165">
      <sharedItems containsSemiMixedTypes="0" containsString="0" containsNumber="1" minValue="4.0798924220851124E-3" maxValue="39.999999999999972"/>
    </cacheField>
    <cacheField name="Financed CAPEX" numFmtId="164">
      <sharedItems containsSemiMixedTypes="0" containsString="0" containsNumber="1" containsInteger="1" minValue="0" maxValue="0"/>
    </cacheField>
    <cacheField name="Financed Monthly Price per Site" numFmtId="164">
      <sharedItems containsSemiMixedTypes="0" containsString="0" containsNumber="1" minValue="0" maxValue="379.16666666666646"/>
    </cacheField>
    <cacheField name="Not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n v="1"/>
    <s v="CABO BLANCO, TUMBES"/>
    <n v="-4.2514861111111113"/>
    <n v="-81.234230555555555"/>
    <x v="0"/>
    <x v="0"/>
  </r>
  <r>
    <n v="2"/>
    <s v="MANCORA, TUMBES"/>
    <n v="-4.1074583333333328"/>
    <n v="-81.056163888888889"/>
    <x v="0"/>
    <x v="0"/>
  </r>
  <r>
    <n v="3"/>
    <s v="PARACHIQUE, PIURA"/>
    <n v="-5.7656333333333336"/>
    <n v="-80.863675000000001"/>
    <x v="1"/>
    <x v="1"/>
  </r>
  <r>
    <n v="4"/>
    <s v="SANTA ROSA, LAMBAYEQUE"/>
    <n v="-6.8848972222222216"/>
    <n v="-79.919497222222233"/>
    <x v="1"/>
    <x v="1"/>
  </r>
  <r>
    <n v="5"/>
    <s v="MALABRIGO, LA LIBERTAD"/>
    <n v="-7.6991666666666667"/>
    <n v="-79.436666666666667"/>
    <x v="1"/>
    <x v="1"/>
  </r>
  <r>
    <n v="6"/>
    <s v="HUARMEY, LIMA"/>
    <n v="-10.098333333333334"/>
    <n v="-78.169444444444451"/>
    <x v="2"/>
    <x v="2"/>
  </r>
  <r>
    <n v="7"/>
    <s v="TAMBO DE MORA, LIMA"/>
    <n v="-13.459638888888888"/>
    <n v="-76.183333333333337"/>
    <x v="3"/>
    <x v="0"/>
  </r>
  <r>
    <n v="8"/>
    <s v="CHALA, AREQUIPA"/>
    <n v="-15.866044444444444"/>
    <n v="-74.247936111111116"/>
    <x v="4"/>
    <x v="0"/>
  </r>
  <r>
    <n v="9"/>
    <s v="PLANCHADA, AREQUIPA"/>
    <n v="-16.40111111111111"/>
    <n v="-73.223647222222226"/>
    <x v="4"/>
    <x v="0"/>
  </r>
  <r>
    <n v="10"/>
    <s v="ATICO, AREQUIPA"/>
    <n v="-16.230274999999999"/>
    <n v="-73.696694444444447"/>
    <x v="4"/>
    <x v="0"/>
  </r>
  <r>
    <n v="11"/>
    <s v="MORROSAMA, TACNA"/>
    <n v="-17.994194444444446"/>
    <n v="-70.88302777777777"/>
    <x v="5"/>
    <x v="0"/>
  </r>
  <r>
    <n v="12"/>
    <s v="PUERTO PIZARRO, TUMBES"/>
    <n v="-3.4996749999999999"/>
    <n v="-80.388797222222223"/>
    <x v="0"/>
    <x v="0"/>
  </r>
  <r>
    <n v="13"/>
    <s v="VEGUETA, LIMA"/>
    <n v="-11.006944444444445"/>
    <n v="-77.653333333333336"/>
    <x v="2"/>
    <x v="2"/>
  </r>
  <r>
    <n v="14"/>
    <s v="MATARANI, TACNA"/>
    <n v="-16.995280555555556"/>
    <n v="-72.105249999999998"/>
    <x v="5"/>
    <x v="0"/>
  </r>
  <r>
    <n v="15"/>
    <s v="BAHIA CHORRILLOS, LIMA"/>
    <n v="-12.16325"/>
    <n v="-77.029972222222227"/>
    <x v="2"/>
    <x v="2"/>
  </r>
  <r>
    <n v="16"/>
    <s v="BAHIA ANCON, LIMA"/>
    <n v="-11.745111111111111"/>
    <n v="-77.193805555555556"/>
    <x v="2"/>
    <x v="2"/>
  </r>
  <r>
    <n v="17"/>
    <s v="BAHIA PUCUSANA, LIMA"/>
    <n v="-12.480277777777777"/>
    <n v="-76.799722222222215"/>
    <x v="3"/>
    <x v="0"/>
  </r>
  <r>
    <n v="18"/>
    <s v="BAYOVAR, PIURA"/>
    <n v="-5.7963611111111106"/>
    <n v="-81.054611111111114"/>
    <x v="6"/>
    <x v="3"/>
  </r>
  <r>
    <n v="19"/>
    <s v="CALETA VILA VILA, TACNA"/>
    <n v="-18.117333333333335"/>
    <n v="-70.728416666666675"/>
    <x v="5"/>
    <x v="0"/>
  </r>
  <r>
    <n v="20"/>
    <s v="CASMA, ANCASH"/>
    <n v="-9.4558333333333326"/>
    <n v="-78.385833333333338"/>
    <x v="7"/>
    <x v="4"/>
  </r>
  <r>
    <n v="21"/>
    <s v="CALETA LOMAS, AREQUIPA"/>
    <n v="-15.570277777777777"/>
    <n v="-74.853055555555557"/>
    <x v="4"/>
    <x v="0"/>
  </r>
  <r>
    <n v="22"/>
    <s v="PACASMAYO, LA LIBERTAD"/>
    <n v="-7.39825"/>
    <n v="-79.571666666666658"/>
    <x v="1"/>
    <x v="1"/>
  </r>
  <r>
    <n v="23"/>
    <s v="CALETA CANCAS, TUMBES"/>
    <n v="-3.9442777777777782"/>
    <n v="-80.94016666666667"/>
    <x v="0"/>
    <x v="0"/>
  </r>
  <r>
    <n v="24"/>
    <s v="CALETA QUILCA, AREQUIPA"/>
    <n v="-16.714722222222221"/>
    <n v="-72.434750000000008"/>
    <x v="5"/>
    <x v="0"/>
  </r>
  <r>
    <n v="25"/>
    <s v="CALETA SAN JOSE, LAMBAYEQUE"/>
    <n v="-6.769166666666667"/>
    <n v="-79.970500000000001"/>
    <x v="1"/>
    <x v="1"/>
  </r>
  <r>
    <n v="26"/>
    <s v="PUERTO ETEN, LAMBAYEQUE"/>
    <n v="-6.9482777777777782"/>
    <n v="-79.86633333333333"/>
    <x v="1"/>
    <x v="1"/>
  </r>
  <r>
    <n v="27"/>
    <s v="CERRO AZUL, LIMA"/>
    <n v="-13.025833333333335"/>
    <n v="-76.484333333333339"/>
    <x v="3"/>
    <x v="0"/>
  </r>
  <r>
    <n v="28"/>
    <s v="CALETA SAN ANDRES, LIMA"/>
    <n v="-13.733333333333333"/>
    <n v="-76.225277777777777"/>
    <x v="3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29">
  <r>
    <n v="1"/>
    <n v="823"/>
    <n v="3230"/>
    <s v="16206"/>
    <s v="AMAZONAS"/>
    <s v="BAGUA"/>
    <s v="ARAMANGO"/>
    <s v="TUTUMBEROS"/>
    <s v="TUTUMBEROS S/N"/>
    <s v="Rural"/>
    <n v="-5.3286740000000004"/>
    <n v="-78.445038999999994"/>
    <n v="30"/>
    <s v="SATELITAL"/>
    <s v="Selva"/>
    <x v="0"/>
    <n v="30"/>
    <n v="5"/>
    <n v="5"/>
    <n v="0.83333333333333337"/>
    <n v="5.833333333333333"/>
    <x v="0"/>
    <x v="0"/>
    <x v="0"/>
    <m/>
  </r>
  <r>
    <n v="2"/>
    <n v="824"/>
    <n v="665"/>
    <s v="18030"/>
    <s v="AMAZONAS"/>
    <s v="CHACHAPOYAS"/>
    <s v="CHUQUIBAMBA"/>
    <s v="CHUMBOL"/>
    <s v="CHUMBOL"/>
    <s v="Rural"/>
    <n v="-6.9279000000000002"/>
    <n v="-77.942499999999995"/>
    <n v="30"/>
    <s v="SATELITAL"/>
    <s v="Selva"/>
    <x v="0"/>
    <n v="30"/>
    <n v="5"/>
    <n v="5"/>
    <n v="0.83333333333333337"/>
    <n v="5.833333333333333"/>
    <x v="0"/>
    <x v="1"/>
    <x v="1"/>
    <m/>
  </r>
  <r>
    <n v="3"/>
    <n v="825"/>
    <n v="515018"/>
    <s v="SAN FRANCISCO"/>
    <s v="AMAZONAS"/>
    <s v="CHACHAPOYAS"/>
    <s v="SAN FRANCISCO DE DAGUAS"/>
    <s v="PIPUS"/>
    <s v="PIPUS"/>
    <s v="Rural"/>
    <n v="-6.2252000000000001"/>
    <n v="-77.731099999999998"/>
    <n v="30"/>
    <s v="SATELITAL"/>
    <s v="Selva"/>
    <x v="0"/>
    <n v="30"/>
    <n v="5"/>
    <n v="5"/>
    <n v="0.83333333333333337"/>
    <n v="5.833333333333333"/>
    <x v="0"/>
    <x v="0"/>
    <x v="0"/>
    <m/>
  </r>
  <r>
    <n v="4"/>
    <n v="826"/>
    <n v="7539"/>
    <s v="YUTUPIS"/>
    <s v="AMAZONAS"/>
    <s v="CONDORCANQUI"/>
    <s v="RIO SANTIAGO"/>
    <s v="YUTUPIS"/>
    <s v="YUTUPIS S/N"/>
    <s v="Rural"/>
    <n v="-4.0530999999999997"/>
    <n v="-77.762600000000006"/>
    <n v="30"/>
    <s v="SATELITAL"/>
    <s v="Selva"/>
    <x v="0"/>
    <n v="30"/>
    <n v="5"/>
    <n v="5"/>
    <n v="0.83333333333333337"/>
    <n v="5.833333333333333"/>
    <x v="0"/>
    <x v="2"/>
    <x v="2"/>
    <m/>
  </r>
  <r>
    <n v="5"/>
    <n v="827"/>
    <n v="539364"/>
    <s v="ELIAS AGUIRRE"/>
    <s v="AMAZONAS"/>
    <s v="LUYA"/>
    <s v="SANTA CATALINA"/>
    <s v="INGENIO"/>
    <s v="INGENIO"/>
    <s v="Rural"/>
    <n v="-6.0023999999999997"/>
    <n v="-78.152299999999997"/>
    <n v="30"/>
    <s v="SATELITAL"/>
    <s v="Selva"/>
    <x v="0"/>
    <n v="30"/>
    <n v="5"/>
    <n v="5"/>
    <n v="0.83333333333333337"/>
    <n v="5.833333333333333"/>
    <x v="0"/>
    <x v="0"/>
    <x v="0"/>
    <m/>
  </r>
  <r>
    <n v="6"/>
    <n v="828"/>
    <n v="9604"/>
    <s v="18266 YURI RANGEL GOMEZ"/>
    <s v="AMAZONAS"/>
    <s v="LUYA"/>
    <s v="SANTA CATALINA"/>
    <s v="SALAZAR"/>
    <s v="PARQUE CENTRAL"/>
    <s v="Rural"/>
    <n v="-6.032222"/>
    <n v="-78.135554999999997"/>
    <n v="30"/>
    <s v="SATELITAL"/>
    <s v="Selva"/>
    <x v="0"/>
    <n v="30"/>
    <n v="5"/>
    <n v="5"/>
    <n v="0.83333333333333337"/>
    <n v="5.833333333333333"/>
    <x v="0"/>
    <x v="0"/>
    <x v="0"/>
    <m/>
  </r>
  <r>
    <n v="7"/>
    <n v="829"/>
    <n v="9963"/>
    <s v="18265"/>
    <s v="AMAZONAS"/>
    <s v="LUYA"/>
    <s v="TINGO"/>
    <s v="KUELAP"/>
    <s v="KUELAP"/>
    <s v="Rural"/>
    <n v="-6.4228440000000004"/>
    <n v="-77.910805999999994"/>
    <n v="30"/>
    <s v="SATELITAL"/>
    <s v="Selva"/>
    <x v="0"/>
    <n v="30"/>
    <n v="5"/>
    <n v="5"/>
    <n v="0.83333333333333337"/>
    <n v="5.833333333333333"/>
    <x v="0"/>
    <x v="0"/>
    <x v="0"/>
    <m/>
  </r>
  <r>
    <n v="8"/>
    <n v="830"/>
    <n v="10805"/>
    <s v="18331"/>
    <s v="AMAZONAS"/>
    <s v="RODRIGUEZ DE MENDOZA"/>
    <s v="OMIA"/>
    <s v="NUEVO CHIRIMOTO"/>
    <s v="NUEVO CHIRIMOTO S/N"/>
    <s v="Rural"/>
    <n v="-6.5509680000000001"/>
    <n v="-77.235449000000003"/>
    <n v="30"/>
    <s v="SATELITAL"/>
    <s v="Selva"/>
    <x v="0"/>
    <n v="30"/>
    <n v="5"/>
    <n v="5"/>
    <n v="0.83333333333333337"/>
    <n v="5.833333333333333"/>
    <x v="0"/>
    <x v="1"/>
    <x v="1"/>
    <m/>
  </r>
  <r>
    <n v="9"/>
    <n v="831"/>
    <n v="11701"/>
    <s v="17076 CESAR VALLEJO MENDOZA"/>
    <s v="AMAZONAS"/>
    <s v="UTCUBAMBA"/>
    <s v="BAGUA GRANDE"/>
    <s v="BALCON"/>
    <s v="EL BALCON"/>
    <s v="Rural"/>
    <n v="-5.8845640000000001"/>
    <n v="-78.468823"/>
    <n v="30"/>
    <s v="SATELITAL"/>
    <s v="Selva"/>
    <x v="0"/>
    <n v="30"/>
    <n v="5"/>
    <n v="5"/>
    <n v="0.83333333333333337"/>
    <n v="5.833333333333333"/>
    <x v="0"/>
    <x v="0"/>
    <x v="0"/>
    <m/>
  </r>
  <r>
    <n v="10"/>
    <n v="832"/>
    <n v="11635"/>
    <s v="17063"/>
    <s v="AMAZONAS"/>
    <s v="UTCUBAMBA"/>
    <s v="BAGUA GRANDE"/>
    <s v="PROGRESO SAN ANTONIO"/>
    <s v="PROGRESO SAN ANTONIO"/>
    <s v="Rural"/>
    <n v="-5.9638410000000004"/>
    <n v="-78.317655000000002"/>
    <n v="30"/>
    <s v="SATELITAL"/>
    <s v="Selva"/>
    <x v="0"/>
    <n v="30"/>
    <n v="5"/>
    <n v="5"/>
    <n v="0.83333333333333337"/>
    <n v="5.833333333333333"/>
    <x v="0"/>
    <x v="0"/>
    <x v="0"/>
    <m/>
  </r>
  <r>
    <n v="11"/>
    <n v="833"/>
    <n v="11758"/>
    <s v="17231"/>
    <s v="AMAZONAS"/>
    <s v="UTCUBAMBA"/>
    <s v="BAGUA GRANDE"/>
    <s v="SAN JUAN DE CHOTA"/>
    <s v="SAN JUAN DE CHOTA"/>
    <s v="Rural"/>
    <n v="-5.8777650000000001"/>
    <n v="-78.451560000000001"/>
    <n v="30"/>
    <s v="SATELITAL"/>
    <s v="Selva"/>
    <x v="0"/>
    <n v="30"/>
    <n v="5"/>
    <n v="5"/>
    <n v="0.83333333333333337"/>
    <n v="5.833333333333333"/>
    <x v="0"/>
    <x v="0"/>
    <x v="0"/>
    <m/>
  </r>
  <r>
    <n v="12"/>
    <n v="834"/>
    <n v="13601"/>
    <s v="16247"/>
    <s v="AMAZONAS"/>
    <s v="UTCUBAMBA"/>
    <s v="CUMBA"/>
    <s v="HUALANGO"/>
    <s v="SAN PEDRO S/N"/>
    <s v="Rural"/>
    <n v="-5.9667389999999996"/>
    <n v="-78.577896999999993"/>
    <n v="30"/>
    <s v="SATELITAL"/>
    <s v="Selva"/>
    <x v="0"/>
    <n v="30"/>
    <n v="5"/>
    <n v="5"/>
    <n v="0.83333333333333337"/>
    <n v="5.833333333333333"/>
    <x v="0"/>
    <x v="0"/>
    <x v="0"/>
    <m/>
  </r>
  <r>
    <n v="13"/>
    <n v="835"/>
    <n v="13564"/>
    <s v="16126"/>
    <s v="AMAZONAS"/>
    <s v="UTCUBAMBA"/>
    <s v="CUMBA"/>
    <s v="MIRAFLORES"/>
    <s v="MIRAFLORES S/N"/>
    <s v="Rural"/>
    <n v="-5.9431919999999998"/>
    <n v="-78.549272000000002"/>
    <n v="30"/>
    <s v="SATELITAL"/>
    <s v="Selva"/>
    <x v="0"/>
    <n v="30"/>
    <n v="5"/>
    <n v="5"/>
    <n v="0.83333333333333337"/>
    <n v="5.833333333333333"/>
    <x v="0"/>
    <x v="0"/>
    <x v="0"/>
    <m/>
  </r>
  <r>
    <n v="14"/>
    <n v="836"/>
    <n v="13842"/>
    <s v="MANUEL GONZALES PRADA"/>
    <s v="AMAZONAS"/>
    <s v="UTCUBAMBA"/>
    <s v="CUMBA"/>
    <s v="NUEVA ESPERANZA"/>
    <s v="PROGRESO S/N"/>
    <s v="Rural"/>
    <n v="-5.9097999999999997"/>
    <n v="-78.557299999999998"/>
    <n v="30"/>
    <s v="SATELITAL"/>
    <s v="Selva"/>
    <x v="0"/>
    <n v="30"/>
    <n v="5"/>
    <n v="5"/>
    <n v="0.83333333333333337"/>
    <n v="5.833333333333333"/>
    <x v="0"/>
    <x v="0"/>
    <x v="0"/>
    <m/>
  </r>
  <r>
    <n v="15"/>
    <n v="837"/>
    <n v="13700"/>
    <s v="17208"/>
    <s v="AMAZONAS"/>
    <s v="UTCUBAMBA"/>
    <s v="CUMBA"/>
    <s v="SAN ANTONIO"/>
    <s v="SAN ANTONIO S/N"/>
    <s v="Rural"/>
    <n v="-5.8901479999999999"/>
    <n v="-78.585054999999997"/>
    <n v="30"/>
    <s v="SATELITAL"/>
    <s v="Selva"/>
    <x v="0"/>
    <n v="30"/>
    <n v="5"/>
    <n v="5"/>
    <n v="0.83333333333333337"/>
    <n v="5.833333333333333"/>
    <x v="0"/>
    <x v="0"/>
    <x v="0"/>
    <m/>
  </r>
  <r>
    <n v="16"/>
    <n v="838"/>
    <n v="13620"/>
    <s v="JOSE CARLOS MARIATEGUI || 16250"/>
    <s v="AMAZONAS"/>
    <s v="UTCUBAMBA"/>
    <s v="CUMBA"/>
    <s v="VISTA ALEGRE"/>
    <s v="VISTA ALEGRE"/>
    <s v="Rural"/>
    <n v="-5.9720230000000001"/>
    <n v="-78.547781999999998"/>
    <n v="30"/>
    <s v="SATELITAL"/>
    <s v="Selva"/>
    <x v="0"/>
    <n v="30"/>
    <n v="5"/>
    <n v="5"/>
    <n v="0.83333333333333337"/>
    <n v="5.833333333333333"/>
    <x v="0"/>
    <x v="0"/>
    <x v="0"/>
    <m/>
  </r>
  <r>
    <n v="17"/>
    <n v="839"/>
    <n v="382565"/>
    <s v="60558"/>
    <s v="LORETO"/>
    <s v="LORETO"/>
    <s v="NAUTA"/>
    <s v="NUEVA YORK"/>
    <s v="RIO TIGRE"/>
    <s v="Rural"/>
    <n v="-4.3216970000000003"/>
    <n v="-74.293822000000006"/>
    <n v="30"/>
    <s v="SATELITAL"/>
    <s v="Selva"/>
    <x v="0"/>
    <n v="30"/>
    <n v="5"/>
    <n v="5"/>
    <n v="0.83333333333333337"/>
    <n v="5.833333333333333"/>
    <x v="1"/>
    <x v="3"/>
    <x v="3"/>
    <m/>
  </r>
  <r>
    <n v="18"/>
    <n v="840"/>
    <n v="382462"/>
    <s v="60544 ELIAS AGUIRRE ROMERO"/>
    <s v="LORETO"/>
    <s v="LORETO"/>
    <s v="NAUTA"/>
    <s v="SAN JOAQUIN DE OMAGUAS"/>
    <s v="RIO AMAZONAS"/>
    <s v="Rural"/>
    <n v="-4.2862"/>
    <n v="-73.431099000000003"/>
    <n v="30"/>
    <s v="SATELITAL"/>
    <s v="Selva"/>
    <x v="0"/>
    <n v="30"/>
    <n v="5"/>
    <n v="5"/>
    <n v="0.83333333333333337"/>
    <n v="5.833333333333333"/>
    <x v="1"/>
    <x v="3"/>
    <x v="3"/>
    <m/>
  </r>
  <r>
    <n v="19"/>
    <n v="841"/>
    <n v="384183"/>
    <s v="6010200"/>
    <s v="LORETO"/>
    <s v="LORETO"/>
    <s v="TIGRE"/>
    <s v="DOCE DE OCTUBRE"/>
    <s v="RIO TIGRE"/>
    <s v="Rural"/>
    <n v="-2.3858039999999998"/>
    <n v="-75.802870999999996"/>
    <n v="30"/>
    <s v="SATELITAL"/>
    <s v="Selva"/>
    <x v="0"/>
    <n v="30"/>
    <n v="5"/>
    <n v="5"/>
    <n v="0.83333333333333337"/>
    <n v="5.833333333333333"/>
    <x v="1"/>
    <x v="3"/>
    <x v="3"/>
    <m/>
  </r>
  <r>
    <n v="20"/>
    <n v="842"/>
    <n v="386851"/>
    <s v="60276 EUGENIO RIVERA LOPEZ"/>
    <s v="LORETO"/>
    <s v="MARISCAL RAMON CASTILLA"/>
    <s v="YAVARI"/>
    <s v="ISLANDIA"/>
    <s v="PROGRESO"/>
    <s v="Rural"/>
    <n v="-4.3525"/>
    <n v="-70.043800000000005"/>
    <n v="30"/>
    <s v="SATELITAL"/>
    <s v="Selva"/>
    <x v="0"/>
    <n v="30"/>
    <n v="5"/>
    <n v="5"/>
    <n v="0.83333333333333337"/>
    <n v="5.833333333333333"/>
    <x v="1"/>
    <x v="3"/>
    <x v="3"/>
    <m/>
  </r>
  <r>
    <n v="21"/>
    <n v="843"/>
    <n v="366891"/>
    <s v="PADRE SEVERINO DESHAIES"/>
    <s v="LORETO"/>
    <s v="MAYNAS"/>
    <s v="FERNANDO LORES"/>
    <s v="ROSARIO AUCAYO"/>
    <s v="RIO AMAZONAS"/>
    <s v="Rural"/>
    <n v="-3.8579509999999999"/>
    <n v="-73.153603000000004"/>
    <n v="30"/>
    <s v="SATELITAL"/>
    <s v="Selva"/>
    <x v="0"/>
    <n v="30"/>
    <n v="5"/>
    <n v="5"/>
    <n v="0.83333333333333337"/>
    <n v="5.833333333333333"/>
    <x v="1"/>
    <x v="3"/>
    <x v="3"/>
    <m/>
  </r>
  <r>
    <n v="22"/>
    <n v="844"/>
    <n v="365698"/>
    <s v="60188 SIMON BOLIVAR"/>
    <s v="LORETO"/>
    <s v="MAYNAS"/>
    <s v="IQUITOS"/>
    <s v="IQUITOS"/>
    <s v="CALLE PUTUMAYO CUADRA 26"/>
    <s v="Urbana"/>
    <n v="-3.7318600000000002"/>
    <n v="-73.265039999999999"/>
    <n v="30"/>
    <s v="SATELITAL"/>
    <s v="Selva"/>
    <x v="0"/>
    <n v="30"/>
    <n v="5"/>
    <n v="5"/>
    <n v="0.83333333333333337"/>
    <n v="5.833333333333333"/>
    <x v="1"/>
    <x v="3"/>
    <x v="3"/>
    <m/>
  </r>
  <r>
    <n v="23"/>
    <n v="845"/>
    <n v="372321"/>
    <s v="60087 LUCILLE GAGNE PELLERIN || LUCILLE GAGNE PELLERIN"/>
    <s v="LORETO"/>
    <s v="MAYNAS"/>
    <s v="NAPO"/>
    <s v="SANTA CLOTILDE"/>
    <s v="RIO NAPO"/>
    <s v="Urbana"/>
    <n v="-2.4903550000000001"/>
    <n v="-73.681512999999995"/>
    <n v="30"/>
    <s v="SATELITAL"/>
    <s v="Selva"/>
    <x v="0"/>
    <n v="30"/>
    <n v="5"/>
    <n v="5"/>
    <n v="0.83333333333333337"/>
    <n v="5.833333333333333"/>
    <x v="1"/>
    <x v="3"/>
    <x v="3"/>
    <m/>
  </r>
  <r>
    <n v="24"/>
    <n v="846"/>
    <n v="374202"/>
    <s v="60342"/>
    <s v="LORETO"/>
    <s v="PUTUMAYO"/>
    <s v="TENIENTE MANUEL CLAVERO"/>
    <s v="TRES FRONTERAS"/>
    <s v="TRES FRONTERAS S/N"/>
    <s v="Rural"/>
    <n v="-9.7939999999999999E-2"/>
    <n v="-75.230348000000006"/>
    <n v="30"/>
    <s v="SATELITAL"/>
    <s v="Selva"/>
    <x v="0"/>
    <n v="30"/>
    <n v="5"/>
    <n v="5"/>
    <n v="0.83333333333333337"/>
    <n v="5.833333333333333"/>
    <x v="1"/>
    <x v="3"/>
    <x v="3"/>
    <m/>
  </r>
  <r>
    <n v="25"/>
    <n v="847"/>
    <n v="648264"/>
    <s v="CPED - 60762"/>
    <s v="LORETO"/>
    <s v="PUTUMAYO"/>
    <s v="YAGUAS"/>
    <s v="EL ALAMO"/>
    <s v="RIO YAHUAS"/>
    <s v="Rural"/>
    <n v="-2.794"/>
    <n v="-70.086799999999997"/>
    <n v="30"/>
    <s v="SATELITAL"/>
    <s v="Selva"/>
    <x v="0"/>
    <n v="30"/>
    <n v="5"/>
    <n v="5"/>
    <n v="0.83333333333333337"/>
    <n v="5.833333333333333"/>
    <x v="1"/>
    <x v="3"/>
    <x v="3"/>
    <m/>
  </r>
  <r>
    <n v="26"/>
    <n v="848"/>
    <n v="393502"/>
    <s v="JUANCITO"/>
    <s v="LORETO"/>
    <s v="UCAYALI"/>
    <s v="SARAYACU"/>
    <s v="JUANCITO"/>
    <s v="CALLE SAN JUAN S/N"/>
    <s v="Urbana"/>
    <n v="-6.0336819999999998"/>
    <n v="-74.853622000000001"/>
    <n v="30"/>
    <s v="SATELITAL"/>
    <s v="Selva"/>
    <x v="0"/>
    <n v="30"/>
    <n v="5"/>
    <n v="5"/>
    <n v="0.83333333333333337"/>
    <n v="5.833333333333333"/>
    <x v="1"/>
    <x v="3"/>
    <x v="3"/>
    <m/>
  </r>
  <r>
    <n v="27"/>
    <n v="849"/>
    <n v="393173"/>
    <s v="TIERRA BLANCA"/>
    <s v="LORETO"/>
    <s v="UCAYALI"/>
    <s v="SARAYACU"/>
    <s v="TIERRA BLANCA"/>
    <s v="JIRON LIBERTAD S/N"/>
    <s v="Rural"/>
    <n v="-6.5603920000000002"/>
    <n v="-75.175915000000003"/>
    <n v="30"/>
    <s v="SATELITAL"/>
    <s v="Selva"/>
    <x v="0"/>
    <n v="30"/>
    <n v="5"/>
    <n v="5"/>
    <n v="0.83333333333333337"/>
    <n v="5.833333333333333"/>
    <x v="1"/>
    <x v="3"/>
    <x v="3"/>
    <m/>
  </r>
  <r>
    <n v="28"/>
    <n v="850"/>
    <n v="393917"/>
    <s v="CARLOS CAVERO EGUZQUIZA"/>
    <s v="LORETO"/>
    <s v="UCAYALI"/>
    <s v="VARGAS GUERRA"/>
    <s v="ORELLANA"/>
    <s v="ORELLANA"/>
    <s v="Urbana"/>
    <n v="-6.913144"/>
    <n v="-75.160437000000002"/>
    <n v="30"/>
    <s v="SATELITAL"/>
    <s v="Selva"/>
    <x v="0"/>
    <n v="30"/>
    <n v="5"/>
    <n v="5"/>
    <n v="0.83333333333333337"/>
    <n v="5.833333333333333"/>
    <x v="1"/>
    <x v="3"/>
    <x v="3"/>
    <m/>
  </r>
  <r>
    <n v="29"/>
    <n v="851"/>
    <n v="396138"/>
    <s v="52159 CIENCIAS DE NUEVA || CIENCIAS DE NUEVA"/>
    <s v="MADRE DE DIOS"/>
    <s v="MANU"/>
    <s v="HUEPETUHE"/>
    <s v="CAYCHIHUE ALTO Y QUEBRADA NUEVA"/>
    <s v="PASAJE MIGUEL GRAU S/N"/>
    <s v="Rural"/>
    <n v="-13.026598999999999"/>
    <n v="-70.497377999999998"/>
    <n v="30"/>
    <s v="SATELITAL"/>
    <s v="Selva"/>
    <x v="0"/>
    <n v="30"/>
    <n v="5"/>
    <n v="5"/>
    <n v="0.83333333333333337"/>
    <n v="5.833333333333333"/>
    <x v="0"/>
    <x v="4"/>
    <x v="4"/>
    <m/>
  </r>
  <r>
    <n v="30"/>
    <n v="852"/>
    <n v="396063"/>
    <s v="52087 CAYCHIHUE || JOSE ANTONIO ENCINAS"/>
    <s v="MADRE DE DIOS"/>
    <s v="MANU"/>
    <s v="HUEPETUHE"/>
    <s v="CAYCHIHUE BARRACA"/>
    <s v="AVENIDA 28 DE JULIO S/N"/>
    <s v="Rural"/>
    <n v="-13.03443"/>
    <n v="-70.428686999999996"/>
    <n v="30"/>
    <s v="SATELITAL"/>
    <s v="Selva"/>
    <x v="0"/>
    <n v="30"/>
    <n v="5"/>
    <n v="5"/>
    <n v="0.83333333333333337"/>
    <n v="5.833333333333333"/>
    <x v="0"/>
    <x v="4"/>
    <x v="4"/>
    <m/>
  </r>
  <r>
    <n v="31"/>
    <n v="853"/>
    <n v="396082"/>
    <s v="CHOQUE || 52121"/>
    <s v="MADRE DE DIOS"/>
    <s v="MANU"/>
    <s v="HUEPETUHE"/>
    <s v="CHOQUE"/>
    <s v="CARRETERA MALDONADO - HUEPETUHE - CHOQUE KM 210"/>
    <s v="Rural"/>
    <n v="-12.98236"/>
    <n v="-70.591291999999996"/>
    <n v="30"/>
    <s v="SATELITAL"/>
    <s v="Selva"/>
    <x v="0"/>
    <n v="30"/>
    <n v="5"/>
    <n v="5"/>
    <n v="0.83333333333333337"/>
    <n v="5.833333333333333"/>
    <x v="0"/>
    <x v="4"/>
    <x v="4"/>
    <m/>
  </r>
  <r>
    <n v="32"/>
    <n v="854"/>
    <n v="758200"/>
    <s v="52082 HORACIO ZEBALLOS GAMEZ"/>
    <s v="MADRE DE DIOS"/>
    <s v="MANU"/>
    <s v="HUEPETUHE"/>
    <s v="HUAYPETUE"/>
    <s v="AVENIDA INDEPENDENCIA S/N"/>
    <s v="Urbana"/>
    <n v="-12.9938"/>
    <n v="-70.524199999999993"/>
    <n v="30"/>
    <s v="SATELITAL"/>
    <s v="Selva"/>
    <x v="0"/>
    <n v="30"/>
    <n v="5"/>
    <n v="5"/>
    <n v="0.83333333333333337"/>
    <n v="5.833333333333333"/>
    <x v="0"/>
    <x v="4"/>
    <x v="4"/>
    <m/>
  </r>
  <r>
    <n v="33"/>
    <n v="855"/>
    <n v="396020"/>
    <s v="52027 PUNKIRI"/>
    <s v="MADRE DE DIOS"/>
    <s v="MANU"/>
    <s v="HUEPETUHE"/>
    <s v="PUNKIRI CHICO"/>
    <s v="CARRETERA MALDONADO - HUEPETUHE KM 177"/>
    <s v="Rural"/>
    <n v="-13.065574"/>
    <n v="-70.395272000000006"/>
    <n v="30"/>
    <s v="SATELITAL"/>
    <s v="Selva"/>
    <x v="0"/>
    <n v="30"/>
    <n v="5"/>
    <n v="5"/>
    <n v="0.83333333333333337"/>
    <n v="5.833333333333333"/>
    <x v="0"/>
    <x v="4"/>
    <x v="4"/>
    <m/>
  </r>
  <r>
    <n v="34"/>
    <n v="856"/>
    <n v="396044"/>
    <s v="RVDO. PADRE PABLO ZAVALA MARTINEZ"/>
    <s v="MADRE DE DIOS"/>
    <s v="MANU"/>
    <s v="MADRE DE DIOS"/>
    <s v="BOCA COLORADO"/>
    <s v="AVENIDA MADRE DE DIOS S/N"/>
    <s v="Urbana"/>
    <n v="-12.619058000000001"/>
    <n v="-70.395501999999993"/>
    <n v="30"/>
    <s v="SATELITAL"/>
    <s v="Selva"/>
    <x v="0"/>
    <n v="30"/>
    <n v="5"/>
    <n v="5"/>
    <n v="0.83333333333333337"/>
    <n v="5.833333333333333"/>
    <x v="0"/>
    <x v="4"/>
    <x v="4"/>
    <m/>
  </r>
  <r>
    <n v="35"/>
    <n v="857"/>
    <n v="757696"/>
    <s v="RVDO. PADRE PABLO ZAVALA MARTINEZ"/>
    <s v="MADRE DE DIOS"/>
    <s v="MANU"/>
    <s v="MADRE DE DIOS"/>
    <s v="BOCA COLORADO"/>
    <s v="AVENIDA MADRE DE DIOS S/N"/>
    <s v="Urbana"/>
    <n v="-12.618095"/>
    <n v="-70.394255000000001"/>
    <n v="30"/>
    <s v="SATELITAL"/>
    <s v="Selva"/>
    <x v="0"/>
    <n v="30"/>
    <n v="5"/>
    <n v="5"/>
    <n v="0.83333333333333337"/>
    <n v="5.833333333333333"/>
    <x v="0"/>
    <x v="4"/>
    <x v="4"/>
    <m/>
  </r>
  <r>
    <n v="36"/>
    <n v="858"/>
    <n v="394832"/>
    <s v="SIMON BOLIVAR"/>
    <s v="MADRE DE DIOS"/>
    <s v="TAMBOPATA"/>
    <s v="INAMBARI"/>
    <s v="MAZUKO"/>
    <s v="JIRON FRANCISCO BOLOGNESI S/N"/>
    <s v="Urbana"/>
    <n v="-13.100699000000001"/>
    <n v="-70.369771999999998"/>
    <n v="30"/>
    <s v="SATELITAL"/>
    <s v="Selva"/>
    <x v="0"/>
    <n v="30"/>
    <n v="5"/>
    <n v="5"/>
    <n v="0.83333333333333337"/>
    <n v="5.833333333333333"/>
    <x v="0"/>
    <x v="4"/>
    <x v="4"/>
    <m/>
  </r>
  <r>
    <n v="37"/>
    <n v="859"/>
    <n v="394912"/>
    <s v="52129"/>
    <s v="MADRE DE DIOS"/>
    <s v="TAMBOPATA"/>
    <s v="INAMBARI"/>
    <s v="PUERTO MAZUKO"/>
    <s v="CARRETERA MALDONADO - PUERTO MAZUKO S/N"/>
    <s v="Rural"/>
    <n v="-13.090400000000001"/>
    <n v="-70.391099999999994"/>
    <n v="30"/>
    <s v="SATELITAL"/>
    <s v="Selva"/>
    <x v="0"/>
    <n v="30"/>
    <n v="5"/>
    <n v="5"/>
    <n v="0.83333333333333337"/>
    <n v="5.833333333333333"/>
    <x v="0"/>
    <x v="4"/>
    <x v="4"/>
    <m/>
  </r>
  <r>
    <n v="38"/>
    <n v="860"/>
    <n v="394988"/>
    <s v="RICARDO PALMA SORIANO || 52187 RICARDO PALMA SORIANO"/>
    <s v="MADRE DE DIOS"/>
    <s v="TAMBOPATA"/>
    <s v="INAMBARI"/>
    <s v="SARAYACU"/>
    <s v="CARRETERA MALDONADO - CUSCO KM 110"/>
    <s v="Rural"/>
    <n v="-12.797368000000001"/>
    <n v="-70.035534999999996"/>
    <n v="30"/>
    <s v="SATELITAL"/>
    <s v="Selva"/>
    <x v="0"/>
    <n v="30"/>
    <n v="5"/>
    <n v="5"/>
    <n v="0.83333333333333337"/>
    <n v="5.833333333333333"/>
    <x v="0"/>
    <x v="4"/>
    <x v="4"/>
    <m/>
  </r>
  <r>
    <n v="39"/>
    <n v="861"/>
    <n v="395582"/>
    <s v="52115"/>
    <s v="MADRE DE DIOS"/>
    <s v="TAMBOPATA"/>
    <s v="INAMBARI"/>
    <s v="UNION PROGRESO"/>
    <s v="CARRETERA PUERTO MALDONADO - CUSCO KM 83"/>
    <s v="Rural"/>
    <n v="-12.8797"/>
    <n v="-69.826499999999996"/>
    <n v="30"/>
    <s v="SATELITAL"/>
    <s v="Selva"/>
    <x v="0"/>
    <n v="30"/>
    <n v="5"/>
    <n v="5"/>
    <n v="0.83333333333333337"/>
    <n v="5.833333333333333"/>
    <x v="1"/>
    <x v="3"/>
    <x v="3"/>
    <m/>
  </r>
  <r>
    <n v="40"/>
    <n v="862"/>
    <n v="252470"/>
    <s v="52062 JAVIER HERAUD"/>
    <s v="MADRE DE DIOS"/>
    <s v="TAMBOPATA"/>
    <s v="LABERINTO"/>
    <s v="LABERINTO"/>
    <s v="JIRON LAS PIEDRAS S/N"/>
    <s v="Urbana"/>
    <n v="-12.716850000000001"/>
    <n v="-69.587721000000002"/>
    <n v="30"/>
    <s v="SATELITAL"/>
    <s v="Selva"/>
    <x v="0"/>
    <n v="30"/>
    <n v="5"/>
    <n v="5"/>
    <n v="0.83333333333333337"/>
    <n v="5.833333333333333"/>
    <x v="1"/>
    <x v="3"/>
    <x v="3"/>
    <m/>
  </r>
  <r>
    <n v="41"/>
    <n v="863"/>
    <n v="757026"/>
    <s v="JAVIER HERAUD"/>
    <s v="MADRE DE DIOS"/>
    <s v="TAMBOPATA"/>
    <s v="LABERINTO"/>
    <s v="LABERINTO"/>
    <s v="AVENIDA TAMBOPATA S/N"/>
    <s v="Urbana"/>
    <n v="-12.716850000000001"/>
    <n v="-69.587721000000002"/>
    <n v="30"/>
    <s v="SATELITAL"/>
    <s v="Selva"/>
    <x v="0"/>
    <n v="30"/>
    <n v="5"/>
    <n v="5"/>
    <n v="0.83333333333333337"/>
    <n v="5.833333333333333"/>
    <x v="1"/>
    <x v="3"/>
    <x v="3"/>
    <m/>
  </r>
  <r>
    <n v="42"/>
    <n v="864"/>
    <n v="394021"/>
    <s v="52020 CAP. FAP JOSE ABELARDO QUIÑONES"/>
    <s v="MADRE DE DIOS"/>
    <s v="TAMBOPATA"/>
    <s v="TAMBOPATA"/>
    <s v="LA JOYA"/>
    <s v="AVENIDA CENTENARIO S/N"/>
    <s v="Urbana"/>
    <n v="-12.602945999999999"/>
    <n v="-69.212058999999996"/>
    <n v="30"/>
    <s v="SATELITAL"/>
    <s v="Selva"/>
    <x v="0"/>
    <n v="30"/>
    <n v="5"/>
    <n v="5"/>
    <n v="0.83333333333333337"/>
    <n v="5.833333333333333"/>
    <x v="1"/>
    <x v="3"/>
    <x v="3"/>
    <m/>
  </r>
  <r>
    <n v="43"/>
    <n v="865"/>
    <n v="394243"/>
    <s v="LA PASTORA"/>
    <s v="MADRE DE DIOS"/>
    <s v="TAMBOPATA"/>
    <s v="TAMBOPATA"/>
    <s v="LA PASTORA"/>
    <s v="CARRETERA PUERTO MALDONADO - CUSCO"/>
    <s v="Urbana"/>
    <n v="-12.585947000000001"/>
    <n v="-69.21302"/>
    <n v="30"/>
    <s v="SATELITAL"/>
    <s v="Selva"/>
    <x v="0"/>
    <n v="30"/>
    <n v="5"/>
    <n v="5"/>
    <n v="0.83333333333333337"/>
    <n v="5.833333333333333"/>
    <x v="1"/>
    <x v="3"/>
    <x v="3"/>
    <m/>
  </r>
  <r>
    <n v="44"/>
    <n v="866"/>
    <n v="394318"/>
    <s v="52035 || SAN BERNARDO"/>
    <s v="MADRE DE DIOS"/>
    <s v="TAMBOPATA"/>
    <s v="TAMBOPATA"/>
    <s v="SAN BERNARDO"/>
    <s v="CARRETERA PUERTO MALDONADO - CUSCO KM 29"/>
    <s v="Rural"/>
    <n v="-12.68765"/>
    <n v="-69.398960000000002"/>
    <n v="30"/>
    <s v="SATELITAL"/>
    <s v="Selva"/>
    <x v="0"/>
    <n v="30"/>
    <n v="5"/>
    <n v="5"/>
    <n v="0.83333333333333337"/>
    <n v="5.833333333333333"/>
    <x v="1"/>
    <x v="3"/>
    <x v="3"/>
    <m/>
  </r>
  <r>
    <n v="45"/>
    <n v="867"/>
    <n v="471571"/>
    <s v="0194 TEODOCIA NAVARRO VEGA"/>
    <s v="SAN MARTIN"/>
    <s v="BELLAVISTA"/>
    <s v="BELLAVISTA"/>
    <s v="PERUATE"/>
    <s v="PERUATE"/>
    <s v="Rural"/>
    <n v="-6.9421290000000004"/>
    <n v="-76.556200000000004"/>
    <n v="30"/>
    <s v="SATELITAL"/>
    <s v="Selva"/>
    <x v="0"/>
    <n v="30"/>
    <n v="5"/>
    <n v="5"/>
    <n v="0.83333333333333337"/>
    <n v="5.833333333333333"/>
    <x v="0"/>
    <x v="1"/>
    <x v="1"/>
    <m/>
  </r>
  <r>
    <n v="46"/>
    <n v="868"/>
    <n v="472882"/>
    <s v="0272 ANDRES REATEGUI REATEGUI"/>
    <s v="SAN MARTIN"/>
    <s v="EL DORADO"/>
    <s v="SAN JOSE DE SISA"/>
    <s v="SAN JOSE DE SISA"/>
    <s v="JIRON INDEPENDENCIA CUADRA 4"/>
    <s v="Urbana"/>
    <n v="-6.6126259999999997"/>
    <n v="-76.693117000000001"/>
    <n v="30"/>
    <s v="SATELITAL"/>
    <s v="Selva"/>
    <x v="0"/>
    <n v="30"/>
    <n v="5"/>
    <n v="5"/>
    <n v="0.83333333333333337"/>
    <n v="5.833333333333333"/>
    <x v="0"/>
    <x v="1"/>
    <x v="1"/>
    <m/>
  </r>
  <r>
    <n v="47"/>
    <n v="869"/>
    <n v="472924"/>
    <s v="0278"/>
    <s v="SAN MARTIN"/>
    <s v="EL DORADO"/>
    <s v="SAN JOSE DE SISA"/>
    <s v="TANGARANA"/>
    <s v="JIRON CHICLAYO CUADRA 2"/>
    <s v="Urbana"/>
    <n v="-6.6224999999999996"/>
    <n v="-76.698099999999997"/>
    <n v="30"/>
    <s v="SATELITAL"/>
    <s v="Selva"/>
    <x v="0"/>
    <n v="30"/>
    <n v="5"/>
    <n v="5"/>
    <n v="0.83333333333333337"/>
    <n v="5.833333333333333"/>
    <x v="0"/>
    <x v="1"/>
    <x v="1"/>
    <m/>
  </r>
  <r>
    <n v="48"/>
    <n v="870"/>
    <n v="473382"/>
    <s v="0573"/>
    <s v="SAN MARTIN"/>
    <s v="EL DORADO"/>
    <s v="SAN MARTIN"/>
    <s v="ALTO ROQUE"/>
    <s v="ALTO ROQUE"/>
    <s v="Rural"/>
    <n v="-6.4790999999999999"/>
    <n v="-76.738"/>
    <n v="30"/>
    <s v="SATELITAL"/>
    <s v="Selva"/>
    <x v="0"/>
    <n v="30"/>
    <n v="5"/>
    <n v="5"/>
    <n v="0.83333333333333337"/>
    <n v="5.833333333333333"/>
    <x v="0"/>
    <x v="1"/>
    <x v="1"/>
    <m/>
  </r>
  <r>
    <n v="49"/>
    <n v="871"/>
    <n v="473377"/>
    <s v="0542"/>
    <s v="SAN MARTIN"/>
    <s v="EL DORADO"/>
    <s v="SAN MARTIN"/>
    <s v="NUEVO PACAIPAMPA"/>
    <s v="CARLOS A SALAVERRY 252"/>
    <s v="Rural"/>
    <n v="-6.3764770000000004"/>
    <n v="-76.901719"/>
    <n v="30"/>
    <s v="SATELITAL"/>
    <s v="Selva"/>
    <x v="0"/>
    <n v="30"/>
    <n v="5"/>
    <n v="5"/>
    <n v="0.83333333333333337"/>
    <n v="5.833333333333333"/>
    <x v="0"/>
    <x v="1"/>
    <x v="1"/>
    <m/>
  </r>
  <r>
    <n v="50"/>
    <n v="872"/>
    <n v="476074"/>
    <s v="0723 || 0723 BILINGUE"/>
    <s v="SAN MARTIN"/>
    <s v="LAMAS"/>
    <s v="BARRANQUITA"/>
    <s v="EL PIÑAL"/>
    <s v="EL PIÑAL"/>
    <s v="Rural"/>
    <n v="-6.3944999999999999"/>
    <n v="-76.047700000000006"/>
    <n v="30"/>
    <s v="SATELITAL"/>
    <s v="Selva"/>
    <x v="0"/>
    <n v="30"/>
    <n v="5"/>
    <n v="5"/>
    <n v="0.83333333333333337"/>
    <n v="5.833333333333333"/>
    <x v="1"/>
    <x v="3"/>
    <x v="3"/>
    <m/>
  </r>
  <r>
    <n v="51"/>
    <n v="873"/>
    <n v="475828"/>
    <s v="0589 GERARDO PINEDO VELA"/>
    <s v="SAN MARTIN"/>
    <s v="LAMAS"/>
    <s v="CAYNARACHI"/>
    <s v="YUMBATOS"/>
    <s v="CIRO ALEGRIA"/>
    <s v="Rural"/>
    <n v="-6.3216000000000001"/>
    <n v="-76.298100000000005"/>
    <n v="30"/>
    <s v="SATELITAL"/>
    <s v="Selva"/>
    <x v="0"/>
    <n v="30"/>
    <n v="5"/>
    <n v="5"/>
    <n v="0.83333333333333337"/>
    <n v="5.833333333333333"/>
    <x v="1"/>
    <x v="3"/>
    <x v="3"/>
    <m/>
  </r>
  <r>
    <n v="52"/>
    <n v="874"/>
    <n v="798871"/>
    <s v="FERNANDO BELAUNDE TERRY"/>
    <s v="SAN MARTIN"/>
    <s v="LAMAS"/>
    <s v="PINTO RECODO"/>
    <s v="LA LIBERTAD BAJO MAYO"/>
    <s v="LA LIBERTAD DEL BAJO MAYO"/>
    <s v="Rural"/>
    <n v="-6.1071999999999997"/>
    <n v="-76.837699999999998"/>
    <n v="30"/>
    <s v="SATELITAL"/>
    <s v="Selva"/>
    <x v="0"/>
    <n v="30"/>
    <n v="5"/>
    <n v="5"/>
    <n v="0.83333333333333337"/>
    <n v="5.833333333333333"/>
    <x v="1"/>
    <x v="3"/>
    <x v="3"/>
    <m/>
  </r>
  <r>
    <n v="53"/>
    <n v="875"/>
    <n v="476309"/>
    <s v="0340"/>
    <s v="SAN MARTIN"/>
    <s v="LAMAS"/>
    <s v="RUMISAPA"/>
    <s v="CHURUZAPA"/>
    <s v="CARRETERA MARGINAL NORTE KM. 15"/>
    <s v="Rural"/>
    <n v="-6.4733999999999998"/>
    <n v="-76.488699999999994"/>
    <n v="30"/>
    <s v="SATELITAL"/>
    <s v="Selva"/>
    <x v="0"/>
    <n v="30"/>
    <n v="5"/>
    <n v="5"/>
    <n v="0.83333333333333337"/>
    <n v="5.833333333333333"/>
    <x v="0"/>
    <x v="1"/>
    <x v="1"/>
    <m/>
  </r>
  <r>
    <n v="54"/>
    <n v="876"/>
    <n v="476267"/>
    <s v="0285"/>
    <s v="SAN MARTIN"/>
    <s v="LAMAS"/>
    <s v="RUMISAPA"/>
    <s v="RUMIZAPA"/>
    <s v="JIRON SAN MARTIN CUADRA 2"/>
    <s v="Rural"/>
    <n v="-6.4476000000000004"/>
    <n v="-76.473100000000002"/>
    <n v="30"/>
    <s v="SATELITAL"/>
    <s v="Selva"/>
    <x v="0"/>
    <n v="30"/>
    <n v="5"/>
    <n v="5"/>
    <n v="0.83333333333333337"/>
    <n v="5.833333333333333"/>
    <x v="0"/>
    <x v="1"/>
    <x v="1"/>
    <m/>
  </r>
  <r>
    <n v="55"/>
    <n v="877"/>
    <n v="476677"/>
    <s v="0754 JOSE ABRAHAM RAMIREZ HERNANDEZ"/>
    <s v="SAN MARTIN"/>
    <s v="LAMAS"/>
    <s v="TABALOSOS"/>
    <s v="SAN MIGUEL DEL RIO MAYO"/>
    <s v="SAN MIGUEL DEL RIO MAYO"/>
    <s v="Urbana"/>
    <n v="-6.4372999999999996"/>
    <n v="-76.586699999999993"/>
    <n v="30"/>
    <s v="SATELITAL"/>
    <s v="Selva"/>
    <x v="0"/>
    <n v="30"/>
    <n v="5"/>
    <n v="5"/>
    <n v="0.83333333333333337"/>
    <n v="5.833333333333333"/>
    <x v="0"/>
    <x v="1"/>
    <x v="1"/>
    <m/>
  </r>
  <r>
    <n v="56"/>
    <n v="878"/>
    <n v="477196"/>
    <s v="0403 SAGRADO CORAZON DE JESUS"/>
    <s v="SAN MARTIN"/>
    <s v="MARISCAL CACERES"/>
    <s v="JUANJUI"/>
    <s v="VILLA PRADO"/>
    <s v="VILLA PRADO"/>
    <s v="Rural"/>
    <n v="-7.1373569999999997"/>
    <n v="-76.705265999999995"/>
    <n v="30"/>
    <s v="SATELITAL"/>
    <s v="Selva"/>
    <x v="0"/>
    <n v="30"/>
    <n v="5"/>
    <n v="5"/>
    <n v="0.83333333333333337"/>
    <n v="5.833333333333333"/>
    <x v="0"/>
    <x v="1"/>
    <x v="1"/>
    <m/>
  </r>
  <r>
    <n v="57"/>
    <n v="879"/>
    <n v="478308"/>
    <s v="0444 JUAN PABLO II"/>
    <s v="SAN MARTIN"/>
    <s v="MARISCAL CACERES"/>
    <s v="PAJARILLO"/>
    <s v="COSTA RICA"/>
    <s v="JIRON LIBERTAD S/N"/>
    <s v="Rural"/>
    <n v="-7.3053559999999997"/>
    <n v="-76.652303000000003"/>
    <n v="30"/>
    <s v="SATELITAL"/>
    <s v="Selva"/>
    <x v="0"/>
    <n v="30"/>
    <n v="5"/>
    <n v="5"/>
    <n v="0.83333333333333337"/>
    <n v="5.833333333333333"/>
    <x v="0"/>
    <x v="1"/>
    <x v="1"/>
    <m/>
  </r>
  <r>
    <n v="58"/>
    <n v="880"/>
    <n v="478285"/>
    <s v="0438 FERNANDO BELAUNDE TERRY"/>
    <s v="SAN MARTIN"/>
    <s v="MARISCAL CACERES"/>
    <s v="PAJARILLO"/>
    <s v="PAJARILLO"/>
    <s v="JIRON MIGUEL GRAU S/N"/>
    <s v="Rural"/>
    <n v="-7.1789820000000004"/>
    <n v="-76.690995000000001"/>
    <n v="30"/>
    <s v="SATELITAL"/>
    <s v="Selva"/>
    <x v="0"/>
    <n v="30"/>
    <n v="5"/>
    <n v="5"/>
    <n v="0.83333333333333337"/>
    <n v="5.833333333333333"/>
    <x v="0"/>
    <x v="1"/>
    <x v="1"/>
    <m/>
  </r>
  <r>
    <n v="59"/>
    <n v="881"/>
    <n v="478346"/>
    <s v="ARTURO BARTRA GARCIA"/>
    <s v="SAN MARTIN"/>
    <s v="MARISCAL CACERES"/>
    <s v="PAJARILLO"/>
    <s v="PAJARILLO"/>
    <s v="JIRON MIGUEL GRAU S/N"/>
    <s v="Rural"/>
    <n v="-7.180472"/>
    <n v="-76.691567000000006"/>
    <n v="30"/>
    <s v="SATELITAL"/>
    <s v="Selva"/>
    <x v="0"/>
    <n v="30"/>
    <n v="5"/>
    <n v="5"/>
    <n v="0.83333333333333337"/>
    <n v="5.833333333333333"/>
    <x v="0"/>
    <x v="1"/>
    <x v="1"/>
    <m/>
  </r>
  <r>
    <n v="60"/>
    <n v="882"/>
    <n v="471081"/>
    <s v="00900"/>
    <s v="SAN MARTIN"/>
    <s v="MOYOBAMBA"/>
    <s v="SORITOR"/>
    <s v="LOS CLAVELES"/>
    <s v="LOS CLAVELES"/>
    <s v="Rural"/>
    <n v="-6.1305350000000001"/>
    <n v="-77.068757000000005"/>
    <n v="30"/>
    <s v="SATELITAL"/>
    <s v="Selva"/>
    <x v="0"/>
    <n v="30"/>
    <n v="5"/>
    <n v="5"/>
    <n v="0.83333333333333337"/>
    <n v="5.833333333333333"/>
    <x v="0"/>
    <x v="0"/>
    <x v="0"/>
    <s v="ANTENA 1.2M + 3W"/>
  </r>
  <r>
    <n v="61"/>
    <n v="883"/>
    <n v="478469"/>
    <s v="0118 MERRITT P. BROADY"/>
    <s v="SAN MARTIN"/>
    <s v="PICOTA"/>
    <s v="PICOTA"/>
    <s v="PUMAHUASI"/>
    <s v="CARRETERA PUMAHUASI"/>
    <s v="Urbana"/>
    <n v="-6.9251899999999997"/>
    <n v="-76.33175"/>
    <n v="30"/>
    <s v="SATELITAL"/>
    <s v="Selva"/>
    <x v="0"/>
    <n v="30"/>
    <n v="5"/>
    <n v="5"/>
    <n v="0.83333333333333337"/>
    <n v="5.833333333333333"/>
    <x v="0"/>
    <x v="1"/>
    <x v="1"/>
    <m/>
  </r>
  <r>
    <n v="62"/>
    <n v="884"/>
    <n v="479058"/>
    <s v="0777 MANUEL SCORZA"/>
    <s v="SAN MARTIN"/>
    <s v="PICOTA"/>
    <s v="SAN CRISTOBAL"/>
    <s v="PUERTO RICO"/>
    <s v="JIRON COMERCIO S/N"/>
    <s v="Rural"/>
    <n v="-6.9919669999999998"/>
    <n v="-76.421546000000006"/>
    <n v="30"/>
    <s v="SATELITAL"/>
    <s v="Selva"/>
    <x v="0"/>
    <n v="30"/>
    <n v="5"/>
    <n v="5"/>
    <n v="0.83333333333333337"/>
    <n v="5.833333333333333"/>
    <x v="0"/>
    <x v="1"/>
    <x v="1"/>
    <m/>
  </r>
  <r>
    <n v="63"/>
    <n v="885"/>
    <n v="479930"/>
    <s v="00110 LINORIO CHAVEZ HERNANDEZ"/>
    <s v="SAN MARTIN"/>
    <s v="RIOJA"/>
    <s v="AWAJUN"/>
    <s v="SAN FRANCISCO DEL ALTO MAYO"/>
    <s v="SAN FRANCISCO DEL ALTO MAYO"/>
    <s v="Rural"/>
    <n v="-5.7766999999999999"/>
    <n v="-77.318299999999994"/>
    <n v="30"/>
    <s v="SATELITAL"/>
    <s v="Selva"/>
    <x v="0"/>
    <n v="30"/>
    <n v="5"/>
    <n v="5"/>
    <n v="0.83333333333333337"/>
    <n v="5.833333333333333"/>
    <x v="0"/>
    <x v="0"/>
    <x v="0"/>
    <m/>
  </r>
  <r>
    <n v="64"/>
    <n v="886"/>
    <n v="800770"/>
    <s v="SANTIAGO ANTUNES DE MAYOLO"/>
    <s v="SAN MARTIN"/>
    <s v="RIOJA"/>
    <s v="NUEVA CAJAMARCA"/>
    <s v="LA UNION"/>
    <s v="AVENIDA SAN MARTIN S/N"/>
    <s v="Rural"/>
    <n v="-5.9076000000000004"/>
    <n v="-77.323400000000007"/>
    <n v="30"/>
    <s v="SATELITAL"/>
    <s v="Selva"/>
    <x v="0"/>
    <n v="30"/>
    <n v="5"/>
    <n v="5"/>
    <n v="0.83333333333333337"/>
    <n v="5.833333333333333"/>
    <x v="0"/>
    <x v="0"/>
    <x v="0"/>
    <m/>
  </r>
  <r>
    <n v="65"/>
    <n v="887"/>
    <n v="480655"/>
    <s v="00925"/>
    <s v="SAN MARTIN"/>
    <s v="RIOJA"/>
    <s v="NUEVA CAJAMARCA"/>
    <s v="NUEVA CAJAMARCA"/>
    <s v="JIRON SANTA TORIBIO MZ 8 LOTE 1,2,3"/>
    <s v="Urbana"/>
    <n v="-5.9485799999999998"/>
    <n v="-77.310580000000002"/>
    <n v="30"/>
    <s v="SATELITAL"/>
    <s v="Selva"/>
    <x v="0"/>
    <n v="30"/>
    <n v="5"/>
    <n v="5"/>
    <n v="0.83333333333333337"/>
    <n v="5.833333333333333"/>
    <x v="0"/>
    <x v="0"/>
    <x v="0"/>
    <m/>
  </r>
  <r>
    <n v="66"/>
    <n v="888"/>
    <n v="479647"/>
    <s v="00624 JUAN DANIEL DEL AGUILA VELASQUEZ"/>
    <s v="SAN MARTIN"/>
    <s v="RIOJA"/>
    <s v="RIOJA"/>
    <s v="RIOJA"/>
    <s v="JIRON ANDRES MORI 10 MZ O LOTE 0"/>
    <s v="Urbana"/>
    <n v="-6.0690200000000001"/>
    <n v="-77.174120000000002"/>
    <n v="30"/>
    <s v="SATELITAL"/>
    <s v="Selva"/>
    <x v="0"/>
    <n v="30"/>
    <n v="5"/>
    <n v="5"/>
    <n v="0.83333333333333337"/>
    <n v="5.833333333333333"/>
    <x v="0"/>
    <x v="0"/>
    <x v="0"/>
    <m/>
  </r>
  <r>
    <n v="67"/>
    <n v="889"/>
    <n v="479765"/>
    <s v="00537 MATILDE DEL AGUILA VELASQUEZ"/>
    <s v="SAN MARTIN"/>
    <s v="RIOJA"/>
    <s v="RIOJA"/>
    <s v="RIOJA"/>
    <s v="JIRON SAN MARTIN 1367"/>
    <s v="Urbana"/>
    <n v="-6.0657300000000003"/>
    <n v="-77.167670000000001"/>
    <n v="30"/>
    <s v="SATELITAL"/>
    <s v="Selva"/>
    <x v="0"/>
    <n v="30"/>
    <n v="5"/>
    <n v="5"/>
    <n v="0.83333333333333337"/>
    <n v="5.833333333333333"/>
    <x v="0"/>
    <x v="0"/>
    <x v="0"/>
    <m/>
  </r>
  <r>
    <n v="68"/>
    <n v="890"/>
    <n v="481320"/>
    <s v="00550"/>
    <s v="SAN MARTIN"/>
    <s v="RIOJA"/>
    <s v="SAN FERNANDO"/>
    <s v="SAN FERNANDO"/>
    <s v="PASAJE PACIFICO MZ 69 LOTE 1"/>
    <s v="Urbana"/>
    <n v="-5.9034789999999999"/>
    <n v="-77.270825000000002"/>
    <n v="30"/>
    <s v="SATELITAL"/>
    <s v="Selva"/>
    <x v="0"/>
    <n v="30"/>
    <n v="5"/>
    <n v="5"/>
    <n v="0.83333333333333337"/>
    <n v="5.833333333333333"/>
    <x v="0"/>
    <x v="0"/>
    <x v="0"/>
    <m/>
  </r>
  <r>
    <n v="69"/>
    <n v="891"/>
    <n v="800807"/>
    <s v="WILFREDO EZEQUIEL PONCE CHIRINOS"/>
    <s v="SAN MARTIN"/>
    <s v="RIOJA"/>
    <s v="YORONGOS"/>
    <s v="YORONGOS"/>
    <s v="JIRON SIMON BOLIVAR S/N"/>
    <s v="Rural"/>
    <n v="-6.1380999999999997"/>
    <n v="-77.142399999999995"/>
    <n v="30"/>
    <s v="SATELITAL"/>
    <s v="Selva"/>
    <x v="0"/>
    <n v="30"/>
    <n v="5"/>
    <n v="5"/>
    <n v="0.83333333333333337"/>
    <n v="5.833333333333333"/>
    <x v="0"/>
    <x v="0"/>
    <x v="0"/>
    <m/>
  </r>
  <r>
    <n v="70"/>
    <n v="892"/>
    <n v="482230"/>
    <s v="0048 SALOMON REATEGUI HIDALGO"/>
    <s v="SAN MARTIN"/>
    <s v="SAN MARTIN"/>
    <s v="CACATACHI"/>
    <s v="CACATACHI"/>
    <s v="JIRON FRANCISCO BOLOGNESI CUADRA 2"/>
    <s v="Urbana"/>
    <n v="-6.4621000000000004"/>
    <n v="-76.4495"/>
    <n v="30"/>
    <s v="SATELITAL"/>
    <s v="Selva"/>
    <x v="0"/>
    <n v="30"/>
    <n v="5"/>
    <n v="5"/>
    <n v="0.83333333333333337"/>
    <n v="5.833333333333333"/>
    <x v="0"/>
    <x v="1"/>
    <x v="1"/>
    <m/>
  </r>
  <r>
    <n v="71"/>
    <n v="893"/>
    <n v="482249"/>
    <s v="0049 ANTONIO RAIMONDI"/>
    <s v="SAN MARTIN"/>
    <s v="SAN MARTIN"/>
    <s v="CACATACHI"/>
    <s v="CACATACHI"/>
    <s v="JIRON SAN MARTIN CUADRA 4"/>
    <s v="Urbana"/>
    <n v="-6.4634"/>
    <n v="-76.4495"/>
    <n v="30"/>
    <s v="SATELITAL"/>
    <s v="Selva"/>
    <x v="0"/>
    <n v="30"/>
    <n v="5"/>
    <n v="5"/>
    <n v="0.83333333333333337"/>
    <n v="5.833333333333333"/>
    <x v="0"/>
    <x v="1"/>
    <x v="1"/>
    <m/>
  </r>
  <r>
    <n v="72"/>
    <n v="894"/>
    <n v="801982"/>
    <s v="0762"/>
    <s v="SAN MARTIN"/>
    <s v="SAN MARTIN"/>
    <s v="EL PORVENIR"/>
    <s v="NUEVA REFORMA"/>
    <s v="NUEVO REFORMA"/>
    <s v="Rural"/>
    <n v="-6.2664"/>
    <n v="-75.917599999999993"/>
    <n v="30"/>
    <s v="SATELITAL"/>
    <s v="Selva"/>
    <x v="0"/>
    <n v="30"/>
    <n v="5"/>
    <n v="5"/>
    <n v="0.83333333333333337"/>
    <n v="5.833333333333333"/>
    <x v="1"/>
    <x v="3"/>
    <x v="3"/>
    <m/>
  </r>
  <r>
    <n v="73"/>
    <n v="895"/>
    <n v="481773"/>
    <s v="0528"/>
    <s v="SAN MARTIN"/>
    <s v="SAN MARTIN"/>
    <s v="TARAPOTO"/>
    <s v="10 DE AGOSTO"/>
    <s v="JIRON SALAVERRY S/N MZ H LOTE 02"/>
    <s v="Urbana"/>
    <n v="-6.5001239999999996"/>
    <n v="-76.378360999999998"/>
    <n v="30"/>
    <s v="SATELITAL"/>
    <s v="Selva"/>
    <x v="0"/>
    <n v="30"/>
    <n v="5"/>
    <n v="5"/>
    <n v="0.83333333333333337"/>
    <n v="5.833333333333333"/>
    <x v="0"/>
    <x v="1"/>
    <x v="1"/>
    <m/>
  </r>
  <r>
    <n v="74"/>
    <n v="896"/>
    <n v="530863"/>
    <s v="0726"/>
    <s v="SAN MARTIN"/>
    <s v="TOCACHE"/>
    <s v="NUEVO PROGRESO"/>
    <s v="RIO BLANCO"/>
    <s v="CARRETERA FERNANDO BELAUNDE - TOCACHE - TINGO MARIA"/>
    <s v="Rural"/>
    <n v="-8.4388179999999995"/>
    <n v="-76.225331999999995"/>
    <n v="30"/>
    <s v="SATELITAL"/>
    <s v="Selva"/>
    <x v="0"/>
    <n v="30"/>
    <n v="5"/>
    <n v="5"/>
    <n v="0.83333333333333337"/>
    <n v="5.833333333333333"/>
    <x v="0"/>
    <x v="1"/>
    <x v="1"/>
    <m/>
  </r>
  <r>
    <n v="75"/>
    <n v="897"/>
    <n v="500192"/>
    <s v="64122 SAN JUAN BAUTISTA DE MALDONADILLO || SAN JUAN BAUTISTA DE MALDONADILLO"/>
    <s v="UCAYALI"/>
    <s v="ATALAYA"/>
    <s v="RAYMONDI"/>
    <s v="MALDONADILLO"/>
    <s v="MALDONADILLO"/>
    <s v="Rural"/>
    <n v="-10.738657"/>
    <n v="-73.724123000000006"/>
    <n v="30"/>
    <s v="SATELITAL"/>
    <s v="Selva"/>
    <x v="0"/>
    <n v="30"/>
    <n v="5"/>
    <n v="5"/>
    <n v="0.83333333333333337"/>
    <n v="5.833333333333333"/>
    <x v="0"/>
    <x v="5"/>
    <x v="5"/>
    <m/>
  </r>
  <r>
    <n v="76"/>
    <n v="898"/>
    <n v="501592"/>
    <s v="AGROP. LEONCIO PRADO || 64962"/>
    <s v="UCAYALI"/>
    <s v="ATALAYA"/>
    <s v="SEPAHUA"/>
    <s v="SEPAHUA"/>
    <s v="JIRON FUJIMORI CON BOLIVAR S/N"/>
    <s v="Urbana"/>
    <n v="-11.136101"/>
    <n v="-73.046750000000003"/>
    <n v="30"/>
    <s v="SATELITAL"/>
    <s v="Selva"/>
    <x v="0"/>
    <n v="30"/>
    <n v="5"/>
    <n v="5"/>
    <n v="0.83333333333333337"/>
    <n v="5.833333333333333"/>
    <x v="0"/>
    <x v="4"/>
    <x v="4"/>
    <m/>
  </r>
  <r>
    <n v="77"/>
    <n v="899"/>
    <n v="312474"/>
    <s v="64127 || PADRE FRANCISCO ALVAREZ"/>
    <s v="UCAYALI"/>
    <s v="ATALAYA"/>
    <s v="SEPAHUA"/>
    <s v="SEPAHUA"/>
    <s v="SEPAHUA COMUNIDAD NATIVA"/>
    <s v="Urbana"/>
    <n v="-11.145108"/>
    <n v="-73.040284999999997"/>
    <n v="30"/>
    <s v="SATELITAL"/>
    <s v="Selva"/>
    <x v="0"/>
    <n v="30"/>
    <n v="5"/>
    <n v="5"/>
    <n v="0.83333333333333337"/>
    <n v="5.833333333333333"/>
    <x v="0"/>
    <x v="4"/>
    <x v="4"/>
    <m/>
  </r>
  <r>
    <n v="78"/>
    <n v="900"/>
    <n v="496425"/>
    <s v="64054 || SANTA ELVITA"/>
    <s v="UCAYALI"/>
    <s v="CORONEL PORTILLO"/>
    <s v="CAMPOVERDE"/>
    <s v="SANTA ELVITA"/>
    <s v="AUTOPISTA FEDERICO BASADRE INT 200 M KM 40"/>
    <s v="Rural"/>
    <n v="-8.5152070000000002"/>
    <n v="-74.858554999999996"/>
    <n v="30"/>
    <s v="SATELITAL"/>
    <s v="Selva"/>
    <x v="0"/>
    <n v="30"/>
    <n v="5"/>
    <n v="5"/>
    <n v="0.83333333333333337"/>
    <n v="5.833333333333333"/>
    <x v="0"/>
    <x v="5"/>
    <x v="5"/>
    <m/>
  </r>
  <r>
    <n v="79"/>
    <n v="901"/>
    <n v="497364"/>
    <s v="64165-B"/>
    <s v="UCAYALI"/>
    <s v="CORONEL PORTILLO"/>
    <s v="IPARIA"/>
    <s v="PUERTO BELEN"/>
    <s v="RIO ALTO UCAYALI"/>
    <s v="Rural"/>
    <n v="-9.232602"/>
    <n v="-74.344880000000003"/>
    <n v="30"/>
    <s v="SATELITAL"/>
    <s v="Selva"/>
    <x v="0"/>
    <n v="30"/>
    <n v="5"/>
    <n v="5"/>
    <n v="0.83333333333333337"/>
    <n v="5.833333333333333"/>
    <x v="0"/>
    <x v="5"/>
    <x v="5"/>
    <m/>
  </r>
  <r>
    <n v="80"/>
    <n v="902"/>
    <n v="503082"/>
    <s v="64337"/>
    <s v="UCAYALI"/>
    <s v="PADRE ABAD"/>
    <s v="ALEXANDER VON HUMBOLDT"/>
    <s v="EL MILAGRO"/>
    <s v="CARRETERA FEDERICO BASADRE KM 83"/>
    <s v="Rural"/>
    <n v="-8.8021229999999999"/>
    <n v="-75.034829000000002"/>
    <n v="30"/>
    <s v="SATELITAL"/>
    <s v="Selva"/>
    <x v="0"/>
    <n v="30"/>
    <n v="5"/>
    <n v="5"/>
    <n v="0.83333333333333337"/>
    <n v="5.833333333333333"/>
    <x v="0"/>
    <x v="5"/>
    <x v="5"/>
    <m/>
  </r>
  <r>
    <n v="81"/>
    <n v="903"/>
    <n v="503591"/>
    <s v="65054"/>
    <s v="UCAYALI"/>
    <s v="PADRE ABAD"/>
    <s v="CURIMANA"/>
    <s v="NUEVA ALIANZA"/>
    <s v="CARRETERA NESHUYA CURIMANA INT 1 KM KM 36"/>
    <s v="Rural"/>
    <n v="-8.3848719999999997"/>
    <n v="-75.122519999999994"/>
    <n v="30"/>
    <s v="SATELITAL"/>
    <s v="Selva"/>
    <x v="0"/>
    <n v="30"/>
    <n v="5"/>
    <n v="5"/>
    <n v="0.83333333333333337"/>
    <n v="5.833333333333333"/>
    <x v="1"/>
    <x v="3"/>
    <x v="3"/>
    <m/>
  </r>
  <r>
    <n v="82"/>
    <n v="904"/>
    <n v="503063"/>
    <s v="64041 MONSEÑOR GUSTAVO PREVOST GODARD"/>
    <s v="UCAYALI"/>
    <s v="PADRE ABAD"/>
    <s v="NESHUYA"/>
    <s v="LA UNION"/>
    <s v="CARRETERA FEDERICO BASADRE KM 75"/>
    <s v="Rural"/>
    <n v="-8.7519200000000001"/>
    <n v="-75.016159999999999"/>
    <n v="30"/>
    <s v="SATELITAL"/>
    <s v="Selva"/>
    <x v="0"/>
    <n v="30"/>
    <n v="5"/>
    <n v="5"/>
    <n v="0.83333333333333337"/>
    <n v="5.833333333333333"/>
    <x v="0"/>
    <x v="5"/>
    <x v="5"/>
    <m/>
  </r>
  <r>
    <n v="83"/>
    <n v="905"/>
    <n v="504067"/>
    <s v="PALESTINA"/>
    <s v="UCAYALI"/>
    <s v="PURUS"/>
    <s v="PURUS"/>
    <s v="PALESTINA"/>
    <s v="RIO BAJO PURUS MARGEN IZQUIERDA S/N"/>
    <s v="Rural"/>
    <n v="-9.44346"/>
    <n v="-70.510189999999994"/>
    <n v="30"/>
    <s v="SATELITAL"/>
    <s v="Selva"/>
    <x v="0"/>
    <n v="30"/>
    <n v="5"/>
    <n v="5"/>
    <n v="0.83333333333333337"/>
    <n v="5.833333333333333"/>
    <x v="1"/>
    <x v="3"/>
    <x v="3"/>
    <m/>
  </r>
  <r>
    <n v="84"/>
    <n v="906"/>
    <n v="504005"/>
    <s v="PILOTO ESPERANZA"/>
    <s v="UCAYALI"/>
    <s v="PURUS"/>
    <s v="PURUS"/>
    <s v="PUERTO ESPERANZA"/>
    <s v="AVENIDA AMERICO LOAYZA GABANCHO S/N"/>
    <s v="Rural"/>
    <n v="-9.7725629999999999"/>
    <n v="-70.707308999999995"/>
    <n v="30"/>
    <s v="SATELITAL"/>
    <s v="Selva"/>
    <x v="0"/>
    <n v="30"/>
    <n v="5"/>
    <n v="5"/>
    <n v="0.83333333333333337"/>
    <n v="5.833333333333333"/>
    <x v="1"/>
    <x v="3"/>
    <x v="3"/>
    <m/>
  </r>
  <r>
    <n v="85"/>
    <n v="1"/>
    <n v="17897"/>
    <s v="86154"/>
    <s v="ANCASH"/>
    <s v="AIJA"/>
    <s v="CORIS"/>
    <s v="QUISHUAR"/>
    <s v="QUISHUAR"/>
    <s v="Rural"/>
    <n v="-9.7878589999999992"/>
    <n v="-77.789795999999996"/>
    <n v="30"/>
    <s v="SATELITAL"/>
    <s v="Centro"/>
    <x v="1"/>
    <n v="30"/>
    <n v="5"/>
    <n v="5"/>
    <n v="0.83333333333333337"/>
    <n v="5.833333333333333"/>
    <x v="0"/>
    <x v="6"/>
    <x v="4"/>
    <m/>
  </r>
  <r>
    <n v="86"/>
    <n v="2"/>
    <n v="18043"/>
    <s v="86145"/>
    <s v="ANCASH"/>
    <s v="AIJA"/>
    <s v="LA MERCED"/>
    <s v="MALLAKAYAN / MALLUCALLAN"/>
    <s v="MALLACAYAN"/>
    <s v="Rural"/>
    <n v="-9.7184930000000005"/>
    <n v="-77.598588000000007"/>
    <n v="30"/>
    <s v="SATELITAL"/>
    <s v="Centro"/>
    <x v="1"/>
    <n v="30"/>
    <n v="5"/>
    <n v="5"/>
    <n v="0.83333333333333337"/>
    <n v="5.833333333333333"/>
    <x v="0"/>
    <x v="6"/>
    <x v="4"/>
    <m/>
  </r>
  <r>
    <n v="87"/>
    <n v="3"/>
    <n v="18383"/>
    <s v="VICTOR ANDRES BELAUNDE || 86194"/>
    <s v="ANCASH"/>
    <s v="ANTONIO RAYMONDI"/>
    <s v="ACZO"/>
    <s v="CHACAS"/>
    <s v="AVENIDA CANADA S/N"/>
    <s v="Rural"/>
    <n v="-9.1620000000000008"/>
    <n v="-77.016499999999994"/>
    <n v="30"/>
    <s v="SATELITAL"/>
    <s v="Centro"/>
    <x v="1"/>
    <n v="30"/>
    <n v="5"/>
    <n v="5"/>
    <n v="0.83333333333333337"/>
    <n v="5.833333333333333"/>
    <x v="0"/>
    <x v="1"/>
    <x v="1"/>
    <m/>
  </r>
  <r>
    <n v="88"/>
    <n v="4"/>
    <n v="18774"/>
    <s v="86806"/>
    <s v="ANCASH"/>
    <s v="ANTONIO RAYMONDI"/>
    <s v="MIRGAS"/>
    <s v="SAN JOSE DE ILLAURO"/>
    <s v="SAN JOSE DE ILLAURO"/>
    <s v="Rural"/>
    <n v="-9.1320730000000001"/>
    <n v="-77.133522999999997"/>
    <n v="30"/>
    <s v="SATELITAL"/>
    <s v="Centro"/>
    <x v="1"/>
    <n v="30"/>
    <n v="5"/>
    <n v="5"/>
    <n v="0.83333333333333337"/>
    <n v="5.833333333333333"/>
    <x v="0"/>
    <x v="1"/>
    <x v="1"/>
    <m/>
  </r>
  <r>
    <n v="89"/>
    <n v="5"/>
    <n v="19052"/>
    <s v="AMAUTA ATUSPARIA"/>
    <s v="ANCASH"/>
    <s v="ASUNCION"/>
    <s v="CHACAS"/>
    <s v="CHACAS"/>
    <s v="JIRON SAN MARTIN S/N"/>
    <s v="Urbana"/>
    <n v="-9.1629369999999994"/>
    <n v="-77.369622000000007"/>
    <n v="30"/>
    <s v="SATELITAL"/>
    <s v="Centro"/>
    <x v="1"/>
    <n v="30"/>
    <n v="5"/>
    <n v="5"/>
    <n v="0.83333333333333337"/>
    <n v="5.833333333333333"/>
    <x v="0"/>
    <x v="1"/>
    <x v="1"/>
    <m/>
  </r>
  <r>
    <n v="90"/>
    <n v="6"/>
    <n v="19066"/>
    <s v="CESAR VALLEJO"/>
    <s v="ANCASH"/>
    <s v="ASUNCION"/>
    <s v="CHACAS"/>
    <s v="VISCAS / JAMBON"/>
    <s v="CARRETERA JAMBON S/N"/>
    <s v="Rural"/>
    <n v="-9.1524870000000007"/>
    <n v="-77.386528999999996"/>
    <n v="30"/>
    <s v="SATELITAL"/>
    <s v="Centro"/>
    <x v="1"/>
    <n v="30"/>
    <n v="5"/>
    <n v="5"/>
    <n v="0.83333333333333337"/>
    <n v="5.833333333333333"/>
    <x v="0"/>
    <x v="1"/>
    <x v="1"/>
    <m/>
  </r>
  <r>
    <n v="91"/>
    <n v="7"/>
    <n v="20507"/>
    <s v="86719"/>
    <s v="ANCASH"/>
    <s v="CARHUAZ"/>
    <s v="ACOPAMPA"/>
    <s v="OBRAJE"/>
    <s v="OBRAJE"/>
    <s v="Rural"/>
    <n v="-9.2821230000000003"/>
    <n v="-77.630821999999995"/>
    <n v="30"/>
    <s v="SATELITAL"/>
    <s v="Centro"/>
    <x v="1"/>
    <n v="30"/>
    <n v="5"/>
    <n v="5"/>
    <n v="0.83333333333333337"/>
    <n v="5.833333333333333"/>
    <x v="0"/>
    <x v="1"/>
    <x v="1"/>
    <m/>
  </r>
  <r>
    <n v="92"/>
    <n v="8"/>
    <n v="20201"/>
    <s v="86299"/>
    <s v="ANCASH"/>
    <s v="CARHUAZ"/>
    <s v="CARHUAZ"/>
    <s v="ÑIHUIN"/>
    <s v="NIVIN"/>
    <s v="Rural"/>
    <n v="-9.2958490000000005"/>
    <n v="-77.690448000000004"/>
    <n v="30"/>
    <s v="SATELITAL"/>
    <s v="Centro"/>
    <x v="1"/>
    <n v="30"/>
    <n v="5"/>
    <n v="5"/>
    <n v="0.83333333333333337"/>
    <n v="5.833333333333333"/>
    <x v="0"/>
    <x v="1"/>
    <x v="1"/>
    <m/>
  </r>
  <r>
    <n v="93"/>
    <n v="9"/>
    <n v="20324"/>
    <s v="86295"/>
    <s v="ANCASH"/>
    <s v="CARHUAZ"/>
    <s v="CARHUAZ"/>
    <s v="PONQUEZ"/>
    <s v="PONQUEZ"/>
    <s v="Rural"/>
    <n v="-9.3114410000000003"/>
    <n v="-77.662889000000007"/>
    <n v="30"/>
    <s v="SATELITAL"/>
    <s v="Centro"/>
    <x v="1"/>
    <n v="30"/>
    <n v="5"/>
    <n v="5"/>
    <n v="0.83333333333333337"/>
    <n v="5.833333333333333"/>
    <x v="0"/>
    <x v="1"/>
    <x v="1"/>
    <m/>
  </r>
  <r>
    <n v="94"/>
    <n v="10"/>
    <n v="21069"/>
    <s v="86286 SEÑOR DE LOS AUXILIOS"/>
    <s v="ANCASH"/>
    <s v="CARHUAZ"/>
    <s v="TINCO"/>
    <s v="TOMA"/>
    <s v="CALLE 3 TOMA S/N"/>
    <s v="Rural"/>
    <n v="-9.2696939999999994"/>
    <n v="-77.665604000000002"/>
    <n v="30"/>
    <s v="SATELITAL"/>
    <s v="Centro"/>
    <x v="1"/>
    <n v="30"/>
    <n v="5"/>
    <n v="5"/>
    <n v="0.83333333333333337"/>
    <n v="5.833333333333333"/>
    <x v="0"/>
    <x v="1"/>
    <x v="1"/>
    <m/>
  </r>
  <r>
    <n v="95"/>
    <n v="11"/>
    <n v="21111"/>
    <s v="86282 FRANCISCO ALEGRE SERRANO"/>
    <s v="ANCASH"/>
    <s v="CARHUAZ"/>
    <s v="YUNGAR"/>
    <s v="CARIAN"/>
    <s v="AVENIDA FLOR DE YUNGAR S/N"/>
    <s v="Rural"/>
    <n v="-9.3805130000000005"/>
    <n v="-77.590190000000007"/>
    <n v="30"/>
    <s v="SATELITAL"/>
    <s v="Centro"/>
    <x v="1"/>
    <n v="30"/>
    <n v="5"/>
    <n v="5"/>
    <n v="0.83333333333333337"/>
    <n v="5.833333333333333"/>
    <x v="0"/>
    <x v="1"/>
    <x v="1"/>
    <m/>
  </r>
  <r>
    <n v="96"/>
    <n v="12"/>
    <n v="22498"/>
    <s v="88112 RICARDO PALMA"/>
    <s v="ANCASH"/>
    <s v="CASMA"/>
    <s v="BUENA VISTA ALTA"/>
    <s v="SECHIN ALTO"/>
    <s v="SECHIN ALTO"/>
    <s v="Rural"/>
    <n v="-9.4600939999999998"/>
    <n v="-78.239125000000001"/>
    <n v="30"/>
    <s v="SATELITAL"/>
    <s v="Centro"/>
    <x v="1"/>
    <n v="30"/>
    <n v="5"/>
    <n v="5"/>
    <n v="0.83333333333333337"/>
    <n v="5.833333333333333"/>
    <x v="0"/>
    <x v="1"/>
    <x v="1"/>
    <m/>
  </r>
  <r>
    <n v="97"/>
    <n v="13"/>
    <n v="15351"/>
    <s v="86014 TUPAC AMARU II"/>
    <s v="ANCASH"/>
    <s v="HUARAZ"/>
    <s v="HUARAZ"/>
    <s v="HUALLCOR"/>
    <s v="HUALLCOR"/>
    <s v="Rural"/>
    <n v="-9.5994989999999998"/>
    <n v="-77.494355999999996"/>
    <n v="30"/>
    <s v="SATELITAL"/>
    <s v="Centro"/>
    <x v="1"/>
    <n v="30"/>
    <n v="5"/>
    <n v="5"/>
    <n v="0.83333333333333337"/>
    <n v="5.833333333333333"/>
    <x v="0"/>
    <x v="6"/>
    <x v="4"/>
    <m/>
  </r>
  <r>
    <n v="98"/>
    <n v="14"/>
    <n v="15346"/>
    <s v="86009 MICAELA BASTIDAS PUYUCAHUA"/>
    <s v="ANCASH"/>
    <s v="HUARAZ"/>
    <s v="HUARAZ"/>
    <s v="HUAMARIN"/>
    <s v="HUAMARIN"/>
    <s v="Rural"/>
    <n v="-9.6150690000000001"/>
    <n v="-77.511850999999993"/>
    <n v="30"/>
    <s v="SATELITAL"/>
    <s v="Centro"/>
    <x v="1"/>
    <n v="30"/>
    <n v="5"/>
    <n v="5"/>
    <n v="0.83333333333333337"/>
    <n v="5.833333333333333"/>
    <x v="0"/>
    <x v="6"/>
    <x v="4"/>
    <m/>
  </r>
  <r>
    <n v="99"/>
    <n v="15"/>
    <n v="15488"/>
    <s v="86079"/>
    <s v="ANCASH"/>
    <s v="HUARAZ"/>
    <s v="HUARAZ"/>
    <s v="ICHOCA"/>
    <s v="ICHOCA"/>
    <s v="Rural"/>
    <n v="-9.5277340000000006"/>
    <n v="-77.499080000000006"/>
    <n v="30"/>
    <s v="SATELITAL"/>
    <s v="Centro"/>
    <x v="1"/>
    <n v="30"/>
    <n v="5"/>
    <n v="5"/>
    <n v="0.83333333333333337"/>
    <n v="5.833333333333333"/>
    <x v="0"/>
    <x v="6"/>
    <x v="4"/>
    <m/>
  </r>
  <r>
    <n v="100"/>
    <n v="16"/>
    <n v="15313"/>
    <s v="86005 RICARDO PALMA CARRILLO"/>
    <s v="ANCASH"/>
    <s v="HUARAZ"/>
    <s v="HUARAZ"/>
    <s v="SAN NICOLAS"/>
    <s v="CARRETERA SAN NICOLAS S/N"/>
    <s v="Rural"/>
    <n v="-9.5868400000000005"/>
    <n v="-77.519880000000001"/>
    <n v="30"/>
    <s v="SATELITAL"/>
    <s v="Centro"/>
    <x v="1"/>
    <n v="30"/>
    <n v="5"/>
    <n v="5"/>
    <n v="0.83333333333333337"/>
    <n v="5.833333333333333"/>
    <x v="0"/>
    <x v="6"/>
    <x v="4"/>
    <m/>
  </r>
  <r>
    <n v="101"/>
    <n v="17"/>
    <n v="15412"/>
    <s v="86012"/>
    <s v="ANCASH"/>
    <s v="HUARAZ"/>
    <s v="HUARAZ"/>
    <s v="TOCLLA"/>
    <s v="TOCLLA"/>
    <s v="Rural"/>
    <n v="-9.5777140000000003"/>
    <n v="-77.530213000000003"/>
    <n v="30"/>
    <s v="SATELITAL"/>
    <s v="Centro"/>
    <x v="1"/>
    <n v="30"/>
    <n v="5"/>
    <n v="5"/>
    <n v="0.83333333333333337"/>
    <n v="5.833333333333333"/>
    <x v="0"/>
    <x v="6"/>
    <x v="4"/>
    <m/>
  </r>
  <r>
    <n v="102"/>
    <n v="18"/>
    <n v="16483"/>
    <s v="86093 JOSE PARDO Y BARREDA"/>
    <s v="ANCASH"/>
    <s v="HUARAZ"/>
    <s v="INDEPENDENCIA"/>
    <s v="CANTU"/>
    <s v="NUEVA FLORIDA S/N"/>
    <s v="Rural"/>
    <n v="-9.5175599999999996"/>
    <n v="-77.497843000000003"/>
    <n v="30"/>
    <s v="SATELITAL"/>
    <s v="Centro"/>
    <x v="1"/>
    <n v="30"/>
    <n v="5"/>
    <n v="5"/>
    <n v="0.83333333333333337"/>
    <n v="5.833333333333333"/>
    <x v="0"/>
    <x v="6"/>
    <x v="4"/>
    <m/>
  </r>
  <r>
    <n v="103"/>
    <n v="19"/>
    <n v="16609"/>
    <s v="86849"/>
    <s v="ANCASH"/>
    <s v="HUARAZ"/>
    <s v="INDEPENDENCIA"/>
    <s v="CASHACANCHA"/>
    <s v="CASHACANCHA"/>
    <s v="Rural"/>
    <n v="-9.5315060000000003"/>
    <n v="-77.573858000000001"/>
    <n v="30"/>
    <s v="SATELITAL"/>
    <s v="Centro"/>
    <x v="1"/>
    <n v="30"/>
    <n v="5"/>
    <n v="5"/>
    <n v="0.83333333333333337"/>
    <n v="5.833333333333333"/>
    <x v="0"/>
    <x v="6"/>
    <x v="4"/>
    <m/>
  </r>
  <r>
    <n v="104"/>
    <n v="20"/>
    <n v="16435"/>
    <s v="86086"/>
    <s v="ANCASH"/>
    <s v="HUARAZ"/>
    <s v="INDEPENDENCIA"/>
    <s v="CHICNEY"/>
    <s v="CHICNEY"/>
    <s v="Rural"/>
    <n v="-9.4607609999999998"/>
    <n v="-77.545687999999998"/>
    <n v="30"/>
    <s v="SATELITAL"/>
    <s v="Centro"/>
    <x v="1"/>
    <n v="30"/>
    <n v="5"/>
    <n v="5"/>
    <n v="0.83333333333333337"/>
    <n v="5.833333333333333"/>
    <x v="0"/>
    <x v="6"/>
    <x v="4"/>
    <m/>
  </r>
  <r>
    <n v="105"/>
    <n v="21"/>
    <n v="16355"/>
    <s v="86039 VICTOR ZUÑIGA TOLEDO"/>
    <s v="ANCASH"/>
    <s v="HUARAZ"/>
    <s v="INDEPENDENCIA"/>
    <s v="CURHUAS"/>
    <s v="CURHUAS"/>
    <s v="Rural"/>
    <n v="-9.4991129999999995"/>
    <n v="-77.526443999999998"/>
    <n v="30"/>
    <s v="SATELITAL"/>
    <s v="Centro"/>
    <x v="1"/>
    <n v="30"/>
    <n v="5"/>
    <n v="5"/>
    <n v="0.83333333333333337"/>
    <n v="5.833333333333333"/>
    <x v="0"/>
    <x v="6"/>
    <x v="4"/>
    <m/>
  </r>
  <r>
    <n v="106"/>
    <n v="22"/>
    <n v="16317"/>
    <s v="86029 ROSA MARIA RAMIREZ ARIAS"/>
    <s v="ANCASH"/>
    <s v="HUARAZ"/>
    <s v="INDEPENDENCIA"/>
    <s v="HUANCHAC"/>
    <s v="HUANCHAC"/>
    <s v="Urbana"/>
    <n v="-9.5082690000000003"/>
    <n v="-77.512193999999994"/>
    <n v="30"/>
    <s v="SATELITAL"/>
    <s v="Centro"/>
    <x v="1"/>
    <n v="30"/>
    <n v="5"/>
    <n v="5"/>
    <n v="0.83333333333333337"/>
    <n v="5.833333333333333"/>
    <x v="0"/>
    <x v="6"/>
    <x v="4"/>
    <m/>
  </r>
  <r>
    <n v="107"/>
    <n v="23"/>
    <n v="16586"/>
    <s v="86778"/>
    <s v="ANCASH"/>
    <s v="HUARAZ"/>
    <s v="INDEPENDENCIA"/>
    <s v="MATCOR"/>
    <s v="MATCOR"/>
    <s v="Rural"/>
    <n v="-9.4718529999999994"/>
    <n v="-77.519458"/>
    <n v="30"/>
    <s v="SATELITAL"/>
    <s v="Centro"/>
    <x v="1"/>
    <n v="30"/>
    <n v="5"/>
    <n v="5"/>
    <n v="0.83333333333333337"/>
    <n v="5.833333333333333"/>
    <x v="0"/>
    <x v="6"/>
    <x v="4"/>
    <m/>
  </r>
  <r>
    <n v="108"/>
    <n v="24"/>
    <n v="16384"/>
    <s v="86080"/>
    <s v="ANCASH"/>
    <s v="HUARAZ"/>
    <s v="INDEPENDENCIA"/>
    <s v="MITUCRO"/>
    <s v="MITUCRU"/>
    <s v="Rural"/>
    <n v="-9.5332159999999995"/>
    <n v="-77.548788999999999"/>
    <n v="30"/>
    <s v="SATELITAL"/>
    <s v="Centro"/>
    <x v="1"/>
    <n v="30"/>
    <n v="5"/>
    <n v="5"/>
    <n v="0.83333333333333337"/>
    <n v="5.833333333333333"/>
    <x v="0"/>
    <x v="6"/>
    <x v="4"/>
    <m/>
  </r>
  <r>
    <n v="109"/>
    <n v="25"/>
    <n v="16529"/>
    <s v="86097"/>
    <s v="ANCASH"/>
    <s v="HUARAZ"/>
    <s v="INDEPENDENCIA"/>
    <s v="PACCHA"/>
    <s v="PACCHA"/>
    <s v="Rural"/>
    <n v="-9.5169270000000008"/>
    <n v="-77.556640000000002"/>
    <n v="30"/>
    <s v="SATELITAL"/>
    <s v="Centro"/>
    <x v="1"/>
    <n v="30"/>
    <n v="5"/>
    <n v="5"/>
    <n v="0.83333333333333337"/>
    <n v="5.833333333333333"/>
    <x v="0"/>
    <x v="6"/>
    <x v="4"/>
    <m/>
  </r>
  <r>
    <n v="110"/>
    <n v="26"/>
    <n v="16299"/>
    <s v="86035 SAN CRISTOBAL"/>
    <s v="ANCASH"/>
    <s v="HUARAZ"/>
    <s v="INDEPENDENCIA"/>
    <s v="PARIA"/>
    <s v="PARIA WILLCAHUAIN"/>
    <s v="Urbana"/>
    <n v="-9.4897500000000008"/>
    <n v="-77.517600000000002"/>
    <n v="30"/>
    <s v="SATELITAL"/>
    <s v="Centro"/>
    <x v="1"/>
    <n v="30"/>
    <n v="5"/>
    <n v="5"/>
    <n v="0.83333333333333337"/>
    <n v="5.833333333333333"/>
    <x v="0"/>
    <x v="6"/>
    <x v="4"/>
    <m/>
  </r>
  <r>
    <n v="111"/>
    <n v="27"/>
    <n v="16478"/>
    <s v="86091 MANUEL GONZALES PRADA"/>
    <s v="ANCASH"/>
    <s v="HUARAZ"/>
    <s v="INDEPENDENCIA"/>
    <s v="PICUT / PICUP"/>
    <s v="PICUP"/>
    <s v="Rural"/>
    <n v="-9.5118770000000001"/>
    <n v="-77.536720000000003"/>
    <n v="30"/>
    <s v="SATELITAL"/>
    <s v="Centro"/>
    <x v="1"/>
    <n v="30"/>
    <n v="5"/>
    <n v="5"/>
    <n v="0.83333333333333337"/>
    <n v="5.833333333333333"/>
    <x v="0"/>
    <x v="6"/>
    <x v="4"/>
    <m/>
  </r>
  <r>
    <n v="112"/>
    <n v="28"/>
    <n v="16322"/>
    <s v="86033"/>
    <s v="ANCASH"/>
    <s v="HUARAZ"/>
    <s v="INDEPENDENCIA"/>
    <s v="PONGOR"/>
    <s v="JATUN PONGOR"/>
    <s v="Rural"/>
    <n v="-9.5135059999999996"/>
    <n v="-77.552397999999997"/>
    <n v="30"/>
    <s v="SATELITAL"/>
    <s v="Centro"/>
    <x v="1"/>
    <n v="30"/>
    <n v="5"/>
    <n v="5"/>
    <n v="0.83333333333333337"/>
    <n v="5.833333333333333"/>
    <x v="0"/>
    <x v="6"/>
    <x v="4"/>
    <m/>
  </r>
  <r>
    <n v="113"/>
    <n v="29"/>
    <n v="16416"/>
    <s v="86084"/>
    <s v="ANCASH"/>
    <s v="HUARAZ"/>
    <s v="INDEPENDENCIA"/>
    <s v="RIVAS"/>
    <s v="RIVAS"/>
    <s v="Rural"/>
    <n v="-9.5128409999999999"/>
    <n v="-77.489395000000002"/>
    <n v="30"/>
    <s v="SATELITAL"/>
    <s v="Centro"/>
    <x v="1"/>
    <n v="30"/>
    <n v="5"/>
    <n v="5"/>
    <n v="0.83333333333333337"/>
    <n v="5.833333333333333"/>
    <x v="0"/>
    <x v="6"/>
    <x v="4"/>
    <m/>
  </r>
  <r>
    <n v="114"/>
    <n v="30"/>
    <n v="16633"/>
    <s v="86943"/>
    <s v="ANCASH"/>
    <s v="HUARAZ"/>
    <s v="INDEPENDENCIA"/>
    <s v="SAN MIGUEL DE RECRESH"/>
    <s v="SAN MIGUEL DE RECRESH"/>
    <s v="Rural"/>
    <n v="-9.4795470000000002"/>
    <n v="-77.515152"/>
    <n v="30"/>
    <s v="SATELITAL"/>
    <s v="Centro"/>
    <x v="1"/>
    <n v="30"/>
    <n v="5"/>
    <n v="5"/>
    <n v="0.83333333333333337"/>
    <n v="5.833333333333333"/>
    <x v="0"/>
    <x v="6"/>
    <x v="4"/>
    <m/>
  </r>
  <r>
    <n v="115"/>
    <n v="31"/>
    <n v="16341"/>
    <s v="86038 VIVIANO PAREDES MACEDO"/>
    <s v="ANCASH"/>
    <s v="HUARAZ"/>
    <s v="INDEPENDENCIA"/>
    <s v="UQUIA"/>
    <s v="UQUIA"/>
    <s v="Rural"/>
    <n v="-9.4909839999999992"/>
    <n v="-77.503432000000004"/>
    <n v="30"/>
    <s v="SATELITAL"/>
    <s v="Centro"/>
    <x v="1"/>
    <n v="30"/>
    <n v="5"/>
    <n v="5"/>
    <n v="0.83333333333333337"/>
    <n v="5.833333333333333"/>
    <x v="0"/>
    <x v="6"/>
    <x v="4"/>
    <m/>
  </r>
  <r>
    <n v="116"/>
    <n v="32"/>
    <n v="17246"/>
    <s v="86127"/>
    <s v="ANCASH"/>
    <s v="HUARAZ"/>
    <s v="PARIACOTO"/>
    <s v="CACCHAN"/>
    <s v="CHACCHAN"/>
    <s v="Rural"/>
    <n v="-9.5340769999999999"/>
    <n v="-77.773292999999995"/>
    <n v="30"/>
    <s v="SATELITAL"/>
    <s v="Centro"/>
    <x v="1"/>
    <n v="30"/>
    <n v="5"/>
    <n v="5"/>
    <n v="0.83333333333333337"/>
    <n v="5.833333333333333"/>
    <x v="0"/>
    <x v="1"/>
    <x v="1"/>
    <m/>
  </r>
  <r>
    <n v="117"/>
    <n v="33"/>
    <n v="25642"/>
    <s v="86843"/>
    <s v="ANCASH"/>
    <s v="HUARI"/>
    <s v="SAN PEDRO DE CHANA"/>
    <s v="HUANCAYOC"/>
    <s v="CARRETERA HUANCAYOC"/>
    <s v="Rural"/>
    <n v="-9.5072220000000005"/>
    <n v="-76.996713"/>
    <n v="30"/>
    <s v="SATELITAL"/>
    <s v="Centro"/>
    <x v="1"/>
    <n v="30"/>
    <n v="5"/>
    <n v="5"/>
    <n v="0.83333333333333337"/>
    <n v="5.833333333333333"/>
    <x v="0"/>
    <x v="6"/>
    <x v="4"/>
    <m/>
  </r>
  <r>
    <n v="118"/>
    <n v="34"/>
    <n v="25703"/>
    <s v="AGROPECUARIO"/>
    <s v="ANCASH"/>
    <s v="HUARI"/>
    <s v="SAN PEDRO DE CHANA"/>
    <s v="SANTA CRUZ DE PICHIU"/>
    <s v="SANTA CRUZ DE PICHIU"/>
    <s v="Rural"/>
    <n v="-9.4970490000000005"/>
    <n v="-77.008033999999995"/>
    <n v="30"/>
    <s v="SATELITAL"/>
    <s v="Centro"/>
    <x v="1"/>
    <n v="30"/>
    <n v="5"/>
    <n v="5"/>
    <n v="0.83333333333333337"/>
    <n v="5.833333333333333"/>
    <x v="0"/>
    <x v="6"/>
    <x v="4"/>
    <m/>
  </r>
  <r>
    <n v="119"/>
    <n v="35"/>
    <n v="26095"/>
    <s v="INDUSTRIAL PILOTO MIGUEL GRAU"/>
    <s v="ANCASH"/>
    <s v="HUARMEY"/>
    <s v="HUARMEY"/>
    <s v="PUERTO HUARMEY"/>
    <s v="AVENIDA PUERTO GRANDE MZ B LOTE 1"/>
    <s v="Rural"/>
    <n v="-10.102978"/>
    <n v="-78.166420000000002"/>
    <n v="30"/>
    <s v="SATELITAL"/>
    <s v="Centro"/>
    <x v="1"/>
    <n v="30"/>
    <n v="5"/>
    <n v="5"/>
    <n v="0.83333333333333337"/>
    <n v="5.833333333333333"/>
    <x v="0"/>
    <x v="6"/>
    <x v="4"/>
    <m/>
  </r>
  <r>
    <n v="120"/>
    <n v="36"/>
    <n v="26849"/>
    <s v="86922 JUAN DE DIOS HUAMAN"/>
    <s v="ANCASH"/>
    <s v="HUAYLAS"/>
    <s v="CARAZ"/>
    <s v="CABINA"/>
    <s v="CABINA"/>
    <s v="Rural"/>
    <n v="-9.0724999999999998"/>
    <n v="-77.7821"/>
    <n v="30"/>
    <s v="SATELITAL"/>
    <s v="Centro"/>
    <x v="1"/>
    <n v="30"/>
    <n v="5"/>
    <n v="5"/>
    <n v="0.83333333333333337"/>
    <n v="5.833333333333333"/>
    <x v="0"/>
    <x v="1"/>
    <x v="1"/>
    <m/>
  </r>
  <r>
    <n v="121"/>
    <n v="37"/>
    <n v="26774"/>
    <s v="86802 EL MIRADOR SAN MATEO"/>
    <s v="ANCASH"/>
    <s v="HUAYLAS"/>
    <s v="CARAZ"/>
    <s v="CONOPA"/>
    <s v="CONOPA"/>
    <s v="Rural"/>
    <n v="-9.0856999999999992"/>
    <n v="-77.817099999999996"/>
    <n v="30"/>
    <s v="SATELITAL"/>
    <s v="Centro"/>
    <x v="1"/>
    <n v="30"/>
    <n v="5"/>
    <n v="5"/>
    <n v="0.83333333333333337"/>
    <n v="5.833333333333333"/>
    <x v="0"/>
    <x v="1"/>
    <x v="1"/>
    <m/>
  </r>
  <r>
    <n v="122"/>
    <n v="38"/>
    <n v="26745"/>
    <s v="86523 SAN MIGUEL ARCANGEL"/>
    <s v="ANCASH"/>
    <s v="HUAYLAS"/>
    <s v="CARAZ"/>
    <s v="LLACSHO"/>
    <s v="CARRETERA LLACSHU S/N"/>
    <s v="Rural"/>
    <n v="-9.0501210000000007"/>
    <n v="-77.751407999999998"/>
    <n v="30"/>
    <s v="SATELITAL"/>
    <s v="Centro"/>
    <x v="1"/>
    <n v="30"/>
    <n v="5"/>
    <n v="5"/>
    <n v="0.83333333333333337"/>
    <n v="5.833333333333333"/>
    <x v="0"/>
    <x v="1"/>
    <x v="1"/>
    <m/>
  </r>
  <r>
    <n v="123"/>
    <n v="39"/>
    <n v="26707"/>
    <s v="86519"/>
    <s v="ANCASH"/>
    <s v="HUAYLAS"/>
    <s v="CARAZ"/>
    <s v="PAKIAN"/>
    <s v="PAKIAN"/>
    <s v="Rural"/>
    <n v="-9.0340930000000004"/>
    <n v="-77.766431999999995"/>
    <n v="30"/>
    <s v="SATELITAL"/>
    <s v="Centro"/>
    <x v="1"/>
    <n v="30"/>
    <n v="5"/>
    <n v="5"/>
    <n v="0.83333333333333337"/>
    <n v="5.833333333333333"/>
    <x v="0"/>
    <x v="1"/>
    <x v="1"/>
    <m/>
  </r>
  <r>
    <n v="124"/>
    <n v="40"/>
    <n v="26651"/>
    <s v="86478 FRAY MARTIN DE PORRAS"/>
    <s v="ANCASH"/>
    <s v="HUAYLAS"/>
    <s v="CARAZ"/>
    <s v="PAVAS"/>
    <s v="PAVAS"/>
    <s v="Rural"/>
    <n v="-9.0626569999999997"/>
    <n v="-77.843427000000005"/>
    <n v="30"/>
    <s v="SATELITAL"/>
    <s v="Centro"/>
    <x v="1"/>
    <n v="30"/>
    <n v="5"/>
    <n v="5"/>
    <n v="0.83333333333333337"/>
    <n v="5.833333333333333"/>
    <x v="0"/>
    <x v="1"/>
    <x v="1"/>
    <m/>
  </r>
  <r>
    <n v="125"/>
    <n v="41"/>
    <n v="27226"/>
    <s v="86484 EMILIANO HARO COLLAS"/>
    <s v="ANCASH"/>
    <s v="HUAYLAS"/>
    <s v="HUAYLAS"/>
    <s v="HUAYLAS"/>
    <s v="JIRON CUZCO 640"/>
    <s v="Rural"/>
    <n v="-8.8696000000000002"/>
    <n v="-77.890600000000006"/>
    <n v="30"/>
    <s v="SATELITAL"/>
    <s v="Centro"/>
    <x v="1"/>
    <n v="30"/>
    <n v="5"/>
    <n v="5"/>
    <n v="0.83333333333333337"/>
    <n v="5.833333333333333"/>
    <x v="0"/>
    <x v="1"/>
    <x v="1"/>
    <m/>
  </r>
  <r>
    <n v="126"/>
    <n v="42"/>
    <n v="27269"/>
    <s v="SANTA ISABEL"/>
    <s v="ANCASH"/>
    <s v="HUAYLAS"/>
    <s v="HUAYLAS"/>
    <s v="HUAYLAS"/>
    <s v="CARRETERA SANTO TORIBIO S/N"/>
    <s v="Rural"/>
    <n v="-8.8729999999999993"/>
    <n v="-77.902000000000001"/>
    <n v="30"/>
    <s v="SATELITAL"/>
    <s v="Centro"/>
    <x v="1"/>
    <n v="30"/>
    <n v="5"/>
    <n v="5"/>
    <n v="0.83333333333333337"/>
    <n v="5.833333333333333"/>
    <x v="0"/>
    <x v="1"/>
    <x v="1"/>
    <m/>
  </r>
  <r>
    <n v="127"/>
    <n v="43"/>
    <n v="27306"/>
    <s v="86492 JOSE STRAUSSBERGER"/>
    <s v="ANCASH"/>
    <s v="HUAYLAS"/>
    <s v="MATO"/>
    <s v="VILLA SUCRE"/>
    <s v="AVENIDA AUGUSTO B LEGUIA S/N"/>
    <s v="Rural"/>
    <n v="-8.9610000000000003"/>
    <n v="-77.840999999999994"/>
    <n v="30"/>
    <s v="SATELITAL"/>
    <s v="Centro"/>
    <x v="1"/>
    <n v="30"/>
    <n v="5"/>
    <n v="5"/>
    <n v="0.83333333333333337"/>
    <n v="5.833333333333333"/>
    <x v="0"/>
    <x v="1"/>
    <x v="1"/>
    <m/>
  </r>
  <r>
    <n v="128"/>
    <n v="44"/>
    <n v="27561"/>
    <s v="86783"/>
    <s v="ANCASH"/>
    <s v="HUAYLAS"/>
    <s v="PAMPAROMAS"/>
    <s v="CAJAY"/>
    <s v="CAJAY"/>
    <s v="Rural"/>
    <n v="-9.1910109999999996"/>
    <n v="-78.041703999999996"/>
    <n v="30"/>
    <s v="SATELITAL"/>
    <s v="Centro"/>
    <x v="1"/>
    <n v="30"/>
    <n v="5"/>
    <n v="5"/>
    <n v="0.83333333333333337"/>
    <n v="5.833333333333333"/>
    <x v="0"/>
    <x v="1"/>
    <x v="1"/>
    <m/>
  </r>
  <r>
    <n v="129"/>
    <n v="45"/>
    <n v="27815"/>
    <s v="86495 SAN JUAN BAUTISTA"/>
    <s v="ANCASH"/>
    <s v="HUAYLAS"/>
    <s v="PUEBLO LIBRE"/>
    <s v="CATUCANCHA"/>
    <s v="CATUCANCHA"/>
    <s v="Rural"/>
    <n v="-9.0981430000000003"/>
    <n v="-77.802591000000007"/>
    <n v="30"/>
    <s v="SATELITAL"/>
    <s v="Centro"/>
    <x v="1"/>
    <n v="30"/>
    <n v="5"/>
    <n v="5"/>
    <n v="0.83333333333333337"/>
    <n v="5.833333333333333"/>
    <x v="0"/>
    <x v="1"/>
    <x v="1"/>
    <m/>
  </r>
  <r>
    <n v="130"/>
    <n v="46"/>
    <n v="27863"/>
    <s v="86533 VIRGEN DE GUADALUPE"/>
    <s v="ANCASH"/>
    <s v="HUAYLAS"/>
    <s v="PUEBLO LIBRE"/>
    <s v="TOCASH"/>
    <s v="CARRETERA TOCASH - PUEBLO LIBRE S/N"/>
    <s v="Rural"/>
    <n v="-9.0874310000000005"/>
    <n v="-77.794041000000007"/>
    <n v="30"/>
    <s v="SATELITAL"/>
    <s v="Centro"/>
    <x v="1"/>
    <n v="30"/>
    <n v="5"/>
    <n v="5"/>
    <n v="0.83333333333333337"/>
    <n v="5.833333333333333"/>
    <x v="0"/>
    <x v="1"/>
    <x v="1"/>
    <m/>
  </r>
  <r>
    <n v="131"/>
    <n v="47"/>
    <n v="28075"/>
    <s v="86506 AMADEO GADEA LANDAVERY"/>
    <s v="ANCASH"/>
    <s v="HUAYLAS"/>
    <s v="SANTA CRUZ"/>
    <s v="HUARIPAMPA"/>
    <s v="JIRON HILDEBRANDO CASTRO S/N"/>
    <s v="Rural"/>
    <n v="-8.9499250000000004"/>
    <n v="-77.814082999999997"/>
    <n v="30"/>
    <s v="SATELITAL"/>
    <s v="Centro"/>
    <x v="1"/>
    <n v="30"/>
    <n v="5"/>
    <n v="5"/>
    <n v="0.83333333333333337"/>
    <n v="5.833333333333333"/>
    <x v="0"/>
    <x v="1"/>
    <x v="1"/>
    <m/>
  </r>
  <r>
    <n v="132"/>
    <n v="48"/>
    <n v="28706"/>
    <s v="SAN ANTONIO DE PADUA"/>
    <s v="ANCASH"/>
    <s v="MARISCAL LUZURIAGA"/>
    <s v="CASCA"/>
    <s v="CHUSPIPAMPA"/>
    <s v="CHUSPIPAMPA"/>
    <s v="Rural"/>
    <n v="-8.8530300000000004"/>
    <n v="-77.400205999999997"/>
    <n v="30"/>
    <s v="SATELITAL"/>
    <s v="Centro"/>
    <x v="1"/>
    <n v="30"/>
    <n v="5"/>
    <n v="5"/>
    <n v="0.83333333333333337"/>
    <n v="5.833333333333333"/>
    <x v="0"/>
    <x v="1"/>
    <x v="1"/>
    <m/>
  </r>
  <r>
    <n v="133"/>
    <n v="49"/>
    <n v="28589"/>
    <s v="84065 NUEVA ESPERANZA"/>
    <s v="ANCASH"/>
    <s v="MARISCAL LUZURIAGA"/>
    <s v="CASCA"/>
    <s v="RUMICHACA"/>
    <s v="RUMICHACA"/>
    <s v="Rural"/>
    <n v="-8.8184380000000004"/>
    <n v="-77.418936000000002"/>
    <n v="30"/>
    <s v="SATELITAL"/>
    <s v="Centro"/>
    <x v="1"/>
    <n v="30"/>
    <n v="5"/>
    <n v="5"/>
    <n v="0.83333333333333337"/>
    <n v="5.833333333333333"/>
    <x v="0"/>
    <x v="1"/>
    <x v="1"/>
    <m/>
  </r>
  <r>
    <n v="134"/>
    <n v="50"/>
    <n v="29490"/>
    <s v="SAN MIGUEL"/>
    <s v="ANCASH"/>
    <s v="MARISCAL LUZURIAGA"/>
    <s v="LUCMA"/>
    <s v="ROSASPAMPA"/>
    <s v="CARRETERA ROSASPAMPA"/>
    <s v="Rural"/>
    <n v="-8.9168029999999998"/>
    <n v="-77.404471000000001"/>
    <n v="30"/>
    <s v="SATELITAL"/>
    <s v="Centro"/>
    <x v="1"/>
    <n v="30"/>
    <n v="5"/>
    <n v="5"/>
    <n v="0.83333333333333337"/>
    <n v="5.833333333333333"/>
    <x v="0"/>
    <x v="1"/>
    <x v="1"/>
    <m/>
  </r>
  <r>
    <n v="135"/>
    <n v="51"/>
    <n v="28508"/>
    <s v="PISCOBAMBA"/>
    <s v="ANCASH"/>
    <s v="MARISCAL LUZURIAGA"/>
    <s v="PISCOBAMBA"/>
    <s v="PISCOBAMBA"/>
    <s v="CARRETERA MANZANAPAMPA"/>
    <s v="Rural"/>
    <n v="-8.8680389999999996"/>
    <n v="-77.355214000000004"/>
    <n v="30"/>
    <s v="SATELITAL"/>
    <s v="Centro"/>
    <x v="1"/>
    <n v="30"/>
    <n v="5"/>
    <n v="5"/>
    <n v="0.83333333333333337"/>
    <n v="5.833333333333333"/>
    <x v="0"/>
    <x v="1"/>
    <x v="1"/>
    <m/>
  </r>
  <r>
    <n v="136"/>
    <n v="52"/>
    <n v="30040"/>
    <s v="APOSTOL SANTIAGO"/>
    <s v="ANCASH"/>
    <s v="PALLASCA"/>
    <s v="CABANA"/>
    <s v="CABANA"/>
    <s v="JIRON LAS ANIMAS 103"/>
    <s v="Rural"/>
    <n v="-8.3967530000000004"/>
    <n v="-78.005769999999998"/>
    <n v="30"/>
    <s v="SATELITAL"/>
    <s v="Centro"/>
    <x v="1"/>
    <n v="30"/>
    <n v="5"/>
    <n v="5"/>
    <n v="0.83333333333333337"/>
    <n v="5.833333333333333"/>
    <x v="0"/>
    <x v="1"/>
    <x v="1"/>
    <m/>
  </r>
  <r>
    <n v="137"/>
    <n v="53"/>
    <n v="299953"/>
    <s v="CABANA"/>
    <s v="ANCASH"/>
    <s v="PALLASCA"/>
    <s v="CABANA"/>
    <s v="CABANA"/>
    <s v="JIRON LAS ANIMAS 103"/>
    <s v="Rural"/>
    <n v="-8.3962400000000006"/>
    <n v="-78.003529999999998"/>
    <n v="30"/>
    <s v="SATELITAL"/>
    <s v="Centro"/>
    <x v="1"/>
    <n v="30"/>
    <n v="5"/>
    <n v="5"/>
    <n v="0.83333333333333337"/>
    <n v="5.833333333333333"/>
    <x v="0"/>
    <x v="1"/>
    <x v="1"/>
    <m/>
  </r>
  <r>
    <n v="138"/>
    <n v="54"/>
    <n v="30356"/>
    <s v="88190 VICTOR RAUL HAYA DE LA TORRE"/>
    <s v="ANCASH"/>
    <s v="PALLASCA"/>
    <s v="CONCHUCOS"/>
    <s v="MAYAS"/>
    <s v="AVENIDA JUAN VELAZCO ALVARADO S/N"/>
    <s v="Rural"/>
    <n v="-8.2754999999999992"/>
    <n v="-77.666809999999998"/>
    <n v="30"/>
    <s v="SATELITAL"/>
    <s v="Centro"/>
    <x v="1"/>
    <n v="30"/>
    <n v="5"/>
    <n v="5"/>
    <n v="0.83333333333333337"/>
    <n v="5.833333333333333"/>
    <x v="0"/>
    <x v="1"/>
    <x v="1"/>
    <m/>
  </r>
  <r>
    <n v="139"/>
    <n v="55"/>
    <n v="32666"/>
    <s v="84022 || APOSTOL SANTIAGO"/>
    <s v="ANCASH"/>
    <s v="POMABAMBA"/>
    <s v="PAROBAMBA"/>
    <s v="HUANCHAYLLO"/>
    <s v="JIRON HUANCHAYLLO S/N"/>
    <s v="Rural"/>
    <n v="-8.5880379999999992"/>
    <n v="-77.333929999999995"/>
    <n v="30"/>
    <s v="SATELITAL"/>
    <s v="Centro"/>
    <x v="1"/>
    <n v="30"/>
    <n v="5"/>
    <n v="5"/>
    <n v="0.83333333333333337"/>
    <n v="5.833333333333333"/>
    <x v="0"/>
    <x v="1"/>
    <x v="1"/>
    <m/>
  </r>
  <r>
    <n v="140"/>
    <n v="56"/>
    <n v="31600"/>
    <s v="84008 SANTISIMA TRINIDAD"/>
    <s v="ANCASH"/>
    <s v="POMABAMBA"/>
    <s v="POMABAMBA"/>
    <s v="CHUYAS"/>
    <s v="CALLE CHUYAS S/N ZONA RURAL"/>
    <s v="Rural"/>
    <n v="-8.8211510000000004"/>
    <n v="-77.482760999999996"/>
    <n v="30"/>
    <s v="SATELITAL"/>
    <s v="Centro"/>
    <x v="1"/>
    <n v="30"/>
    <n v="5"/>
    <n v="5"/>
    <n v="0.83333333333333337"/>
    <n v="5.833333333333333"/>
    <x v="0"/>
    <x v="1"/>
    <x v="1"/>
    <m/>
  </r>
  <r>
    <n v="141"/>
    <n v="57"/>
    <n v="31879"/>
    <s v="ZACARIAS MORENO JIMENES"/>
    <s v="ANCASH"/>
    <s v="POMABAMBA"/>
    <s v="POMABAMBA"/>
    <s v="CHUYAS"/>
    <s v="CALLE CHUYAS S/N"/>
    <s v="Rural"/>
    <n v="-8.8208579999999994"/>
    <n v="-77.482945000000001"/>
    <n v="30"/>
    <s v="SATELITAL"/>
    <s v="Centro"/>
    <x v="1"/>
    <n v="30"/>
    <n v="5"/>
    <n v="5"/>
    <n v="0.83333333333333337"/>
    <n v="5.833333333333333"/>
    <x v="0"/>
    <x v="1"/>
    <x v="1"/>
    <m/>
  </r>
  <r>
    <n v="142"/>
    <n v="58"/>
    <n v="31657"/>
    <s v="84026"/>
    <s v="ANCASH"/>
    <s v="POMABAMBA"/>
    <s v="POMABAMBA"/>
    <s v="SOCSI"/>
    <s v="HUARACUY"/>
    <s v="Rural"/>
    <n v="-8.8079680000000007"/>
    <n v="-77.471630000000005"/>
    <n v="30"/>
    <s v="SATELITAL"/>
    <s v="Centro"/>
    <x v="1"/>
    <n v="30"/>
    <n v="5"/>
    <n v="5"/>
    <n v="0.83333333333333337"/>
    <n v="5.833333333333333"/>
    <x v="0"/>
    <x v="1"/>
    <x v="1"/>
    <m/>
  </r>
  <r>
    <n v="143"/>
    <n v="59"/>
    <n v="33190"/>
    <s v="86598"/>
    <s v="ANCASH"/>
    <s v="RECUAY"/>
    <s v="CATAC"/>
    <s v="SHIQUI"/>
    <s v="SHIQUI"/>
    <s v="Rural"/>
    <n v="-9.8345020000000005"/>
    <n v="-77.413116000000002"/>
    <n v="30"/>
    <s v="SATELITAL"/>
    <s v="Centro"/>
    <x v="1"/>
    <n v="30"/>
    <n v="5"/>
    <n v="5"/>
    <n v="0.83333333333333337"/>
    <n v="5.833333333333333"/>
    <x v="0"/>
    <x v="6"/>
    <x v="4"/>
    <m/>
  </r>
  <r>
    <n v="144"/>
    <n v="60"/>
    <n v="33171"/>
    <s v="87508 DON MIGUEL DE CERVANTES SAAVEDRA"/>
    <s v="ANCASH"/>
    <s v="RECUAY"/>
    <s v="CATAC"/>
    <s v="UTCUYACU"/>
    <s v="CARRETERA CATAC - COTAPARACO KM 3.60"/>
    <s v="Rural"/>
    <n v="-9.8226589999999998"/>
    <n v="-77.422341000000003"/>
    <n v="30"/>
    <s v="SATELITAL"/>
    <s v="Centro"/>
    <x v="1"/>
    <n v="30"/>
    <n v="5"/>
    <n v="5"/>
    <n v="0.83333333333333337"/>
    <n v="5.833333333333333"/>
    <x v="0"/>
    <x v="6"/>
    <x v="4"/>
    <m/>
  </r>
  <r>
    <n v="145"/>
    <n v="61"/>
    <n v="33029"/>
    <s v="86582"/>
    <s v="ANCASH"/>
    <s v="RECUAY"/>
    <s v="RECUAY"/>
    <s v="CANTU"/>
    <s v="CANTU"/>
    <s v="Rural"/>
    <n v="-9.7011420000000008"/>
    <n v="-77.445470999999998"/>
    <n v="30"/>
    <s v="SATELITAL"/>
    <s v="Centro"/>
    <x v="1"/>
    <n v="30"/>
    <n v="5"/>
    <n v="5"/>
    <n v="0.83333333333333337"/>
    <n v="5.833333333333333"/>
    <x v="0"/>
    <x v="6"/>
    <x v="4"/>
    <m/>
  </r>
  <r>
    <n v="146"/>
    <n v="62"/>
    <n v="33053"/>
    <s v="86586 SEÑOR DE MAYO"/>
    <s v="ANCASH"/>
    <s v="RECUAY"/>
    <s v="RECUAY"/>
    <s v="OCOPAMPA"/>
    <s v="OCOPAMPA"/>
    <s v="Rural"/>
    <n v="-9.7195769999999992"/>
    <n v="-77.436232000000004"/>
    <n v="30"/>
    <s v="SATELITAL"/>
    <s v="Centro"/>
    <x v="1"/>
    <n v="30"/>
    <n v="5"/>
    <n v="5"/>
    <n v="0.83333333333333337"/>
    <n v="5.833333333333333"/>
    <x v="0"/>
    <x v="6"/>
    <x v="4"/>
    <m/>
  </r>
  <r>
    <n v="147"/>
    <n v="63"/>
    <n v="32987"/>
    <s v="86564 SANTA ROSA"/>
    <s v="ANCASH"/>
    <s v="RECUAY"/>
    <s v="RECUAY"/>
    <s v="PAMPACANCHA"/>
    <s v="PAMPACANCHA"/>
    <s v="Rural"/>
    <n v="-9.7011660000000006"/>
    <n v="-77.479427000000001"/>
    <n v="30"/>
    <s v="SATELITAL"/>
    <s v="Centro"/>
    <x v="1"/>
    <n v="30"/>
    <n v="5"/>
    <n v="5"/>
    <n v="0.83333333333333337"/>
    <n v="5.833333333333333"/>
    <x v="0"/>
    <x v="6"/>
    <x v="4"/>
    <m/>
  </r>
  <r>
    <n v="148"/>
    <n v="64"/>
    <n v="529218"/>
    <s v="86593"/>
    <s v="ANCASH"/>
    <s v="RECUAY"/>
    <s v="RECUAY"/>
    <s v="YANAMITO"/>
    <s v="YANAMITO"/>
    <s v="Rural"/>
    <n v="-9.7415280000000006"/>
    <n v="-77.463476"/>
    <n v="30"/>
    <s v="SATELITAL"/>
    <s v="Centro"/>
    <x v="1"/>
    <n v="30"/>
    <n v="5"/>
    <n v="5"/>
    <n v="0.83333333333333337"/>
    <n v="5.833333333333333"/>
    <x v="0"/>
    <x v="6"/>
    <x v="4"/>
    <m/>
  </r>
  <r>
    <n v="149"/>
    <n v="65"/>
    <n v="33760"/>
    <s v="86606"/>
    <s v="ANCASH"/>
    <s v="RECUAY"/>
    <s v="TICAPAMPA"/>
    <s v="BUENOS AIRES"/>
    <s v="BUENOS AIRES"/>
    <s v="Rural"/>
    <n v="-9.7702650000000002"/>
    <n v="-77.417508999999995"/>
    <n v="30"/>
    <s v="SATELITAL"/>
    <s v="Centro"/>
    <x v="1"/>
    <n v="30"/>
    <n v="5"/>
    <n v="5"/>
    <n v="0.83333333333333337"/>
    <n v="5.833333333333333"/>
    <x v="0"/>
    <x v="6"/>
    <x v="4"/>
    <m/>
  </r>
  <r>
    <n v="150"/>
    <n v="66"/>
    <n v="33717"/>
    <s v="86569 SANTIAGO ANTUNEZ DE MAYOLO"/>
    <s v="ANCASH"/>
    <s v="RECUAY"/>
    <s v="TICAPAMPA"/>
    <s v="CAYAC"/>
    <s v="CALLE CAMINO REAL 1020"/>
    <s v="Rural"/>
    <n v="-9.7718690000000006"/>
    <n v="-77.441483000000005"/>
    <n v="30"/>
    <s v="SATELITAL"/>
    <s v="Centro"/>
    <x v="1"/>
    <n v="30"/>
    <n v="5"/>
    <n v="5"/>
    <n v="0.83333333333333337"/>
    <n v="5.833333333333333"/>
    <x v="0"/>
    <x v="6"/>
    <x v="4"/>
    <m/>
  </r>
  <r>
    <n v="151"/>
    <n v="67"/>
    <n v="33755"/>
    <s v="86605 NUESTRA SEÑORADE GUADALUPE"/>
    <s v="ANCASH"/>
    <s v="RECUAY"/>
    <s v="TICAPAMPA"/>
    <s v="LLULLUCACHI"/>
    <s v="LLULLUCACHI"/>
    <s v="Rural"/>
    <n v="-9.7509879999999995"/>
    <n v="-77.441497999999996"/>
    <n v="30"/>
    <s v="SATELITAL"/>
    <s v="Centro"/>
    <x v="1"/>
    <n v="30"/>
    <n v="5"/>
    <n v="5"/>
    <n v="0.83333333333333337"/>
    <n v="5.833333333333333"/>
    <x v="0"/>
    <x v="6"/>
    <x v="4"/>
    <m/>
  </r>
  <r>
    <n v="152"/>
    <n v="68"/>
    <n v="33703"/>
    <s v="86568 NUESTRA SEÑORA DEL PILAR"/>
    <s v="ANCASH"/>
    <s v="RECUAY"/>
    <s v="TICAPAMPA"/>
    <s v="TICAPAMPA"/>
    <s v="RAMCAP - TICAPAMPA"/>
    <s v="Rural"/>
    <n v="-9.7535229999999995"/>
    <n v="-77.447528000000005"/>
    <n v="30"/>
    <s v="SATELITAL"/>
    <s v="Centro"/>
    <x v="1"/>
    <n v="30"/>
    <n v="5"/>
    <n v="5"/>
    <n v="0.83333333333333337"/>
    <n v="5.833333333333333"/>
    <x v="0"/>
    <x v="6"/>
    <x v="4"/>
    <m/>
  </r>
  <r>
    <n v="153"/>
    <n v="69"/>
    <n v="33741"/>
    <s v="86604"/>
    <s v="ANCASH"/>
    <s v="RECUAY"/>
    <s v="TICAPAMPA"/>
    <s v="YACUCANCHA"/>
    <s v="YACUCANCHA"/>
    <s v="Rural"/>
    <n v="-9.7639429999999994"/>
    <n v="-77.428163999999995"/>
    <n v="30"/>
    <s v="SATELITAL"/>
    <s v="Centro"/>
    <x v="1"/>
    <n v="30"/>
    <n v="5"/>
    <n v="5"/>
    <n v="0.83333333333333337"/>
    <n v="5.833333333333333"/>
    <x v="0"/>
    <x v="6"/>
    <x v="4"/>
    <m/>
  </r>
  <r>
    <n v="154"/>
    <n v="70"/>
    <n v="36400"/>
    <s v="88062"/>
    <s v="ANCASH"/>
    <s v="SANTA"/>
    <s v="MACATE"/>
    <s v="HUANROC"/>
    <s v="HUANROC"/>
    <s v="Rural"/>
    <n v="-8.7636459999999996"/>
    <n v="-78.092540999999997"/>
    <n v="30"/>
    <s v="SATELITAL"/>
    <s v="Centro"/>
    <x v="1"/>
    <n v="30"/>
    <n v="5"/>
    <n v="5"/>
    <n v="0.83333333333333337"/>
    <n v="5.833333333333333"/>
    <x v="0"/>
    <x v="1"/>
    <x v="1"/>
    <m/>
  </r>
  <r>
    <n v="155"/>
    <n v="71"/>
    <n v="36886"/>
    <s v="88303"/>
    <s v="ANCASH"/>
    <s v="SANTA"/>
    <s v="MORO"/>
    <s v="LIMONHIRCA"/>
    <s v="LIMONHIRCA"/>
    <s v="Rural"/>
    <n v="-9.1430209999999992"/>
    <n v="-78.168368000000001"/>
    <n v="30"/>
    <s v="SATELITAL"/>
    <s v="Centro"/>
    <x v="1"/>
    <n v="30"/>
    <n v="5"/>
    <n v="5"/>
    <n v="0.83333333333333337"/>
    <n v="5.833333333333333"/>
    <x v="0"/>
    <x v="1"/>
    <x v="1"/>
    <m/>
  </r>
  <r>
    <n v="156"/>
    <n v="72"/>
    <n v="36867"/>
    <s v="88269 SANTISIMA CRUZ DE MOTUPE"/>
    <s v="ANCASH"/>
    <s v="SANTA"/>
    <s v="MORO"/>
    <s v="TAMBAR"/>
    <s v="TAMBAR"/>
    <s v="Rural"/>
    <n v="-9.1489689999999992"/>
    <n v="-78.127510000000001"/>
    <n v="30"/>
    <s v="SATELITAL"/>
    <s v="Centro"/>
    <x v="1"/>
    <n v="30"/>
    <n v="5"/>
    <n v="5"/>
    <n v="0.83333333333333337"/>
    <n v="5.833333333333333"/>
    <x v="0"/>
    <x v="1"/>
    <x v="1"/>
    <m/>
  </r>
  <r>
    <n v="157"/>
    <n v="73"/>
    <n v="37112"/>
    <s v="89537"/>
    <s v="ANCASH"/>
    <s v="SANTA"/>
    <s v="NEPEÑA"/>
    <s v="CAPELLANIA"/>
    <s v="CAPELLANIA"/>
    <s v="Rural"/>
    <n v="-9.2013459999999991"/>
    <n v="-78.379945000000006"/>
    <n v="30"/>
    <s v="SATELITAL"/>
    <s v="Centro"/>
    <x v="1"/>
    <n v="30"/>
    <n v="5"/>
    <n v="5"/>
    <n v="0.83333333333333337"/>
    <n v="5.833333333333333"/>
    <x v="0"/>
    <x v="1"/>
    <x v="1"/>
    <m/>
  </r>
  <r>
    <n v="158"/>
    <n v="74"/>
    <n v="37089"/>
    <s v="89510"/>
    <s v="ANCASH"/>
    <s v="SANTA"/>
    <s v="NEPEÑA"/>
    <s v="CERRO BLANCO"/>
    <s v="MZ B LOTE 01"/>
    <s v="Rural"/>
    <n v="-9.1840589999999995"/>
    <n v="-78.341665000000006"/>
    <n v="30"/>
    <s v="SATELITAL"/>
    <s v="Centro"/>
    <x v="1"/>
    <n v="30"/>
    <n v="5"/>
    <n v="5"/>
    <n v="0.83333333333333337"/>
    <n v="5.833333333333333"/>
    <x v="0"/>
    <x v="1"/>
    <x v="1"/>
    <m/>
  </r>
  <r>
    <n v="159"/>
    <n v="75"/>
    <n v="38060"/>
    <s v="88393 AMIGO JESUS"/>
    <s v="ANCASH"/>
    <s v="SANTA"/>
    <s v="NUEVO CHIMBOTE"/>
    <s v="BELEN"/>
    <s v="MZ R LOTE 01"/>
    <s v="Urbana"/>
    <n v="-9.1290999999999993"/>
    <n v="-78.508430000000004"/>
    <n v="30"/>
    <s v="SATELITAL"/>
    <s v="Centro"/>
    <x v="1"/>
    <n v="30"/>
    <n v="5"/>
    <n v="5"/>
    <n v="0.83333333333333337"/>
    <n v="5.833333333333333"/>
    <x v="0"/>
    <x v="1"/>
    <x v="1"/>
    <m/>
  </r>
  <r>
    <n v="160"/>
    <n v="76"/>
    <n v="37433"/>
    <s v="88237"/>
    <s v="ANCASH"/>
    <s v="SANTA"/>
    <s v="SANTA"/>
    <s v="CASA COLORADA"/>
    <s v="JIRON TACNA S/N"/>
    <s v="Rural"/>
    <n v="-8.9773940000000003"/>
    <n v="-78.621955999999997"/>
    <n v="30"/>
    <s v="SATELITAL"/>
    <s v="Centro"/>
    <x v="1"/>
    <n v="30"/>
    <n v="5"/>
    <n v="5"/>
    <n v="0.83333333333333337"/>
    <n v="5.833333333333333"/>
    <x v="0"/>
    <x v="1"/>
    <x v="1"/>
    <m/>
  </r>
  <r>
    <n v="161"/>
    <n v="77"/>
    <n v="39875"/>
    <s v="84185 SANTA CRUZ"/>
    <s v="ANCASH"/>
    <s v="SIHUAS"/>
    <s v="RAGASH"/>
    <s v="RAGASH"/>
    <s v="JIRON RAGASH S/N"/>
    <s v="Rural"/>
    <n v="-8.5324080000000002"/>
    <n v="-77.665079000000006"/>
    <n v="30"/>
    <s v="SATELITAL"/>
    <s v="Centro"/>
    <x v="1"/>
    <n v="30"/>
    <n v="5"/>
    <n v="5"/>
    <n v="0.83333333333333337"/>
    <n v="5.833333333333333"/>
    <x v="0"/>
    <x v="1"/>
    <x v="1"/>
    <m/>
  </r>
  <r>
    <n v="162"/>
    <n v="78"/>
    <n v="40082"/>
    <s v="84259 ALEJANDRO TOLEDO MANRIQUE"/>
    <s v="ANCASH"/>
    <s v="SIHUAS"/>
    <s v="SAN JUAN"/>
    <s v="CILINDRE"/>
    <s v="CILINDRE"/>
    <s v="Rural"/>
    <n v="-8.6721360000000001"/>
    <n v="-77.602762999999996"/>
    <n v="30"/>
    <s v="SATELITAL"/>
    <s v="Centro"/>
    <x v="1"/>
    <n v="30"/>
    <n v="5"/>
    <n v="5"/>
    <n v="0.83333333333333337"/>
    <n v="5.833333333333333"/>
    <x v="0"/>
    <x v="1"/>
    <x v="1"/>
    <m/>
  </r>
  <r>
    <n v="163"/>
    <n v="79"/>
    <n v="40015"/>
    <s v="84107"/>
    <s v="ANCASH"/>
    <s v="SIHUAS"/>
    <s v="SAN JUAN"/>
    <s v="COLPAPAMPA"/>
    <s v="COLPAPAMPA"/>
    <s v="Rural"/>
    <n v="-8.6141000000000005"/>
    <n v="-77.636150000000001"/>
    <n v="30"/>
    <s v="SATELITAL"/>
    <s v="Centro"/>
    <x v="1"/>
    <n v="30"/>
    <n v="5"/>
    <n v="5"/>
    <n v="0.83333333333333337"/>
    <n v="5.833333333333333"/>
    <x v="0"/>
    <x v="1"/>
    <x v="1"/>
    <m/>
  </r>
  <r>
    <n v="164"/>
    <n v="80"/>
    <n v="38866"/>
    <s v="ALEJANDRO CALDERON ASTEIZA || CAPITAN MARCELINO VALVERDE SOLORZANO"/>
    <s v="ANCASH"/>
    <s v="SIHUAS"/>
    <s v="SIHUAS"/>
    <s v="SIHUAS"/>
    <s v="AGOSHIRCA"/>
    <s v="Urbana"/>
    <n v="-8.5533090000000005"/>
    <n v="-77.634817999999996"/>
    <n v="30"/>
    <s v="SATELITAL"/>
    <s v="Centro"/>
    <x v="1"/>
    <n v="30"/>
    <n v="5"/>
    <n v="5"/>
    <n v="0.83333333333333337"/>
    <n v="5.833333333333333"/>
    <x v="0"/>
    <x v="1"/>
    <x v="1"/>
    <m/>
  </r>
  <r>
    <n v="165"/>
    <n v="81"/>
    <n v="40874"/>
    <s v="86871"/>
    <s v="ANCASH"/>
    <s v="YUNGAY"/>
    <s v="CASCAPARA"/>
    <s v="CASHAHIRCA"/>
    <s v="CASHAHIRCA"/>
    <s v="Rural"/>
    <n v="-9.3916710000000005"/>
    <n v="-77.906332000000006"/>
    <n v="30"/>
    <s v="SATELITAL"/>
    <s v="Centro"/>
    <x v="1"/>
    <n v="30"/>
    <n v="5"/>
    <n v="5"/>
    <n v="0.83333333333333337"/>
    <n v="5.833333333333333"/>
    <x v="0"/>
    <x v="1"/>
    <x v="1"/>
    <m/>
  </r>
  <r>
    <n v="166"/>
    <n v="82"/>
    <n v="40845"/>
    <s v="87009-1"/>
    <s v="ANCASH"/>
    <s v="YUNGAY"/>
    <s v="CASCAPARA"/>
    <s v="PAMPAHUASI"/>
    <s v="PAMPAHUASI"/>
    <s v="Rural"/>
    <n v="-9.2283720000000002"/>
    <n v="-77.752010999999996"/>
    <n v="30"/>
    <s v="SATELITAL"/>
    <s v="Centro"/>
    <x v="1"/>
    <n v="30"/>
    <n v="5"/>
    <n v="5"/>
    <n v="0.83333333333333337"/>
    <n v="5.833333333333333"/>
    <x v="0"/>
    <x v="1"/>
    <x v="1"/>
    <m/>
  </r>
  <r>
    <n v="167"/>
    <n v="83"/>
    <n v="40992"/>
    <s v="86629 JOSE CARLOS MARIATEGUI"/>
    <s v="ANCASH"/>
    <s v="YUNGAY"/>
    <s v="MANCOS"/>
    <s v="HUASHCAO"/>
    <s v="CARRETERA HUASHCAO S/N"/>
    <s v="Rural"/>
    <n v="-9.1891879999999997"/>
    <n v="-77.649152000000001"/>
    <n v="30"/>
    <s v="SATELITAL"/>
    <s v="Centro"/>
    <x v="1"/>
    <n v="30"/>
    <n v="5"/>
    <n v="5"/>
    <n v="0.83333333333333337"/>
    <n v="5.833333333333333"/>
    <x v="0"/>
    <x v="1"/>
    <x v="1"/>
    <m/>
  </r>
  <r>
    <n v="168"/>
    <n v="84"/>
    <n v="41618"/>
    <s v="86672"/>
    <s v="ANCASH"/>
    <s v="YUNGAY"/>
    <s v="QUILLO"/>
    <s v="CORACOLLO"/>
    <s v="CORACOLLO"/>
    <s v="Rural"/>
    <n v="-9.3551500000000001"/>
    <n v="-77.948899999999995"/>
    <n v="30"/>
    <s v="SATELITAL"/>
    <s v="Centro"/>
    <x v="1"/>
    <n v="30"/>
    <n v="5"/>
    <n v="5"/>
    <n v="0.83333333333333337"/>
    <n v="5.833333333333333"/>
    <x v="0"/>
    <x v="1"/>
    <x v="1"/>
    <m/>
  </r>
  <r>
    <n v="169"/>
    <n v="85"/>
    <n v="41393"/>
    <s v="86786"/>
    <s v="ANCASH"/>
    <s v="YUNGAY"/>
    <s v="QUILLO"/>
    <s v="HUELLAPAMPA"/>
    <s v="HUELLAPAMPA"/>
    <s v="Rural"/>
    <n v="-9.2994959999999995"/>
    <n v="-77.915186000000006"/>
    <n v="30"/>
    <s v="SATELITAL"/>
    <s v="Centro"/>
    <x v="1"/>
    <n v="30"/>
    <n v="5"/>
    <n v="5"/>
    <n v="0.83333333333333337"/>
    <n v="5.833333333333333"/>
    <x v="0"/>
    <x v="1"/>
    <x v="1"/>
    <m/>
  </r>
  <r>
    <n v="170"/>
    <n v="86"/>
    <n v="41312"/>
    <s v="86676"/>
    <s v="ANCASH"/>
    <s v="YUNGAY"/>
    <s v="QUILLO"/>
    <s v="MACRAY"/>
    <s v="MACRAY"/>
    <s v="Rural"/>
    <n v="-9.3085070000000005"/>
    <n v="-77.967270999999997"/>
    <n v="30"/>
    <s v="SATELITAL"/>
    <s v="Centro"/>
    <x v="1"/>
    <n v="30"/>
    <n v="5"/>
    <n v="5"/>
    <n v="0.83333333333333337"/>
    <n v="5.833333333333333"/>
    <x v="0"/>
    <x v="1"/>
    <x v="1"/>
    <m/>
  </r>
  <r>
    <n v="171"/>
    <n v="87"/>
    <n v="686232"/>
    <s v="86640 SEÑOR DE LOS MILAGROS"/>
    <s v="ANCASH"/>
    <s v="YUNGAY"/>
    <s v="RANRAHIRCA"/>
    <s v="RANRAHIRCA"/>
    <s v="JIRON FELIPE VASQUEZ S/N"/>
    <s v="Rural"/>
    <n v="-9.1726910000000004"/>
    <n v="-77.723325000000003"/>
    <n v="30"/>
    <s v="SATELITAL"/>
    <s v="Centro"/>
    <x v="1"/>
    <n v="30"/>
    <n v="5"/>
    <n v="5"/>
    <n v="0.83333333333333337"/>
    <n v="5.833333333333333"/>
    <x v="0"/>
    <x v="1"/>
    <x v="1"/>
    <m/>
  </r>
  <r>
    <n v="172"/>
    <n v="88"/>
    <n v="41755"/>
    <s v="86683"/>
    <s v="ANCASH"/>
    <s v="YUNGAY"/>
    <s v="SHUPLUY"/>
    <s v="PONCOS"/>
    <s v="PONCOS"/>
    <s v="Rural"/>
    <n v="-9.2602740000000008"/>
    <n v="-77.741318000000007"/>
    <n v="30"/>
    <s v="SATELITAL"/>
    <s v="Centro"/>
    <x v="1"/>
    <n v="30"/>
    <n v="5"/>
    <n v="5"/>
    <n v="0.83333333333333337"/>
    <n v="5.833333333333333"/>
    <x v="0"/>
    <x v="1"/>
    <x v="1"/>
    <m/>
  </r>
  <r>
    <n v="173"/>
    <n v="89"/>
    <n v="786689"/>
    <s v="86746"/>
    <s v="ANCASH"/>
    <s v="YUNGAY"/>
    <s v="YANAMA"/>
    <s v="LLANLLA"/>
    <s v="CARRETERA LLANLLA - POMABAMBA"/>
    <s v="Rural"/>
    <n v="-8.9983599999999999"/>
    <n v="-77.430729999999997"/>
    <n v="30"/>
    <s v="SATELITAL"/>
    <s v="Centro"/>
    <x v="1"/>
    <n v="30"/>
    <n v="5"/>
    <n v="5"/>
    <n v="0.83333333333333337"/>
    <n v="5.833333333333333"/>
    <x v="0"/>
    <x v="1"/>
    <x v="1"/>
    <m/>
  </r>
  <r>
    <n v="174"/>
    <n v="90"/>
    <n v="40567"/>
    <s v="86749"/>
    <s v="ANCASH"/>
    <s v="YUNGAY"/>
    <s v="YUNGAY"/>
    <s v="CANCHARRUMI"/>
    <s v="CANCHARRUMI"/>
    <s v="Rural"/>
    <n v="-9.1115899999999996"/>
    <n v="-77.718727000000001"/>
    <n v="30"/>
    <s v="SATELITAL"/>
    <s v="Centro"/>
    <x v="1"/>
    <n v="30"/>
    <n v="5"/>
    <n v="5"/>
    <n v="0.83333333333333337"/>
    <n v="5.833333333333333"/>
    <x v="0"/>
    <x v="1"/>
    <x v="1"/>
    <m/>
  </r>
  <r>
    <n v="175"/>
    <n v="91"/>
    <n v="40553"/>
    <s v="86659"/>
    <s v="ANCASH"/>
    <s v="YUNGAY"/>
    <s v="YUNGAY"/>
    <s v="CARHUAN"/>
    <s v="CARHUAN- YUNGAY"/>
    <s v="Rural"/>
    <n v="-9.1108250000000002"/>
    <n v="-77.736339999999998"/>
    <n v="30"/>
    <s v="SATELITAL"/>
    <s v="Centro"/>
    <x v="1"/>
    <n v="30"/>
    <n v="5"/>
    <n v="5"/>
    <n v="0.83333333333333337"/>
    <n v="5.833333333333333"/>
    <x v="0"/>
    <x v="1"/>
    <x v="1"/>
    <m/>
  </r>
  <r>
    <n v="176"/>
    <n v="92"/>
    <n v="40548"/>
    <s v="86658"/>
    <s v="ANCASH"/>
    <s v="YUNGAY"/>
    <s v="YUNGAY"/>
    <s v="CAYEPAMPA"/>
    <s v="CAYEPAMPA"/>
    <s v="Rural"/>
    <n v="-9.131551"/>
    <n v="-77.718376000000006"/>
    <n v="30"/>
    <s v="SATELITAL"/>
    <s v="Centro"/>
    <x v="1"/>
    <n v="30"/>
    <n v="5"/>
    <n v="5"/>
    <n v="0.83333333333333337"/>
    <n v="5.833333333333333"/>
    <x v="0"/>
    <x v="1"/>
    <x v="1"/>
    <m/>
  </r>
  <r>
    <n v="177"/>
    <n v="93"/>
    <n v="40505"/>
    <s v="86647"/>
    <s v="ANCASH"/>
    <s v="YUNGAY"/>
    <s v="YUNGAY"/>
    <s v="CHILCA"/>
    <s v="CHILCA"/>
    <s v="Rural"/>
    <n v="-9.0995840000000001"/>
    <n v="-77.731164000000007"/>
    <n v="30"/>
    <s v="SATELITAL"/>
    <s v="Centro"/>
    <x v="1"/>
    <n v="30"/>
    <n v="5"/>
    <n v="5"/>
    <n v="0.83333333333333337"/>
    <n v="5.833333333333333"/>
    <x v="0"/>
    <x v="1"/>
    <x v="1"/>
    <m/>
  </r>
  <r>
    <n v="178"/>
    <n v="94"/>
    <n v="40497"/>
    <s v="86626 LEOCADIO DONATO LEON MENDOZA"/>
    <s v="ANCASH"/>
    <s v="YUNGAY"/>
    <s v="YUNGAY"/>
    <s v="MAZAC"/>
    <s v="CARRETERA CENTRAL"/>
    <s v="Rural"/>
    <n v="-9.128368"/>
    <n v="-77.747433999999998"/>
    <n v="30"/>
    <s v="SATELITAL"/>
    <s v="Centro"/>
    <x v="1"/>
    <n v="30"/>
    <n v="5"/>
    <n v="5"/>
    <n v="0.83333333333333337"/>
    <n v="5.833333333333333"/>
    <x v="0"/>
    <x v="1"/>
    <x v="1"/>
    <m/>
  </r>
  <r>
    <n v="179"/>
    <n v="95"/>
    <n v="40591"/>
    <s v="86754"/>
    <s v="ANCASH"/>
    <s v="YUNGAY"/>
    <s v="YUNGAY"/>
    <s v="SANTA TERESA"/>
    <s v="SANTA TERESA"/>
    <s v="Rural"/>
    <n v="-9.1078050000000008"/>
    <n v="-77.759626999999995"/>
    <n v="30"/>
    <s v="SATELITAL"/>
    <s v="Centro"/>
    <x v="1"/>
    <n v="30"/>
    <n v="5"/>
    <n v="5"/>
    <n v="0.83333333333333337"/>
    <n v="5.833333333333333"/>
    <x v="0"/>
    <x v="1"/>
    <x v="1"/>
    <m/>
  </r>
  <r>
    <n v="180"/>
    <n v="96"/>
    <n v="175815"/>
    <s v="36393 GABRIELA MISTRAL"/>
    <s v="HUANCAVELICA"/>
    <s v="ACOBAMBA"/>
    <s v="ACOBAMBA"/>
    <s v="CCELLCCAYA"/>
    <s v="PLAZA PRNCIPAL"/>
    <s v="Rural"/>
    <n v="-12.8146"/>
    <n v="-74.575900000000004"/>
    <n v="30"/>
    <s v="SATELITAL"/>
    <s v="Centro"/>
    <x v="1"/>
    <n v="30"/>
    <n v="5"/>
    <n v="5"/>
    <n v="0.83333333333333337"/>
    <n v="5.833333333333333"/>
    <x v="0"/>
    <x v="7"/>
    <x v="2"/>
    <m/>
  </r>
  <r>
    <n v="181"/>
    <n v="97"/>
    <n v="175877"/>
    <s v="MARISCAL CACERES"/>
    <s v="HUANCAVELICA"/>
    <s v="ACOBAMBA"/>
    <s v="ACOBAMBA"/>
    <s v="VILLA RICA"/>
    <s v="AVENIDA 9 DE MAYO S/N"/>
    <s v="Rural"/>
    <n v="-12.803100000000001"/>
    <n v="-74.537000000000006"/>
    <n v="30"/>
    <s v="SATELITAL"/>
    <s v="Centro"/>
    <x v="1"/>
    <n v="30"/>
    <n v="5"/>
    <n v="5"/>
    <n v="0.83333333333333337"/>
    <n v="5.833333333333333"/>
    <x v="0"/>
    <x v="7"/>
    <x v="2"/>
    <m/>
  </r>
  <r>
    <n v="182"/>
    <n v="98"/>
    <n v="176546"/>
    <s v="36374 ISAAC NEWTON"/>
    <s v="HUANCAVELICA"/>
    <s v="ACOBAMBA"/>
    <s v="PAUCARA"/>
    <s v="CHECCO CRUZ"/>
    <s v="PLAZA PRINCIPAL S/N"/>
    <s v="Rural"/>
    <n v="-12.707599999999999"/>
    <n v="-74.685599999999994"/>
    <n v="30"/>
    <s v="SATELITAL"/>
    <s v="Centro"/>
    <x v="1"/>
    <n v="30"/>
    <n v="5"/>
    <n v="5"/>
    <n v="0.83333333333333337"/>
    <n v="5.833333333333333"/>
    <x v="0"/>
    <x v="7"/>
    <x v="2"/>
    <m/>
  </r>
  <r>
    <n v="183"/>
    <n v="99"/>
    <n v="176928"/>
    <s v="36209 SAGRADO CORAZON DE JESUS"/>
    <s v="HUANCAVELICA"/>
    <s v="ACOBAMBA"/>
    <s v="ROSARIO"/>
    <s v="ACCOMACHAY"/>
    <s v="PLAZA PRINCIPAL S/N"/>
    <s v="Rural"/>
    <n v="-12.7691"/>
    <n v="-74.603499999999997"/>
    <n v="30"/>
    <s v="SATELITAL"/>
    <s v="Centro"/>
    <x v="1"/>
    <n v="30"/>
    <n v="5"/>
    <n v="5"/>
    <n v="0.83333333333333337"/>
    <n v="5.833333333333333"/>
    <x v="0"/>
    <x v="7"/>
    <x v="2"/>
    <m/>
  </r>
  <r>
    <n v="184"/>
    <n v="100"/>
    <n v="646528"/>
    <s v="36810"/>
    <s v="HUANCAVELICA"/>
    <s v="ANGARAES"/>
    <s v="ANCHONGA"/>
    <s v="VACAPUCLLANA"/>
    <s v="VACAPUCLLANA"/>
    <s v="Rural"/>
    <n v="-12.892200000000001"/>
    <n v="-74.693799999999996"/>
    <n v="30"/>
    <s v="SATELITAL"/>
    <s v="Centro"/>
    <x v="1"/>
    <n v="30"/>
    <n v="5"/>
    <n v="5"/>
    <n v="0.83333333333333337"/>
    <n v="5.833333333333333"/>
    <x v="0"/>
    <x v="7"/>
    <x v="2"/>
    <m/>
  </r>
  <r>
    <n v="185"/>
    <n v="101"/>
    <n v="178116"/>
    <s v="36479"/>
    <s v="HUANCAVELICA"/>
    <s v="ANGARAES"/>
    <s v="CCOCHACCASA"/>
    <s v="PONGOS GRANDE"/>
    <s v="PLAZA PRINCIPAL"/>
    <s v="Rural"/>
    <n v="-12.9541"/>
    <n v="-74.747100000000003"/>
    <n v="30"/>
    <s v="SATELITAL"/>
    <s v="Centro"/>
    <x v="1"/>
    <n v="30"/>
    <n v="5"/>
    <n v="5"/>
    <n v="0.83333333333333337"/>
    <n v="5.833333333333333"/>
    <x v="0"/>
    <x v="7"/>
    <x v="2"/>
    <m/>
  </r>
  <r>
    <n v="186"/>
    <n v="102"/>
    <n v="177249"/>
    <s v="36231"/>
    <s v="HUANCAVELICA"/>
    <s v="ANGARAES"/>
    <s v="LIRCAY"/>
    <s v="ALLATO"/>
    <s v="ALLATO"/>
    <s v="Rural"/>
    <n v="-12.9704"/>
    <n v="-74.735299999999995"/>
    <n v="30"/>
    <s v="SATELITAL"/>
    <s v="Centro"/>
    <x v="1"/>
    <n v="30"/>
    <n v="5"/>
    <n v="5"/>
    <n v="0.83333333333333337"/>
    <n v="5.833333333333333"/>
    <x v="0"/>
    <x v="7"/>
    <x v="2"/>
    <m/>
  </r>
  <r>
    <n v="187"/>
    <n v="103"/>
    <n v="177678"/>
    <s v="TUPAC AMARU"/>
    <s v="HUANCAVELICA"/>
    <s v="ANGARAES"/>
    <s v="LIRCAY"/>
    <s v="BUENAVISTA"/>
    <s v="PLAZA PRINCIPAL"/>
    <s v="Rural"/>
    <n v="-13.072526"/>
    <n v="-74.642296000000002"/>
    <n v="30"/>
    <s v="SATELITAL"/>
    <s v="Centro"/>
    <x v="1"/>
    <n v="30"/>
    <n v="5"/>
    <n v="5"/>
    <n v="0.83333333333333337"/>
    <n v="5.833333333333333"/>
    <x v="0"/>
    <x v="7"/>
    <x v="2"/>
    <m/>
  </r>
  <r>
    <n v="188"/>
    <n v="104"/>
    <n v="177254"/>
    <s v="36232 NUESTRA SEÑORA DE GUADALUPE"/>
    <s v="HUANCAVELICA"/>
    <s v="ANGARAES"/>
    <s v="LIRCAY"/>
    <s v="CARHUAPATA"/>
    <s v="AVENIDA RICARDO PALMA S/N"/>
    <s v="Rural"/>
    <n v="-13.0244"/>
    <n v="-74.793700000000001"/>
    <n v="30"/>
    <s v="SATELITAL"/>
    <s v="Centro"/>
    <x v="1"/>
    <n v="30"/>
    <n v="5"/>
    <n v="5"/>
    <n v="0.83333333333333337"/>
    <n v="5.833333333333333"/>
    <x v="0"/>
    <x v="7"/>
    <x v="2"/>
    <m/>
  </r>
  <r>
    <n v="189"/>
    <n v="105"/>
    <n v="177598"/>
    <s v="36512"/>
    <s v="HUANCAVELICA"/>
    <s v="ANGARAES"/>
    <s v="LIRCAY"/>
    <s v="HUAYLLAYPATA"/>
    <s v="AVENIDA LIMA S/N"/>
    <s v="Rural"/>
    <n v="-13.0207"/>
    <n v="-74.784800000000004"/>
    <n v="30"/>
    <s v="SATELITAL"/>
    <s v="Centro"/>
    <x v="1"/>
    <n v="30"/>
    <n v="5"/>
    <n v="5"/>
    <n v="0.83333333333333337"/>
    <n v="5.833333333333333"/>
    <x v="0"/>
    <x v="7"/>
    <x v="2"/>
    <m/>
  </r>
  <r>
    <n v="190"/>
    <n v="106"/>
    <n v="177447"/>
    <s v="36403"/>
    <s v="HUANCAVELICA"/>
    <s v="ANGARAES"/>
    <s v="LIRCAY"/>
    <s v="UNION PROGRESO PATAHUASI"/>
    <s v="PLAZA PRINCIPAL"/>
    <s v="Rural"/>
    <n v="-13.133599999999999"/>
    <n v="-74.675200000000004"/>
    <n v="30"/>
    <s v="SATELITAL"/>
    <s v="Centro"/>
    <x v="1"/>
    <n v="30"/>
    <n v="5"/>
    <n v="5"/>
    <n v="0.83333333333333337"/>
    <n v="5.833333333333333"/>
    <x v="0"/>
    <x v="7"/>
    <x v="2"/>
    <m/>
  </r>
  <r>
    <n v="191"/>
    <n v="107"/>
    <n v="179229"/>
    <s v="36284"/>
    <s v="HUANCAVELICA"/>
    <s v="ANGARAES"/>
    <s v="SECCLLA"/>
    <s v="CCOCHATAY"/>
    <s v="AVENIDA CASTROVIRREYNA S/N"/>
    <s v="Rural"/>
    <n v="-13.082100000000001"/>
    <n v="-74.606947000000005"/>
    <n v="30"/>
    <s v="SATELITAL"/>
    <s v="Centro"/>
    <x v="1"/>
    <n v="30"/>
    <n v="5"/>
    <n v="5"/>
    <n v="0.83333333333333337"/>
    <n v="5.833333333333333"/>
    <x v="0"/>
    <x v="7"/>
    <x v="2"/>
    <m/>
  </r>
  <r>
    <n v="192"/>
    <n v="108"/>
    <n v="179168"/>
    <s v="36283 JESUS DE NAZARETH"/>
    <s v="HUANCAVELICA"/>
    <s v="ANGARAES"/>
    <s v="SECCLLA"/>
    <s v="QUISPICANCHA"/>
    <s v="PLAZA PRINCIPAL"/>
    <s v="Rural"/>
    <n v="-13.113899999999999"/>
    <n v="-74.593800000000002"/>
    <n v="30"/>
    <s v="SATELITAL"/>
    <s v="Centro"/>
    <x v="1"/>
    <n v="30"/>
    <n v="5"/>
    <n v="5"/>
    <n v="0.83333333333333337"/>
    <n v="5.833333333333333"/>
    <x v="0"/>
    <x v="7"/>
    <x v="2"/>
    <m/>
  </r>
  <r>
    <n v="193"/>
    <n v="109"/>
    <n v="179173"/>
    <s v="36285"/>
    <s v="HUANCAVELICA"/>
    <s v="ANGARAES"/>
    <s v="SECCLLA"/>
    <s v="RUPASCCAHUASI"/>
    <s v="PLAZA PRINCIPAL"/>
    <s v="Rural"/>
    <n v="-13.135999999999999"/>
    <n v="-74.523600000000002"/>
    <n v="30"/>
    <s v="SATELITAL"/>
    <s v="Centro"/>
    <x v="1"/>
    <n v="30"/>
    <n v="5"/>
    <n v="5"/>
    <n v="0.83333333333333337"/>
    <n v="5.833333333333333"/>
    <x v="0"/>
    <x v="7"/>
    <x v="2"/>
    <m/>
  </r>
  <r>
    <n v="194"/>
    <n v="110"/>
    <n v="179955"/>
    <s v="ANDRES AVELINO CACERES"/>
    <s v="HUANCAVELICA"/>
    <s v="CASTROVIRREYNA"/>
    <s v="AURAHUA"/>
    <s v="COCHAMARCA"/>
    <s v="PLAZA DE ARMAS"/>
    <s v="Rural"/>
    <n v="-12.990399999999999"/>
    <n v="-75.507599999999996"/>
    <n v="30"/>
    <s v="SATELITAL"/>
    <s v="Centro"/>
    <x v="1"/>
    <n v="30"/>
    <n v="5"/>
    <n v="5"/>
    <n v="0.83333333333333337"/>
    <n v="5.833333333333333"/>
    <x v="0"/>
    <x v="7"/>
    <x v="2"/>
    <m/>
  </r>
  <r>
    <n v="195"/>
    <n v="111"/>
    <n v="181835"/>
    <s v="SAN CRISTOBAL"/>
    <s v="HUANCAVELICA"/>
    <s v="CHURCAMPA"/>
    <s v="ANCO"/>
    <s v="CHOCCEPARCO / SANTA ELENA"/>
    <s v="SANTA ELENA S/N"/>
    <s v="Rural"/>
    <n v="-12.714499999999999"/>
    <n v="-74.551000000000002"/>
    <n v="30"/>
    <s v="SATELITAL"/>
    <s v="Centro"/>
    <x v="1"/>
    <n v="30"/>
    <n v="5"/>
    <n v="5"/>
    <n v="0.83333333333333337"/>
    <n v="5.833333333333333"/>
    <x v="0"/>
    <x v="7"/>
    <x v="2"/>
    <m/>
  </r>
  <r>
    <n v="196"/>
    <n v="112"/>
    <n v="555467"/>
    <s v="NUESTRA SEÑORA DE LAS MERCEDES"/>
    <s v="HUANCAVELICA"/>
    <s v="CHURCAMPA"/>
    <s v="CHURCAMPA"/>
    <s v="PATACANCHA"/>
    <s v="AVENIDA 13 DE MAYO S/N"/>
    <s v="Rural"/>
    <n v="-12.694341"/>
    <n v="-74.429635000000005"/>
    <n v="30"/>
    <s v="SATELITAL"/>
    <s v="Centro"/>
    <x v="1"/>
    <n v="30"/>
    <n v="5"/>
    <n v="5"/>
    <n v="0.83333333333333337"/>
    <n v="5.833333333333333"/>
    <x v="0"/>
    <x v="7"/>
    <x v="2"/>
    <m/>
  </r>
  <r>
    <n v="197"/>
    <n v="113"/>
    <n v="182081"/>
    <s v="31131 JOSE SALVADOR CAVERO OVALLE"/>
    <s v="HUANCAVELICA"/>
    <s v="CHURCAMPA"/>
    <s v="EL CARMEN"/>
    <s v="PUCUTO"/>
    <s v="CARRETERA PALERMO - LARCAY"/>
    <s v="Rural"/>
    <n v="-12.718181"/>
    <n v="-74.508978999999997"/>
    <n v="30"/>
    <s v="SATELITAL"/>
    <s v="Centro"/>
    <x v="1"/>
    <n v="30"/>
    <n v="5"/>
    <n v="5"/>
    <n v="0.83333333333333337"/>
    <n v="5.833333333333333"/>
    <x v="0"/>
    <x v="7"/>
    <x v="2"/>
    <m/>
  </r>
  <r>
    <n v="198"/>
    <n v="114"/>
    <n v="172138"/>
    <s v="36033"/>
    <s v="HUANCAVELICA"/>
    <s v="HUANCAVELICA"/>
    <s v="ACOBAMBILLA"/>
    <s v="ANCCAPA"/>
    <s v="CALLE REAL S/N"/>
    <s v="Rural"/>
    <n v="-12.6716"/>
    <n v="-75.208680000000001"/>
    <n v="30"/>
    <s v="SATELITAL"/>
    <s v="Centro"/>
    <x v="1"/>
    <n v="30"/>
    <n v="5"/>
    <n v="5"/>
    <n v="0.83333333333333337"/>
    <n v="5.833333333333333"/>
    <x v="0"/>
    <x v="7"/>
    <x v="2"/>
    <m/>
  </r>
  <r>
    <n v="199"/>
    <n v="115"/>
    <n v="173557"/>
    <s v="36044"/>
    <s v="HUANCAVELICA"/>
    <s v="HUANCAVELICA"/>
    <s v="CUENCA"/>
    <s v="LUQUIA"/>
    <s v="JIRON 28 DE JULIO S/N"/>
    <s v="Rural"/>
    <n v="-12.492289"/>
    <n v="-75.051642000000001"/>
    <n v="30"/>
    <s v="SATELITAL"/>
    <s v="Centro"/>
    <x v="1"/>
    <n v="30"/>
    <n v="5"/>
    <n v="5"/>
    <n v="0.83333333333333337"/>
    <n v="5.833333333333333"/>
    <x v="0"/>
    <x v="7"/>
    <x v="2"/>
    <m/>
  </r>
  <r>
    <n v="200"/>
    <n v="116"/>
    <n v="171624"/>
    <s v="36344 VALENTIN LOPEZ MOLINA || CPED 36344 VALENTIN LOPEZ MOLINA"/>
    <s v="HUANCAVELICA"/>
    <s v="HUANCAVELICA"/>
    <s v="HUANCAVELICA"/>
    <s v="CALLQUI CHICO"/>
    <s v="CARRETERA HUANCAVELICA - PISCO"/>
    <s v="Rural"/>
    <n v="-12.782249999999999"/>
    <n v="-75.033175"/>
    <n v="30"/>
    <s v="SATELITAL"/>
    <s v="Centro"/>
    <x v="1"/>
    <n v="30"/>
    <n v="5"/>
    <n v="5"/>
    <n v="0.83333333333333337"/>
    <n v="5.833333333333333"/>
    <x v="0"/>
    <x v="7"/>
    <x v="2"/>
    <m/>
  </r>
  <r>
    <n v="201"/>
    <n v="117"/>
    <n v="171596"/>
    <s v="36062"/>
    <s v="HUANCAVELICA"/>
    <s v="HUANCAVELICA"/>
    <s v="HUANCAVELICA"/>
    <s v="PALLCCAPAMPA"/>
    <s v="PLAZA PRINCIPAL"/>
    <s v="Rural"/>
    <n v="-12.8988"/>
    <n v="-74.934209999999993"/>
    <n v="30"/>
    <s v="SATELITAL"/>
    <s v="Centro"/>
    <x v="1"/>
    <n v="30"/>
    <n v="5"/>
    <n v="5"/>
    <n v="0.83333333333333337"/>
    <n v="5.833333333333333"/>
    <x v="0"/>
    <x v="7"/>
    <x v="2"/>
    <m/>
  </r>
  <r>
    <n v="202"/>
    <n v="118"/>
    <n v="174024"/>
    <s v="36131"/>
    <s v="HUANCAVELICA"/>
    <s v="HUANCAVELICA"/>
    <s v="LARIA"/>
    <s v="ZUNIPAMPA"/>
    <s v="ZUNIPAMPA"/>
    <s v="Rural"/>
    <n v="-12.563330000000001"/>
    <n v="-75.048490000000001"/>
    <n v="30"/>
    <s v="SATELITAL"/>
    <s v="Centro"/>
    <x v="1"/>
    <n v="30"/>
    <n v="5"/>
    <n v="5"/>
    <n v="0.83333333333333337"/>
    <n v="5.833333333333333"/>
    <x v="0"/>
    <x v="7"/>
    <x v="2"/>
    <m/>
  </r>
  <r>
    <n v="203"/>
    <n v="119"/>
    <n v="174458"/>
    <s v="36101"/>
    <s v="HUANCAVELICA"/>
    <s v="HUANCAVELICA"/>
    <s v="NUEVO OCCORO"/>
    <s v="TAMBOPATA"/>
    <s v="PLAZA PRINCIPAL S/N"/>
    <s v="Rural"/>
    <n v="-12.654377"/>
    <n v="-75.094870999999998"/>
    <n v="30"/>
    <s v="SATELITAL"/>
    <s v="Centro"/>
    <x v="1"/>
    <n v="30"/>
    <n v="5"/>
    <n v="5"/>
    <n v="0.83333333333333337"/>
    <n v="5.833333333333333"/>
    <x v="0"/>
    <x v="7"/>
    <x v="2"/>
    <m/>
  </r>
  <r>
    <n v="204"/>
    <n v="120"/>
    <n v="174420"/>
    <s v="36097"/>
    <s v="HUANCAVELICA"/>
    <s v="HUANCAVELICA"/>
    <s v="NUEVO OCCORO"/>
    <s v="TANSIRI"/>
    <s v="PLAZA PRINCIPAL S/N"/>
    <s v="Rural"/>
    <n v="-12.713941"/>
    <n v="-75.171504999999996"/>
    <n v="30"/>
    <s v="SATELITAL"/>
    <s v="Centro"/>
    <x v="1"/>
    <n v="30"/>
    <n v="5"/>
    <n v="5"/>
    <n v="0.83333333333333337"/>
    <n v="5.833333333333333"/>
    <x v="0"/>
    <x v="7"/>
    <x v="2"/>
    <m/>
  </r>
  <r>
    <n v="205"/>
    <n v="121"/>
    <n v="176669"/>
    <s v="RICARDO PALMA"/>
    <s v="HUANCAVELICA"/>
    <s v="HUANCAVELICA"/>
    <s v="YAULI"/>
    <s v="CHUÑUNAPAMPA"/>
    <s v="PLAZA PRINCIPAL"/>
    <s v="Rural"/>
    <n v="-12.764994"/>
    <n v="-74.742755000000002"/>
    <n v="30"/>
    <s v="SATELITAL"/>
    <s v="Centro"/>
    <x v="1"/>
    <n v="30"/>
    <n v="5"/>
    <n v="5"/>
    <n v="0.83333333333333337"/>
    <n v="5.833333333333333"/>
    <x v="0"/>
    <x v="7"/>
    <x v="2"/>
    <m/>
  </r>
  <r>
    <n v="206"/>
    <n v="122"/>
    <n v="175311"/>
    <s v="36321"/>
    <s v="HUANCAVELICA"/>
    <s v="HUANCAVELICA"/>
    <s v="YAULI"/>
    <s v="PUCAPAMPA"/>
    <s v="PLAZA PRINCIPAL"/>
    <s v="Rural"/>
    <n v="-12.760619999999999"/>
    <n v="-74.80686"/>
    <n v="30"/>
    <s v="SATELITAL"/>
    <s v="Centro"/>
    <x v="1"/>
    <n v="30"/>
    <n v="5"/>
    <n v="5"/>
    <n v="0.83333333333333337"/>
    <n v="5.833333333333333"/>
    <x v="0"/>
    <x v="7"/>
    <x v="2"/>
    <m/>
  </r>
  <r>
    <n v="207"/>
    <n v="123"/>
    <n v="175293"/>
    <s v="36319"/>
    <s v="HUANCAVELICA"/>
    <s v="HUANCAVELICA"/>
    <s v="YAULI"/>
    <s v="SANTA ROSA DE PACHACCLLA"/>
    <s v="AVENIDA HUANCAVELICA S/N"/>
    <s v="Rural"/>
    <n v="-12.867068"/>
    <n v="-74.835554999999999"/>
    <n v="30"/>
    <s v="SATELITAL"/>
    <s v="Centro"/>
    <x v="1"/>
    <n v="30"/>
    <n v="5"/>
    <n v="5"/>
    <n v="0.83333333333333337"/>
    <n v="5.833333333333333"/>
    <x v="0"/>
    <x v="7"/>
    <x v="2"/>
    <m/>
  </r>
  <r>
    <n v="208"/>
    <n v="124"/>
    <n v="184481"/>
    <s v="MANUEL GONZALES PRADA"/>
    <s v="HUANCAVELICA"/>
    <s v="HUAYTARA"/>
    <s v="SAN ANTONIO DE CUSICANCHA"/>
    <s v="SACSAQUERO"/>
    <s v="PARQUE PLAZA PRINCIPAL S/N"/>
    <s v="Rural"/>
    <n v="-13.477"/>
    <n v="-75.275099999999995"/>
    <n v="30"/>
    <s v="SATELITAL"/>
    <s v="Centro"/>
    <x v="1"/>
    <n v="30"/>
    <n v="5"/>
    <n v="5"/>
    <n v="0.83333333333333337"/>
    <n v="5.833333333333333"/>
    <x v="0"/>
    <x v="7"/>
    <x v="2"/>
    <m/>
  </r>
  <r>
    <n v="209"/>
    <n v="125"/>
    <n v="185819"/>
    <s v="NUESTRA SEÑORA DE LA ASUNCION"/>
    <s v="HUANCAVELICA"/>
    <s v="TAYACAJA"/>
    <s v="ACOSTAMBO"/>
    <s v="ACOSTAMBO"/>
    <s v="CARRETERA HUANCAYO - HUANCAVELICA KM. 38"/>
    <s v="Rural"/>
    <n v="-12.356999999999999"/>
    <n v="-75.0578"/>
    <n v="30"/>
    <s v="SATELITAL"/>
    <s v="Centro"/>
    <x v="1"/>
    <n v="30"/>
    <n v="5"/>
    <n v="5"/>
    <n v="0.83333333333333337"/>
    <n v="5.833333333333333"/>
    <x v="0"/>
    <x v="7"/>
    <x v="2"/>
    <m/>
  </r>
  <r>
    <n v="210"/>
    <n v="126"/>
    <n v="185720"/>
    <s v="31008"/>
    <s v="HUANCAVELICA"/>
    <s v="TAYACAJA"/>
    <s v="ACOSTAMBO"/>
    <s v="VISTA ALEGRE"/>
    <s v="PLAZA PRINCIPAL"/>
    <s v="Rural"/>
    <n v="-12.363007"/>
    <n v="-75.043094999999994"/>
    <n v="30"/>
    <s v="SATELITAL"/>
    <s v="Centro"/>
    <x v="1"/>
    <n v="30"/>
    <n v="5"/>
    <n v="5"/>
    <n v="0.83333333333333337"/>
    <n v="5.833333333333333"/>
    <x v="0"/>
    <x v="7"/>
    <x v="2"/>
    <m/>
  </r>
  <r>
    <n v="211"/>
    <n v="127"/>
    <n v="186461"/>
    <s v="31032"/>
    <s v="HUANCAVELICA"/>
    <s v="TAYACAJA"/>
    <s v="ANDAYMARCA"/>
    <s v="HUARANHUAY"/>
    <s v="PLAZA PRINCIPAL"/>
    <s v="Rural"/>
    <n v="-12.3565"/>
    <n v="-74.580600000000004"/>
    <n v="30"/>
    <s v="SATELITAL"/>
    <s v="Centro"/>
    <x v="1"/>
    <n v="30"/>
    <n v="5"/>
    <n v="5"/>
    <n v="0.83333333333333337"/>
    <n v="5.833333333333333"/>
    <x v="0"/>
    <x v="7"/>
    <x v="2"/>
    <m/>
  </r>
  <r>
    <n v="212"/>
    <n v="128"/>
    <n v="189596"/>
    <s v="31110"/>
    <s v="HUANCAVELICA"/>
    <s v="TAYACAJA"/>
    <s v="COCHABAMBA"/>
    <s v="COCHABAMBA GRANDE"/>
    <s v="CALLE PRINCIPAL S/N"/>
    <s v="Rural"/>
    <n v="-12.193099999999999"/>
    <n v="-74.514499999999998"/>
    <n v="30"/>
    <s v="SATELITAL"/>
    <s v="Centro"/>
    <x v="1"/>
    <n v="30"/>
    <n v="5"/>
    <n v="5"/>
    <n v="0.83333333333333337"/>
    <n v="5.833333333333333"/>
    <x v="0"/>
    <x v="7"/>
    <x v="2"/>
    <m/>
  </r>
  <r>
    <n v="213"/>
    <n v="129"/>
    <n v="186847"/>
    <s v="CESAR VALLEJO MENDOZA"/>
    <s v="HUANCAVELICA"/>
    <s v="TAYACAJA"/>
    <s v="COLCABAMBA"/>
    <s v="CARPAPATA"/>
    <s v="JIRON SIMON BOLIVAR S/N"/>
    <s v="Rural"/>
    <n v="-12.3927"/>
    <n v="-74.750100000000003"/>
    <n v="30"/>
    <s v="SATELITAL"/>
    <s v="Centro"/>
    <x v="1"/>
    <n v="30"/>
    <n v="5"/>
    <n v="5"/>
    <n v="0.83333333333333337"/>
    <n v="5.833333333333333"/>
    <x v="0"/>
    <x v="7"/>
    <x v="2"/>
    <m/>
  </r>
  <r>
    <n v="214"/>
    <n v="130"/>
    <n v="186951"/>
    <s v="ENRIQUETA SAMANEZ DE HERMOZA"/>
    <s v="HUANCAVELICA"/>
    <s v="TAYACAJA"/>
    <s v="COLCABAMBA"/>
    <s v="TOCAS"/>
    <s v="AVENIDA SAN JULIAN"/>
    <s v="Rural"/>
    <n v="-12.449299999999999"/>
    <n v="-74.651600000000002"/>
    <n v="30"/>
    <s v="SATELITAL"/>
    <s v="Centro"/>
    <x v="1"/>
    <n v="30"/>
    <n v="5"/>
    <n v="5"/>
    <n v="0.83333333333333337"/>
    <n v="5.833333333333333"/>
    <x v="0"/>
    <x v="7"/>
    <x v="2"/>
    <m/>
  </r>
  <r>
    <n v="215"/>
    <n v="131"/>
    <n v="187917"/>
    <s v="31059"/>
    <s v="HUANCAVELICA"/>
    <s v="TAYACAJA"/>
    <s v="HUARIBAMBA"/>
    <s v="SANTA CRUZ DE HUALLARQUI"/>
    <s v="CALLE 01 HUAYARQUI"/>
    <s v="Rural"/>
    <n v="-12.251238000000001"/>
    <n v="-74.887691000000004"/>
    <n v="30"/>
    <s v="SATELITAL"/>
    <s v="Centro"/>
    <x v="1"/>
    <n v="30"/>
    <n v="5"/>
    <n v="5"/>
    <n v="0.83333333333333337"/>
    <n v="5.833333333333333"/>
    <x v="0"/>
    <x v="7"/>
    <x v="2"/>
    <m/>
  </r>
  <r>
    <n v="216"/>
    <n v="132"/>
    <n v="188182"/>
    <s v="31067"/>
    <s v="HUANCAVELICA"/>
    <s v="TAYACAJA"/>
    <s v="ÑAHUIMPUQUIO"/>
    <s v="IMPERIAL"/>
    <s v="CALLE 28 DE JULIO"/>
    <s v="Rural"/>
    <n v="-12.3161"/>
    <n v="-75.076999999999998"/>
    <n v="30"/>
    <s v="SATELITAL"/>
    <s v="Centro"/>
    <x v="1"/>
    <n v="30"/>
    <n v="5"/>
    <n v="5"/>
    <n v="0.83333333333333337"/>
    <n v="5.833333333333333"/>
    <x v="0"/>
    <x v="7"/>
    <x v="2"/>
    <m/>
  </r>
  <r>
    <n v="217"/>
    <n v="133"/>
    <n v="188342"/>
    <s v="30963"/>
    <s v="HUANCAVELICA"/>
    <s v="TAYACAJA"/>
    <s v="PAZOS"/>
    <s v="COYLLORPAMPA / CCOYLLORPAMPA"/>
    <s v="CALLE PLAZA PRINCIPAL"/>
    <s v="Rural"/>
    <n v="-12.2896"/>
    <n v="-75.029600000000002"/>
    <n v="30"/>
    <s v="SATELITAL"/>
    <s v="Centro"/>
    <x v="1"/>
    <n v="30"/>
    <n v="5"/>
    <n v="5"/>
    <n v="0.83333333333333337"/>
    <n v="5.833333333333333"/>
    <x v="0"/>
    <x v="7"/>
    <x v="2"/>
    <m/>
  </r>
  <r>
    <n v="218"/>
    <n v="134"/>
    <n v="188549"/>
    <s v="MANUEL SCORZA TORRES"/>
    <s v="HUANCAVELICA"/>
    <s v="TAYACAJA"/>
    <s v="PAZOS"/>
    <s v="MULLACA / SAN PEDRO DE MULLACA"/>
    <s v="MULLACA"/>
    <s v="Rural"/>
    <n v="-12.300800000000001"/>
    <n v="-75.041300000000007"/>
    <n v="30"/>
    <s v="SATELITAL"/>
    <s v="Centro"/>
    <x v="1"/>
    <n v="30"/>
    <n v="5"/>
    <n v="5"/>
    <n v="0.83333333333333337"/>
    <n v="5.833333333333333"/>
    <x v="0"/>
    <x v="7"/>
    <x v="2"/>
    <m/>
  </r>
  <r>
    <n v="219"/>
    <n v="135"/>
    <n v="188460"/>
    <s v="SAN LUCAS"/>
    <s v="HUANCAVELICA"/>
    <s v="TAYACAJA"/>
    <s v="PAZOS"/>
    <s v="TONGOS"/>
    <s v="TONGOS"/>
    <s v="Rural"/>
    <n v="-12.299206999999999"/>
    <n v="-75.005913000000007"/>
    <n v="30"/>
    <s v="SATELITAL"/>
    <s v="Centro"/>
    <x v="1"/>
    <n v="30"/>
    <n v="5"/>
    <n v="5"/>
    <n v="0.83333333333333337"/>
    <n v="5.833333333333333"/>
    <x v="0"/>
    <x v="7"/>
    <x v="2"/>
    <m/>
  </r>
  <r>
    <n v="220"/>
    <n v="136"/>
    <n v="188667"/>
    <s v="31100"/>
    <s v="HUANCAVELICA"/>
    <s v="TAYACAJA"/>
    <s v="SALCABAMBA"/>
    <s v="MIRAFLORES"/>
    <s v="PLAZA PRINCIPAL"/>
    <s v="Rural"/>
    <n v="-12.1754"/>
    <n v="-74.782700000000006"/>
    <n v="30"/>
    <s v="SATELITAL"/>
    <s v="Centro"/>
    <x v="1"/>
    <n v="30"/>
    <n v="5"/>
    <n v="5"/>
    <n v="0.83333333333333337"/>
    <n v="5.833333333333333"/>
    <x v="0"/>
    <x v="7"/>
    <x v="2"/>
    <m/>
  </r>
  <r>
    <n v="221"/>
    <n v="137"/>
    <n v="189214"/>
    <s v="RAMON CASTILLA"/>
    <s v="HUANCAVELICA"/>
    <s v="TAYACAJA"/>
    <s v="SAN MARCOS DE ROCCHAC"/>
    <s v="PALOMA RUMI"/>
    <s v="BARRIO PALOMA RUMI"/>
    <s v="Rural"/>
    <n v="-12.080465"/>
    <n v="-74.865506999999994"/>
    <n v="30"/>
    <s v="SATELITAL"/>
    <s v="Centro"/>
    <x v="1"/>
    <n v="30"/>
    <n v="5"/>
    <n v="5"/>
    <n v="0.83333333333333337"/>
    <n v="5.833333333333333"/>
    <x v="0"/>
    <x v="7"/>
    <x v="2"/>
    <m/>
  </r>
  <r>
    <n v="222"/>
    <n v="138"/>
    <n v="194710"/>
    <s v="32741"/>
    <s v="HUANUCO"/>
    <s v="AMBO"/>
    <s v="AMBO"/>
    <s v="ANDAHUAYLLA"/>
    <s v="ANDAHUAYLLA"/>
    <s v="Rural"/>
    <n v="-10.098000000000001"/>
    <n v="-76.204899999999995"/>
    <n v="30"/>
    <s v="SATELITAL"/>
    <s v="Centro"/>
    <x v="1"/>
    <n v="30"/>
    <n v="5"/>
    <n v="5"/>
    <n v="0.83333333333333337"/>
    <n v="5.833333333333333"/>
    <x v="0"/>
    <x v="6"/>
    <x v="4"/>
    <m/>
  </r>
  <r>
    <n v="223"/>
    <n v="139"/>
    <n v="194593"/>
    <s v="32136 || JORGE CHAVEZ DARTNELL"/>
    <s v="HUANUCO"/>
    <s v="AMBO"/>
    <s v="AMBO"/>
    <s v="CHAUCHA"/>
    <s v="CHAUCHA S/N"/>
    <s v="Rural"/>
    <n v="-10.215999999999999"/>
    <n v="-76.201120000000003"/>
    <n v="30"/>
    <s v="SATELITAL"/>
    <s v="Centro"/>
    <x v="1"/>
    <n v="30"/>
    <n v="5"/>
    <n v="5"/>
    <n v="0.83333333333333337"/>
    <n v="5.833333333333333"/>
    <x v="0"/>
    <x v="6"/>
    <x v="4"/>
    <m/>
  </r>
  <r>
    <n v="224"/>
    <n v="140"/>
    <n v="194499"/>
    <s v="32138 MIGUEL GRAU SEMINARIO"/>
    <s v="HUANUCO"/>
    <s v="AMBO"/>
    <s v="AMBO"/>
    <s v="HUAYLLA"/>
    <s v="HUAYLLA S/N"/>
    <s v="Rural"/>
    <n v="-10.1495"/>
    <n v="-76.189400000000006"/>
    <n v="30"/>
    <s v="SATELITAL"/>
    <s v="Centro"/>
    <x v="1"/>
    <n v="30"/>
    <n v="5"/>
    <n v="5"/>
    <n v="0.83333333333333337"/>
    <n v="5.833333333333333"/>
    <x v="0"/>
    <x v="6"/>
    <x v="4"/>
    <m/>
  </r>
  <r>
    <n v="225"/>
    <n v="141"/>
    <n v="194668"/>
    <s v="32169 DAYSI YENY SOTO MORY"/>
    <s v="HUANUCO"/>
    <s v="AMBO"/>
    <s v="AMBO"/>
    <s v="MARAYPATA"/>
    <s v="MARAYPATA"/>
    <s v="Rural"/>
    <n v="-10.169600000000001"/>
    <n v="-76.109099999999998"/>
    <n v="30"/>
    <s v="SATELITAL"/>
    <s v="Centro"/>
    <x v="1"/>
    <n v="30"/>
    <n v="5"/>
    <n v="5"/>
    <n v="0.83333333333333337"/>
    <n v="5.833333333333333"/>
    <x v="0"/>
    <x v="6"/>
    <x v="4"/>
    <m/>
  </r>
  <r>
    <n v="226"/>
    <n v="142"/>
    <n v="195328"/>
    <s v="32826"/>
    <s v="HUANUCO"/>
    <s v="AMBO"/>
    <s v="CONCHAMARCA"/>
    <s v="SAN MIGUEL DE RANCAY"/>
    <s v="SAN MIGUEL DE RANCAY"/>
    <s v="Rural"/>
    <n v="-10.0916"/>
    <n v="-76.307599999999994"/>
    <n v="30"/>
    <s v="SATELITAL"/>
    <s v="Centro"/>
    <x v="1"/>
    <n v="30"/>
    <n v="5"/>
    <n v="5"/>
    <n v="0.83333333333333337"/>
    <n v="5.833333333333333"/>
    <x v="0"/>
    <x v="6"/>
    <x v="4"/>
    <m/>
  </r>
  <r>
    <n v="227"/>
    <n v="143"/>
    <n v="368550"/>
    <s v="32733 CESAR MORALES NEGRETE"/>
    <s v="HUANUCO"/>
    <s v="AMBO"/>
    <s v="SAN FRANCISCO"/>
    <s v="ACOCHACAN"/>
    <s v="JIRON ACOCHACAN"/>
    <s v="Rural"/>
    <n v="-10.294423"/>
    <n v="-76.332914000000002"/>
    <n v="30"/>
    <s v="SATELITAL"/>
    <s v="Centro"/>
    <x v="1"/>
    <n v="30"/>
    <n v="5"/>
    <n v="5"/>
    <n v="0.83333333333333337"/>
    <n v="5.833333333333333"/>
    <x v="0"/>
    <x v="6"/>
    <x v="4"/>
    <m/>
  </r>
  <r>
    <n v="228"/>
    <n v="144"/>
    <n v="196219"/>
    <s v="33108"/>
    <s v="HUANUCO"/>
    <s v="AMBO"/>
    <s v="SAN RAFAEL"/>
    <s v="1 DE MAYO"/>
    <s v="1 DE MAYO"/>
    <s v="Rural"/>
    <n v="-10.374226"/>
    <n v="-76.201178999999996"/>
    <n v="30"/>
    <s v="SATELITAL"/>
    <s v="Centro"/>
    <x v="1"/>
    <n v="30"/>
    <n v="5"/>
    <n v="5"/>
    <n v="0.83333333333333337"/>
    <n v="5.833333333333333"/>
    <x v="0"/>
    <x v="6"/>
    <x v="4"/>
    <m/>
  </r>
  <r>
    <n v="229"/>
    <n v="145"/>
    <n v="196016"/>
    <s v="32198"/>
    <s v="HUANUCO"/>
    <s v="AMBO"/>
    <s v="SAN RAFAEL"/>
    <s v="ALCAS"/>
    <s v="ALCAS"/>
    <s v="Rural"/>
    <n v="-10.329000000000001"/>
    <n v="-76.110500000000002"/>
    <n v="30"/>
    <s v="SATELITAL"/>
    <s v="Centro"/>
    <x v="1"/>
    <n v="30"/>
    <n v="5"/>
    <n v="5"/>
    <n v="0.83333333333333337"/>
    <n v="5.833333333333333"/>
    <x v="0"/>
    <x v="6"/>
    <x v="4"/>
    <m/>
  </r>
  <r>
    <n v="230"/>
    <n v="146"/>
    <n v="196035"/>
    <s v="32201"/>
    <s v="HUANUCO"/>
    <s v="AMBO"/>
    <s v="SAN RAFAEL"/>
    <s v="CORRALCANCHA"/>
    <s v="CORRALCANCHA"/>
    <s v="Rural"/>
    <n v="-10.3714"/>
    <n v="-76.102500000000006"/>
    <n v="30"/>
    <s v="SATELITAL"/>
    <s v="Centro"/>
    <x v="1"/>
    <n v="30"/>
    <n v="5"/>
    <n v="5"/>
    <n v="0.83333333333333337"/>
    <n v="5.833333333333333"/>
    <x v="0"/>
    <x v="6"/>
    <x v="4"/>
    <m/>
  </r>
  <r>
    <n v="231"/>
    <n v="147"/>
    <n v="195903"/>
    <s v="32161 || CPED - 32161"/>
    <s v="HUANUCO"/>
    <s v="AMBO"/>
    <s v="SAN RAFAEL"/>
    <s v="MATIHUACA"/>
    <s v="MATIHUACA S/N"/>
    <s v="Rural"/>
    <n v="-10.340400000000001"/>
    <n v="-76.168099999999995"/>
    <n v="30"/>
    <s v="SATELITAL"/>
    <s v="Centro"/>
    <x v="1"/>
    <n v="30"/>
    <n v="5"/>
    <n v="5"/>
    <n v="0.83333333333333337"/>
    <n v="5.833333333333333"/>
    <x v="0"/>
    <x v="6"/>
    <x v="4"/>
    <m/>
  </r>
  <r>
    <n v="232"/>
    <n v="148"/>
    <n v="195941"/>
    <s v="OCUCALLA || 32191"/>
    <s v="HUANUCO"/>
    <s v="AMBO"/>
    <s v="SAN RAFAEL"/>
    <s v="OCUCALLA"/>
    <s v="OCUCALLA"/>
    <s v="Rural"/>
    <n v="-10.2742"/>
    <n v="-76.126800000000003"/>
    <n v="30"/>
    <s v="SATELITAL"/>
    <s v="Centro"/>
    <x v="1"/>
    <n v="30"/>
    <n v="5"/>
    <n v="5"/>
    <n v="0.83333333333333337"/>
    <n v="5.833333333333333"/>
    <x v="0"/>
    <x v="6"/>
    <x v="4"/>
    <m/>
  </r>
  <r>
    <n v="233"/>
    <n v="149"/>
    <n v="196808"/>
    <s v="33020"/>
    <s v="HUANUCO"/>
    <s v="DOS DE MAYO"/>
    <s v="MARIAS"/>
    <s v="MILAGROS"/>
    <s v="MILAGROS"/>
    <s v="Rural"/>
    <n v="-9.3589780000000005"/>
    <n v="-76.402935999999997"/>
    <n v="30"/>
    <s v="SATELITAL"/>
    <s v="Centro"/>
    <x v="1"/>
    <n v="30"/>
    <n v="5"/>
    <n v="5"/>
    <n v="0.83333333333333337"/>
    <n v="5.833333333333333"/>
    <x v="0"/>
    <x v="6"/>
    <x v="4"/>
    <m/>
  </r>
  <r>
    <n v="234"/>
    <n v="150"/>
    <n v="196733"/>
    <s v="32316"/>
    <s v="HUANUCO"/>
    <s v="DOS DE MAYO"/>
    <s v="MARIAS"/>
    <s v="PURA"/>
    <s v="PURA"/>
    <s v="Rural"/>
    <n v="-9.5327610000000007"/>
    <n v="-76.364000000000004"/>
    <n v="30"/>
    <s v="SATELITAL"/>
    <s v="Centro"/>
    <x v="1"/>
    <n v="30"/>
    <n v="5"/>
    <n v="5"/>
    <n v="0.83333333333333337"/>
    <n v="5.833333333333333"/>
    <x v="0"/>
    <x v="6"/>
    <x v="4"/>
    <m/>
  </r>
  <r>
    <n v="235"/>
    <n v="151"/>
    <n v="196686"/>
    <s v="JOSE CARLOS MARIATEGUI"/>
    <s v="HUANUCO"/>
    <s v="DOS DE MAYO"/>
    <s v="MARIAS"/>
    <s v="TANTACOTO"/>
    <s v="TANTACOTO"/>
    <s v="Rural"/>
    <n v="-9.6044999999999998"/>
    <n v="-76.499610000000004"/>
    <n v="30"/>
    <s v="SATELITAL"/>
    <s v="Centro"/>
    <x v="1"/>
    <n v="30"/>
    <n v="5"/>
    <n v="5"/>
    <n v="0.83333333333333337"/>
    <n v="5.833333333333333"/>
    <x v="0"/>
    <x v="6"/>
    <x v="4"/>
    <m/>
  </r>
  <r>
    <n v="236"/>
    <n v="152"/>
    <n v="197025"/>
    <s v="32337"/>
    <s v="HUANUCO"/>
    <s v="DOS DE MAYO"/>
    <s v="PACHAS"/>
    <s v="SANTA ROSA DE ACLLAHUAYIN"/>
    <s v="ACLLAHUAYIN"/>
    <s v="Rural"/>
    <n v="-9.6924620000000008"/>
    <n v="-76.758645999999999"/>
    <n v="30"/>
    <s v="SATELITAL"/>
    <s v="Centro"/>
    <x v="1"/>
    <n v="30"/>
    <n v="5"/>
    <n v="5"/>
    <n v="0.83333333333333337"/>
    <n v="5.833333333333333"/>
    <x v="0"/>
    <x v="6"/>
    <x v="4"/>
    <m/>
  </r>
  <r>
    <n v="237"/>
    <n v="153"/>
    <n v="197412"/>
    <s v="32673"/>
    <s v="HUANUCO"/>
    <s v="DOS DE MAYO"/>
    <s v="RIPAN"/>
    <s v="CONOC"/>
    <s v="CONOC"/>
    <s v="Rural"/>
    <n v="-9.807105"/>
    <n v="-76.801145000000005"/>
    <n v="30"/>
    <s v="SATELITAL"/>
    <s v="Centro"/>
    <x v="1"/>
    <n v="30"/>
    <n v="5"/>
    <n v="5"/>
    <n v="0.83333333333333337"/>
    <n v="5.833333333333333"/>
    <x v="0"/>
    <x v="6"/>
    <x v="4"/>
    <m/>
  </r>
  <r>
    <n v="238"/>
    <n v="154"/>
    <n v="198708"/>
    <s v="84288"/>
    <s v="HUANUCO"/>
    <s v="HUACAYBAMBA"/>
    <s v="PINRA"/>
    <s v="PUEBLO VIEJO"/>
    <s v="PUEBLO VIEJO"/>
    <s v="Rural"/>
    <n v="-8.9219000000000008"/>
    <n v="-76.993799999999993"/>
    <n v="30"/>
    <s v="SATELITAL"/>
    <s v="Centro"/>
    <x v="1"/>
    <n v="30"/>
    <n v="5"/>
    <n v="5"/>
    <n v="0.83333333333333337"/>
    <n v="5.833333333333333"/>
    <x v="0"/>
    <x v="1"/>
    <x v="1"/>
    <m/>
  </r>
  <r>
    <n v="239"/>
    <n v="155"/>
    <n v="198666"/>
    <s v="84106"/>
    <s v="HUANUCO"/>
    <s v="HUACAYBAMBA"/>
    <s v="PINRA"/>
    <s v="SAN FRANCISCO"/>
    <s v="SAN FRANCISCO"/>
    <s v="Rural"/>
    <n v="-8.9062000000000001"/>
    <n v="-76.9893"/>
    <n v="30"/>
    <s v="SATELITAL"/>
    <s v="Centro"/>
    <x v="1"/>
    <n v="30"/>
    <n v="5"/>
    <n v="5"/>
    <n v="0.83333333333333337"/>
    <n v="5.833333333333333"/>
    <x v="0"/>
    <x v="1"/>
    <x v="1"/>
    <m/>
  </r>
  <r>
    <n v="240"/>
    <n v="156"/>
    <n v="199152"/>
    <s v="32431"/>
    <s v="HUANUCO"/>
    <s v="HUAMALIES"/>
    <s v="LLATA"/>
    <s v="SAN MIGUEL DE QUEROS"/>
    <s v="SAN MIGUEL QUEROSH"/>
    <s v="Rural"/>
    <n v="-9.5271539999999995"/>
    <n v="-76.827324000000004"/>
    <n v="30"/>
    <s v="SATELITAL"/>
    <s v="Centro"/>
    <x v="1"/>
    <n v="30"/>
    <n v="5"/>
    <n v="5"/>
    <n v="0.83333333333333337"/>
    <n v="5.833333333333333"/>
    <x v="0"/>
    <x v="6"/>
    <x v="4"/>
    <m/>
  </r>
  <r>
    <n v="241"/>
    <n v="157"/>
    <n v="191146"/>
    <s v="32045"/>
    <s v="HUANUCO"/>
    <s v="HUANUCO"/>
    <s v="AMARILIS"/>
    <s v="CACHUNA"/>
    <s v="CACHUNA"/>
    <s v="Rural"/>
    <n v="-9.9187999999999992"/>
    <n v="-76.191400000000002"/>
    <n v="30"/>
    <s v="SATELITAL"/>
    <s v="Centro"/>
    <x v="1"/>
    <n v="30"/>
    <n v="5"/>
    <n v="5"/>
    <n v="0.83333333333333337"/>
    <n v="5.833333333333333"/>
    <x v="0"/>
    <x v="6"/>
    <x v="4"/>
    <m/>
  </r>
  <r>
    <n v="242"/>
    <n v="158"/>
    <n v="191212"/>
    <s v="400 || 32639"/>
    <s v="HUANUCO"/>
    <s v="HUANUCO"/>
    <s v="AMARILIS"/>
    <s v="CANCALLA"/>
    <s v="CANCALLA"/>
    <s v="Rural"/>
    <n v="-9.9428999999999998"/>
    <n v="-76.157600000000002"/>
    <n v="30"/>
    <s v="SATELITAL"/>
    <s v="Centro"/>
    <x v="1"/>
    <n v="30"/>
    <n v="5"/>
    <n v="5"/>
    <n v="0.83333333333333337"/>
    <n v="5.833333333333333"/>
    <x v="0"/>
    <x v="6"/>
    <x v="4"/>
    <m/>
  </r>
  <r>
    <n v="243"/>
    <n v="159"/>
    <n v="191165"/>
    <s v="32125"/>
    <s v="HUANUCO"/>
    <s v="HUANUCO"/>
    <s v="AMARILIS"/>
    <s v="MATAMARCA"/>
    <s v="MATAMARCA"/>
    <s v="Rural"/>
    <n v="-9.9114000000000004"/>
    <n v="-76.2012"/>
    <n v="30"/>
    <s v="SATELITAL"/>
    <s v="Centro"/>
    <x v="1"/>
    <n v="30"/>
    <n v="5"/>
    <n v="5"/>
    <n v="0.83333333333333337"/>
    <n v="5.833333333333333"/>
    <x v="0"/>
    <x v="6"/>
    <x v="4"/>
    <m/>
  </r>
  <r>
    <n v="244"/>
    <n v="160"/>
    <n v="192297"/>
    <s v="NUESTRA SEÑORA DE LOURDES"/>
    <s v="HUANUCO"/>
    <s v="HUANUCO"/>
    <s v="CHINCHAO"/>
    <s v="ACOMAYO"/>
    <s v="AVENIDA SAN PEDRO S/N"/>
    <s v="Urbana"/>
    <n v="-9.8005890000000004"/>
    <n v="-76.073184999999995"/>
    <n v="30"/>
    <s v="SATELITAL"/>
    <s v="Centro"/>
    <x v="1"/>
    <n v="30"/>
    <n v="5"/>
    <n v="5"/>
    <n v="0.83333333333333337"/>
    <n v="5.833333333333333"/>
    <x v="0"/>
    <x v="6"/>
    <x v="4"/>
    <m/>
  </r>
  <r>
    <n v="245"/>
    <n v="161"/>
    <n v="191976"/>
    <s v="32653"/>
    <s v="HUANUCO"/>
    <s v="HUANUCO"/>
    <s v="CHINCHAO"/>
    <s v="MALLQUI"/>
    <s v="CARRETERA MALLQUI"/>
    <s v="Rural"/>
    <n v="-9.5885400000000001"/>
    <n v="-76.028779999999998"/>
    <n v="30"/>
    <s v="SATELITAL"/>
    <s v="Centro"/>
    <x v="1"/>
    <n v="30"/>
    <n v="5"/>
    <n v="5"/>
    <n v="0.83333333333333337"/>
    <n v="5.833333333333333"/>
    <x v="0"/>
    <x v="6"/>
    <x v="4"/>
    <m/>
  </r>
  <r>
    <n v="246"/>
    <n v="162"/>
    <n v="191797"/>
    <s v="PUENTE DURAND || 32055"/>
    <s v="HUANUCO"/>
    <s v="HUANUCO"/>
    <s v="CHINCHAO"/>
    <s v="PUENTE DURAND"/>
    <s v="PUENTE DURAND"/>
    <s v="Rural"/>
    <n v="-9.5581999999999994"/>
    <n v="-76.017169999999993"/>
    <n v="30"/>
    <s v="SATELITAL"/>
    <s v="Centro"/>
    <x v="1"/>
    <n v="30"/>
    <n v="5"/>
    <n v="5"/>
    <n v="0.83333333333333337"/>
    <n v="5.833333333333333"/>
    <x v="0"/>
    <x v="6"/>
    <x v="4"/>
    <m/>
  </r>
  <r>
    <n v="247"/>
    <n v="163"/>
    <n v="191957"/>
    <s v="32265"/>
    <s v="HUANUCO"/>
    <s v="HUANUCO"/>
    <s v="CHINCHAO"/>
    <s v="SAN MIGUEL"/>
    <s v="SAN MIGUEL"/>
    <s v="Rural"/>
    <n v="-9.4983310000000003"/>
    <n v="-75.910600000000002"/>
    <n v="30"/>
    <s v="SATELITAL"/>
    <s v="Centro"/>
    <x v="1"/>
    <n v="30"/>
    <n v="5"/>
    <n v="5"/>
    <n v="0.83333333333333337"/>
    <n v="5.833333333333333"/>
    <x v="0"/>
    <x v="6"/>
    <x v="4"/>
    <m/>
  </r>
  <r>
    <n v="248"/>
    <n v="164"/>
    <n v="192400"/>
    <s v="SAN JOSE DE NAZARET || 32024"/>
    <s v="HUANUCO"/>
    <s v="HUANUCO"/>
    <s v="CHURUBAMBA"/>
    <s v="CHULLQUI"/>
    <s v="CHULLQUI"/>
    <s v="Rural"/>
    <n v="-9.8376000000000001"/>
    <n v="-76.123800000000003"/>
    <n v="30"/>
    <s v="SATELITAL"/>
    <s v="Centro"/>
    <x v="1"/>
    <n v="30"/>
    <n v="5"/>
    <n v="5"/>
    <n v="0.83333333333333337"/>
    <n v="5.833333333333333"/>
    <x v="0"/>
    <x v="6"/>
    <x v="4"/>
    <m/>
  </r>
  <r>
    <n v="249"/>
    <n v="165"/>
    <n v="192688"/>
    <s v="MICAELA BASTIDAS"/>
    <s v="HUANUCO"/>
    <s v="HUANUCO"/>
    <s v="CHURUBAMBA"/>
    <s v="LAS PALMERAS"/>
    <s v="CHURUBAMBA"/>
    <s v="Rural"/>
    <n v="-9.8307260000000003"/>
    <n v="-76.136047000000005"/>
    <n v="30"/>
    <s v="SATELITAL"/>
    <s v="Centro"/>
    <x v="1"/>
    <n v="30"/>
    <n v="5"/>
    <n v="5"/>
    <n v="0.83333333333333337"/>
    <n v="5.833333333333333"/>
    <x v="0"/>
    <x v="6"/>
    <x v="4"/>
    <m/>
  </r>
  <r>
    <n v="250"/>
    <n v="166"/>
    <n v="192594"/>
    <s v="32819"/>
    <s v="HUANUCO"/>
    <s v="HUANUCO"/>
    <s v="CHURUBAMBA"/>
    <s v="SIMON BOLIVAR DE QUENRA"/>
    <s v="QUENRRA"/>
    <s v="Rural"/>
    <n v="-9.7916000000000007"/>
    <n v="-76.223100000000002"/>
    <n v="30"/>
    <s v="SATELITAL"/>
    <s v="Centro"/>
    <x v="1"/>
    <n v="30"/>
    <n v="5"/>
    <n v="5"/>
    <n v="0.83333333333333337"/>
    <n v="5.833333333333333"/>
    <x v="0"/>
    <x v="6"/>
    <x v="4"/>
    <m/>
  </r>
  <r>
    <n v="251"/>
    <n v="167"/>
    <n v="192693"/>
    <s v="TAMBOGAN || 32075"/>
    <s v="HUANUCO"/>
    <s v="HUANUCO"/>
    <s v="CHURUBAMBA"/>
    <s v="TAMBOGAN"/>
    <s v="TAMBOGAN"/>
    <s v="Rural"/>
    <n v="-9.7749469999999992"/>
    <n v="-76.226073"/>
    <n v="30"/>
    <s v="SATELITAL"/>
    <s v="Centro"/>
    <x v="1"/>
    <n v="30"/>
    <n v="5"/>
    <n v="5"/>
    <n v="0.83333333333333337"/>
    <n v="5.833333333333333"/>
    <x v="0"/>
    <x v="6"/>
    <x v="4"/>
    <m/>
  </r>
  <r>
    <n v="252"/>
    <n v="168"/>
    <n v="192457"/>
    <s v="32076 JAVIER PULGAR VIDAL"/>
    <s v="HUANUCO"/>
    <s v="HUANUCO"/>
    <s v="CHURUBAMBA"/>
    <s v="UTAO"/>
    <s v="UTAO"/>
    <s v="Rural"/>
    <n v="-9.7662239999999994"/>
    <n v="-76.214149000000006"/>
    <n v="30"/>
    <s v="SATELITAL"/>
    <s v="Centro"/>
    <x v="1"/>
    <n v="30"/>
    <n v="5"/>
    <n v="5"/>
    <n v="0.83333333333333337"/>
    <n v="5.833333333333333"/>
    <x v="0"/>
    <x v="6"/>
    <x v="4"/>
    <m/>
  </r>
  <r>
    <n v="253"/>
    <n v="169"/>
    <n v="190024"/>
    <s v="SEICHI IZUMI || 32753"/>
    <s v="HUANUCO"/>
    <s v="HUANUCO"/>
    <s v="HUANUCO"/>
    <s v="PUCUCHINCHE"/>
    <s v="PUCUCHINCHE"/>
    <s v="Rural"/>
    <n v="-9.9227240000000005"/>
    <n v="-76.294341000000003"/>
    <n v="30"/>
    <s v="SATELITAL"/>
    <s v="Centro"/>
    <x v="1"/>
    <n v="30"/>
    <n v="5"/>
    <n v="5"/>
    <n v="0.83333333333333337"/>
    <n v="5.833333333333333"/>
    <x v="0"/>
    <x v="6"/>
    <x v="4"/>
    <m/>
  </r>
  <r>
    <n v="254"/>
    <n v="170"/>
    <n v="190241"/>
    <s v="CARLOS NORIEGA JIMENEZ"/>
    <s v="HUANUCO"/>
    <s v="HUANUCO"/>
    <s v="PILLCO MARCA"/>
    <s v="VICHAYCOTO"/>
    <s v="VICHAYCOTO"/>
    <s v="Rural"/>
    <n v="-10.02566"/>
    <n v="-76.23415"/>
    <n v="30"/>
    <s v="SATELITAL"/>
    <s v="Centro"/>
    <x v="1"/>
    <n v="30"/>
    <n v="5"/>
    <n v="5"/>
    <n v="0.83333333333333337"/>
    <n v="5.833333333333333"/>
    <x v="0"/>
    <x v="6"/>
    <x v="4"/>
    <m/>
  </r>
  <r>
    <n v="255"/>
    <n v="171"/>
    <n v="190062"/>
    <s v="32857"/>
    <s v="HUANUCO"/>
    <s v="HUANUCO"/>
    <s v="QUISQUI (KICHKI)"/>
    <s v="HUACALLE"/>
    <s v="CARRETERA HUACALLE S/N"/>
    <s v="Rural"/>
    <n v="-9.9237769999999994"/>
    <n v="-76.352467000000004"/>
    <n v="30"/>
    <s v="SATELITAL"/>
    <s v="Centro"/>
    <x v="1"/>
    <n v="30"/>
    <n v="5"/>
    <n v="5"/>
    <n v="0.83333333333333337"/>
    <n v="5.833333333333333"/>
    <x v="0"/>
    <x v="6"/>
    <x v="4"/>
    <m/>
  </r>
  <r>
    <n v="256"/>
    <n v="172"/>
    <n v="193348"/>
    <s v="33076 PEDRO VILCA APAZA"/>
    <s v="HUANUCO"/>
    <s v="HUANUCO"/>
    <s v="QUISQUI (KICHKI)"/>
    <s v="MITOTAMBO"/>
    <s v="MITOTAMBO"/>
    <s v="Rural"/>
    <n v="-9.8899740000000005"/>
    <n v="-76.427205000000001"/>
    <n v="30"/>
    <s v="SATELITAL"/>
    <s v="Centro"/>
    <x v="1"/>
    <n v="30"/>
    <n v="5"/>
    <n v="5"/>
    <n v="0.83333333333333337"/>
    <n v="5.833333333333333"/>
    <x v="0"/>
    <x v="6"/>
    <x v="4"/>
    <m/>
  </r>
  <r>
    <n v="257"/>
    <n v="173"/>
    <n v="193447"/>
    <s v="CONDORMARCA"/>
    <s v="HUANUCO"/>
    <s v="HUANUCO"/>
    <s v="SAN FRANCISCO DE CAYRAN"/>
    <s v="CONDOMARCA"/>
    <s v="CONDORMARCA"/>
    <s v="Rural"/>
    <n v="-9.9859500000000008"/>
    <n v="-76.385580000000004"/>
    <n v="30"/>
    <s v="SATELITAL"/>
    <s v="Centro"/>
    <x v="1"/>
    <n v="30"/>
    <n v="5"/>
    <n v="5"/>
    <n v="0.83333333333333337"/>
    <n v="5.833333333333333"/>
    <x v="0"/>
    <x v="6"/>
    <x v="4"/>
    <m/>
  </r>
  <r>
    <n v="258"/>
    <n v="174"/>
    <n v="194003"/>
    <s v="33015"/>
    <s v="HUANUCO"/>
    <s v="HUANUCO"/>
    <s v="SANTA MARIA DEL VALLE"/>
    <s v="CONCHUMAYO"/>
    <s v="CONCHUMAYO"/>
    <s v="Rural"/>
    <n v="-9.8590020000000003"/>
    <n v="-76.189099999999996"/>
    <n v="30"/>
    <s v="SATELITAL"/>
    <s v="Centro"/>
    <x v="1"/>
    <n v="30"/>
    <n v="5"/>
    <n v="5"/>
    <n v="0.83333333333333337"/>
    <n v="5.833333333333333"/>
    <x v="0"/>
    <x v="6"/>
    <x v="4"/>
    <m/>
  </r>
  <r>
    <n v="259"/>
    <n v="175"/>
    <n v="193857"/>
    <s v="32630"/>
    <s v="HUANUCO"/>
    <s v="HUANUCO"/>
    <s v="SANTA MARIA DEL VALLE"/>
    <s v="LLACSA"/>
    <s v="SAN MIGUEL DE LLACZA"/>
    <s v="Rural"/>
    <n v="-9.7927909999999994"/>
    <n v="-76.354731999999998"/>
    <n v="30"/>
    <s v="SATELITAL"/>
    <s v="Centro"/>
    <x v="1"/>
    <n v="30"/>
    <n v="5"/>
    <n v="5"/>
    <n v="0.83333333333333337"/>
    <n v="5.833333333333333"/>
    <x v="0"/>
    <x v="6"/>
    <x v="4"/>
    <m/>
  </r>
  <r>
    <n v="260"/>
    <n v="176"/>
    <n v="193918"/>
    <s v="32709"/>
    <s v="HUANUCO"/>
    <s v="HUANUCO"/>
    <s v="SANTA MARIA DEL VALLE"/>
    <s v="MIRACHI"/>
    <s v="MIRACHE"/>
    <s v="Rural"/>
    <n v="-9.8813999999999993"/>
    <n v="-76.149100000000004"/>
    <n v="30"/>
    <s v="SATELITAL"/>
    <s v="Centro"/>
    <x v="1"/>
    <n v="30"/>
    <n v="5"/>
    <n v="5"/>
    <n v="0.83333333333333337"/>
    <n v="5.833333333333333"/>
    <x v="0"/>
    <x v="6"/>
    <x v="4"/>
    <m/>
  </r>
  <r>
    <n v="261"/>
    <n v="177"/>
    <n v="193824"/>
    <s v="32123 || 32123 JOSE ANTONIO ENCINAS FRANCO"/>
    <s v="HUANUCO"/>
    <s v="HUANUCO"/>
    <s v="SANTA MARIA DEL VALLE"/>
    <s v="MITOQUERA"/>
    <s v="MITOQUERA S/N"/>
    <s v="Rural"/>
    <n v="-9.8361099999999997"/>
    <n v="-76.316699999999997"/>
    <n v="30"/>
    <s v="SATELITAL"/>
    <s v="Centro"/>
    <x v="1"/>
    <n v="30"/>
    <n v="5"/>
    <n v="5"/>
    <n v="0.83333333333333337"/>
    <n v="5.833333333333333"/>
    <x v="0"/>
    <x v="6"/>
    <x v="4"/>
    <m/>
  </r>
  <r>
    <n v="262"/>
    <n v="178"/>
    <n v="193838"/>
    <s v="32124 ALEJO HUARAUYA PALOMINO"/>
    <s v="HUANUCO"/>
    <s v="HUANUCO"/>
    <s v="SANTA MARIA DEL VALLE"/>
    <s v="PACHABAMBA"/>
    <s v="PACHABAMBA - SAN JUAN DE ÑAUZA"/>
    <s v="Rural"/>
    <n v="-9.8545999999999996"/>
    <n v="-76.198099999999997"/>
    <n v="30"/>
    <s v="SATELITAL"/>
    <s v="Centro"/>
    <x v="1"/>
    <n v="30"/>
    <n v="5"/>
    <n v="5"/>
    <n v="0.83333333333333337"/>
    <n v="5.833333333333333"/>
    <x v="0"/>
    <x v="6"/>
    <x v="4"/>
    <m/>
  </r>
  <r>
    <n v="263"/>
    <n v="179"/>
    <n v="193980"/>
    <s v="32932 VICTOR DOMINGUEZ CONDEZO"/>
    <s v="HUANUCO"/>
    <s v="HUANUCO"/>
    <s v="SANTA MARIA DEL VALLE"/>
    <s v="RATACOCHA"/>
    <s v="RATACOCHA"/>
    <s v="Rural"/>
    <n v="-9.8249999999999993"/>
    <n v="-76.230800000000002"/>
    <n v="30"/>
    <s v="SATELITAL"/>
    <s v="Centro"/>
    <x v="1"/>
    <n v="30"/>
    <n v="5"/>
    <n v="5"/>
    <n v="0.83333333333333337"/>
    <n v="5.833333333333333"/>
    <x v="0"/>
    <x v="6"/>
    <x v="4"/>
    <m/>
  </r>
  <r>
    <n v="264"/>
    <n v="180"/>
    <n v="193819"/>
    <s v="RICARDO PALMA SORIANO"/>
    <s v="HUANUCO"/>
    <s v="HUANUCO"/>
    <s v="SANTA MARIA DEL VALLE"/>
    <s v="SAN JUAN DE MARAMBUCO"/>
    <s v="SAN JUAN DE MARAMBUCO"/>
    <s v="Rural"/>
    <n v="-9.8942999999999994"/>
    <n v="-76.155799999999999"/>
    <n v="30"/>
    <s v="SATELITAL"/>
    <s v="Centro"/>
    <x v="1"/>
    <n v="30"/>
    <n v="5"/>
    <n v="5"/>
    <n v="0.83333333333333337"/>
    <n v="5.833333333333333"/>
    <x v="0"/>
    <x v="6"/>
    <x v="4"/>
    <m/>
  </r>
  <r>
    <n v="265"/>
    <n v="181"/>
    <n v="194164"/>
    <s v="JORGE BASADRE"/>
    <s v="HUANUCO"/>
    <s v="HUANUCO"/>
    <s v="SANTA MARIA DEL VALLE"/>
    <s v="SANTA MARIA DEL VALLE"/>
    <s v="AVENIDA LA REPUBLICA S/N"/>
    <s v="Urbana"/>
    <n v="-9.8621540000000003"/>
    <n v="-76.170225000000002"/>
    <n v="30"/>
    <s v="SATELITAL"/>
    <s v="Centro"/>
    <x v="1"/>
    <n v="30"/>
    <n v="5"/>
    <n v="5"/>
    <n v="0.83333333333333337"/>
    <n v="5.833333333333333"/>
    <x v="0"/>
    <x v="6"/>
    <x v="4"/>
    <m/>
  </r>
  <r>
    <n v="266"/>
    <n v="182"/>
    <n v="193800"/>
    <s v="32038"/>
    <s v="HUANUCO"/>
    <s v="HUANUCO"/>
    <s v="SANTA MARIA DEL VALLE"/>
    <s v="TAULLIGAN"/>
    <s v="TAULLIGAN"/>
    <s v="Rural"/>
    <n v="-9.8496959999999998"/>
    <n v="-76.146923999999999"/>
    <n v="30"/>
    <s v="SATELITAL"/>
    <s v="Centro"/>
    <x v="1"/>
    <n v="30"/>
    <n v="5"/>
    <n v="5"/>
    <n v="0.83333333333333337"/>
    <n v="5.833333333333333"/>
    <x v="0"/>
    <x v="6"/>
    <x v="4"/>
    <m/>
  </r>
  <r>
    <n v="267"/>
    <n v="183"/>
    <n v="194376"/>
    <s v="32132"/>
    <s v="HUANUCO"/>
    <s v="HUANUCO"/>
    <s v="YARUMAYO"/>
    <s v="ANDAS CHICO"/>
    <s v="ANDAS"/>
    <s v="Rural"/>
    <n v="-9.9415999999999993"/>
    <n v="-76.420400000000001"/>
    <n v="30"/>
    <s v="SATELITAL"/>
    <s v="Centro"/>
    <x v="1"/>
    <n v="30"/>
    <n v="5"/>
    <n v="5"/>
    <n v="0.83333333333333337"/>
    <n v="5.833333333333333"/>
    <x v="0"/>
    <x v="6"/>
    <x v="4"/>
    <m/>
  </r>
  <r>
    <n v="268"/>
    <n v="184"/>
    <n v="194437"/>
    <s v="32040 || NACIONAL CHULLAY"/>
    <s v="HUANUCO"/>
    <s v="HUANUCO"/>
    <s v="YARUMAYO"/>
    <s v="CHULLAY"/>
    <s v="CHULLAY"/>
    <s v="Rural"/>
    <n v="-9.9704999999999995"/>
    <n v="-76.433999999999997"/>
    <n v="30"/>
    <s v="SATELITAL"/>
    <s v="Centro"/>
    <x v="1"/>
    <n v="30"/>
    <n v="5"/>
    <n v="5"/>
    <n v="0.83333333333333337"/>
    <n v="5.833333333333333"/>
    <x v="0"/>
    <x v="6"/>
    <x v="4"/>
    <m/>
  </r>
  <r>
    <n v="269"/>
    <n v="185"/>
    <n v="208514"/>
    <s v="32371"/>
    <s v="HUANUCO"/>
    <s v="LAURICOCHA"/>
    <s v="RONDOS"/>
    <s v="SAN PEDRO"/>
    <s v="SAN PEDRO"/>
    <s v="Rural"/>
    <n v="-10.011699999999999"/>
    <n v="-76.699399999999997"/>
    <n v="30"/>
    <s v="SATELITAL"/>
    <s v="Centro"/>
    <x v="1"/>
    <n v="30"/>
    <n v="5"/>
    <n v="5"/>
    <n v="0.83333333333333337"/>
    <n v="5.833333333333333"/>
    <x v="0"/>
    <x v="6"/>
    <x v="4"/>
    <m/>
  </r>
  <r>
    <n v="270"/>
    <n v="186"/>
    <n v="202442"/>
    <s v="33201"/>
    <s v="HUANUCO"/>
    <s v="LEONCIO PRADO"/>
    <s v="DANIEL ALOMIA ROBLES"/>
    <s v="LA VICTORIA"/>
    <s v="LA VICTORIA"/>
    <s v="Rural"/>
    <n v="-9.1874009999999995"/>
    <n v="-75.931633000000005"/>
    <n v="30"/>
    <s v="SATELITAL"/>
    <s v="Centro"/>
    <x v="1"/>
    <n v="30"/>
    <n v="5"/>
    <n v="5"/>
    <n v="0.83333333333333337"/>
    <n v="5.833333333333333"/>
    <x v="0"/>
    <x v="6"/>
    <x v="4"/>
    <m/>
  </r>
  <r>
    <n v="271"/>
    <n v="187"/>
    <n v="202507"/>
    <s v="32507"/>
    <s v="HUANUCO"/>
    <s v="LEONCIO PRADO"/>
    <s v="HERMILIO VALDIZAN"/>
    <s v="HERMILIO VALDIZAN"/>
    <s v="HERMILIO VALDIZAN"/>
    <s v="Rural"/>
    <n v="-9.2054170000000006"/>
    <n v="-75.836511000000002"/>
    <n v="30"/>
    <s v="SATELITAL"/>
    <s v="Centro"/>
    <x v="1"/>
    <n v="30"/>
    <n v="5"/>
    <n v="5"/>
    <n v="0.83333333333333337"/>
    <n v="5.833333333333333"/>
    <x v="0"/>
    <x v="6"/>
    <x v="4"/>
    <m/>
  </r>
  <r>
    <n v="272"/>
    <n v="188"/>
    <n v="202630"/>
    <s v="CEPPAT RIO AZUL"/>
    <s v="HUANUCO"/>
    <s v="LEONCIO PRADO"/>
    <s v="HERMILIO VALDIZAN"/>
    <s v="RIO AZUL"/>
    <s v="RIO AZUL S/N"/>
    <s v="Rural"/>
    <n v="-9.191713"/>
    <n v="-75.813064999999995"/>
    <n v="30"/>
    <s v="SATELITAL"/>
    <s v="Centro"/>
    <x v="1"/>
    <n v="30"/>
    <n v="5"/>
    <n v="5"/>
    <n v="0.83333333333333337"/>
    <n v="5.833333333333333"/>
    <x v="0"/>
    <x v="6"/>
    <x v="4"/>
    <m/>
  </r>
  <r>
    <n v="273"/>
    <n v="189"/>
    <n v="202649"/>
    <s v="SAN ISIDRO"/>
    <s v="HUANUCO"/>
    <s v="LEONCIO PRADO"/>
    <s v="HERMILIO VALDIZAN"/>
    <s v="SAN ISIDRO"/>
    <s v="CARRETERA SAN ISIDRO"/>
    <s v="Rural"/>
    <n v="-9.2214880000000008"/>
    <n v="-75.842442000000005"/>
    <n v="30"/>
    <s v="SATELITAL"/>
    <s v="Centro"/>
    <x v="1"/>
    <n v="30"/>
    <n v="5"/>
    <n v="5"/>
    <n v="0.83333333333333337"/>
    <n v="5.833333333333333"/>
    <x v="0"/>
    <x v="6"/>
    <x v="4"/>
    <m/>
  </r>
  <r>
    <n v="274"/>
    <n v="190"/>
    <n v="202606"/>
    <s v="33111"/>
    <s v="HUANUCO"/>
    <s v="LEONCIO PRADO"/>
    <s v="HERMILIO VALDIZAN"/>
    <s v="SAN SEBASTIAN"/>
    <s v="CARRETERA SAN SEBASTIAN 25"/>
    <s v="Rural"/>
    <n v="-9.1996830000000003"/>
    <n v="-75.890213000000003"/>
    <n v="30"/>
    <s v="SATELITAL"/>
    <s v="Centro"/>
    <x v="1"/>
    <n v="30"/>
    <n v="5"/>
    <n v="5"/>
    <n v="0.83333333333333337"/>
    <n v="5.833333333333333"/>
    <x v="0"/>
    <x v="6"/>
    <x v="4"/>
    <m/>
  </r>
  <r>
    <n v="275"/>
    <n v="191"/>
    <n v="202512"/>
    <s v="32573"/>
    <s v="HUANUCO"/>
    <s v="LEONCIO PRADO"/>
    <s v="HERMILIO VALDIZAN"/>
    <s v="SORTILEGIO"/>
    <s v="SORTILEGIO"/>
    <s v="Rural"/>
    <n v="-9.1968969999999999"/>
    <n v="-75.866040999999996"/>
    <n v="30"/>
    <s v="SATELITAL"/>
    <s v="Centro"/>
    <x v="1"/>
    <n v="30"/>
    <n v="5"/>
    <n v="5"/>
    <n v="0.83333333333333337"/>
    <n v="5.833333333333333"/>
    <x v="0"/>
    <x v="6"/>
    <x v="4"/>
    <m/>
  </r>
  <r>
    <n v="276"/>
    <n v="192"/>
    <n v="203173"/>
    <s v="33152"/>
    <s v="HUANUCO"/>
    <s v="LEONCIO PRADO"/>
    <s v="JOSE CRESPO Y CASTILLO"/>
    <s v="NUEVO COPAL"/>
    <s v="NUEVO COPAL"/>
    <s v="Rural"/>
    <n v="-8.9577609999999996"/>
    <n v="-76.098169999999996"/>
    <n v="30"/>
    <s v="SATELITAL"/>
    <s v="Centro"/>
    <x v="1"/>
    <n v="30"/>
    <n v="5"/>
    <n v="5"/>
    <n v="0.83333333333333337"/>
    <n v="5.833333333333333"/>
    <x v="0"/>
    <x v="6"/>
    <x v="4"/>
    <m/>
  </r>
  <r>
    <n v="277"/>
    <n v="193"/>
    <n v="216397"/>
    <s v="SAN FRANCISCO"/>
    <s v="HUANUCO"/>
    <s v="LEONCIO PRADO"/>
    <s v="JOSE CRESPO Y CASTILLO"/>
    <s v="SAN FRANCISCO"/>
    <s v="CARRETERA FERNANDO BELAUNDE TERRY KM.4"/>
    <s v="Rural"/>
    <n v="-8.9672400000000003"/>
    <n v="-76.092612000000003"/>
    <n v="30"/>
    <s v="SATELITAL"/>
    <s v="Centro"/>
    <x v="1"/>
    <n v="30"/>
    <n v="5"/>
    <n v="5"/>
    <n v="0.83333333333333337"/>
    <n v="5.833333333333333"/>
    <x v="0"/>
    <x v="6"/>
    <x v="4"/>
    <m/>
  </r>
  <r>
    <n v="278"/>
    <n v="194"/>
    <n v="203757"/>
    <s v="32570"/>
    <s v="HUANUCO"/>
    <s v="LEONCIO PRADO"/>
    <s v="MARIANO DAMASO BERAUN"/>
    <s v="BEJUCAL"/>
    <s v="BEJUCAL S/N"/>
    <s v="Rural"/>
    <n v="-9.3717500000000005"/>
    <n v="-75.932259999999999"/>
    <n v="30"/>
    <s v="SATELITAL"/>
    <s v="Centro"/>
    <x v="1"/>
    <n v="30"/>
    <n v="5"/>
    <n v="5"/>
    <n v="0.83333333333333337"/>
    <n v="5.833333333333333"/>
    <x v="0"/>
    <x v="6"/>
    <x v="4"/>
    <m/>
  </r>
  <r>
    <n v="279"/>
    <n v="195"/>
    <n v="203663"/>
    <s v="32306"/>
    <s v="HUANUCO"/>
    <s v="LEONCIO PRADO"/>
    <s v="MARIANO DAMASO BERAUN"/>
    <s v="CHUNATAHUA"/>
    <s v="CHUNATAHUA"/>
    <s v="Rural"/>
    <n v="-9.4848750000000006"/>
    <n v="-75.931791000000004"/>
    <n v="30"/>
    <s v="SATELITAL"/>
    <s v="Centro"/>
    <x v="1"/>
    <n v="30"/>
    <n v="5"/>
    <n v="5"/>
    <n v="0.83333333333333337"/>
    <n v="5.833333333333333"/>
    <x v="0"/>
    <x v="6"/>
    <x v="4"/>
    <m/>
  </r>
  <r>
    <n v="280"/>
    <n v="196"/>
    <n v="203936"/>
    <s v="MARIANO DAMASO BERAUN"/>
    <s v="HUANUCO"/>
    <s v="LEONCIO PRADO"/>
    <s v="MARIANO DAMASO BERAUN"/>
    <s v="TAMBILLO GRANDE"/>
    <s v="CARRETERA TAMBILLO GRANDE S/N"/>
    <s v="Rural"/>
    <n v="-9.4086079999999992"/>
    <n v="-75.972662"/>
    <n v="30"/>
    <s v="SATELITAL"/>
    <s v="Centro"/>
    <x v="1"/>
    <n v="30"/>
    <n v="5"/>
    <n v="5"/>
    <n v="0.83333333333333337"/>
    <n v="5.833333333333333"/>
    <x v="0"/>
    <x v="6"/>
    <x v="4"/>
    <m/>
  </r>
  <r>
    <n v="281"/>
    <n v="197"/>
    <n v="204243"/>
    <s v="84049 JUAN CLAUDIO VILLAFUERTE"/>
    <s v="HUANUCO"/>
    <s v="MARAÑON"/>
    <s v="HUACRACHUCO"/>
    <s v="HUANCHAY"/>
    <s v="HUANCHAY"/>
    <s v="Rural"/>
    <n v="-8.5293200000000002"/>
    <n v="-77.126990000000006"/>
    <n v="30"/>
    <s v="SATELITAL"/>
    <s v="Centro"/>
    <x v="1"/>
    <n v="30"/>
    <n v="5"/>
    <n v="5"/>
    <n v="0.83333333333333337"/>
    <n v="5.833333333333333"/>
    <x v="0"/>
    <x v="1"/>
    <x v="1"/>
    <m/>
  </r>
  <r>
    <n v="282"/>
    <n v="198"/>
    <n v="205596"/>
    <s v="32612"/>
    <s v="HUANUCO"/>
    <s v="PACHITEA"/>
    <s v="CHAGLLA"/>
    <s v="PUERTO GUADALUPE"/>
    <s v="PUERTO GUADALUPE S/N"/>
    <s v="Rural"/>
    <n v="-9.5336999999999996"/>
    <n v="-75.925200000000004"/>
    <n v="30"/>
    <s v="SATELITAL"/>
    <s v="Centro"/>
    <x v="1"/>
    <n v="30"/>
    <n v="5"/>
    <n v="5"/>
    <n v="0.83333333333333337"/>
    <n v="5.833333333333333"/>
    <x v="0"/>
    <x v="6"/>
    <x v="4"/>
    <m/>
  </r>
  <r>
    <n v="283"/>
    <n v="199"/>
    <n v="205209"/>
    <s v="32601"/>
    <s v="HUANUCO"/>
    <s v="PACHITEA"/>
    <s v="PANAO"/>
    <s v="COÑAYCA"/>
    <s v="COÑAICA"/>
    <s v="Rural"/>
    <n v="-9.9109999999999996"/>
    <n v="-75.981399999999994"/>
    <n v="30"/>
    <s v="SATELITAL"/>
    <s v="Centro"/>
    <x v="1"/>
    <n v="30"/>
    <n v="5"/>
    <n v="5"/>
    <n v="0.83333333333333337"/>
    <n v="5.833333333333333"/>
    <x v="0"/>
    <x v="6"/>
    <x v="4"/>
    <m/>
  </r>
  <r>
    <n v="284"/>
    <n v="200"/>
    <n v="205134"/>
    <s v="32580"/>
    <s v="HUANUCO"/>
    <s v="PACHITEA"/>
    <s v="PANAO"/>
    <s v="TICAPAMPA"/>
    <s v="TICAPAMPA"/>
    <s v="Rural"/>
    <n v="-9.8902000000000001"/>
    <n v="-75.969200000000001"/>
    <n v="30"/>
    <s v="SATELITAL"/>
    <s v="Centro"/>
    <x v="1"/>
    <n v="30"/>
    <n v="5"/>
    <n v="5"/>
    <n v="0.83333333333333337"/>
    <n v="5.833333333333333"/>
    <x v="0"/>
    <x v="6"/>
    <x v="4"/>
    <m/>
  </r>
  <r>
    <n v="285"/>
    <n v="201"/>
    <n v="206223"/>
    <s v="32627"/>
    <s v="HUANUCO"/>
    <s v="PACHITEA"/>
    <s v="UMARI"/>
    <s v="CUCHO"/>
    <s v="CUCHO S/N"/>
    <s v="Rural"/>
    <n v="-9.8948999999999998"/>
    <n v="-76.020700000000005"/>
    <n v="30"/>
    <s v="SATELITAL"/>
    <s v="Centro"/>
    <x v="1"/>
    <n v="30"/>
    <n v="5"/>
    <n v="5"/>
    <n v="0.83333333333333337"/>
    <n v="5.833333333333333"/>
    <x v="0"/>
    <x v="6"/>
    <x v="4"/>
    <m/>
  </r>
  <r>
    <n v="286"/>
    <n v="202"/>
    <n v="206379"/>
    <s v="33301"/>
    <s v="HUANUCO"/>
    <s v="PACHITEA"/>
    <s v="UMARI"/>
    <s v="GOYAR PUNTA"/>
    <s v="GOYAR PUNTA"/>
    <s v="Rural"/>
    <n v="-9.8618900000000007"/>
    <n v="-76.003219999999999"/>
    <n v="30"/>
    <s v="SATELITAL"/>
    <s v="Centro"/>
    <x v="1"/>
    <n v="30"/>
    <n v="5"/>
    <n v="5"/>
    <n v="0.83333333333333337"/>
    <n v="5.833333333333333"/>
    <x v="0"/>
    <x v="6"/>
    <x v="4"/>
    <m/>
  </r>
  <r>
    <n v="287"/>
    <n v="203"/>
    <n v="206195"/>
    <s v="32624"/>
    <s v="HUANUCO"/>
    <s v="PACHITEA"/>
    <s v="UMARI"/>
    <s v="HUIYAN"/>
    <s v="HUIYAN"/>
    <s v="Rural"/>
    <n v="-9.8513999999999999"/>
    <n v="-76.0077"/>
    <n v="30"/>
    <s v="SATELITAL"/>
    <s v="Centro"/>
    <x v="1"/>
    <n v="30"/>
    <n v="5"/>
    <n v="5"/>
    <n v="0.83333333333333337"/>
    <n v="5.833333333333333"/>
    <x v="0"/>
    <x v="6"/>
    <x v="4"/>
    <m/>
  </r>
  <r>
    <n v="288"/>
    <n v="204"/>
    <n v="206237"/>
    <s v="32628"/>
    <s v="HUANUCO"/>
    <s v="PACHITEA"/>
    <s v="UMARI"/>
    <s v="MANTACOCHA"/>
    <s v="MANTACOCHA"/>
    <s v="Rural"/>
    <n v="-9.8895440000000008"/>
    <n v="-76.007973000000007"/>
    <n v="30"/>
    <s v="SATELITAL"/>
    <s v="Centro"/>
    <x v="1"/>
    <n v="30"/>
    <n v="5"/>
    <n v="5"/>
    <n v="0.83333333333333337"/>
    <n v="5.833333333333333"/>
    <x v="0"/>
    <x v="6"/>
    <x v="4"/>
    <m/>
  </r>
  <r>
    <n v="289"/>
    <n v="205"/>
    <n v="206204"/>
    <s v="32625"/>
    <s v="HUANUCO"/>
    <s v="PACHITEA"/>
    <s v="UMARI"/>
    <s v="PANAOCOCHA"/>
    <s v="PANAOCOCHA S/N"/>
    <s v="Rural"/>
    <n v="-9.8590999999999998"/>
    <n v="-76.024100000000004"/>
    <n v="30"/>
    <s v="SATELITAL"/>
    <s v="Centro"/>
    <x v="1"/>
    <n v="30"/>
    <n v="5"/>
    <n v="5"/>
    <n v="0.83333333333333337"/>
    <n v="5.833333333333333"/>
    <x v="0"/>
    <x v="6"/>
    <x v="4"/>
    <m/>
  </r>
  <r>
    <n v="290"/>
    <n v="206"/>
    <n v="206275"/>
    <s v="32633"/>
    <s v="HUANUCO"/>
    <s v="PACHITEA"/>
    <s v="UMARI"/>
    <s v="PAVINA"/>
    <s v="PAVINA S/N"/>
    <s v="Rural"/>
    <n v="-9.8445"/>
    <n v="-76.045100000000005"/>
    <n v="30"/>
    <s v="SATELITAL"/>
    <s v="Centro"/>
    <x v="1"/>
    <n v="30"/>
    <n v="5"/>
    <n v="5"/>
    <n v="0.83333333333333337"/>
    <n v="5.833333333333333"/>
    <x v="0"/>
    <x v="6"/>
    <x v="4"/>
    <m/>
  </r>
  <r>
    <n v="291"/>
    <n v="207"/>
    <n v="206256"/>
    <s v="32631"/>
    <s v="HUANUCO"/>
    <s v="PACHITEA"/>
    <s v="UMARI"/>
    <s v="RACO"/>
    <s v="RACO S/N"/>
    <s v="Rural"/>
    <n v="-9.8742000000000001"/>
    <n v="-76.002600000000001"/>
    <n v="30"/>
    <s v="SATELITAL"/>
    <s v="Centro"/>
    <x v="1"/>
    <n v="30"/>
    <n v="5"/>
    <n v="5"/>
    <n v="0.83333333333333337"/>
    <n v="5.833333333333333"/>
    <x v="0"/>
    <x v="6"/>
    <x v="4"/>
    <m/>
  </r>
  <r>
    <n v="292"/>
    <n v="208"/>
    <n v="206242"/>
    <s v="32629"/>
    <s v="HUANUCO"/>
    <s v="PACHITEA"/>
    <s v="UMARI"/>
    <s v="SANTO TORIBIO LA PUNTA"/>
    <s v="LA PUNTA S/N"/>
    <s v="Rural"/>
    <n v="-9.8756000000000004"/>
    <n v="-76.029399999999995"/>
    <n v="30"/>
    <s v="SATELITAL"/>
    <s v="Centro"/>
    <x v="1"/>
    <n v="30"/>
    <n v="5"/>
    <n v="5"/>
    <n v="0.83333333333333337"/>
    <n v="5.833333333333333"/>
    <x v="0"/>
    <x v="6"/>
    <x v="4"/>
    <m/>
  </r>
  <r>
    <n v="293"/>
    <n v="209"/>
    <n v="439213"/>
    <s v="406"/>
    <s v="HUANUCO"/>
    <s v="PUERTO INCA"/>
    <s v="CODO DEL POZUZO"/>
    <s v="CODO DEL POZUZO"/>
    <s v="CALLE SARITA COLONIA S/N"/>
    <s v="Rural"/>
    <n v="-9.67544"/>
    <n v="-75.460210000000004"/>
    <n v="30"/>
    <s v="SATELITAL"/>
    <s v="Centro"/>
    <x v="1"/>
    <n v="30"/>
    <n v="5"/>
    <n v="5"/>
    <n v="0.83333333333333337"/>
    <n v="5.833333333333333"/>
    <x v="0"/>
    <x v="6"/>
    <x v="4"/>
    <m/>
  </r>
  <r>
    <n v="294"/>
    <n v="210"/>
    <n v="642974"/>
    <s v="541"/>
    <s v="HUANUCO"/>
    <s v="PUERTO INCA"/>
    <s v="YUYAPICHIS"/>
    <s v="NUEVO DANTAS"/>
    <s v="NUEVO DANTAS"/>
    <s v="Rural"/>
    <n v="-9.6694999999999993"/>
    <n v="-75.022199999999998"/>
    <n v="30"/>
    <s v="SATELITAL"/>
    <s v="Centro"/>
    <x v="1"/>
    <n v="30"/>
    <n v="5"/>
    <n v="5"/>
    <n v="0.83333333333333337"/>
    <n v="5.833333333333333"/>
    <x v="0"/>
    <x v="6"/>
    <x v="4"/>
    <m/>
  </r>
  <r>
    <n v="295"/>
    <n v="211"/>
    <n v="207859"/>
    <s v="245"/>
    <s v="HUANUCO"/>
    <s v="PUERTO INCA"/>
    <s v="YUYAPICHIS"/>
    <s v="NUEVO TRUJILLO"/>
    <s v="NUEVO TRUJILLO"/>
    <s v="Rural"/>
    <n v="-9.4918999999999993"/>
    <n v="-75.019900000000007"/>
    <n v="30"/>
    <s v="SATELITAL"/>
    <s v="Centro"/>
    <x v="1"/>
    <n v="30"/>
    <n v="5"/>
    <n v="5"/>
    <n v="0.83333333333333337"/>
    <n v="5.833333333333333"/>
    <x v="0"/>
    <x v="6"/>
    <x v="4"/>
    <m/>
  </r>
  <r>
    <n v="296"/>
    <n v="212"/>
    <n v="207576"/>
    <s v="113"/>
    <s v="HUANUCO"/>
    <s v="PUERTO INCA"/>
    <s v="YUYAPICHIS"/>
    <s v="YUYAPICHIS"/>
    <s v="AVENIDA JUAN MANUEL DIAZ SANTILLAN S/N"/>
    <s v="Rural"/>
    <n v="-9.6274999999999995"/>
    <n v="-74.974999999999994"/>
    <n v="30"/>
    <s v="SATELITAL"/>
    <s v="Centro"/>
    <x v="1"/>
    <n v="30"/>
    <n v="5"/>
    <n v="5"/>
    <n v="0.83333333333333337"/>
    <n v="5.833333333333333"/>
    <x v="0"/>
    <x v="6"/>
    <x v="4"/>
    <m/>
  </r>
  <r>
    <n v="297"/>
    <n v="213"/>
    <n v="209962"/>
    <s v="32326"/>
    <s v="HUANUCO"/>
    <s v="YAROWILCA"/>
    <s v="OBAS"/>
    <s v="PARIACANCHA"/>
    <s v="PARIACANCHA"/>
    <s v="Rural"/>
    <n v="-9.7710000000000008"/>
    <n v="-76.671800000000005"/>
    <n v="30"/>
    <s v="SATELITAL"/>
    <s v="Centro"/>
    <x v="1"/>
    <n v="30"/>
    <n v="5"/>
    <n v="5"/>
    <n v="0.83333333333333337"/>
    <n v="5.833333333333333"/>
    <x v="0"/>
    <x v="6"/>
    <x v="4"/>
    <m/>
  </r>
  <r>
    <n v="298"/>
    <n v="214"/>
    <n v="214930"/>
    <s v="22613"/>
    <s v="ICA"/>
    <s v="CHINCHA"/>
    <s v="ALTO LARAN"/>
    <s v="FUNDO YAURITAMBO"/>
    <s v="YAURITAMBO"/>
    <s v="Rural"/>
    <n v="-13.34919"/>
    <n v="-75.938754000000003"/>
    <n v="30"/>
    <s v="SATELITAL"/>
    <s v="Centro"/>
    <x v="1"/>
    <n v="30"/>
    <n v="5"/>
    <n v="5"/>
    <n v="0.83333333333333337"/>
    <n v="5.833333333333333"/>
    <x v="0"/>
    <x v="7"/>
    <x v="2"/>
    <m/>
  </r>
  <r>
    <n v="299"/>
    <n v="215"/>
    <n v="214925"/>
    <s v="22272"/>
    <s v="ICA"/>
    <s v="CHINCHA"/>
    <s v="ALTO LARAN"/>
    <s v="HACIENDA HUACHINGA"/>
    <s v="HUACHINGA"/>
    <s v="Rural"/>
    <n v="-13.374228"/>
    <n v="-75.844970000000004"/>
    <n v="30"/>
    <s v="SATELITAL"/>
    <s v="Centro"/>
    <x v="1"/>
    <n v="30"/>
    <n v="5"/>
    <n v="5"/>
    <n v="0.83333333333333337"/>
    <n v="5.833333333333333"/>
    <x v="0"/>
    <x v="7"/>
    <x v="2"/>
    <m/>
  </r>
  <r>
    <n v="300"/>
    <n v="216"/>
    <n v="638284"/>
    <s v="22770"/>
    <s v="ICA"/>
    <s v="CHINCHA"/>
    <s v="ALTO LARAN"/>
    <s v="PIEDRA RAJADA"/>
    <s v="PIEDRA RAJADA S/N"/>
    <s v="Rural"/>
    <n v="-13.322789999999999"/>
    <n v="-75.887140000000002"/>
    <n v="30"/>
    <s v="SATELITAL"/>
    <s v="Centro"/>
    <x v="1"/>
    <n v="30"/>
    <n v="5"/>
    <n v="5"/>
    <n v="0.83333333333333337"/>
    <n v="5.833333333333333"/>
    <x v="0"/>
    <x v="7"/>
    <x v="2"/>
    <m/>
  </r>
  <r>
    <n v="301"/>
    <n v="217"/>
    <n v="214911"/>
    <s v="22271"/>
    <s v="ICA"/>
    <s v="CHINCHA"/>
    <s v="ALTO LARAN"/>
    <s v="VIÑA VIEJA"/>
    <s v="PIEDRA RAJADA"/>
    <s v="Rural"/>
    <n v="-13.355543000000001"/>
    <n v="-75.926291000000006"/>
    <n v="30"/>
    <s v="SATELITAL"/>
    <s v="Centro"/>
    <x v="1"/>
    <n v="30"/>
    <n v="5"/>
    <n v="5"/>
    <n v="0.83333333333333337"/>
    <n v="5.833333333333333"/>
    <x v="0"/>
    <x v="7"/>
    <x v="2"/>
    <m/>
  </r>
  <r>
    <n v="302"/>
    <n v="218"/>
    <n v="215072"/>
    <s v="ABRAHAM VALDELOMAR PINTO"/>
    <s v="ICA"/>
    <s v="CHINCHA"/>
    <s v="CHINCHA BAJA"/>
    <s v="CAMPO ALEGRE"/>
    <s v="CAMPO ALEGRE"/>
    <s v="Rural"/>
    <n v="-13.516842"/>
    <n v="-76.177391"/>
    <n v="30"/>
    <s v="SATELITAL"/>
    <s v="Centro"/>
    <x v="1"/>
    <n v="30"/>
    <n v="5"/>
    <n v="5"/>
    <n v="0.83333333333333337"/>
    <n v="5.833333333333333"/>
    <x v="0"/>
    <x v="7"/>
    <x v="2"/>
    <m/>
  </r>
  <r>
    <n v="303"/>
    <n v="219"/>
    <n v="215251"/>
    <s v="22761"/>
    <s v="ICA"/>
    <s v="CHINCHA"/>
    <s v="CHINCHA BAJA"/>
    <s v="CANYAR"/>
    <s v="CENTRO POBLADO CANYAR"/>
    <s v="Rural"/>
    <n v="-13.471496"/>
    <n v="-76.132383000000004"/>
    <n v="30"/>
    <s v="SATELITAL"/>
    <s v="Centro"/>
    <x v="1"/>
    <n v="30"/>
    <n v="5"/>
    <n v="5"/>
    <n v="0.83333333333333337"/>
    <n v="5.833333333333333"/>
    <x v="0"/>
    <x v="7"/>
    <x v="2"/>
    <m/>
  </r>
  <r>
    <n v="304"/>
    <n v="220"/>
    <n v="215086"/>
    <s v="SAN ANTONIO"/>
    <s v="ICA"/>
    <s v="CHINCHA"/>
    <s v="CHINCHA BAJA"/>
    <s v="SAN ANTONIO"/>
    <s v="CALLE PRINCIPAL S/N"/>
    <s v="Rural"/>
    <n v="-13.47927"/>
    <n v="-76.176370000000006"/>
    <n v="30"/>
    <s v="SATELITAL"/>
    <s v="Centro"/>
    <x v="1"/>
    <n v="30"/>
    <n v="5"/>
    <n v="5"/>
    <n v="0.83333333333333337"/>
    <n v="5.833333333333333"/>
    <x v="0"/>
    <x v="7"/>
    <x v="2"/>
    <m/>
  </r>
  <r>
    <n v="305"/>
    <n v="221"/>
    <n v="215190"/>
    <s v="22249"/>
    <s v="ICA"/>
    <s v="CHINCHA"/>
    <s v="CHINCHA BAJA"/>
    <s v="SANTA ROSA"/>
    <s v="CALLE BERANARDO RAMOS HIDALGO 101"/>
    <s v="Rural"/>
    <n v="-13.496218000000001"/>
    <n v="-76.152165999999994"/>
    <n v="30"/>
    <s v="SATELITAL"/>
    <s v="Centro"/>
    <x v="1"/>
    <n v="30"/>
    <n v="5"/>
    <n v="5"/>
    <n v="0.83333333333333337"/>
    <n v="5.833333333333333"/>
    <x v="0"/>
    <x v="7"/>
    <x v="2"/>
    <m/>
  </r>
  <r>
    <n v="306"/>
    <n v="222"/>
    <n v="215246"/>
    <s v="PEDRO RONCEROS CALDERON"/>
    <s v="ICA"/>
    <s v="CHINCHA"/>
    <s v="CHINCHA BAJA"/>
    <s v="SANTA ROSA"/>
    <s v="SANTA ROSA S/N"/>
    <s v="Rural"/>
    <n v="-13.500368"/>
    <n v="-76.149835999999993"/>
    <n v="30"/>
    <s v="SATELITAL"/>
    <s v="Centro"/>
    <x v="1"/>
    <n v="30"/>
    <n v="5"/>
    <n v="5"/>
    <n v="0.83333333333333337"/>
    <n v="5.833333333333333"/>
    <x v="0"/>
    <x v="7"/>
    <x v="2"/>
    <m/>
  </r>
  <r>
    <n v="307"/>
    <n v="223"/>
    <n v="215312"/>
    <s v="NUESTRA SEÑORA DEL CARMEN"/>
    <s v="ICA"/>
    <s v="CHINCHA"/>
    <s v="EL CARMEN"/>
    <s v="EL CARMEN"/>
    <s v="JIRON PROLONGACION CHINCHA S/N"/>
    <s v="Urbana"/>
    <n v="-13.499952"/>
    <n v="-76.059774000000004"/>
    <n v="30"/>
    <s v="SATELITAL"/>
    <s v="Centro"/>
    <x v="1"/>
    <n v="30"/>
    <n v="5"/>
    <n v="5"/>
    <n v="0.83333333333333337"/>
    <n v="5.833333333333333"/>
    <x v="0"/>
    <x v="7"/>
    <x v="2"/>
    <m/>
  </r>
  <r>
    <n v="308"/>
    <n v="224"/>
    <n v="215430"/>
    <s v="ALEJANDRO HERNANDEZ BONILLA"/>
    <s v="ICA"/>
    <s v="CHINCHA"/>
    <s v="EL CARMEN"/>
    <s v="EL CARMEN"/>
    <s v="AVENIDA EL CARMEN S/N"/>
    <s v="Urbana"/>
    <n v="-13.497698"/>
    <n v="-76.056768000000005"/>
    <n v="30"/>
    <s v="SATELITAL"/>
    <s v="Centro"/>
    <x v="1"/>
    <n v="30"/>
    <n v="5"/>
    <n v="5"/>
    <n v="0.83333333333333337"/>
    <n v="5.833333333333333"/>
    <x v="0"/>
    <x v="7"/>
    <x v="2"/>
    <m/>
  </r>
  <r>
    <n v="309"/>
    <n v="225"/>
    <n v="215411"/>
    <s v="22751"/>
    <s v="ICA"/>
    <s v="CHINCHA"/>
    <s v="EL CARMEN"/>
    <s v="SAN JOSE"/>
    <s v="AVENIDA PRINCIPAL S/N"/>
    <s v="Rural"/>
    <n v="-13.521603000000001"/>
    <n v="-76.067920999999998"/>
    <n v="30"/>
    <s v="SATELITAL"/>
    <s v="Centro"/>
    <x v="1"/>
    <n v="30"/>
    <n v="5"/>
    <n v="5"/>
    <n v="0.83333333333333337"/>
    <n v="5.833333333333333"/>
    <x v="0"/>
    <x v="7"/>
    <x v="2"/>
    <m/>
  </r>
  <r>
    <n v="310"/>
    <n v="226"/>
    <n v="215449"/>
    <s v="445 || 22756"/>
    <s v="ICA"/>
    <s v="CHINCHA"/>
    <s v="EL CARMEN"/>
    <s v="SAN REGIS"/>
    <s v="SAN REGIS"/>
    <s v="Rural"/>
    <n v="-13.51028"/>
    <n v="-76.086487000000005"/>
    <n v="30"/>
    <s v="SATELITAL"/>
    <s v="Centro"/>
    <x v="1"/>
    <n v="30"/>
    <n v="5"/>
    <n v="5"/>
    <n v="0.83333333333333337"/>
    <n v="5.833333333333333"/>
    <x v="0"/>
    <x v="7"/>
    <x v="2"/>
    <m/>
  </r>
  <r>
    <n v="311"/>
    <n v="227"/>
    <n v="215637"/>
    <s v="22519"/>
    <s v="ICA"/>
    <s v="CHINCHA"/>
    <s v="GROCIO PRADO"/>
    <s v="EL PORVENIR"/>
    <s v="PASAJE TORRES 101"/>
    <s v="Urbana"/>
    <n v="-13.40395"/>
    <n v="-76.166167000000002"/>
    <n v="30"/>
    <s v="SATELITAL"/>
    <s v="Centro"/>
    <x v="1"/>
    <n v="30"/>
    <n v="5"/>
    <n v="5"/>
    <n v="0.83333333333333337"/>
    <n v="5.833333333333333"/>
    <x v="0"/>
    <x v="7"/>
    <x v="2"/>
    <m/>
  </r>
  <r>
    <n v="312"/>
    <n v="228"/>
    <n v="215642"/>
    <s v="22281"/>
    <s v="ICA"/>
    <s v="CHINCHA"/>
    <s v="GROCIO PRADO"/>
    <s v="PAMPA DE ÑOCO"/>
    <s v="PAMPA DE ÑOCO"/>
    <s v="Urbana"/>
    <n v="-13.395625000000001"/>
    <n v="-76.163162"/>
    <n v="30"/>
    <s v="SATELITAL"/>
    <s v="Centro"/>
    <x v="1"/>
    <n v="30"/>
    <n v="5"/>
    <n v="5"/>
    <n v="0.83333333333333337"/>
    <n v="5.833333333333333"/>
    <x v="0"/>
    <x v="7"/>
    <x v="2"/>
    <m/>
  </r>
  <r>
    <n v="313"/>
    <n v="229"/>
    <n v="215618"/>
    <s v="22253"/>
    <s v="ICA"/>
    <s v="CHINCHA"/>
    <s v="GROCIO PRADO"/>
    <s v="SAN PEDRO"/>
    <s v="CALLE SAN JUAN 245"/>
    <s v="Urbana"/>
    <n v="-13.398275999999999"/>
    <n v="-76.158788999999999"/>
    <n v="30"/>
    <s v="SATELITAL"/>
    <s v="Centro"/>
    <x v="1"/>
    <n v="30"/>
    <n v="5"/>
    <n v="5"/>
    <n v="0.83333333333333337"/>
    <n v="5.833333333333333"/>
    <x v="0"/>
    <x v="7"/>
    <x v="2"/>
    <m/>
  </r>
  <r>
    <n v="314"/>
    <n v="230"/>
    <n v="216076"/>
    <s v="22282"/>
    <s v="ICA"/>
    <s v="CHINCHA"/>
    <s v="SAN JUAN DE YANAC"/>
    <s v="ALMACEN"/>
    <s v="SAN GERONIMO DE ALMACEN"/>
    <s v="Rural"/>
    <n v="-13.274532000000001"/>
    <n v="-75.912740999999997"/>
    <n v="30"/>
    <s v="SATELITAL"/>
    <s v="Centro"/>
    <x v="1"/>
    <n v="30"/>
    <n v="5"/>
    <n v="5"/>
    <n v="0.83333333333333337"/>
    <n v="5.833333333333333"/>
    <x v="0"/>
    <x v="7"/>
    <x v="2"/>
    <m/>
  </r>
  <r>
    <n v="315"/>
    <n v="231"/>
    <n v="216095"/>
    <s v="22665"/>
    <s v="ICA"/>
    <s v="CHINCHA"/>
    <s v="SAN JUAN DE YANAC"/>
    <s v="HUASIPIRCANA"/>
    <s v="HUASIPIRCANA"/>
    <s v="Rural"/>
    <n v="-13.168447"/>
    <n v="-75.840012999999999"/>
    <n v="30"/>
    <s v="SATELITAL"/>
    <s v="Centro"/>
    <x v="1"/>
    <n v="30"/>
    <n v="5"/>
    <n v="5"/>
    <n v="0.83333333333333337"/>
    <n v="5.833333333333333"/>
    <x v="0"/>
    <x v="7"/>
    <x v="2"/>
    <m/>
  </r>
  <r>
    <n v="316"/>
    <n v="232"/>
    <n v="216104"/>
    <s v="22679"/>
    <s v="ICA"/>
    <s v="CHINCHA"/>
    <s v="SAN JUAN DE YANAC"/>
    <s v="LIMANI"/>
    <s v="LIMANI"/>
    <s v="Rural"/>
    <n v="-13.230396000000001"/>
    <n v="-75.803988000000004"/>
    <n v="30"/>
    <s v="SATELITAL"/>
    <s v="Centro"/>
    <x v="1"/>
    <n v="30"/>
    <n v="5"/>
    <n v="5"/>
    <n v="0.83333333333333337"/>
    <n v="5.833333333333333"/>
    <x v="0"/>
    <x v="7"/>
    <x v="2"/>
    <m/>
  </r>
  <r>
    <n v="317"/>
    <n v="233"/>
    <n v="216081"/>
    <s v="22284"/>
    <s v="ICA"/>
    <s v="CHINCHA"/>
    <s v="SAN JUAN DE YANAC"/>
    <s v="SAN ANTONIO DE SIHUAY"/>
    <s v="SAN ANTONIO DE SIHUAY"/>
    <s v="Rural"/>
    <n v="-13.2538"/>
    <n v="-75.677111999999994"/>
    <n v="30"/>
    <s v="SATELITAL"/>
    <s v="Centro"/>
    <x v="1"/>
    <n v="30"/>
    <n v="5"/>
    <n v="5"/>
    <n v="0.83333333333333337"/>
    <n v="5.833333333333333"/>
    <x v="0"/>
    <x v="7"/>
    <x v="2"/>
    <m/>
  </r>
  <r>
    <n v="318"/>
    <n v="234"/>
    <n v="216062"/>
    <s v="22283"/>
    <s v="ICA"/>
    <s v="CHINCHA"/>
    <s v="SAN JUAN DE YANAC"/>
    <s v="SAN LUIS DE HUAÑUPIZA"/>
    <s v="SAN LUIS DE HUAÑUPIZA"/>
    <s v="Rural"/>
    <n v="-13.160665"/>
    <n v="-75.876575000000003"/>
    <n v="30"/>
    <s v="SATELITAL"/>
    <s v="Centro"/>
    <x v="1"/>
    <n v="30"/>
    <n v="5"/>
    <n v="5"/>
    <n v="0.83333333333333337"/>
    <n v="5.833333333333333"/>
    <x v="0"/>
    <x v="7"/>
    <x v="2"/>
    <m/>
  </r>
  <r>
    <n v="319"/>
    <n v="235"/>
    <n v="216199"/>
    <s v="448 || 22603"/>
    <s v="ICA"/>
    <s v="CHINCHA"/>
    <s v="SAN PEDRO DE HUACARPANA"/>
    <s v="CULLUHANCA"/>
    <s v="ANEXO DE CULLUHUANCA"/>
    <s v="Rural"/>
    <n v="-13.00277"/>
    <n v="-75.731038999999996"/>
    <n v="30"/>
    <s v="SATELITAL"/>
    <s v="Centro"/>
    <x v="1"/>
    <n v="30"/>
    <n v="5"/>
    <n v="5"/>
    <n v="0.83333333333333337"/>
    <n v="5.833333333333333"/>
    <x v="0"/>
    <x v="7"/>
    <x v="2"/>
    <m/>
  </r>
  <r>
    <n v="320"/>
    <n v="236"/>
    <n v="216161"/>
    <s v="22289"/>
    <s v="ICA"/>
    <s v="CHINCHA"/>
    <s v="SAN PEDRO DE HUACARPANA"/>
    <s v="SAN JOSE"/>
    <s v="CARRETERA SAN JOSE DE HUACARPANA"/>
    <s v="Rural"/>
    <n v="-13.148382"/>
    <n v="-75.754195999999993"/>
    <n v="30"/>
    <s v="SATELITAL"/>
    <s v="Centro"/>
    <x v="1"/>
    <n v="30"/>
    <n v="5"/>
    <n v="5"/>
    <n v="0.83333333333333337"/>
    <n v="5.833333333333333"/>
    <x v="0"/>
    <x v="7"/>
    <x v="2"/>
    <m/>
  </r>
  <r>
    <n v="321"/>
    <n v="237"/>
    <n v="216241"/>
    <s v="22645"/>
    <s v="ICA"/>
    <s v="CHINCHA"/>
    <s v="SAN PEDRO DE HUACARPANA"/>
    <s v="SAN JUAN DE HUCHPA"/>
    <s v="SAN JUAN DE UCHPA"/>
    <s v="Rural"/>
    <n v="-13.164889000000001"/>
    <n v="-75.784238999999999"/>
    <n v="30"/>
    <s v="SATELITAL"/>
    <s v="Centro"/>
    <x v="1"/>
    <n v="30"/>
    <n v="5"/>
    <n v="5"/>
    <n v="0.83333333333333337"/>
    <n v="5.833333333333333"/>
    <x v="0"/>
    <x v="7"/>
    <x v="2"/>
    <m/>
  </r>
  <r>
    <n v="322"/>
    <n v="238"/>
    <n v="216255"/>
    <s v="22662"/>
    <s v="ICA"/>
    <s v="CHINCHA"/>
    <s v="SAN PEDRO DE HUACARPANA"/>
    <s v="TAMBULLA"/>
    <s v="TAMBULLA S/N"/>
    <s v="Rural"/>
    <n v="-13.1797"/>
    <n v="-75.738299999999995"/>
    <n v="30"/>
    <s v="SATELITAL"/>
    <s v="Centro"/>
    <x v="1"/>
    <n v="30"/>
    <n v="5"/>
    <n v="5"/>
    <n v="0.83333333333333337"/>
    <n v="5.833333333333333"/>
    <x v="0"/>
    <x v="7"/>
    <x v="2"/>
    <m/>
  </r>
  <r>
    <n v="323"/>
    <n v="239"/>
    <n v="216302"/>
    <s v="22599"/>
    <s v="ICA"/>
    <s v="CHINCHA"/>
    <s v="SUNAMPE"/>
    <s v="SAN FRANCISCO"/>
    <s v="AVENIDA PRINCIPAL"/>
    <s v="Rural"/>
    <n v="-13.445874"/>
    <n v="-76.169872999999995"/>
    <n v="30"/>
    <s v="SATELITAL"/>
    <s v="Centro"/>
    <x v="1"/>
    <n v="30"/>
    <n v="5"/>
    <n v="5"/>
    <n v="0.83333333333333337"/>
    <n v="5.833333333333333"/>
    <x v="0"/>
    <x v="7"/>
    <x v="2"/>
    <m/>
  </r>
  <r>
    <n v="324"/>
    <n v="240"/>
    <n v="216477"/>
    <s v="22520"/>
    <s v="ICA"/>
    <s v="CHINCHA"/>
    <s v="SUNAMPE"/>
    <s v="SANTA CATALINA"/>
    <s v="SANTA CATALINA"/>
    <s v="Rural"/>
    <n v="-13.438304"/>
    <n v="-76.170294999999996"/>
    <n v="30"/>
    <s v="SATELITAL"/>
    <s v="Centro"/>
    <x v="1"/>
    <n v="30"/>
    <n v="5"/>
    <n v="5"/>
    <n v="0.83333333333333337"/>
    <n v="5.833333333333333"/>
    <x v="0"/>
    <x v="7"/>
    <x v="2"/>
    <m/>
  </r>
  <r>
    <n v="325"/>
    <n v="241"/>
    <n v="211861"/>
    <s v="22308 || 515"/>
    <s v="ICA"/>
    <s v="ICA"/>
    <s v="LA TINGUIÑA"/>
    <s v="CHANCHAJALLA"/>
    <s v="CHANCHAJALLA"/>
    <s v="Rural"/>
    <n v="-14.032014999999999"/>
    <n v="-75.724237000000002"/>
    <n v="30"/>
    <s v="SATELITAL"/>
    <s v="Centro"/>
    <x v="1"/>
    <n v="30"/>
    <n v="5"/>
    <n v="5"/>
    <n v="0.83333333333333337"/>
    <n v="5.833333333333333"/>
    <x v="0"/>
    <x v="7"/>
    <x v="2"/>
    <m/>
  </r>
  <r>
    <n v="326"/>
    <n v="242"/>
    <n v="211922"/>
    <s v="22764 || 516"/>
    <s v="ICA"/>
    <s v="ICA"/>
    <s v="LA TINGUIÑA"/>
    <s v="LA MAQUINA"/>
    <s v="LA MAQUINA"/>
    <s v="Rural"/>
    <n v="-14.002033000000001"/>
    <n v="-75.703068999999999"/>
    <n v="30"/>
    <s v="SATELITAL"/>
    <s v="Centro"/>
    <x v="1"/>
    <n v="30"/>
    <n v="5"/>
    <n v="5"/>
    <n v="0.83333333333333337"/>
    <n v="5.833333333333333"/>
    <x v="0"/>
    <x v="7"/>
    <x v="2"/>
    <m/>
  </r>
  <r>
    <n v="327"/>
    <n v="243"/>
    <n v="211880"/>
    <s v="22364"/>
    <s v="ICA"/>
    <s v="ICA"/>
    <s v="LA TINGUIÑA"/>
    <s v="SANTA BARBARA"/>
    <s v="SANTA BARBARA"/>
    <s v="Rural"/>
    <n v="-13.997196000000001"/>
    <n v="-75.708770000000001"/>
    <n v="30"/>
    <s v="SATELITAL"/>
    <s v="Centro"/>
    <x v="1"/>
    <n v="30"/>
    <n v="5"/>
    <n v="5"/>
    <n v="0.83333333333333337"/>
    <n v="5.833333333333333"/>
    <x v="0"/>
    <x v="7"/>
    <x v="2"/>
    <m/>
  </r>
  <r>
    <n v="328"/>
    <n v="244"/>
    <n v="212323"/>
    <s v="22526 MEDARDO JESUS APARCANA HERNANDEZ"/>
    <s v="ICA"/>
    <s v="ICA"/>
    <s v="OCUCAJE"/>
    <s v="BARRIONUEVO"/>
    <s v="NUEVO"/>
    <s v="Urbana"/>
    <n v="-14.344101999999999"/>
    <n v="-75.677525000000003"/>
    <n v="30"/>
    <s v="SATELITAL"/>
    <s v="Centro"/>
    <x v="1"/>
    <n v="30"/>
    <n v="5"/>
    <n v="5"/>
    <n v="0.83333333333333337"/>
    <n v="5.833333333333333"/>
    <x v="0"/>
    <x v="7"/>
    <x v="2"/>
    <m/>
  </r>
  <r>
    <n v="329"/>
    <n v="245"/>
    <n v="212262"/>
    <s v="22347"/>
    <s v="ICA"/>
    <s v="ICA"/>
    <s v="OCUCAJE"/>
    <s v="PAMPA CHACALTANA"/>
    <s v="PAMPA CHACALTANA"/>
    <s v="Rural"/>
    <n v="-14.377837"/>
    <n v="-75.687567000000001"/>
    <n v="30"/>
    <s v="SATELITAL"/>
    <s v="Centro"/>
    <x v="1"/>
    <n v="30"/>
    <n v="5"/>
    <n v="5"/>
    <n v="0.83333333333333337"/>
    <n v="5.833333333333333"/>
    <x v="0"/>
    <x v="7"/>
    <x v="2"/>
    <m/>
  </r>
  <r>
    <n v="330"/>
    <n v="246"/>
    <n v="212318"/>
    <s v="22348 SANTIAGO BARRIOS TORREALVA || 518 LOS MILAGRITOS DE SAN FELIPE"/>
    <s v="ICA"/>
    <s v="ICA"/>
    <s v="OCUCAJE"/>
    <s v="SAN FELIPE"/>
    <s v="SAN FELIPE"/>
    <s v="Rural"/>
    <n v="-14.382857"/>
    <n v="-75.679097999999996"/>
    <n v="30"/>
    <s v="SATELITAL"/>
    <s v="Centro"/>
    <x v="1"/>
    <n v="30"/>
    <n v="5"/>
    <n v="5"/>
    <n v="0.83333333333333337"/>
    <n v="5.833333333333333"/>
    <x v="0"/>
    <x v="7"/>
    <x v="2"/>
    <m/>
  </r>
  <r>
    <n v="331"/>
    <n v="247"/>
    <n v="212375"/>
    <s v="22677"/>
    <s v="ICA"/>
    <s v="ICA"/>
    <s v="PACHACUTEC"/>
    <s v="EL PALTO"/>
    <s v="EL PALTO"/>
    <s v="Rural"/>
    <n v="-14.176318"/>
    <n v="-75.685221999999996"/>
    <n v="30"/>
    <s v="SATELITAL"/>
    <s v="Centro"/>
    <x v="1"/>
    <n v="30"/>
    <n v="5"/>
    <n v="5"/>
    <n v="0.83333333333333337"/>
    <n v="5.833333333333333"/>
    <x v="0"/>
    <x v="7"/>
    <x v="2"/>
    <m/>
  </r>
  <r>
    <n v="332"/>
    <n v="248"/>
    <n v="212733"/>
    <s v="22325 VIRGEN DE FATIMA"/>
    <s v="ICA"/>
    <s v="ICA"/>
    <s v="PUEBLO NUEVO"/>
    <s v="PONGO DE LOS ZEGARRA"/>
    <s v="PONGO DE LOS ZEGARRA"/>
    <s v="Rural"/>
    <n v="-14.116866999999999"/>
    <n v="-75.696511000000001"/>
    <n v="30"/>
    <s v="SATELITAL"/>
    <s v="Centro"/>
    <x v="1"/>
    <n v="30"/>
    <n v="5"/>
    <n v="5"/>
    <n v="0.83333333333333337"/>
    <n v="5.833333333333333"/>
    <x v="0"/>
    <x v="7"/>
    <x v="2"/>
    <m/>
  </r>
  <r>
    <n v="333"/>
    <n v="249"/>
    <n v="212771"/>
    <s v="22373"/>
    <s v="ICA"/>
    <s v="ICA"/>
    <s v="PUEBLO NUEVO"/>
    <s v="PONGO GRANDE"/>
    <s v="PONGO GRANDE"/>
    <s v="Rural"/>
    <n v="-14.123958999999999"/>
    <n v="-75.691070999999994"/>
    <n v="30"/>
    <s v="SATELITAL"/>
    <s v="Centro"/>
    <x v="1"/>
    <n v="30"/>
    <n v="5"/>
    <n v="5"/>
    <n v="0.83333333333333337"/>
    <n v="5.833333333333333"/>
    <x v="0"/>
    <x v="7"/>
    <x v="2"/>
    <m/>
  </r>
  <r>
    <n v="334"/>
    <n v="250"/>
    <n v="212785"/>
    <s v="22671"/>
    <s v="ICA"/>
    <s v="ICA"/>
    <s v="PUEBLO NUEVO"/>
    <s v="SAN RAFAEL DE AGUAGUANA"/>
    <s v="SAN RAFAEL"/>
    <s v="Rural"/>
    <n v="-14.115123000000001"/>
    <n v="-75.717164999999994"/>
    <n v="30"/>
    <s v="SATELITAL"/>
    <s v="Centro"/>
    <x v="1"/>
    <n v="30"/>
    <n v="5"/>
    <n v="5"/>
    <n v="0.83333333333333337"/>
    <n v="5.833333333333333"/>
    <x v="0"/>
    <x v="7"/>
    <x v="2"/>
    <m/>
  </r>
  <r>
    <n v="335"/>
    <n v="251"/>
    <n v="212851"/>
    <s v="22328"/>
    <s v="ICA"/>
    <s v="ICA"/>
    <s v="SALAS"/>
    <s v="CERRO PRIETO"/>
    <s v="CERRO PRIETO"/>
    <s v="Urbana"/>
    <n v="-14.000876"/>
    <n v="-75.772479000000004"/>
    <n v="30"/>
    <s v="SATELITAL"/>
    <s v="Centro"/>
    <x v="1"/>
    <n v="30"/>
    <n v="5"/>
    <n v="5"/>
    <n v="0.83333333333333337"/>
    <n v="5.833333333333333"/>
    <x v="0"/>
    <x v="7"/>
    <x v="2"/>
    <m/>
  </r>
  <r>
    <n v="336"/>
    <n v="252"/>
    <n v="213148"/>
    <s v="22374"/>
    <s v="ICA"/>
    <s v="ICA"/>
    <s v="SAN JUAN BAUTISTA"/>
    <s v="CAMINO DE REYES"/>
    <s v="CAMINO DE REYES"/>
    <s v="Rural"/>
    <n v="-13.995533"/>
    <n v="-75.748575000000002"/>
    <n v="30"/>
    <s v="SATELITAL"/>
    <s v="Centro"/>
    <x v="1"/>
    <n v="30"/>
    <n v="5"/>
    <n v="5"/>
    <n v="0.83333333333333337"/>
    <n v="5.833333333333333"/>
    <x v="0"/>
    <x v="7"/>
    <x v="2"/>
    <m/>
  </r>
  <r>
    <n v="337"/>
    <n v="253"/>
    <n v="213191"/>
    <s v="22340"/>
    <s v="ICA"/>
    <s v="ICA"/>
    <s v="SAN JUAN BAUTISTA"/>
    <s v="EL CARMEN"/>
    <s v="CALLE JUAN CANCIO CASTILLO 152"/>
    <s v="Rural"/>
    <n v="-13.971379000000001"/>
    <n v="-75.729861999999997"/>
    <n v="30"/>
    <s v="SATELITAL"/>
    <s v="Centro"/>
    <x v="1"/>
    <n v="30"/>
    <n v="5"/>
    <n v="5"/>
    <n v="0.83333333333333337"/>
    <n v="5.833333333333333"/>
    <x v="0"/>
    <x v="7"/>
    <x v="2"/>
    <m/>
  </r>
  <r>
    <n v="338"/>
    <n v="254"/>
    <n v="213186"/>
    <s v="22342"/>
    <s v="ICA"/>
    <s v="ICA"/>
    <s v="SAN JUAN BAUTISTA"/>
    <s v="EL OLIVO"/>
    <s v="AVENIDA PROGRESO S/N"/>
    <s v="Rural"/>
    <n v="-13.958277000000001"/>
    <n v="-75.720191999999997"/>
    <n v="30"/>
    <s v="SATELITAL"/>
    <s v="Centro"/>
    <x v="1"/>
    <n v="30"/>
    <n v="5"/>
    <n v="5"/>
    <n v="0.83333333333333337"/>
    <n v="5.833333333333333"/>
    <x v="0"/>
    <x v="7"/>
    <x v="2"/>
    <m/>
  </r>
  <r>
    <n v="339"/>
    <n v="255"/>
    <n v="195837"/>
    <s v="22376 VIRGEN DE LA MEDALLA MILAGROSA || 76"/>
    <s v="ICA"/>
    <s v="ICA"/>
    <s v="SAN JUAN BAUTISTA"/>
    <s v="YANQUIZA"/>
    <s v="YANQUIZA"/>
    <s v="Urbana"/>
    <n v="-14.021190000000001"/>
    <n v="-75.744928000000002"/>
    <n v="30"/>
    <s v="SATELITAL"/>
    <s v="Centro"/>
    <x v="1"/>
    <n v="30"/>
    <n v="5"/>
    <n v="5"/>
    <n v="0.83333333333333337"/>
    <n v="5.833333333333333"/>
    <x v="0"/>
    <x v="7"/>
    <x v="2"/>
    <m/>
  </r>
  <r>
    <n v="340"/>
    <n v="256"/>
    <n v="634441"/>
    <s v="22736"/>
    <s v="ICA"/>
    <s v="ICA"/>
    <s v="SANTIAGO"/>
    <s v="HUANACO"/>
    <s v="HUANACO"/>
    <s v="Rural"/>
    <n v="-14.211010999999999"/>
    <n v="-75.689583999999996"/>
    <n v="30"/>
    <s v="SATELITAL"/>
    <s v="Centro"/>
    <x v="1"/>
    <n v="30"/>
    <n v="5"/>
    <n v="5"/>
    <n v="0.83333333333333337"/>
    <n v="5.833333333333333"/>
    <x v="0"/>
    <x v="7"/>
    <x v="2"/>
    <m/>
  </r>
  <r>
    <n v="341"/>
    <n v="257"/>
    <n v="213426"/>
    <s v="22380 SEÑOR DE LUREN"/>
    <s v="ICA"/>
    <s v="ICA"/>
    <s v="SANTIAGO"/>
    <s v="SAN MATIAS"/>
    <s v="CARRETERA PANAMERICANA SUR KM 319"/>
    <s v="Rural"/>
    <n v="-14.232139"/>
    <n v="-75.699128000000002"/>
    <n v="30"/>
    <s v="SATELITAL"/>
    <s v="Centro"/>
    <x v="1"/>
    <n v="30"/>
    <n v="5"/>
    <n v="5"/>
    <n v="0.83333333333333337"/>
    <n v="5.833333333333333"/>
    <x v="0"/>
    <x v="7"/>
    <x v="2"/>
    <m/>
  </r>
  <r>
    <n v="342"/>
    <n v="258"/>
    <n v="213474"/>
    <s v="22705 || 520"/>
    <s v="ICA"/>
    <s v="ICA"/>
    <s v="SANTIAGO"/>
    <s v="SANTA VICENTA"/>
    <s v="SANTA VICENTA"/>
    <s v="Rural"/>
    <n v="-14.195455000000001"/>
    <n v="-75.666072"/>
    <n v="30"/>
    <s v="SATELITAL"/>
    <s v="Centro"/>
    <x v="1"/>
    <n v="30"/>
    <n v="5"/>
    <n v="5"/>
    <n v="0.83333333333333337"/>
    <n v="5.833333333333333"/>
    <x v="0"/>
    <x v="7"/>
    <x v="2"/>
    <m/>
  </r>
  <r>
    <n v="343"/>
    <n v="259"/>
    <n v="553487"/>
    <s v="22770 SAN ANTONIO DE COPRODELI"/>
    <s v="ICA"/>
    <s v="ICA"/>
    <s v="SUBTANJALLA"/>
    <s v="SUBTANJALLA"/>
    <s v="ESQUINA CALLE A CON PASAJE 36"/>
    <s v="Urbana"/>
    <n v="-14.024756999999999"/>
    <n v="-75.749510000000001"/>
    <n v="30"/>
    <s v="SATELITAL"/>
    <s v="Centro"/>
    <x v="1"/>
    <n v="30"/>
    <n v="5"/>
    <n v="5"/>
    <n v="0.83333333333333337"/>
    <n v="5.833333333333333"/>
    <x v="0"/>
    <x v="7"/>
    <x v="2"/>
    <m/>
  </r>
  <r>
    <n v="344"/>
    <n v="260"/>
    <n v="213902"/>
    <s v="22391"/>
    <s v="ICA"/>
    <s v="ICA"/>
    <s v="YAUCA DEL ROSARIO"/>
    <s v="SAN JOSE DE CURIS"/>
    <s v="SAN JOSE DE CURIS"/>
    <s v="Rural"/>
    <n v="-14.048736"/>
    <n v="-75.273579999999995"/>
    <n v="30"/>
    <s v="SATELITAL"/>
    <s v="Centro"/>
    <x v="1"/>
    <n v="30"/>
    <n v="5"/>
    <n v="5"/>
    <n v="0.83333333333333337"/>
    <n v="5.833333333333333"/>
    <x v="0"/>
    <x v="7"/>
    <x v="2"/>
    <m/>
  </r>
  <r>
    <n v="345"/>
    <n v="261"/>
    <n v="217071"/>
    <s v="22719 JOSEFINA MUÑOZ BAYLON"/>
    <s v="ICA"/>
    <s v="NASCA"/>
    <s v="CHANGUILLO"/>
    <s v="COYUNGO"/>
    <s v="COYUNGO"/>
    <s v="Rural"/>
    <n v="-14.7721"/>
    <n v="-75.351900000000001"/>
    <n v="30"/>
    <s v="SATELITAL"/>
    <s v="Centro"/>
    <x v="1"/>
    <n v="30"/>
    <n v="5"/>
    <n v="5"/>
    <n v="0.83333333333333337"/>
    <n v="5.833333333333333"/>
    <x v="0"/>
    <x v="8"/>
    <x v="2"/>
    <m/>
  </r>
  <r>
    <n v="346"/>
    <n v="262"/>
    <n v="217189"/>
    <s v="813 || 22675 JOSE ANTONIO HUAMANI MITACC"/>
    <s v="ICA"/>
    <s v="NASCA"/>
    <s v="EL INGENIO"/>
    <s v="EL ESTUDIANTE"/>
    <s v="CALLE 2 S/N MZ K LOTE 3"/>
    <s v="Rural"/>
    <n v="-14.660500000000001"/>
    <n v="-75.113299999999995"/>
    <n v="30"/>
    <s v="SATELITAL"/>
    <s v="Centro"/>
    <x v="1"/>
    <n v="30"/>
    <n v="5"/>
    <n v="5"/>
    <n v="0.83333333333333337"/>
    <n v="5.833333333333333"/>
    <x v="0"/>
    <x v="8"/>
    <x v="2"/>
    <m/>
  </r>
  <r>
    <n v="347"/>
    <n v="263"/>
    <n v="217132"/>
    <s v="22395 MOISES REBATA"/>
    <s v="ICA"/>
    <s v="NASCA"/>
    <s v="EL INGENIO"/>
    <s v="EL INGENIO"/>
    <s v="CALLE JULIO LA PUENTE S/N"/>
    <s v="Rural"/>
    <n v="-14.644424000000001"/>
    <n v="-75.058964000000003"/>
    <n v="30"/>
    <s v="SATELITAL"/>
    <s v="Centro"/>
    <x v="1"/>
    <n v="30"/>
    <n v="5"/>
    <n v="5"/>
    <n v="0.83333333333333337"/>
    <n v="5.833333333333333"/>
    <x v="0"/>
    <x v="8"/>
    <x v="2"/>
    <m/>
  </r>
  <r>
    <n v="348"/>
    <n v="264"/>
    <n v="217212"/>
    <s v="JOSE MANUEL MEZA"/>
    <s v="ICA"/>
    <s v="NASCA"/>
    <s v="EL INGENIO"/>
    <s v="EL INGENIO"/>
    <s v="AVENIDA MAMALA S/N"/>
    <s v="Rural"/>
    <n v="-14.645519999999999"/>
    <n v="-75.060500000000005"/>
    <n v="30"/>
    <s v="SATELITAL"/>
    <s v="Centro"/>
    <x v="1"/>
    <n v="30"/>
    <n v="5"/>
    <n v="5"/>
    <n v="0.83333333333333337"/>
    <n v="5.833333333333333"/>
    <x v="0"/>
    <x v="8"/>
    <x v="2"/>
    <m/>
  </r>
  <r>
    <n v="349"/>
    <n v="265"/>
    <n v="217151"/>
    <s v="22414"/>
    <s v="ICA"/>
    <s v="NASCA"/>
    <s v="EL INGENIO"/>
    <s v="EL MOLINO"/>
    <s v="EL MOLINO"/>
    <s v="Rural"/>
    <n v="-14.638017"/>
    <n v="-74.987183000000002"/>
    <n v="30"/>
    <s v="SATELITAL"/>
    <s v="Centro"/>
    <x v="1"/>
    <n v="30"/>
    <n v="5"/>
    <n v="5"/>
    <n v="0.83333333333333337"/>
    <n v="5.833333333333333"/>
    <x v="0"/>
    <x v="8"/>
    <x v="2"/>
    <m/>
  </r>
  <r>
    <n v="350"/>
    <n v="266"/>
    <n v="217146"/>
    <s v="22397 ADELINA FERNANDEZ ALVARADO"/>
    <s v="ICA"/>
    <s v="NASCA"/>
    <s v="EL INGENIO"/>
    <s v="TULIN"/>
    <s v="AVENIDA INDEPENDENCIA S/N"/>
    <s v="Rural"/>
    <n v="-14.644358"/>
    <n v="-75.069344999999998"/>
    <n v="30"/>
    <s v="SATELITAL"/>
    <s v="Centro"/>
    <x v="1"/>
    <n v="30"/>
    <n v="5"/>
    <n v="5"/>
    <n v="0.83333333333333337"/>
    <n v="5.833333333333333"/>
    <x v="0"/>
    <x v="8"/>
    <x v="2"/>
    <m/>
  </r>
  <r>
    <n v="351"/>
    <n v="267"/>
    <n v="217405"/>
    <s v="283 || 22407 MARIA SIMON CONTRERAS"/>
    <s v="ICA"/>
    <s v="NASCA"/>
    <s v="VISTA ALEGRE"/>
    <s v="SAN LUIS DE PAJONAL"/>
    <s v="SAN LUIS DE PAJONAL"/>
    <s v="Rural"/>
    <n v="-14.913767999999999"/>
    <n v="-74.986256999999995"/>
    <n v="30"/>
    <s v="SATELITAL"/>
    <s v="Centro"/>
    <x v="1"/>
    <n v="30"/>
    <n v="5"/>
    <n v="5"/>
    <n v="0.83333333333333337"/>
    <n v="5.833333333333333"/>
    <x v="0"/>
    <x v="8"/>
    <x v="2"/>
    <m/>
  </r>
  <r>
    <n v="352"/>
    <n v="268"/>
    <n v="646547"/>
    <s v="22693 JOSE OLAYA BALANDRA"/>
    <s v="ICA"/>
    <s v="NASCA"/>
    <s v="VISTA ALEGRE"/>
    <s v="VISTA ALEGRE"/>
    <s v="NUEVA VILLA"/>
    <s v="Urbana"/>
    <n v="-14.853999999999999"/>
    <n v="-74.935299999999998"/>
    <n v="30"/>
    <s v="SATELITAL"/>
    <s v="Centro"/>
    <x v="1"/>
    <n v="30"/>
    <n v="5"/>
    <n v="5"/>
    <n v="0.83333333333333337"/>
    <n v="5.833333333333333"/>
    <x v="0"/>
    <x v="8"/>
    <x v="2"/>
    <m/>
  </r>
  <r>
    <n v="353"/>
    <n v="269"/>
    <n v="217924"/>
    <s v="22436 || PALMAR"/>
    <s v="ICA"/>
    <s v="PALPA"/>
    <s v="RIO GRANDE"/>
    <s v="PALMAR"/>
    <s v="SANTA ROSA"/>
    <s v="Rural"/>
    <n v="-14.241199999999999"/>
    <n v="-75.106700000000004"/>
    <n v="30"/>
    <s v="SATELITAL"/>
    <s v="Centro"/>
    <x v="1"/>
    <n v="30"/>
    <n v="5"/>
    <n v="5"/>
    <n v="0.83333333333333337"/>
    <n v="5.833333333333333"/>
    <x v="0"/>
    <x v="8"/>
    <x v="2"/>
    <m/>
  </r>
  <r>
    <n v="354"/>
    <n v="270"/>
    <n v="217962"/>
    <s v="22709"/>
    <s v="ICA"/>
    <s v="PALPA"/>
    <s v="RIO GRANDE"/>
    <s v="PAMPA BLANCA"/>
    <s v="CARRETERA PAMPA BLANCA KM 52"/>
    <s v="Rural"/>
    <n v="-14.2181"/>
    <n v="-75.095500000000001"/>
    <n v="30"/>
    <s v="SATELITAL"/>
    <s v="Centro"/>
    <x v="1"/>
    <n v="30"/>
    <n v="5"/>
    <n v="5"/>
    <n v="0.83333333333333337"/>
    <n v="5.833333333333333"/>
    <x v="0"/>
    <x v="8"/>
    <x v="2"/>
    <m/>
  </r>
  <r>
    <n v="355"/>
    <n v="271"/>
    <n v="217882"/>
    <s v="22424"/>
    <s v="ICA"/>
    <s v="PALPA"/>
    <s v="RIO GRANDE"/>
    <s v="RIO GRANDE"/>
    <s v="CALLE TUPAC AMARU S/N MZ I LOTE 1 SECTOR RIO GRANDE"/>
    <s v="Rural"/>
    <n v="-14.519310000000001"/>
    <n v="-75.199498000000006"/>
    <n v="30"/>
    <s v="SATELITAL"/>
    <s v="Centro"/>
    <x v="1"/>
    <n v="30"/>
    <n v="5"/>
    <n v="5"/>
    <n v="0.83333333333333337"/>
    <n v="5.833333333333333"/>
    <x v="0"/>
    <x v="8"/>
    <x v="2"/>
    <m/>
  </r>
  <r>
    <n v="356"/>
    <n v="272"/>
    <n v="217976"/>
    <s v="CAP. FAP JOSE ABELARDO QUIÑONES GONZALES"/>
    <s v="ICA"/>
    <s v="PALPA"/>
    <s v="RIO GRANDE"/>
    <s v="RIO GRANDE"/>
    <s v="AVENIDA TUPAC AMARU S/N"/>
    <s v="Rural"/>
    <n v="-14.519147999999999"/>
    <n v="-75.198581000000004"/>
    <n v="30"/>
    <s v="SATELITAL"/>
    <s v="Centro"/>
    <x v="1"/>
    <n v="30"/>
    <n v="5"/>
    <n v="5"/>
    <n v="0.83333333333333337"/>
    <n v="5.833333333333333"/>
    <x v="0"/>
    <x v="8"/>
    <x v="2"/>
    <m/>
  </r>
  <r>
    <n v="357"/>
    <n v="273"/>
    <n v="218075"/>
    <s v="22441 SANTA ANA"/>
    <s v="ICA"/>
    <s v="PALPA"/>
    <s v="TIBILLO"/>
    <s v="TIBILLO"/>
    <s v="CALLE PALPA S/N"/>
    <s v="Rural"/>
    <n v="-14.092320000000001"/>
    <n v="-75.174340000000001"/>
    <n v="30"/>
    <s v="SATELITAL"/>
    <s v="Centro"/>
    <x v="1"/>
    <n v="30"/>
    <n v="5"/>
    <n v="5"/>
    <n v="0.83333333333333337"/>
    <n v="5.833333333333333"/>
    <x v="0"/>
    <x v="7"/>
    <x v="2"/>
    <m/>
  </r>
  <r>
    <n v="358"/>
    <n v="274"/>
    <n v="219027"/>
    <s v="22673"/>
    <s v="ICA"/>
    <s v="PISCO"/>
    <s v="HUMAY"/>
    <s v="LAS DELICIAS"/>
    <s v="DELICIAS"/>
    <s v="Rural"/>
    <n v="-13.709548"/>
    <n v="-75.826869000000002"/>
    <n v="30"/>
    <s v="SATELITAL"/>
    <s v="Centro"/>
    <x v="1"/>
    <n v="30"/>
    <n v="5"/>
    <n v="5"/>
    <n v="0.83333333333333337"/>
    <n v="5.833333333333333"/>
    <x v="0"/>
    <x v="7"/>
    <x v="2"/>
    <m/>
  </r>
  <r>
    <n v="359"/>
    <n v="275"/>
    <n v="219008"/>
    <s v="22717"/>
    <s v="ICA"/>
    <s v="PISCO"/>
    <s v="HUMAY"/>
    <s v="SAN TADEO"/>
    <s v="SAN TADEO S/N"/>
    <s v="Rural"/>
    <n v="-13.724600000000001"/>
    <n v="-75.999200000000002"/>
    <n v="30"/>
    <s v="SATELITAL"/>
    <s v="Centro"/>
    <x v="1"/>
    <n v="30"/>
    <n v="5"/>
    <n v="5"/>
    <n v="0.83333333333333337"/>
    <n v="5.833333333333333"/>
    <x v="0"/>
    <x v="7"/>
    <x v="2"/>
    <m/>
  </r>
  <r>
    <n v="360"/>
    <n v="276"/>
    <n v="219051"/>
    <s v="22443 JOSE GABRIEL AGUILAR"/>
    <s v="ICA"/>
    <s v="PISCO"/>
    <s v="INDEPENDENCIA"/>
    <s v="CABEZA DE TORO LATERAL 4"/>
    <s v="CABEZA DE TORO LATERAL 4"/>
    <s v="Rural"/>
    <n v="-13.644657"/>
    <n v="-76.016498999999996"/>
    <n v="30"/>
    <s v="SATELITAL"/>
    <s v="Centro"/>
    <x v="1"/>
    <n v="30"/>
    <n v="5"/>
    <n v="5"/>
    <n v="0.83333333333333337"/>
    <n v="5.833333333333333"/>
    <x v="0"/>
    <x v="7"/>
    <x v="2"/>
    <m/>
  </r>
  <r>
    <n v="361"/>
    <n v="277"/>
    <n v="219174"/>
    <s v="22728 || 311"/>
    <s v="ICA"/>
    <s v="PISCO"/>
    <s v="INDEPENDENCIA"/>
    <s v="JOSE OLAYA"/>
    <s v="CARRETERA LOS LIBERTADORES KM. 11.5"/>
    <s v="Rural"/>
    <n v="-13.683343000000001"/>
    <n v="-76.064116999999996"/>
    <n v="30"/>
    <s v="SATELITAL"/>
    <s v="Centro"/>
    <x v="1"/>
    <n v="30"/>
    <n v="5"/>
    <n v="5"/>
    <n v="0.83333333333333337"/>
    <n v="5.833333333333333"/>
    <x v="0"/>
    <x v="7"/>
    <x v="2"/>
    <m/>
  </r>
  <r>
    <n v="362"/>
    <n v="278"/>
    <n v="219150"/>
    <s v="22498 FAUSTINO ROSAS BARBOZA"/>
    <s v="ICA"/>
    <s v="PISCO"/>
    <s v="INDEPENDENCIA"/>
    <s v="TOMA DE LEON"/>
    <s v="TOMA DE LEON"/>
    <s v="Rural"/>
    <n v="-13.664396"/>
    <n v="-76.025096000000005"/>
    <n v="30"/>
    <s v="SATELITAL"/>
    <s v="Centro"/>
    <x v="1"/>
    <n v="30"/>
    <n v="5"/>
    <n v="5"/>
    <n v="0.83333333333333337"/>
    <n v="5.833333333333333"/>
    <x v="0"/>
    <x v="7"/>
    <x v="2"/>
    <m/>
  </r>
  <r>
    <n v="363"/>
    <n v="279"/>
    <n v="218344"/>
    <s v="22544 PEDRO PABLO CASTRO PELAEZ"/>
    <s v="ICA"/>
    <s v="PISCO"/>
    <s v="PISCO"/>
    <s v="PISCO"/>
    <s v="AVENIDA SAN MARTIN 604"/>
    <s v="Urbana"/>
    <n v="-13.70947"/>
    <n v="-76.209850000000003"/>
    <n v="30"/>
    <s v="SATELITAL"/>
    <s v="Centro"/>
    <x v="1"/>
    <n v="30"/>
    <n v="5"/>
    <n v="5"/>
    <n v="0.83333333333333337"/>
    <n v="5.833333333333333"/>
    <x v="0"/>
    <x v="7"/>
    <x v="2"/>
    <m/>
  </r>
  <r>
    <n v="364"/>
    <n v="280"/>
    <n v="218136"/>
    <s v="22469"/>
    <s v="ICA"/>
    <s v="PISCO"/>
    <s v="PISCO"/>
    <s v="SAN MIGUEL"/>
    <s v="CALLE SAN JOSE 275"/>
    <s v="Urbana"/>
    <n v="-13.70046"/>
    <n v="-76.153450000000007"/>
    <n v="30"/>
    <s v="SATELITAL"/>
    <s v="Centro"/>
    <x v="1"/>
    <n v="30"/>
    <n v="5"/>
    <n v="5"/>
    <n v="0.83333333333333337"/>
    <n v="5.833333333333333"/>
    <x v="0"/>
    <x v="7"/>
    <x v="2"/>
    <m/>
  </r>
  <r>
    <n v="365"/>
    <n v="281"/>
    <n v="219447"/>
    <s v="22468 MARIA PARADO DE BELLIDO"/>
    <s v="ICA"/>
    <s v="PISCO"/>
    <s v="SAN CLEMENTE"/>
    <s v="SAN CLEMENTE"/>
    <s v="AVENIDA MIRAFLORES 609"/>
    <s v="Urbana"/>
    <n v="-13.67188"/>
    <n v="-76.157060000000001"/>
    <n v="30"/>
    <s v="SATELITAL"/>
    <s v="Centro"/>
    <x v="1"/>
    <n v="30"/>
    <n v="5"/>
    <n v="5"/>
    <n v="0.83333333333333337"/>
    <n v="5.833333333333333"/>
    <x v="0"/>
    <x v="7"/>
    <x v="2"/>
    <m/>
  </r>
  <r>
    <n v="366"/>
    <n v="282"/>
    <n v="219616"/>
    <s v="22453 FRANCISCO BOLOGNESI CERVANTES"/>
    <s v="ICA"/>
    <s v="PISCO"/>
    <s v="TUPAC AMARU INCA"/>
    <s v="LA VILLA TUPAC AMARU INCA"/>
    <s v="CALLE FRANCISCO LAZO S/N"/>
    <s v="Urbana"/>
    <n v="-13.707464"/>
    <n v="-76.148048000000003"/>
    <n v="30"/>
    <s v="SATELITAL"/>
    <s v="Centro"/>
    <x v="1"/>
    <n v="30"/>
    <n v="5"/>
    <n v="5"/>
    <n v="0.83333333333333337"/>
    <n v="5.833333333333333"/>
    <x v="0"/>
    <x v="7"/>
    <x v="2"/>
    <m/>
  </r>
  <r>
    <n v="367"/>
    <n v="283"/>
    <n v="549546"/>
    <s v="FE Y ALEGRIA 77"/>
    <s v="ICA"/>
    <s v="PISCO"/>
    <s v="TUPAC AMARU INCA"/>
    <s v="LA VILLA TUPAC AMARU INCA"/>
    <s v="CALLE 06 Y 09 INTERSECCION"/>
    <s v="Urbana"/>
    <n v="-13.71631"/>
    <n v="-76.144180000000006"/>
    <n v="30"/>
    <s v="SATELITAL"/>
    <s v="Centro"/>
    <x v="1"/>
    <n v="30"/>
    <n v="5"/>
    <n v="5"/>
    <n v="0.83333333333333337"/>
    <n v="5.833333333333333"/>
    <x v="0"/>
    <x v="7"/>
    <x v="2"/>
    <m/>
  </r>
  <r>
    <n v="368"/>
    <n v="284"/>
    <n v="231524"/>
    <s v="31436"/>
    <s v="JUNIN"/>
    <s v="CHANCHAMAYO"/>
    <s v="PERENE"/>
    <s v="ALTO INCARIADO"/>
    <s v="ALTO INCARIADO"/>
    <s v="Rural"/>
    <n v="-10.790378"/>
    <n v="-75.051665999999997"/>
    <n v="30"/>
    <s v="SATELITAL"/>
    <s v="Centro"/>
    <x v="1"/>
    <n v="30"/>
    <n v="5"/>
    <n v="5"/>
    <n v="0.83333333333333337"/>
    <n v="5.833333333333333"/>
    <x v="0"/>
    <x v="6"/>
    <x v="4"/>
    <m/>
  </r>
  <r>
    <n v="369"/>
    <n v="285"/>
    <n v="232062"/>
    <s v="RAMON CASTILLA || 30763 - RAMON CASTILLA"/>
    <s v="JUNIN"/>
    <s v="CHANCHAMAYO"/>
    <s v="PERENE"/>
    <s v="BAJO ALDEA"/>
    <s v="CARRETERA MARGINAL KM. 4"/>
    <s v="Rural"/>
    <n v="-10.900245999999999"/>
    <n v="-74.903869999999998"/>
    <n v="30"/>
    <s v="SATELITAL"/>
    <s v="Centro"/>
    <x v="1"/>
    <n v="30"/>
    <n v="5"/>
    <n v="5"/>
    <n v="0.83333333333333337"/>
    <n v="5.833333333333333"/>
    <x v="0"/>
    <x v="6"/>
    <x v="4"/>
    <m/>
  </r>
  <r>
    <n v="370"/>
    <n v="286"/>
    <n v="544167"/>
    <s v="ALTO INCARIADO"/>
    <s v="JUNIN"/>
    <s v="CHANCHAMAYO"/>
    <s v="PERENE"/>
    <s v="BAJO INCARIADO"/>
    <s v="CC.NN.ALTO INCARIADO S/N"/>
    <s v="Rural"/>
    <n v="-10.789199999999999"/>
    <n v="-75.050600000000003"/>
    <n v="30"/>
    <s v="SATELITAL"/>
    <s v="Centro"/>
    <x v="1"/>
    <n v="30"/>
    <n v="5"/>
    <n v="5"/>
    <n v="0.83333333333333337"/>
    <n v="5.833333333333333"/>
    <x v="0"/>
    <x v="6"/>
    <x v="4"/>
    <m/>
  </r>
  <r>
    <n v="371"/>
    <n v="287"/>
    <n v="231717"/>
    <s v="31697"/>
    <s v="JUNIN"/>
    <s v="CHANCHAMAYO"/>
    <s v="PERENE"/>
    <s v="BUENOS AIRES"/>
    <s v="BUENOS AIRES"/>
    <s v="Rural"/>
    <n v="-10.747628000000001"/>
    <n v="-75.076521"/>
    <n v="30"/>
    <s v="SATELITAL"/>
    <s v="Centro"/>
    <x v="1"/>
    <n v="30"/>
    <n v="5"/>
    <n v="5"/>
    <n v="0.83333333333333337"/>
    <n v="5.833333333333333"/>
    <x v="0"/>
    <x v="6"/>
    <x v="4"/>
    <m/>
  </r>
  <r>
    <n v="372"/>
    <n v="288"/>
    <n v="231595"/>
    <s v="31496"/>
    <s v="JUNIN"/>
    <s v="CHANCHAMAYO"/>
    <s v="PERENE"/>
    <s v="CENTRO PUMPURIANI"/>
    <s v="CENTRO PUMPURIANI"/>
    <s v="Rural"/>
    <n v="-10.8965"/>
    <n v="-75.043199999999999"/>
    <n v="30"/>
    <s v="SATELITAL"/>
    <s v="Centro"/>
    <x v="1"/>
    <n v="30"/>
    <n v="5"/>
    <n v="5"/>
    <n v="0.83333333333333337"/>
    <n v="5.833333333333333"/>
    <x v="0"/>
    <x v="6"/>
    <x v="4"/>
    <m/>
  </r>
  <r>
    <n v="373"/>
    <n v="289"/>
    <n v="231784"/>
    <s v="31865"/>
    <s v="JUNIN"/>
    <s v="CHANCHAMAYO"/>
    <s v="PERENE"/>
    <s v="GRAN PLAYA INDEPENDIENTE"/>
    <s v="CALLE GRAN PLAYA INDEPENDIENTE S/N"/>
    <s v="Rural"/>
    <n v="-10.987707"/>
    <n v="-75.125541999999996"/>
    <n v="30"/>
    <s v="SATELITAL"/>
    <s v="Centro"/>
    <x v="1"/>
    <n v="30"/>
    <n v="5"/>
    <n v="5"/>
    <n v="0.83333333333333337"/>
    <n v="5.833333333333333"/>
    <x v="0"/>
    <x v="6"/>
    <x v="4"/>
    <m/>
  </r>
  <r>
    <n v="374"/>
    <n v="290"/>
    <n v="230968"/>
    <s v="JOSE GALVEZ BARRENECHEA"/>
    <s v="JUNIN"/>
    <s v="CHANCHAMAYO"/>
    <s v="PERENE"/>
    <s v="JOSE GALVEZ"/>
    <s v="CALLE JOSE GALVEZ S/N"/>
    <s v="Rural"/>
    <n v="-10.774716"/>
    <n v="-75.058434000000005"/>
    <n v="30"/>
    <s v="SATELITAL"/>
    <s v="Centro"/>
    <x v="1"/>
    <n v="30"/>
    <n v="5"/>
    <n v="5"/>
    <n v="0.83333333333333337"/>
    <n v="5.833333333333333"/>
    <x v="0"/>
    <x v="6"/>
    <x v="4"/>
    <m/>
  </r>
  <r>
    <n v="375"/>
    <n v="291"/>
    <n v="231350"/>
    <s v="31198"/>
    <s v="JUNIN"/>
    <s v="CHANCHAMAYO"/>
    <s v="PERENE"/>
    <s v="JUAN SANTOS ATAHUALPA"/>
    <s v="CALLE JUAN SANTOS ATAHUALPA S/N"/>
    <s v="Rural"/>
    <n v="-10.860467999999999"/>
    <n v="-75.059012999999993"/>
    <n v="30"/>
    <s v="SATELITAL"/>
    <s v="Centro"/>
    <x v="1"/>
    <n v="30"/>
    <n v="5"/>
    <n v="5"/>
    <n v="0.83333333333333337"/>
    <n v="5.833333333333333"/>
    <x v="0"/>
    <x v="6"/>
    <x v="4"/>
    <m/>
  </r>
  <r>
    <n v="376"/>
    <n v="292"/>
    <n v="231656"/>
    <s v="31616"/>
    <s v="JUNIN"/>
    <s v="CHANCHAMAYO"/>
    <s v="PERENE"/>
    <s v="LAS PALMAS SATINAKI"/>
    <s v="LAS PALMAS SATINAKI"/>
    <s v="Rural"/>
    <n v="-10.829370000000001"/>
    <n v="-75.079583999999997"/>
    <n v="30"/>
    <s v="SATELITAL"/>
    <s v="Centro"/>
    <x v="1"/>
    <n v="30"/>
    <n v="5"/>
    <n v="5"/>
    <n v="0.83333333333333337"/>
    <n v="5.833333333333333"/>
    <x v="0"/>
    <x v="6"/>
    <x v="4"/>
    <m/>
  </r>
  <r>
    <n v="377"/>
    <n v="293"/>
    <n v="231374"/>
    <s v="31256"/>
    <s v="JUNIN"/>
    <s v="CHANCHAMAYO"/>
    <s v="PERENE"/>
    <s v="NACIENTE KIMARINI"/>
    <s v="NACIENTE KIMARINI S/N"/>
    <s v="Rural"/>
    <n v="-10.957779"/>
    <n v="-75.055957000000006"/>
    <n v="30"/>
    <s v="SATELITAL"/>
    <s v="Centro"/>
    <x v="1"/>
    <n v="30"/>
    <n v="5"/>
    <n v="5"/>
    <n v="0.83333333333333337"/>
    <n v="5.833333333333333"/>
    <x v="0"/>
    <x v="6"/>
    <x v="4"/>
    <m/>
  </r>
  <r>
    <n v="378"/>
    <n v="294"/>
    <n v="647288"/>
    <s v="31064"/>
    <s v="JUNIN"/>
    <s v="CHANCHAMAYO"/>
    <s v="PERENE"/>
    <s v="NACIENTE RIO KIVINAKI"/>
    <s v="NACIENTE RIO KIVINAKI"/>
    <s v="Rural"/>
    <n v="-10.9183"/>
    <n v="-75.024900000000002"/>
    <n v="30"/>
    <s v="SATELITAL"/>
    <s v="Centro"/>
    <x v="1"/>
    <n v="30"/>
    <n v="5"/>
    <n v="5"/>
    <n v="0.83333333333333337"/>
    <n v="5.833333333333333"/>
    <x v="0"/>
    <x v="6"/>
    <x v="4"/>
    <m/>
  </r>
  <r>
    <n v="379"/>
    <n v="295"/>
    <n v="611251"/>
    <s v="1045"/>
    <s v="JUNIN"/>
    <s v="CHANCHAMAYO"/>
    <s v="PERENE"/>
    <s v="NUEVA ESPERANZA"/>
    <s v="NUEVA ESPERARNZA"/>
    <s v="Urbana"/>
    <n v="-10.919879999999999"/>
    <n v="-74.873819999999995"/>
    <n v="30"/>
    <s v="SATELITAL"/>
    <s v="Centro"/>
    <x v="1"/>
    <n v="30"/>
    <n v="5"/>
    <n v="5"/>
    <n v="0.83333333333333337"/>
    <n v="5.833333333333333"/>
    <x v="0"/>
    <x v="6"/>
    <x v="4"/>
    <m/>
  </r>
  <r>
    <n v="380"/>
    <n v="296"/>
    <n v="232335"/>
    <s v="SAN JOSE || 31565 SAN JOSE"/>
    <s v="JUNIN"/>
    <s v="CHANCHAMAYO"/>
    <s v="PERENE"/>
    <s v="PAMPA AZANGARO"/>
    <s v="PAMPA AZANGARO"/>
    <s v="Rural"/>
    <n v="-10.797312"/>
    <n v="-74.939214000000007"/>
    <n v="30"/>
    <s v="SATELITAL"/>
    <s v="Centro"/>
    <x v="1"/>
    <n v="30"/>
    <n v="5"/>
    <n v="5"/>
    <n v="0.83333333333333337"/>
    <n v="5.833333333333333"/>
    <x v="0"/>
    <x v="6"/>
    <x v="4"/>
    <m/>
  </r>
  <r>
    <n v="381"/>
    <n v="297"/>
    <n v="231821"/>
    <s v="31892"/>
    <s v="JUNIN"/>
    <s v="CHANCHAMAYO"/>
    <s v="PERENE"/>
    <s v="PAMPA WHALEY"/>
    <s v="PAMPA WHALEY"/>
    <s v="Rural"/>
    <n v="-10.920365"/>
    <n v="-75.253073999999998"/>
    <n v="30"/>
    <s v="SATELITAL"/>
    <s v="Centro"/>
    <x v="1"/>
    <n v="30"/>
    <n v="5"/>
    <n v="5"/>
    <n v="0.83333333333333337"/>
    <n v="5.833333333333333"/>
    <x v="0"/>
    <x v="6"/>
    <x v="4"/>
    <m/>
  </r>
  <r>
    <n v="382"/>
    <n v="298"/>
    <n v="234141"/>
    <s v="31815"/>
    <s v="JUNIN"/>
    <s v="CHANCHAMAYO"/>
    <s v="PERENE"/>
    <s v="PUÑIZAS PARNAZO"/>
    <s v="PUÑIZAS PARNAZU"/>
    <s v="Rural"/>
    <n v="-10.883609"/>
    <n v="-75.203201000000007"/>
    <n v="30"/>
    <s v="SATELITAL"/>
    <s v="Centro"/>
    <x v="1"/>
    <n v="30"/>
    <n v="5"/>
    <n v="5"/>
    <n v="0.83333333333333337"/>
    <n v="5.833333333333333"/>
    <x v="0"/>
    <x v="6"/>
    <x v="4"/>
    <m/>
  </r>
  <r>
    <n v="383"/>
    <n v="299"/>
    <n v="231388"/>
    <s v="31258"/>
    <s v="JUNIN"/>
    <s v="CHANCHAMAYO"/>
    <s v="PERENE"/>
    <s v="SAN JUAN KIMARINI"/>
    <s v="SAN JUAN KIMARINI"/>
    <s v="Rural"/>
    <n v="-10.957397"/>
    <n v="-75.034696999999994"/>
    <n v="30"/>
    <s v="SATELITAL"/>
    <s v="Centro"/>
    <x v="1"/>
    <n v="30"/>
    <n v="5"/>
    <n v="5"/>
    <n v="0.83333333333333337"/>
    <n v="5.833333333333333"/>
    <x v="0"/>
    <x v="6"/>
    <x v="4"/>
    <m/>
  </r>
  <r>
    <n v="384"/>
    <n v="300"/>
    <n v="232236"/>
    <s v="31579 || SANTA ROSA DE CAMONASHARI"/>
    <s v="JUNIN"/>
    <s v="CHANCHAMAYO"/>
    <s v="PERENE"/>
    <s v="SANTA ROSA DE CAMONASHARI"/>
    <s v="SANTA ROSA DE CAMONASHARI"/>
    <s v="Rural"/>
    <n v="-10.783116"/>
    <n v="-74.957302999999996"/>
    <n v="30"/>
    <s v="SATELITAL"/>
    <s v="Centro"/>
    <x v="1"/>
    <n v="30"/>
    <n v="5"/>
    <n v="5"/>
    <n v="0.83333333333333337"/>
    <n v="5.833333333333333"/>
    <x v="0"/>
    <x v="6"/>
    <x v="4"/>
    <m/>
  </r>
  <r>
    <n v="385"/>
    <n v="301"/>
    <n v="233957"/>
    <s v="30756"/>
    <s v="JUNIN"/>
    <s v="CHANCHAMAYO"/>
    <s v="SAN LUIS DE SHUARO"/>
    <s v="RIO SECO"/>
    <s v="PLAZA PRINCIPAL"/>
    <s v="Rural"/>
    <n v="-10.909599999999999"/>
    <n v="-75.292699999999996"/>
    <n v="30"/>
    <s v="SATELITAL"/>
    <s v="Centro"/>
    <x v="1"/>
    <n v="30"/>
    <n v="5"/>
    <n v="5"/>
    <n v="0.83333333333333337"/>
    <n v="5.833333333333333"/>
    <x v="0"/>
    <x v="6"/>
    <x v="4"/>
    <m/>
  </r>
  <r>
    <n v="386"/>
    <n v="302"/>
    <n v="234075"/>
    <s v="31269"/>
    <s v="JUNIN"/>
    <s v="CHANCHAMAYO"/>
    <s v="SAN LUIS DE SHUARO"/>
    <s v="SANTA ROSA DE PUÑIZAS"/>
    <s v="PLAZA PRINCIPAL"/>
    <s v="Rural"/>
    <n v="-10.854366000000001"/>
    <n v="-75.250349"/>
    <n v="30"/>
    <s v="SATELITAL"/>
    <s v="Centro"/>
    <x v="1"/>
    <n v="30"/>
    <n v="5"/>
    <n v="5"/>
    <n v="0.83333333333333337"/>
    <n v="5.833333333333333"/>
    <x v="0"/>
    <x v="6"/>
    <x v="4"/>
    <m/>
  </r>
  <r>
    <n v="387"/>
    <n v="303"/>
    <n v="234933"/>
    <s v="VICTOR ANDRES BELAUNDE"/>
    <s v="JUNIN"/>
    <s v="CHANCHAMAYO"/>
    <s v="VITOC"/>
    <s v="SANTA ANA"/>
    <s v="CALLE PARTE CENTRAL DE SANTA ANA VITOC S/N"/>
    <s v="Rural"/>
    <n v="-11.208639"/>
    <n v="-75.333928"/>
    <n v="30"/>
    <s v="SATELITAL"/>
    <s v="Centro"/>
    <x v="1"/>
    <n v="30"/>
    <n v="5"/>
    <n v="5"/>
    <n v="0.83333333333333337"/>
    <n v="5.833333333333333"/>
    <x v="0"/>
    <x v="6"/>
    <x v="4"/>
    <m/>
  </r>
  <r>
    <n v="388"/>
    <n v="304"/>
    <n v="249449"/>
    <s v="30121"/>
    <s v="JUNIN"/>
    <s v="CHUPACA"/>
    <s v="YANACANCHA"/>
    <s v="ACHIPAMPA"/>
    <s v="JIRON TUPAC AMARU 44"/>
    <s v="Rural"/>
    <n v="-12.162599999999999"/>
    <n v="-75.382199999999997"/>
    <n v="30"/>
    <s v="SATELITAL"/>
    <s v="Centro"/>
    <x v="1"/>
    <n v="30"/>
    <n v="5"/>
    <n v="5"/>
    <n v="0.83333333333333337"/>
    <n v="5.833333333333333"/>
    <x v="0"/>
    <x v="7"/>
    <x v="2"/>
    <m/>
  </r>
  <r>
    <n v="389"/>
    <n v="305"/>
    <n v="227975"/>
    <s v="30352"/>
    <s v="JUNIN"/>
    <s v="CONCEPCION"/>
    <s v="ANDAMARCA"/>
    <s v="HUANUCO"/>
    <s v="PLAZA PRINCIPAL"/>
    <s v="Rural"/>
    <n v="-11.562099999999999"/>
    <n v="-74.886700000000005"/>
    <n v="30"/>
    <s v="SATELITAL"/>
    <s v="Centro"/>
    <x v="1"/>
    <n v="30"/>
    <n v="5"/>
    <n v="5"/>
    <n v="0.83333333333333337"/>
    <n v="5.833333333333333"/>
    <x v="0"/>
    <x v="7"/>
    <x v="2"/>
    <m/>
  </r>
  <r>
    <n v="390"/>
    <n v="306"/>
    <n v="227904"/>
    <s v="30345"/>
    <s v="JUNIN"/>
    <s v="CONCEPCION"/>
    <s v="ANDAMARCA"/>
    <s v="PUNCO"/>
    <s v="PLAZA PRINCIPAL"/>
    <s v="Rural"/>
    <n v="-11.646946"/>
    <n v="-74.825237000000001"/>
    <n v="30"/>
    <s v="SATELITAL"/>
    <s v="Centro"/>
    <x v="1"/>
    <n v="30"/>
    <n v="5"/>
    <n v="5"/>
    <n v="0.83333333333333337"/>
    <n v="5.833333333333333"/>
    <x v="0"/>
    <x v="7"/>
    <x v="2"/>
    <m/>
  </r>
  <r>
    <n v="391"/>
    <n v="307"/>
    <n v="228381"/>
    <s v="30388"/>
    <s v="JUNIN"/>
    <s v="CONCEPCION"/>
    <s v="CHAMBARA"/>
    <s v="RONCHA"/>
    <s v="CARRETERA CHUPACA - YAUYOS KM. 67"/>
    <s v="Rural"/>
    <n v="-12.025499999999999"/>
    <n v="-75.421400000000006"/>
    <n v="30"/>
    <s v="SATELITAL"/>
    <s v="Centro"/>
    <x v="1"/>
    <n v="30"/>
    <n v="5"/>
    <n v="5"/>
    <n v="0.83333333333333337"/>
    <n v="5.833333333333333"/>
    <x v="0"/>
    <x v="7"/>
    <x v="2"/>
    <m/>
  </r>
  <r>
    <n v="392"/>
    <n v="308"/>
    <n v="228362"/>
    <s v="30308"/>
    <s v="JUNIN"/>
    <s v="CONCEPCION"/>
    <s v="CHAMBARA"/>
    <s v="SAN BLAS"/>
    <s v="CARRETERA HUANCAYO-YAUYOS KM 26"/>
    <s v="Rural"/>
    <n v="-12.027699999999999"/>
    <n v="-75.404600000000002"/>
    <n v="30"/>
    <s v="SATELITAL"/>
    <s v="Centro"/>
    <x v="1"/>
    <n v="30"/>
    <n v="5"/>
    <n v="5"/>
    <n v="0.83333333333333337"/>
    <n v="5.833333333333333"/>
    <x v="0"/>
    <x v="7"/>
    <x v="2"/>
    <m/>
  </r>
  <r>
    <n v="393"/>
    <n v="309"/>
    <n v="228951"/>
    <s v="31186"/>
    <s v="JUNIN"/>
    <s v="CONCEPCION"/>
    <s v="COMAS"/>
    <s v="AYCHANA"/>
    <s v="PLAZA PRINCIPAL"/>
    <s v="Rural"/>
    <n v="-11.8804"/>
    <n v="-74.977699999999999"/>
    <n v="30"/>
    <s v="SATELITAL"/>
    <s v="Centro"/>
    <x v="1"/>
    <n v="30"/>
    <n v="5"/>
    <n v="5"/>
    <n v="0.83333333333333337"/>
    <n v="5.833333333333333"/>
    <x v="0"/>
    <x v="7"/>
    <x v="2"/>
    <m/>
  </r>
  <r>
    <n v="394"/>
    <n v="310"/>
    <n v="228927"/>
    <s v="30906"/>
    <s v="JUNIN"/>
    <s v="CONCEPCION"/>
    <s v="COMAS"/>
    <s v="BARRIO LA LIBERTAD"/>
    <s v="CENTRAL HUANCAYO SATIPO"/>
    <s v="Rural"/>
    <n v="-11.646952000000001"/>
    <n v="-74.965063000000001"/>
    <n v="30"/>
    <s v="SATELITAL"/>
    <s v="Centro"/>
    <x v="1"/>
    <n v="30"/>
    <n v="5"/>
    <n v="5"/>
    <n v="0.83333333333333337"/>
    <n v="5.833333333333333"/>
    <x v="0"/>
    <x v="7"/>
    <x v="2"/>
    <m/>
  </r>
  <r>
    <n v="395"/>
    <n v="311"/>
    <n v="228767"/>
    <s v="30372"/>
    <s v="JUNIN"/>
    <s v="CONCEPCION"/>
    <s v="COMAS"/>
    <s v="POMAMANTA"/>
    <s v="CARRETERA A COMAS S/N"/>
    <s v="Rural"/>
    <n v="-11.7485"/>
    <n v="-75.130700000000004"/>
    <n v="30"/>
    <s v="SATELITAL"/>
    <s v="Centro"/>
    <x v="1"/>
    <n v="30"/>
    <n v="5"/>
    <n v="5"/>
    <n v="0.83333333333333337"/>
    <n v="5.833333333333333"/>
    <x v="0"/>
    <x v="7"/>
    <x v="2"/>
    <m/>
  </r>
  <r>
    <n v="396"/>
    <n v="312"/>
    <n v="228588"/>
    <s v="460"/>
    <s v="JUNIN"/>
    <s v="CONCEPCION"/>
    <s v="COMAS"/>
    <s v="TUNZO ALTO"/>
    <s v="PLAZA PRINCIPAL S/N"/>
    <s v="Rural"/>
    <n v="-11.6997"/>
    <n v="-75.099199999999996"/>
    <n v="30"/>
    <s v="SATELITAL"/>
    <s v="Centro"/>
    <x v="1"/>
    <n v="30"/>
    <n v="5"/>
    <n v="5"/>
    <n v="0.83333333333333337"/>
    <n v="5.833333333333333"/>
    <x v="0"/>
    <x v="7"/>
    <x v="2"/>
    <m/>
  </r>
  <r>
    <n v="397"/>
    <n v="313"/>
    <n v="229291"/>
    <s v="30397"/>
    <s v="JUNIN"/>
    <s v="CONCEPCION"/>
    <s v="MARISCAL CASTILLA"/>
    <s v="MAMAC"/>
    <s v="PLAZA PRINCIPAL"/>
    <s v="Rural"/>
    <n v="-11.571"/>
    <n v="-75.110500000000002"/>
    <n v="30"/>
    <s v="SATELITAL"/>
    <s v="Centro"/>
    <x v="1"/>
    <n v="30"/>
    <n v="5"/>
    <n v="5"/>
    <n v="0.83333333333333337"/>
    <n v="5.833333333333333"/>
    <x v="0"/>
    <x v="7"/>
    <x v="2"/>
    <m/>
  </r>
  <r>
    <n v="398"/>
    <n v="314"/>
    <n v="229352"/>
    <s v="31482"/>
    <s v="JUNIN"/>
    <s v="CONCEPCION"/>
    <s v="MARISCAL CASTILLA"/>
    <s v="SAN CRISTOBAL DE MARANCOCHA"/>
    <s v="SAN CRISTOBAL DE MARANCOCHA"/>
    <s v="Rural"/>
    <n v="-11.388828"/>
    <n v="-75.245898999999994"/>
    <n v="30"/>
    <s v="SATELITAL"/>
    <s v="Centro"/>
    <x v="1"/>
    <n v="30"/>
    <n v="5"/>
    <n v="5"/>
    <n v="0.83333333333333337"/>
    <n v="5.833333333333333"/>
    <x v="0"/>
    <x v="7"/>
    <x v="2"/>
    <m/>
  </r>
  <r>
    <n v="399"/>
    <n v="315"/>
    <n v="165454"/>
    <s v="30284-2"/>
    <s v="JUNIN"/>
    <s v="CONCEPCION"/>
    <s v="MARISCAL CASTILLA"/>
    <s v="YANAYACU"/>
    <s v="PLAZA PRINCIPAL"/>
    <s v="Rural"/>
    <n v="-11.349465"/>
    <n v="-75.288809000000001"/>
    <n v="30"/>
    <s v="SATELITAL"/>
    <s v="Centro"/>
    <x v="1"/>
    <n v="30"/>
    <n v="5"/>
    <n v="5"/>
    <n v="0.83333333333333337"/>
    <n v="5.833333333333333"/>
    <x v="0"/>
    <x v="7"/>
    <x v="2"/>
    <m/>
  </r>
  <r>
    <n v="400"/>
    <n v="316"/>
    <n v="229494"/>
    <s v="30321"/>
    <s v="JUNIN"/>
    <s v="CONCEPCION"/>
    <s v="MITO"/>
    <s v="MITO"/>
    <s v="CARRETERA CENTRAL KM 17"/>
    <s v="Rural"/>
    <n v="-11.933862"/>
    <n v="-75.338837999999996"/>
    <n v="30"/>
    <s v="SATELITAL"/>
    <s v="Centro"/>
    <x v="1"/>
    <n v="30"/>
    <n v="5"/>
    <n v="5"/>
    <n v="0.83333333333333337"/>
    <n v="5.833333333333333"/>
    <x v="0"/>
    <x v="7"/>
    <x v="2"/>
    <m/>
  </r>
  <r>
    <n v="401"/>
    <n v="317"/>
    <n v="229856"/>
    <s v="30404"/>
    <s v="JUNIN"/>
    <s v="CONCEPCION"/>
    <s v="SAN JOSE DE QUERO"/>
    <s v="QUISHUAR"/>
    <s v="PLAZA PRINCIPAL"/>
    <s v="Rural"/>
    <n v="-12.025608"/>
    <n v="-75.561205000000001"/>
    <n v="30"/>
    <s v="SATELITAL"/>
    <s v="Centro"/>
    <x v="1"/>
    <n v="30"/>
    <n v="5"/>
    <n v="5"/>
    <n v="0.83333333333333337"/>
    <n v="5.833333333333333"/>
    <x v="0"/>
    <x v="7"/>
    <x v="2"/>
    <m/>
  </r>
  <r>
    <n v="402"/>
    <n v="318"/>
    <n v="229842"/>
    <s v="30403"/>
    <s v="JUNIN"/>
    <s v="CONCEPCION"/>
    <s v="SAN JOSE DE QUERO"/>
    <s v="SAN FRANCISCO DE SALVIO"/>
    <s v="AVENIDA YAUYOS S/N"/>
    <s v="Rural"/>
    <n v="-12.0444"/>
    <n v="-75.579899999999995"/>
    <n v="30"/>
    <s v="SATELITAL"/>
    <s v="Centro"/>
    <x v="1"/>
    <n v="30"/>
    <n v="5"/>
    <n v="5"/>
    <n v="0.83333333333333337"/>
    <n v="5.833333333333333"/>
    <x v="0"/>
    <x v="7"/>
    <x v="2"/>
    <m/>
  </r>
  <r>
    <n v="403"/>
    <n v="319"/>
    <n v="229922"/>
    <s v="SAN ROQUE"/>
    <s v="JUNIN"/>
    <s v="CONCEPCION"/>
    <s v="SAN JOSE DE QUERO"/>
    <s v="SAN ROQUE DE HUARMITA"/>
    <s v="AVENIDA 28 DE JULIO 215"/>
    <s v="Rural"/>
    <n v="-12.0535"/>
    <n v="-75.536199999999994"/>
    <n v="30"/>
    <s v="SATELITAL"/>
    <s v="Centro"/>
    <x v="1"/>
    <n v="30"/>
    <n v="5"/>
    <n v="5"/>
    <n v="0.83333333333333337"/>
    <n v="5.833333333333333"/>
    <x v="0"/>
    <x v="7"/>
    <x v="2"/>
    <m/>
  </r>
  <r>
    <n v="404"/>
    <n v="320"/>
    <n v="229823"/>
    <s v="30337"/>
    <s v="JUNIN"/>
    <s v="CONCEPCION"/>
    <s v="SAN JOSE DE QUERO"/>
    <s v="SANTA ROSA DE HUARMITA"/>
    <s v="PLAZA PRINCIPAL"/>
    <s v="Rural"/>
    <n v="-12.056699999999999"/>
    <n v="-75.561800000000005"/>
    <n v="30"/>
    <s v="SATELITAL"/>
    <s v="Centro"/>
    <x v="1"/>
    <n v="30"/>
    <n v="5"/>
    <n v="5"/>
    <n v="0.83333333333333337"/>
    <n v="5.833333333333333"/>
    <x v="0"/>
    <x v="7"/>
    <x v="2"/>
    <m/>
  </r>
  <r>
    <n v="405"/>
    <n v="321"/>
    <n v="229955"/>
    <s v="377 LAS ESTRELLITAS DE LA VIRGEN DE OCOPA"/>
    <s v="JUNIN"/>
    <s v="CONCEPCION"/>
    <s v="SANTA ROSA DE OCOPA"/>
    <s v="SANTA ROSA DE OCOPA"/>
    <s v="CALLE LIMA S/N"/>
    <s v="Urbana"/>
    <n v="-11.87787"/>
    <n v="-75.296080000000003"/>
    <n v="30"/>
    <s v="SATELITAL"/>
    <s v="Centro"/>
    <x v="1"/>
    <n v="30"/>
    <n v="5"/>
    <n v="5"/>
    <n v="0.83333333333333337"/>
    <n v="5.833333333333333"/>
    <x v="0"/>
    <x v="7"/>
    <x v="2"/>
    <m/>
  </r>
  <r>
    <n v="406"/>
    <n v="322"/>
    <n v="222614"/>
    <s v="30681"/>
    <s v="JUNIN"/>
    <s v="HUANCAYO"/>
    <s v="CULLHUAS"/>
    <s v="AZACRUZ"/>
    <s v="CARRETERA PRINCIPAL S/N"/>
    <s v="Rural"/>
    <n v="-12.254849"/>
    <n v="-75.141863999999998"/>
    <n v="30"/>
    <s v="SATELITAL"/>
    <s v="Centro"/>
    <x v="1"/>
    <n v="30"/>
    <n v="5"/>
    <n v="5"/>
    <n v="0.83333333333333337"/>
    <n v="5.833333333333333"/>
    <x v="0"/>
    <x v="7"/>
    <x v="2"/>
    <m/>
  </r>
  <r>
    <n v="407"/>
    <n v="323"/>
    <n v="222534"/>
    <s v="30138"/>
    <s v="JUNIN"/>
    <s v="HUANCAYO"/>
    <s v="CULLHUAS"/>
    <s v="CULLHUAS"/>
    <s v="JIRON S M PORRAS 190"/>
    <s v="Rural"/>
    <n v="-12.21951"/>
    <n v="-75.167536999999996"/>
    <n v="30"/>
    <s v="SATELITAL"/>
    <s v="Centro"/>
    <x v="1"/>
    <n v="30"/>
    <n v="5"/>
    <n v="5"/>
    <n v="0.83333333333333337"/>
    <n v="5.833333333333333"/>
    <x v="0"/>
    <x v="7"/>
    <x v="2"/>
    <m/>
  </r>
  <r>
    <n v="408"/>
    <n v="324"/>
    <n v="222992"/>
    <s v="30219"/>
    <s v="JUNIN"/>
    <s v="HUANCAYO"/>
    <s v="EL TAMBO"/>
    <s v="PACCHA"/>
    <s v="PLAZA PRINCIPAL S/N"/>
    <s v="Rural"/>
    <n v="-11.9968"/>
    <n v="-75.208200000000005"/>
    <n v="30"/>
    <s v="SATELITAL"/>
    <s v="Centro"/>
    <x v="1"/>
    <n v="30"/>
    <n v="5"/>
    <n v="5"/>
    <n v="0.83333333333333337"/>
    <n v="5.833333333333333"/>
    <x v="0"/>
    <x v="7"/>
    <x v="2"/>
    <m/>
  </r>
  <r>
    <n v="409"/>
    <n v="325"/>
    <n v="224670"/>
    <s v="30172"/>
    <s v="JUNIN"/>
    <s v="HUANCAYO"/>
    <s v="HUANCAN"/>
    <s v="HUARI"/>
    <s v="AVENIDA ALFONSO UGARTE 601"/>
    <s v="Urbana"/>
    <n v="-12.11"/>
    <n v="-75.202100000000002"/>
    <n v="30"/>
    <s v="SATELITAL"/>
    <s v="Centro"/>
    <x v="1"/>
    <n v="30"/>
    <n v="5"/>
    <n v="5"/>
    <n v="0.83333333333333337"/>
    <n v="5.833333333333333"/>
    <x v="0"/>
    <x v="7"/>
    <x v="2"/>
    <m/>
  </r>
  <r>
    <n v="410"/>
    <n v="326"/>
    <n v="219980"/>
    <s v="31542 VIRGEN MARIA ADMIRABLE"/>
    <s v="JUNIN"/>
    <s v="HUANCAYO"/>
    <s v="HUANCAYO"/>
    <s v="HUANCAYO"/>
    <s v="AVENIDA OCOPILLA 106-108"/>
    <s v="Urbana"/>
    <n v="-12.073551"/>
    <n v="-75.199432000000002"/>
    <n v="30"/>
    <s v="SATELITAL"/>
    <s v="Centro"/>
    <x v="1"/>
    <n v="30"/>
    <n v="5"/>
    <n v="5"/>
    <n v="0.83333333333333337"/>
    <n v="5.833333333333333"/>
    <x v="0"/>
    <x v="7"/>
    <x v="2"/>
    <m/>
  </r>
  <r>
    <n v="411"/>
    <n v="327"/>
    <n v="219923"/>
    <s v="31458 SAN JUDAS TADEO"/>
    <s v="JUNIN"/>
    <s v="HUANCAYO"/>
    <s v="HUANCAYO"/>
    <s v="PAMPAS DE OCOPILLA"/>
    <s v="CALLE PIURA 1095"/>
    <s v="Urbana"/>
    <n v="-12.067600000000001"/>
    <n v="-75.193700000000007"/>
    <n v="30"/>
    <s v="SATELITAL"/>
    <s v="Centro"/>
    <x v="1"/>
    <n v="30"/>
    <n v="5"/>
    <n v="5"/>
    <n v="0.83333333333333337"/>
    <n v="5.833333333333333"/>
    <x v="0"/>
    <x v="7"/>
    <x v="2"/>
    <m/>
  </r>
  <r>
    <n v="412"/>
    <n v="328"/>
    <n v="224868"/>
    <s v="30173"/>
    <s v="JUNIN"/>
    <s v="HUANCAYO"/>
    <s v="HUAYUCACHI"/>
    <s v="HUAYUCACHI"/>
    <s v="AVENIDA SIMON BOLIVAR S/N"/>
    <s v="Urbana"/>
    <n v="-12.136861"/>
    <n v="-75.222521999999998"/>
    <n v="30"/>
    <s v="SATELITAL"/>
    <s v="Centro"/>
    <x v="1"/>
    <n v="30"/>
    <n v="5"/>
    <n v="5"/>
    <n v="0.83333333333333337"/>
    <n v="5.833333333333333"/>
    <x v="0"/>
    <x v="7"/>
    <x v="2"/>
    <m/>
  </r>
  <r>
    <n v="413"/>
    <n v="329"/>
    <n v="225014"/>
    <s v="30576"/>
    <s v="JUNIN"/>
    <s v="HUANCAYO"/>
    <s v="INGENIO"/>
    <s v="CASACANCHA"/>
    <s v="CALLE PRINCIPAL S/N"/>
    <s v="Rural"/>
    <n v="-11.8957"/>
    <n v="-75.27"/>
    <n v="30"/>
    <s v="SATELITAL"/>
    <s v="Centro"/>
    <x v="1"/>
    <n v="30"/>
    <n v="5"/>
    <n v="5"/>
    <n v="0.83333333333333337"/>
    <n v="5.833333333333333"/>
    <x v="0"/>
    <x v="7"/>
    <x v="2"/>
    <m/>
  </r>
  <r>
    <n v="414"/>
    <n v="330"/>
    <n v="225863"/>
    <s v="401"/>
    <s v="JUNIN"/>
    <s v="HUANCAYO"/>
    <s v="QUICHUAY"/>
    <s v="QUICHUAY"/>
    <s v="JIRON DANIEL A. CARRION 577"/>
    <s v="Urbana"/>
    <n v="-11.89053"/>
    <n v="-75.286140000000003"/>
    <n v="30"/>
    <s v="SATELITAL"/>
    <s v="Centro"/>
    <x v="1"/>
    <n v="30"/>
    <n v="5"/>
    <n v="5"/>
    <n v="0.83333333333333337"/>
    <n v="5.833333333333333"/>
    <x v="0"/>
    <x v="7"/>
    <x v="2"/>
    <m/>
  </r>
  <r>
    <n v="415"/>
    <n v="331"/>
    <n v="226075"/>
    <s v="30238 ANDRES A. CACERES DORREGARAY"/>
    <s v="JUNIN"/>
    <s v="HUANCAYO"/>
    <s v="SAN AGUSTIN"/>
    <s v="SAN AGUSTIN DE CAJAS"/>
    <s v="AVENIDA LEONCIO PRADO 631"/>
    <s v="Urbana"/>
    <n v="-11.99202"/>
    <n v="-75.246729999999999"/>
    <n v="30"/>
    <s v="SATELITAL"/>
    <s v="Centro"/>
    <x v="1"/>
    <n v="30"/>
    <n v="5"/>
    <n v="5"/>
    <n v="0.83333333333333337"/>
    <n v="5.833333333333333"/>
    <x v="0"/>
    <x v="7"/>
    <x v="2"/>
    <m/>
  </r>
  <r>
    <n v="416"/>
    <n v="332"/>
    <n v="641700"/>
    <s v="ALEJANDRO TOLEDO MANRIQUE"/>
    <s v="JUNIN"/>
    <s v="HUANCAYO"/>
    <s v="SANTO DOMINGO DE ACOBAMBA"/>
    <s v="DURAZNOPATA"/>
    <s v="CARRETERA CENTRAL"/>
    <s v="Rural"/>
    <n v="-11.8299"/>
    <n v="-74.781099999999995"/>
    <n v="30"/>
    <s v="SATELITAL"/>
    <s v="Centro"/>
    <x v="1"/>
    <n v="30"/>
    <n v="5"/>
    <n v="5"/>
    <n v="0.83333333333333337"/>
    <n v="5.833333333333333"/>
    <x v="0"/>
    <x v="7"/>
    <x v="2"/>
    <m/>
  </r>
  <r>
    <n v="417"/>
    <n v="333"/>
    <n v="227367"/>
    <s v="SANTA CRUZ"/>
    <s v="JUNIN"/>
    <s v="HUANCAYO"/>
    <s v="SANTO DOMINGO DE ACOBAMBA"/>
    <s v="SANTA CRUZ DE PUMABAMBA"/>
    <s v="AVENIDA 28 DE JULIO S/N"/>
    <s v="Rural"/>
    <n v="-11.825100000000001"/>
    <n v="-74.772599999999997"/>
    <n v="30"/>
    <s v="SATELITAL"/>
    <s v="Centro"/>
    <x v="1"/>
    <n v="30"/>
    <n v="5"/>
    <n v="5"/>
    <n v="0.83333333333333337"/>
    <n v="5.833333333333333"/>
    <x v="0"/>
    <x v="7"/>
    <x v="2"/>
    <m/>
  </r>
  <r>
    <n v="418"/>
    <n v="334"/>
    <n v="227386"/>
    <s v="PAURAN"/>
    <s v="JUNIN"/>
    <s v="HUANCAYO"/>
    <s v="SANTO DOMINGO DE ACOBAMBA"/>
    <s v="YANABAMBA"/>
    <s v="PLAZA PRINCIPAL"/>
    <s v="Rural"/>
    <n v="-11.8104"/>
    <n v="-74.795699999999997"/>
    <n v="30"/>
    <s v="SATELITAL"/>
    <s v="Centro"/>
    <x v="1"/>
    <n v="30"/>
    <n v="5"/>
    <n v="5"/>
    <n v="0.83333333333333337"/>
    <n v="5.833333333333333"/>
    <x v="0"/>
    <x v="7"/>
    <x v="2"/>
    <m/>
  </r>
  <r>
    <n v="419"/>
    <n v="335"/>
    <n v="226853"/>
    <s v="YUNCA CHAQUICOCHA"/>
    <s v="JUNIN"/>
    <s v="HUANCAYO"/>
    <s v="SANTO DOMINGO DE ACOBAMBA"/>
    <s v="YUNCA"/>
    <s v="PLAZA PRINCIPAL"/>
    <s v="Rural"/>
    <n v="-11.939234000000001"/>
    <n v="-74.707109000000003"/>
    <n v="30"/>
    <s v="SATELITAL"/>
    <s v="Centro"/>
    <x v="1"/>
    <n v="30"/>
    <n v="5"/>
    <n v="5"/>
    <n v="0.83333333333333337"/>
    <n v="5.833333333333333"/>
    <x v="0"/>
    <x v="7"/>
    <x v="2"/>
    <m/>
  </r>
  <r>
    <n v="420"/>
    <n v="336"/>
    <n v="226297"/>
    <s v="30241"/>
    <s v="JUNIN"/>
    <s v="HUANCAYO"/>
    <s v="SAÑO"/>
    <s v="BARRIO CENTRO"/>
    <s v="CALLE MARCOS URIBE S/N"/>
    <s v="Urbana"/>
    <n v="-11.955299999999999"/>
    <n v="-75.256399999999999"/>
    <n v="30"/>
    <s v="SATELITAL"/>
    <s v="Centro"/>
    <x v="1"/>
    <n v="30"/>
    <n v="5"/>
    <n v="5"/>
    <n v="0.83333333333333337"/>
    <n v="5.833333333333333"/>
    <x v="0"/>
    <x v="7"/>
    <x v="2"/>
    <m/>
  </r>
  <r>
    <n v="421"/>
    <n v="337"/>
    <n v="226315"/>
    <s v="31181"/>
    <s v="JUNIN"/>
    <s v="HUANCAYO"/>
    <s v="SAÑO"/>
    <s v="SAN JOSE DE TISO"/>
    <s v="PLAZA PRINCIPAL"/>
    <s v="Rural"/>
    <n v="-11.866899999999999"/>
    <n v="-75.208500000000001"/>
    <n v="30"/>
    <s v="SATELITAL"/>
    <s v="Centro"/>
    <x v="1"/>
    <n v="30"/>
    <n v="5"/>
    <n v="5"/>
    <n v="0.83333333333333337"/>
    <n v="5.833333333333333"/>
    <x v="0"/>
    <x v="7"/>
    <x v="2"/>
    <m/>
  </r>
  <r>
    <n v="422"/>
    <n v="338"/>
    <n v="226565"/>
    <s v="VICTOR RAUL HAYA DE LA TORRE"/>
    <s v="JUNIN"/>
    <s v="HUANCAYO"/>
    <s v="SAPALLANGA"/>
    <s v="SAPALLANGA"/>
    <s v="CARRETERA HUANCAYO - PUCARA KM 6"/>
    <s v="Urbana"/>
    <n v="-12.1234"/>
    <n v="-75.177300000000002"/>
    <n v="30"/>
    <s v="SATELITAL"/>
    <s v="Centro"/>
    <x v="1"/>
    <n v="30"/>
    <n v="5"/>
    <n v="5"/>
    <n v="0.83333333333333337"/>
    <n v="5.833333333333333"/>
    <x v="0"/>
    <x v="7"/>
    <x v="2"/>
    <m/>
  </r>
  <r>
    <n v="423"/>
    <n v="339"/>
    <n v="236060"/>
    <s v="SAN FRANCISCO JAVIER"/>
    <s v="JUNIN"/>
    <s v="JAUJA"/>
    <s v="CURICACA"/>
    <s v="CHAPOPAMPA"/>
    <s v="AVENIDA SAN FRANCISCO JAVIER S/N"/>
    <s v="Rural"/>
    <n v="-11.7812"/>
    <n v="-75.691500000000005"/>
    <n v="30"/>
    <s v="SATELITAL"/>
    <s v="Centro"/>
    <x v="1"/>
    <n v="30"/>
    <n v="5"/>
    <n v="5"/>
    <n v="0.83333333333333337"/>
    <n v="5.833333333333333"/>
    <x v="0"/>
    <x v="7"/>
    <x v="2"/>
    <m/>
  </r>
  <r>
    <n v="424"/>
    <n v="340"/>
    <n v="236319"/>
    <s v="JOSE ANTONIO ENCINAS FRANCO"/>
    <s v="JUNIN"/>
    <s v="JAUJA"/>
    <s v="JANJAILLO"/>
    <s v="BUENOS AIRES"/>
    <s v="BUENOS AIRES"/>
    <s v="Rural"/>
    <n v="-11.763590000000001"/>
    <n v="-75.612660000000005"/>
    <n v="30"/>
    <s v="SATELITAL"/>
    <s v="Centro"/>
    <x v="1"/>
    <n v="30"/>
    <n v="5"/>
    <n v="5"/>
    <n v="0.83333333333333337"/>
    <n v="5.833333333333333"/>
    <x v="0"/>
    <x v="7"/>
    <x v="2"/>
    <m/>
  </r>
  <r>
    <n v="425"/>
    <n v="341"/>
    <n v="236442"/>
    <s v="30430 CORAZON DE MARIA"/>
    <s v="JUNIN"/>
    <s v="JAUJA"/>
    <s v="LLOCLLAPAMPA"/>
    <s v="LLOCLLAPAMPA"/>
    <s v="JIRON SANTA ROSA 242"/>
    <s v="Rural"/>
    <n v="-11.817299999999999"/>
    <n v="-75.624799999999993"/>
    <n v="30"/>
    <s v="SATELITAL"/>
    <s v="Centro"/>
    <x v="1"/>
    <n v="30"/>
    <n v="5"/>
    <n v="5"/>
    <n v="0.83333333333333337"/>
    <n v="5.833333333333333"/>
    <x v="0"/>
    <x v="7"/>
    <x v="2"/>
    <m/>
  </r>
  <r>
    <n v="426"/>
    <n v="342"/>
    <n v="237026"/>
    <s v="30511 VIRGEN DE LAS MERCEDES"/>
    <s v="JUNIN"/>
    <s v="JAUJA"/>
    <s v="MUQUI"/>
    <s v="MUQUI"/>
    <s v="JIRON BOLIVAR 1270"/>
    <s v="Rural"/>
    <n v="-11.834648"/>
    <n v="-75.434370000000001"/>
    <n v="30"/>
    <s v="SATELITAL"/>
    <s v="Centro"/>
    <x v="1"/>
    <n v="30"/>
    <n v="5"/>
    <n v="5"/>
    <n v="0.83333333333333337"/>
    <n v="5.833333333333333"/>
    <x v="0"/>
    <x v="7"/>
    <x v="2"/>
    <m/>
  </r>
  <r>
    <n v="427"/>
    <n v="343"/>
    <n v="237521"/>
    <s v="30471 JULIAN CHAVEZ HUANUCO"/>
    <s v="JUNIN"/>
    <s v="JAUJA"/>
    <s v="RICRAN"/>
    <s v="CHULEC JANCHISCOCHA"/>
    <s v="PLAZA PRINCIPAL"/>
    <s v="Rural"/>
    <n v="-11.5974"/>
    <n v="-75.467100000000002"/>
    <n v="30"/>
    <s v="SATELITAL"/>
    <s v="Centro"/>
    <x v="1"/>
    <n v="30"/>
    <n v="5"/>
    <n v="5"/>
    <n v="0.83333333333333337"/>
    <n v="5.833333333333333"/>
    <x v="0"/>
    <x v="7"/>
    <x v="2"/>
    <m/>
  </r>
  <r>
    <n v="428"/>
    <n v="344"/>
    <n v="237540"/>
    <s v="30473 VIRGEN DEL CARMEN"/>
    <s v="JUNIN"/>
    <s v="JAUJA"/>
    <s v="RICRAN"/>
    <s v="TAMBILLO"/>
    <s v="CALLE BOLIVAR S/N"/>
    <s v="Rural"/>
    <n v="-11.472300000000001"/>
    <n v="-75.410200000000003"/>
    <n v="30"/>
    <s v="SATELITAL"/>
    <s v="Centro"/>
    <x v="1"/>
    <n v="30"/>
    <n v="5"/>
    <n v="5"/>
    <n v="0.83333333333333337"/>
    <n v="5.833333333333333"/>
    <x v="0"/>
    <x v="7"/>
    <x v="2"/>
    <m/>
  </r>
  <r>
    <n v="429"/>
    <n v="345"/>
    <n v="237776"/>
    <s v="30525 ANDINO"/>
    <s v="JUNIN"/>
    <s v="JAUJA"/>
    <s v="SINCOS"/>
    <s v="ARAMACHAY"/>
    <s v="AVENIDA HUANCAYO S/N"/>
    <s v="Rural"/>
    <n v="-11.917503"/>
    <n v="-75.412104999999997"/>
    <n v="30"/>
    <s v="SATELITAL"/>
    <s v="Centro"/>
    <x v="1"/>
    <n v="30"/>
    <n v="5"/>
    <n v="5"/>
    <n v="0.83333333333333337"/>
    <n v="5.833333333333333"/>
    <x v="0"/>
    <x v="7"/>
    <x v="2"/>
    <m/>
  </r>
  <r>
    <n v="430"/>
    <n v="346"/>
    <n v="239308"/>
    <s v="HEROES DEL CENEPA"/>
    <s v="JUNIN"/>
    <s v="JUNIN"/>
    <s v="ULCUMAYO"/>
    <s v="LLAUPI"/>
    <s v="PLAZA PRINCIPAL"/>
    <s v="Rural"/>
    <n v="-10.74756"/>
    <n v="-75.532740000000004"/>
    <n v="30"/>
    <s v="SATELITAL"/>
    <s v="Centro"/>
    <x v="1"/>
    <n v="30"/>
    <n v="5"/>
    <n v="5"/>
    <n v="0.83333333333333337"/>
    <n v="5.833333333333333"/>
    <x v="0"/>
    <x v="6"/>
    <x v="4"/>
    <m/>
  </r>
  <r>
    <n v="431"/>
    <n v="347"/>
    <n v="238988"/>
    <s v="30610 MARISCAL CASTILLA"/>
    <s v="JUNIN"/>
    <s v="JUNIN"/>
    <s v="ULCUMAYO"/>
    <s v="TAMBOS"/>
    <s v="AUTOPISTA A ANTURQUI KM 28"/>
    <s v="Rural"/>
    <n v="-10.983224999999999"/>
    <n v="-75.764588000000003"/>
    <n v="30"/>
    <s v="SATELITAL"/>
    <s v="Centro"/>
    <x v="1"/>
    <n v="30"/>
    <n v="5"/>
    <n v="5"/>
    <n v="0.83333333333333337"/>
    <n v="5.833333333333333"/>
    <x v="0"/>
    <x v="6"/>
    <x v="4"/>
    <m/>
  </r>
  <r>
    <n v="432"/>
    <n v="348"/>
    <n v="240439"/>
    <s v="30661"/>
    <s v="JUNIN"/>
    <s v="SATIPO"/>
    <s v="LLAYLLA"/>
    <s v="CAMANTARO"/>
    <s v="PARQUE CAMANTARO"/>
    <s v="Rural"/>
    <n v="-11.414099999999999"/>
    <n v="-74.560400000000001"/>
    <n v="30"/>
    <s v="SATELITAL"/>
    <s v="Centro"/>
    <x v="1"/>
    <n v="30"/>
    <n v="5"/>
    <n v="5"/>
    <n v="0.83333333333333337"/>
    <n v="5.833333333333333"/>
    <x v="0"/>
    <x v="7"/>
    <x v="2"/>
    <m/>
  </r>
  <r>
    <n v="433"/>
    <n v="349"/>
    <n v="241274"/>
    <s v="30672"/>
    <s v="JUNIN"/>
    <s v="SATIPO"/>
    <s v="PANGOA"/>
    <s v="ALTO ANAPATI"/>
    <s v="CALLE PLAZA PRINCIPAL S/N"/>
    <s v="Rural"/>
    <n v="-11.671116"/>
    <n v="-74.311121999999997"/>
    <n v="30"/>
    <s v="SATELITAL"/>
    <s v="Centro"/>
    <x v="1"/>
    <n v="30"/>
    <n v="5"/>
    <n v="5"/>
    <n v="0.83333333333333337"/>
    <n v="5.833333333333333"/>
    <x v="0"/>
    <x v="7"/>
    <x v="2"/>
    <m/>
  </r>
  <r>
    <n v="434"/>
    <n v="350"/>
    <n v="241189"/>
    <s v="30166"/>
    <s v="JUNIN"/>
    <s v="SATIPO"/>
    <s v="PANGOA"/>
    <s v="SANTA ROSA DE ALTO KIATARI"/>
    <s v="SANTA ROSA DE ALTO KIATARI"/>
    <s v="Rural"/>
    <n v="-11.529702"/>
    <n v="-74.507278999999997"/>
    <n v="30"/>
    <s v="SATELITAL"/>
    <s v="Centro"/>
    <x v="1"/>
    <n v="30"/>
    <n v="5"/>
    <n v="5"/>
    <n v="0.83333333333333337"/>
    <n v="5.833333333333333"/>
    <x v="0"/>
    <x v="7"/>
    <x v="2"/>
    <m/>
  </r>
  <r>
    <n v="435"/>
    <n v="351"/>
    <n v="241820"/>
    <s v="SANTIAGO ANTUNEZ DE MAYOLO"/>
    <s v="JUNIN"/>
    <s v="SATIPO"/>
    <s v="PANGOA"/>
    <s v="SANTA ROSA DE ALTO KIATARI"/>
    <s v="PARQUE PLAZA PRINCIPAL S/N"/>
    <s v="Rural"/>
    <n v="-11.529337999999999"/>
    <n v="-74.506022999999999"/>
    <n v="30"/>
    <s v="SATELITAL"/>
    <s v="Centro"/>
    <x v="1"/>
    <n v="30"/>
    <n v="5"/>
    <n v="5"/>
    <n v="0.83333333333333337"/>
    <n v="5.833333333333333"/>
    <x v="0"/>
    <x v="7"/>
    <x v="2"/>
    <m/>
  </r>
  <r>
    <n v="436"/>
    <n v="352"/>
    <n v="241146"/>
    <s v="30001-14"/>
    <s v="JUNIN"/>
    <s v="SATIPO"/>
    <s v="PANGOA"/>
    <s v="SANTA TERESA DE ALTO ANAPATI"/>
    <s v="SANTA TERESITA"/>
    <s v="Rural"/>
    <n v="-11.74872"/>
    <n v="-74.306248999999994"/>
    <n v="30"/>
    <s v="SATELITAL"/>
    <s v="Centro"/>
    <x v="1"/>
    <n v="30"/>
    <n v="5"/>
    <n v="5"/>
    <n v="0.83333333333333337"/>
    <n v="5.833333333333333"/>
    <x v="0"/>
    <x v="7"/>
    <x v="2"/>
    <m/>
  </r>
  <r>
    <n v="437"/>
    <n v="353"/>
    <n v="241778"/>
    <s v="64425"/>
    <s v="JUNIN"/>
    <s v="SATIPO"/>
    <s v="PANGOA"/>
    <s v="TRES UNIDOS DE MATERENI"/>
    <s v="MATERENI"/>
    <s v="Rural"/>
    <n v="-11.796798000000001"/>
    <n v="-74.214599000000007"/>
    <n v="30"/>
    <s v="SATELITAL"/>
    <s v="Centro"/>
    <x v="1"/>
    <n v="30"/>
    <n v="5"/>
    <n v="5"/>
    <n v="0.83333333333333337"/>
    <n v="5.833333333333333"/>
    <x v="0"/>
    <x v="7"/>
    <x v="2"/>
    <m/>
  </r>
  <r>
    <n v="438"/>
    <n v="354"/>
    <n v="245917"/>
    <s v="ANTONIO RAIMONDI"/>
    <s v="JUNIN"/>
    <s v="TARMA"/>
    <s v="HUARICOLCA"/>
    <s v="APAYCANCHILLA"/>
    <s v="PLAZA PRINCIPAL"/>
    <s v="Rural"/>
    <n v="-11.534307999999999"/>
    <n v="-75.581383000000002"/>
    <n v="30"/>
    <s v="SATELITAL"/>
    <s v="Centro"/>
    <x v="1"/>
    <n v="30"/>
    <n v="5"/>
    <n v="5"/>
    <n v="0.83333333333333337"/>
    <n v="5.833333333333333"/>
    <x v="0"/>
    <x v="7"/>
    <x v="2"/>
    <m/>
  </r>
  <r>
    <n v="439"/>
    <n v="355"/>
    <n v="246686"/>
    <s v="31598"/>
    <s v="JUNIN"/>
    <s v="TARMA"/>
    <s v="PALCA"/>
    <s v="YANAMA ALTO"/>
    <s v="CARRETERA PRINCIPAL S/N"/>
    <s v="Rural"/>
    <n v="-11.3195"/>
    <n v="-75.596800000000002"/>
    <n v="30"/>
    <s v="SATELITAL"/>
    <s v="Centro"/>
    <x v="1"/>
    <n v="30"/>
    <n v="5"/>
    <n v="5"/>
    <n v="0.83333333333333337"/>
    <n v="5.833333333333333"/>
    <x v="0"/>
    <x v="6"/>
    <x v="4"/>
    <m/>
  </r>
  <r>
    <n v="440"/>
    <n v="356"/>
    <n v="245093"/>
    <s v="JULIO C. TELLO"/>
    <s v="JUNIN"/>
    <s v="TARMA"/>
    <s v="TARMA"/>
    <s v="COCHAS ALTO"/>
    <s v="CALLE JOSE BASTERES S/N"/>
    <s v="Rural"/>
    <n v="-11.415445"/>
    <n v="-75.786001999999996"/>
    <n v="30"/>
    <s v="SATELITAL"/>
    <s v="Centro"/>
    <x v="1"/>
    <n v="30"/>
    <n v="5"/>
    <n v="5"/>
    <n v="0.83333333333333337"/>
    <n v="5.833333333333333"/>
    <x v="0"/>
    <x v="6"/>
    <x v="4"/>
    <m/>
  </r>
  <r>
    <n v="441"/>
    <n v="357"/>
    <n v="247723"/>
    <s v="ANDRES AVELINO CACERES || 753 ANDRES A. CACERES || 31763 ANDRES A. CACERES"/>
    <s v="JUNIN"/>
    <s v="YAULI"/>
    <s v="HUAY-HUAY"/>
    <s v="SAN JOSE DE ANDAYCHAGUA"/>
    <s v="ZONA ALTA S/N"/>
    <s v="Rural"/>
    <n v="-11.751390000000001"/>
    <n v="-76.012226999999996"/>
    <n v="30"/>
    <s v="SATELITAL"/>
    <s v="Centro"/>
    <x v="1"/>
    <n v="30"/>
    <n v="5"/>
    <n v="5"/>
    <n v="0.83333333333333337"/>
    <n v="5.833333333333333"/>
    <x v="0"/>
    <x v="7"/>
    <x v="2"/>
    <m/>
  </r>
  <r>
    <n v="442"/>
    <n v="358"/>
    <n v="247799"/>
    <s v="64556 || CPED - 64556"/>
    <s v="JUNIN"/>
    <s v="YAULI"/>
    <s v="MARCAPOMACOCHA"/>
    <s v="HACIENDA CORPACANCHA"/>
    <s v="PARQUE HACIENDA CORPACANCHA S/N"/>
    <s v="Rural"/>
    <n v="-11.363300000000001"/>
    <n v="-76.219200000000001"/>
    <n v="30"/>
    <s v="SATELITAL"/>
    <s v="Centro"/>
    <x v="1"/>
    <n v="30"/>
    <n v="5"/>
    <n v="5"/>
    <n v="0.83333333333333337"/>
    <n v="5.833333333333333"/>
    <x v="0"/>
    <x v="6"/>
    <x v="4"/>
    <m/>
  </r>
  <r>
    <n v="443"/>
    <n v="359"/>
    <n v="247756"/>
    <s v="31175"/>
    <s v="JUNIN"/>
    <s v="YAULI"/>
    <s v="MARCAPOMACOCHA"/>
    <s v="YANTAC"/>
    <s v="YANTAC S/N"/>
    <s v="Rural"/>
    <n v="-11.344099999999999"/>
    <n v="-76.406899999999993"/>
    <n v="30"/>
    <s v="SATELITAL"/>
    <s v="Centro"/>
    <x v="1"/>
    <n v="30"/>
    <n v="5"/>
    <n v="5"/>
    <n v="0.83333333333333337"/>
    <n v="5.833333333333333"/>
    <x v="0"/>
    <x v="6"/>
    <x v="4"/>
    <m/>
  </r>
  <r>
    <n v="444"/>
    <n v="360"/>
    <n v="248299"/>
    <s v="LEONCIO PRADO GUTIERREZ"/>
    <s v="JUNIN"/>
    <s v="YAULI"/>
    <s v="YAULI"/>
    <s v="SAN CRISTOBAL"/>
    <s v="CAMPAMENTO MINERO SAN CRISTOBAL S/N"/>
    <s v="Rural"/>
    <n v="-11.7417"/>
    <n v="-76.055199999999999"/>
    <n v="30"/>
    <s v="SATELITAL"/>
    <s v="Centro"/>
    <x v="1"/>
    <n v="30"/>
    <n v="5"/>
    <n v="5"/>
    <n v="0.83333333333333337"/>
    <n v="5.833333333333333"/>
    <x v="0"/>
    <x v="6"/>
    <x v="4"/>
    <m/>
  </r>
  <r>
    <n v="445"/>
    <n v="361"/>
    <n v="348977"/>
    <s v="21607"/>
    <s v="LIMA"/>
    <s v="BARRANCA"/>
    <s v="BARRANCA"/>
    <s v="CHIU CHIU"/>
    <s v="CHIU CHIU S/N"/>
    <s v="Rural"/>
    <n v="-10.726017000000001"/>
    <n v="-77.726183000000006"/>
    <n v="30"/>
    <s v="SATELITAL"/>
    <s v="Centro"/>
    <x v="1"/>
    <n v="30"/>
    <n v="5"/>
    <n v="5"/>
    <n v="0.83333333333333337"/>
    <n v="5.833333333333333"/>
    <x v="0"/>
    <x v="6"/>
    <x v="4"/>
    <m/>
  </r>
  <r>
    <n v="446"/>
    <n v="362"/>
    <n v="348963"/>
    <s v="21606 FRANCISCO BOLOGNESI"/>
    <s v="LIMA"/>
    <s v="BARRANCA"/>
    <s v="BARRANCA"/>
    <s v="POTAO"/>
    <s v="POTAO"/>
    <s v="Rural"/>
    <n v="-10.714320000000001"/>
    <n v="-77.740947000000006"/>
    <n v="30"/>
    <s v="SATELITAL"/>
    <s v="Centro"/>
    <x v="1"/>
    <n v="30"/>
    <n v="5"/>
    <n v="5"/>
    <n v="0.83333333333333337"/>
    <n v="5.833333333333333"/>
    <x v="0"/>
    <x v="6"/>
    <x v="4"/>
    <m/>
  </r>
  <r>
    <n v="447"/>
    <n v="363"/>
    <n v="350079"/>
    <s v="20516"/>
    <s v="LIMA"/>
    <s v="BARRANCA"/>
    <s v="SUPE"/>
    <s v="CALETA VIDAL"/>
    <s v="CALETA VIDAL S/N"/>
    <s v="Rural"/>
    <n v="-10.856199"/>
    <n v="-77.702444"/>
    <n v="30"/>
    <s v="SATELITAL"/>
    <s v="Centro"/>
    <x v="1"/>
    <n v="30"/>
    <n v="5"/>
    <n v="5"/>
    <n v="0.83333333333333337"/>
    <n v="5.833333333333333"/>
    <x v="0"/>
    <x v="6"/>
    <x v="4"/>
    <m/>
  </r>
  <r>
    <n v="448"/>
    <n v="364"/>
    <n v="351248"/>
    <s v="20263"/>
    <s v="LIMA"/>
    <s v="CANTA"/>
    <s v="ARAHUAY"/>
    <s v="COLLO"/>
    <s v="CARRETERA A ARAHUAY KM 17.7"/>
    <s v="Rural"/>
    <n v="-11.6303"/>
    <n v="-76.6965"/>
    <n v="30"/>
    <s v="SATELITAL"/>
    <s v="Centro"/>
    <x v="1"/>
    <n v="30"/>
    <n v="5"/>
    <n v="5"/>
    <n v="0.83333333333333337"/>
    <n v="5.833333333333333"/>
    <x v="0"/>
    <x v="6"/>
    <x v="4"/>
    <m/>
  </r>
  <r>
    <n v="449"/>
    <n v="365"/>
    <n v="352479"/>
    <s v="20973"/>
    <s v="LIMA"/>
    <s v="CAÑETE"/>
    <s v="ASIA"/>
    <s v="9 DE OCTUBRE"/>
    <s v="ANEXO 09 DE OCTUBRE S/N"/>
    <s v="Rural"/>
    <n v="-12.738092"/>
    <n v="-76.61112"/>
    <n v="30"/>
    <s v="SATELITAL"/>
    <s v="Centro"/>
    <x v="1"/>
    <n v="30"/>
    <n v="5"/>
    <n v="5"/>
    <n v="0.83333333333333337"/>
    <n v="5.833333333333333"/>
    <x v="0"/>
    <x v="7"/>
    <x v="2"/>
    <m/>
  </r>
  <r>
    <n v="450"/>
    <n v="366"/>
    <n v="353049"/>
    <s v="20935"/>
    <s v="LIMA"/>
    <s v="CAÑETE"/>
    <s v="IMPERIAL"/>
    <s v="IMPERIAL ASUNCION OCHO"/>
    <s v="AVENIDA ELVIRA TOVAR CORTIJO MZ H"/>
    <s v="Urbana"/>
    <n v="-13.056647"/>
    <n v="-76.347075000000004"/>
    <n v="30"/>
    <s v="SATELITAL"/>
    <s v="Centro"/>
    <x v="1"/>
    <n v="30"/>
    <n v="5"/>
    <n v="5"/>
    <n v="0.83333333333333337"/>
    <n v="5.833333333333333"/>
    <x v="0"/>
    <x v="7"/>
    <x v="2"/>
    <m/>
  </r>
  <r>
    <n v="451"/>
    <n v="367"/>
    <n v="730503"/>
    <s v="20974"/>
    <s v="LIMA"/>
    <s v="CAÑETE"/>
    <s v="IMPERIAL"/>
    <s v="LAS LOMAS"/>
    <s v="POPULAR LAS LOMAS"/>
    <s v="Urbana"/>
    <n v="-13.045373"/>
    <n v="-76.363247000000001"/>
    <n v="30"/>
    <s v="SATELITAL"/>
    <s v="Centro"/>
    <x v="1"/>
    <n v="30"/>
    <n v="5"/>
    <n v="5"/>
    <n v="0.83333333333333337"/>
    <n v="5.833333333333333"/>
    <x v="0"/>
    <x v="7"/>
    <x v="2"/>
    <m/>
  </r>
  <r>
    <n v="452"/>
    <n v="368"/>
    <n v="730683"/>
    <s v="20976"/>
    <s v="LIMA"/>
    <s v="CAÑETE"/>
    <s v="SAN VICENTE DE CAÑETE"/>
    <s v="NUEVO CAÑETE"/>
    <s v="CARRETERA NUEVO CAÑETE KM 170"/>
    <s v="Urbana"/>
    <n v="-13.254849999999999"/>
    <n v="-76.276799999999994"/>
    <n v="30"/>
    <s v="SATELITAL"/>
    <s v="Centro"/>
    <x v="1"/>
    <n v="30"/>
    <n v="5"/>
    <n v="5"/>
    <n v="0.83333333333333337"/>
    <n v="5.833333333333333"/>
    <x v="0"/>
    <x v="7"/>
    <x v="2"/>
    <m/>
  </r>
  <r>
    <n v="453"/>
    <n v="369"/>
    <n v="355675"/>
    <s v="21551 CAPITAN JUAN VICENTE SUAREZ"/>
    <s v="LIMA"/>
    <s v="HUARAL"/>
    <s v="AUCALLAMA"/>
    <s v="CAQUI"/>
    <s v="CALLE VIRGEN DE FATIMA 130"/>
    <s v="Rural"/>
    <n v="-11.503838"/>
    <n v="-77.154065000000003"/>
    <n v="30"/>
    <s v="SATELITAL"/>
    <s v="Centro"/>
    <x v="1"/>
    <n v="30"/>
    <n v="5"/>
    <n v="5"/>
    <n v="0.83333333333333337"/>
    <n v="5.833333333333333"/>
    <x v="0"/>
    <x v="6"/>
    <x v="4"/>
    <m/>
  </r>
  <r>
    <n v="454"/>
    <n v="370"/>
    <n v="355595"/>
    <s v="20444 JOSE ALEJANDRO LOPEZ DURAND"/>
    <s v="LIMA"/>
    <s v="HUARAL"/>
    <s v="AUCALLAMA"/>
    <s v="CHACRA Y MAR"/>
    <s v="AUTOPISTA PANAMERICANA NORTE KM. 75.5"/>
    <s v="Rural"/>
    <n v="-11.613538"/>
    <n v="-77.235005999999998"/>
    <n v="30"/>
    <s v="SATELITAL"/>
    <s v="Centro"/>
    <x v="1"/>
    <n v="30"/>
    <n v="5"/>
    <n v="5"/>
    <n v="0.83333333333333337"/>
    <n v="5.833333333333333"/>
    <x v="0"/>
    <x v="6"/>
    <x v="4"/>
    <m/>
  </r>
  <r>
    <n v="455"/>
    <n v="371"/>
    <n v="355939"/>
    <s v="20803 ROSA DE SANTA MARIA"/>
    <s v="LIMA"/>
    <s v="HUARAL"/>
    <s v="CHANCAY"/>
    <s v="SALINAS ALTA"/>
    <s v="AUTOPISTA PANAMERICANA NORTE KM. 77"/>
    <s v="Urbana"/>
    <n v="-11.603203000000001"/>
    <n v="-77.245924000000002"/>
    <n v="30"/>
    <s v="SATELITAL"/>
    <s v="Centro"/>
    <x v="1"/>
    <n v="30"/>
    <n v="5"/>
    <n v="5"/>
    <n v="0.83333333333333337"/>
    <n v="5.833333333333333"/>
    <x v="0"/>
    <x v="6"/>
    <x v="4"/>
    <m/>
  </r>
  <r>
    <n v="456"/>
    <n v="372"/>
    <n v="355048"/>
    <s v="20865 LA FLORIDA"/>
    <s v="LIMA"/>
    <s v="HUARAL"/>
    <s v="HUARAL"/>
    <s v="CABAYAL ALTO"/>
    <s v="CARRETERA LA FLORIDA S/N"/>
    <s v="Rural"/>
    <n v="-11.427256"/>
    <n v="-77.189543"/>
    <n v="30"/>
    <s v="SATELITAL"/>
    <s v="Centro"/>
    <x v="1"/>
    <n v="30"/>
    <n v="5"/>
    <n v="5"/>
    <n v="0.83333333333333337"/>
    <n v="5.833333333333333"/>
    <x v="0"/>
    <x v="6"/>
    <x v="4"/>
    <m/>
  </r>
  <r>
    <n v="457"/>
    <n v="373"/>
    <n v="354586"/>
    <s v="20396 ANTONIO ARELLANO BUITRON"/>
    <s v="LIMA"/>
    <s v="HUARAL"/>
    <s v="HUARAL"/>
    <s v="CABUYAL"/>
    <s v="CABUYAL S/N LOTE 12"/>
    <s v="Rural"/>
    <n v="-11.448461999999999"/>
    <n v="-77.216468000000006"/>
    <n v="30"/>
    <s v="SATELITAL"/>
    <s v="Centro"/>
    <x v="1"/>
    <n v="30"/>
    <n v="5"/>
    <n v="5"/>
    <n v="0.83333333333333337"/>
    <n v="5.833333333333333"/>
    <x v="0"/>
    <x v="6"/>
    <x v="4"/>
    <m/>
  </r>
  <r>
    <n v="458"/>
    <n v="374"/>
    <n v="354831"/>
    <s v="20397 VIRGEN DE LA ASUNCION"/>
    <s v="LIMA"/>
    <s v="HUARAL"/>
    <s v="HUARAL"/>
    <s v="ESPERANZA ALTA"/>
    <s v="CARRETERA ESPERANZA ALTA S/N"/>
    <s v="Rural"/>
    <n v="-11.460998999999999"/>
    <n v="-77.178449000000001"/>
    <n v="30"/>
    <s v="SATELITAL"/>
    <s v="Centro"/>
    <x v="1"/>
    <n v="30"/>
    <n v="5"/>
    <n v="5"/>
    <n v="0.83333333333333337"/>
    <n v="5.833333333333333"/>
    <x v="0"/>
    <x v="6"/>
    <x v="4"/>
    <m/>
  </r>
  <r>
    <n v="459"/>
    <n v="375"/>
    <n v="354888"/>
    <s v="20451 ANDRES AVELINO CACERES"/>
    <s v="LIMA"/>
    <s v="HUARAL"/>
    <s v="HUARAL"/>
    <s v="PUEBLO LIBRE"/>
    <s v="PUEBLO LIBRE"/>
    <s v="Rural"/>
    <n v="-11.475364000000001"/>
    <n v="-77.142560000000003"/>
    <n v="30"/>
    <s v="SATELITAL"/>
    <s v="Centro"/>
    <x v="1"/>
    <n v="30"/>
    <n v="5"/>
    <n v="5"/>
    <n v="0.83333333333333337"/>
    <n v="5.833333333333333"/>
    <x v="0"/>
    <x v="6"/>
    <x v="4"/>
    <m/>
  </r>
  <r>
    <n v="460"/>
    <n v="376"/>
    <n v="356444"/>
    <s v="ALONSO DE MESSIAS"/>
    <s v="LIMA"/>
    <s v="HUARAL"/>
    <s v="PACARAOS"/>
    <s v="PACARAOS"/>
    <s v="AVENIDA ALONZO DE MESSIAS S/N"/>
    <s v="Rural"/>
    <n v="-11.185840000000001"/>
    <n v="-76.647441000000001"/>
    <n v="30"/>
    <s v="SATELITAL"/>
    <s v="Centro"/>
    <x v="1"/>
    <n v="30"/>
    <n v="5"/>
    <n v="5"/>
    <n v="0.83333333333333337"/>
    <n v="5.833333333333333"/>
    <x v="0"/>
    <x v="6"/>
    <x v="4"/>
    <m/>
  </r>
  <r>
    <n v="461"/>
    <n v="377"/>
    <n v="357472"/>
    <s v="20829 || 20829 DANIEL ALCIDES CARRION"/>
    <s v="LIMA"/>
    <s v="HUAROCHIRI"/>
    <s v="MARIATANA"/>
    <s v="CUCULI"/>
    <s v="CARRETERA ANEXO CUCULI VILLA PAMPILLA S/N"/>
    <s v="Rural"/>
    <n v="-12.322138000000001"/>
    <n v="-76.511697999999996"/>
    <n v="30"/>
    <s v="SATELITAL"/>
    <s v="Centro"/>
    <x v="1"/>
    <n v="30"/>
    <n v="5"/>
    <n v="5"/>
    <n v="0.83333333333333337"/>
    <n v="5.833333333333333"/>
    <x v="0"/>
    <x v="7"/>
    <x v="2"/>
    <m/>
  </r>
  <r>
    <n v="462"/>
    <n v="378"/>
    <n v="359782"/>
    <s v="20096"/>
    <s v="LIMA"/>
    <s v="HUAURA"/>
    <s v="AMBAR"/>
    <s v="AYNACA"/>
    <s v="AYNACA"/>
    <s v="Rural"/>
    <n v="-10.871202"/>
    <n v="-77.279944999999998"/>
    <n v="30"/>
    <s v="SATELITAL"/>
    <s v="Centro"/>
    <x v="1"/>
    <n v="30"/>
    <n v="5"/>
    <n v="5"/>
    <n v="0.83333333333333337"/>
    <n v="5.833333333333333"/>
    <x v="0"/>
    <x v="6"/>
    <x v="4"/>
    <m/>
  </r>
  <r>
    <n v="463"/>
    <n v="379"/>
    <n v="360219"/>
    <s v="20997"/>
    <s v="LIMA"/>
    <s v="HUAURA"/>
    <s v="HUAURA"/>
    <s v="ACARAY"/>
    <s v="ACARAY"/>
    <s v="Rural"/>
    <n v="-11.0528"/>
    <n v="-77.548299999999998"/>
    <n v="30"/>
    <s v="SATELITAL"/>
    <s v="Centro"/>
    <x v="1"/>
    <n v="30"/>
    <n v="5"/>
    <n v="5"/>
    <n v="0.83333333333333337"/>
    <n v="5.833333333333333"/>
    <x v="0"/>
    <x v="6"/>
    <x v="4"/>
    <m/>
  </r>
  <r>
    <n v="464"/>
    <n v="380"/>
    <n v="360281"/>
    <s v="20999"/>
    <s v="LIMA"/>
    <s v="HUAURA"/>
    <s v="HUAURA"/>
    <s v="EL SOL"/>
    <s v="EL SOL"/>
    <s v="Rural"/>
    <n v="-11.043979999999999"/>
    <n v="-77.592560000000006"/>
    <n v="30"/>
    <s v="SATELITAL"/>
    <s v="Centro"/>
    <x v="1"/>
    <n v="30"/>
    <n v="5"/>
    <n v="5"/>
    <n v="0.83333333333333337"/>
    <n v="5.833333333333333"/>
    <x v="0"/>
    <x v="6"/>
    <x v="4"/>
    <m/>
  </r>
  <r>
    <n v="465"/>
    <n v="381"/>
    <n v="360672"/>
    <s v="20120 CESAR VALLEJO"/>
    <s v="LIMA"/>
    <s v="HUAURA"/>
    <s v="SANTA LEONOR"/>
    <s v="CHIUCHIN"/>
    <s v="CHIUCHIN S/N"/>
    <s v="Rural"/>
    <n v="-10.927016999999999"/>
    <n v="-76.784704000000005"/>
    <n v="30"/>
    <s v="SATELITAL"/>
    <s v="Centro"/>
    <x v="1"/>
    <n v="30"/>
    <n v="5"/>
    <n v="5"/>
    <n v="0.83333333333333337"/>
    <n v="5.833333333333333"/>
    <x v="0"/>
    <x v="6"/>
    <x v="4"/>
    <m/>
  </r>
  <r>
    <n v="466"/>
    <n v="382"/>
    <n v="504557"/>
    <s v="21013 CORONEL JUAN VALER SANDOVAL"/>
    <s v="LIMA"/>
    <s v="HUAURA"/>
    <s v="SANTA MARIA"/>
    <s v="PAMPA COLORADA"/>
    <s v="AVENIDA EL OLIVAR S/N ETAPA I"/>
    <s v="Urbana"/>
    <n v="-11.122935999999999"/>
    <n v="-77.592169999999996"/>
    <n v="30"/>
    <s v="SATELITAL"/>
    <s v="Centro"/>
    <x v="1"/>
    <n v="30"/>
    <n v="5"/>
    <n v="5"/>
    <n v="0.83333333333333337"/>
    <n v="5.833333333333333"/>
    <x v="0"/>
    <x v="6"/>
    <x v="4"/>
    <m/>
  </r>
  <r>
    <n v="467"/>
    <n v="383"/>
    <n v="360870"/>
    <s v="20348"/>
    <s v="LIMA"/>
    <s v="HUAURA"/>
    <s v="SANTA MARIA"/>
    <s v="ZAPATA"/>
    <s v="AVENIDA LIBERTAD S/N"/>
    <s v="Urbana"/>
    <n v="-11.08245"/>
    <n v="-77.572010000000006"/>
    <n v="30"/>
    <s v="SATELITAL"/>
    <s v="Centro"/>
    <x v="1"/>
    <n v="30"/>
    <n v="5"/>
    <n v="5"/>
    <n v="0.83333333333333337"/>
    <n v="5.833333333333333"/>
    <x v="0"/>
    <x v="6"/>
    <x v="4"/>
    <m/>
  </r>
  <r>
    <n v="468"/>
    <n v="384"/>
    <n v="361407"/>
    <s v="20880 ALCIBIADES FERNANDEZ GUERRERO"/>
    <s v="LIMA"/>
    <s v="HUAURA"/>
    <s v="VEGUETA"/>
    <s v="TIROLER"/>
    <s v="CARRETERA PANAMERICANA NORTE KM 159"/>
    <s v="Rural"/>
    <n v="-11.008179999999999"/>
    <n v="-77.581479999999999"/>
    <n v="30"/>
    <s v="SATELITAL"/>
    <s v="Centro"/>
    <x v="1"/>
    <n v="30"/>
    <n v="5"/>
    <n v="5"/>
    <n v="0.83333333333333337"/>
    <n v="5.833333333333333"/>
    <x v="0"/>
    <x v="6"/>
    <x v="4"/>
    <m/>
  </r>
  <r>
    <n v="469"/>
    <n v="405"/>
    <n v="361822"/>
    <s v="20099"/>
    <s v="LIMA"/>
    <s v="OYON"/>
    <s v="COCHAMARCA"/>
    <s v="CALPA"/>
    <s v="CALPA"/>
    <s v="Rural"/>
    <n v="-10.872837000000001"/>
    <n v="-77.184528"/>
    <n v="30"/>
    <s v="SATELITAL"/>
    <s v="Centro"/>
    <x v="1"/>
    <n v="30"/>
    <n v="5"/>
    <n v="5"/>
    <n v="0.83333333333333337"/>
    <n v="5.833333333333333"/>
    <x v="0"/>
    <x v="6"/>
    <x v="4"/>
    <m/>
  </r>
  <r>
    <n v="470"/>
    <n v="406"/>
    <n v="361879"/>
    <s v="20049"/>
    <s v="LIMA"/>
    <s v="OYON"/>
    <s v="COCHAMARCA"/>
    <s v="COLCAPAMPA"/>
    <s v="COLCAPAMPA"/>
    <s v="Rural"/>
    <n v="-10.936127000000001"/>
    <n v="-77.103369000000001"/>
    <n v="30"/>
    <s v="SATELITAL"/>
    <s v="Centro"/>
    <x v="1"/>
    <n v="30"/>
    <n v="5"/>
    <n v="5"/>
    <n v="0.83333333333333337"/>
    <n v="5.833333333333333"/>
    <x v="0"/>
    <x v="6"/>
    <x v="4"/>
    <m/>
  </r>
  <r>
    <n v="471"/>
    <n v="407"/>
    <n v="361799"/>
    <s v="21009"/>
    <s v="LIMA"/>
    <s v="OYON"/>
    <s v="COCHAMARCA"/>
    <s v="LANCHA"/>
    <s v="LANCHA"/>
    <s v="Rural"/>
    <n v="-10.875294999999999"/>
    <n v="-77.218492999999995"/>
    <n v="30"/>
    <s v="SATELITAL"/>
    <s v="Centro"/>
    <x v="1"/>
    <n v="30"/>
    <n v="5"/>
    <n v="5"/>
    <n v="0.83333333333333337"/>
    <n v="5.833333333333333"/>
    <x v="0"/>
    <x v="6"/>
    <x v="4"/>
    <m/>
  </r>
  <r>
    <n v="472"/>
    <n v="408"/>
    <n v="361855"/>
    <s v="20982"/>
    <s v="LIMA"/>
    <s v="OYON"/>
    <s v="COCHAMARCA"/>
    <s v="QUILCA"/>
    <s v="RIO COCHAMARCA"/>
    <s v="Rural"/>
    <n v="-10.95377"/>
    <n v="-77.095794999999995"/>
    <n v="30"/>
    <s v="SATELITAL"/>
    <s v="Centro"/>
    <x v="1"/>
    <n v="30"/>
    <n v="5"/>
    <n v="5"/>
    <n v="0.83333333333333337"/>
    <n v="5.833333333333333"/>
    <x v="0"/>
    <x v="6"/>
    <x v="4"/>
    <m/>
  </r>
  <r>
    <n v="473"/>
    <n v="409"/>
    <n v="339925"/>
    <s v="20050"/>
    <s v="LIMA"/>
    <s v="OYON"/>
    <s v="COCHAMARCA"/>
    <s v="SAN JUAN DE TARUCAYA"/>
    <s v="SAN JUAN DE YARUCAYA"/>
    <s v="Rural"/>
    <n v="-10.848125"/>
    <n v="-77.090418999999997"/>
    <n v="30"/>
    <s v="SATELITAL"/>
    <s v="Centro"/>
    <x v="1"/>
    <n v="30"/>
    <n v="5"/>
    <n v="5"/>
    <n v="0.83333333333333337"/>
    <n v="5.833333333333333"/>
    <x v="0"/>
    <x v="6"/>
    <x v="4"/>
    <m/>
  </r>
  <r>
    <n v="474"/>
    <n v="410"/>
    <n v="361836"/>
    <s v="20103"/>
    <s v="LIMA"/>
    <s v="OYON"/>
    <s v="COCHAMARCA"/>
    <s v="SHANQUIJIRCA"/>
    <s v="SHANQUIJIRCA"/>
    <s v="Rural"/>
    <n v="-10.847281000000001"/>
    <n v="-77.199081000000007"/>
    <n v="30"/>
    <s v="SATELITAL"/>
    <s v="Centro"/>
    <x v="1"/>
    <n v="30"/>
    <n v="5"/>
    <n v="5"/>
    <n v="0.83333333333333337"/>
    <n v="5.833333333333333"/>
    <x v="0"/>
    <x v="6"/>
    <x v="4"/>
    <m/>
  </r>
  <r>
    <n v="475"/>
    <n v="411"/>
    <n v="361916"/>
    <s v="21004"/>
    <s v="LIMA"/>
    <s v="OYON"/>
    <s v="COCHAMARCA"/>
    <s v="TAULE"/>
    <s v="TAULE"/>
    <s v="Rural"/>
    <n v="-10.871833000000001"/>
    <n v="-77.200871000000006"/>
    <n v="30"/>
    <s v="SATELITAL"/>
    <s v="Centro"/>
    <x v="1"/>
    <n v="30"/>
    <n v="5"/>
    <n v="5"/>
    <n v="0.83333333333333337"/>
    <n v="5.833333333333333"/>
    <x v="0"/>
    <x v="6"/>
    <x v="4"/>
    <m/>
  </r>
  <r>
    <n v="476"/>
    <n v="412"/>
    <n v="361619"/>
    <s v="20073 LA MERCED"/>
    <s v="LIMA"/>
    <s v="OYON"/>
    <s v="OYON"/>
    <s v="VIROC"/>
    <s v="VIROC S/N"/>
    <s v="Rural"/>
    <n v="-10.683809"/>
    <n v="-76.795856999999998"/>
    <n v="30"/>
    <s v="SATELITAL"/>
    <s v="Centro"/>
    <x v="1"/>
    <n v="30"/>
    <n v="5"/>
    <n v="5"/>
    <n v="0.83333333333333337"/>
    <n v="5.833333333333333"/>
    <x v="0"/>
    <x v="6"/>
    <x v="4"/>
    <m/>
  </r>
  <r>
    <n v="477"/>
    <n v="413"/>
    <n v="362001"/>
    <s v="20077 ANTONIO RAYMONDI"/>
    <s v="LIMA"/>
    <s v="OYON"/>
    <s v="PACHANGARA"/>
    <s v="PACHANGARA"/>
    <s v="CALLE MARTIR OLAYA S/N"/>
    <s v="Rural"/>
    <n v="-10.782878999999999"/>
    <n v="-76.815797000000003"/>
    <n v="30"/>
    <s v="SATELITAL"/>
    <s v="Centro"/>
    <x v="1"/>
    <n v="30"/>
    <n v="5"/>
    <n v="5"/>
    <n v="0.83333333333333337"/>
    <n v="5.833333333333333"/>
    <x v="0"/>
    <x v="6"/>
    <x v="4"/>
    <m/>
  </r>
  <r>
    <n v="478"/>
    <n v="414"/>
    <n v="363152"/>
    <s v="20763"/>
    <s v="LIMA"/>
    <s v="YAUYOS"/>
    <s v="HUANTAN"/>
    <s v="ATCAS"/>
    <s v="ATCAS"/>
    <s v="Rural"/>
    <n v="-12.510401"/>
    <n v="-75.660200000000003"/>
    <n v="30"/>
    <s v="SATELITAL"/>
    <s v="Centro"/>
    <x v="1"/>
    <n v="30"/>
    <n v="5"/>
    <n v="5"/>
    <n v="0.83333333333333337"/>
    <n v="5.833333333333333"/>
    <x v="0"/>
    <x v="7"/>
    <x v="2"/>
    <m/>
  </r>
  <r>
    <n v="479"/>
    <n v="415"/>
    <n v="404256"/>
    <s v="ERNESTO DIEZ CANSECO"/>
    <s v="PASCO"/>
    <s v="DANIEL ALCIDES CARRION"/>
    <s v="YANAHUANCA"/>
    <s v="YANAHUANCA"/>
    <s v="JIRON SAN MARTIN 303"/>
    <s v="Urbana"/>
    <n v="-10.492100000000001"/>
    <n v="-76.516199999999998"/>
    <n v="30"/>
    <s v="SATELITAL"/>
    <s v="Centro"/>
    <x v="1"/>
    <n v="30"/>
    <n v="5"/>
    <n v="5"/>
    <n v="0.83333333333333337"/>
    <n v="5.833333333333333"/>
    <x v="0"/>
    <x v="6"/>
    <x v="4"/>
    <m/>
  </r>
  <r>
    <n v="480"/>
    <n v="416"/>
    <n v="409046"/>
    <s v="VIRGEN DEL ROSARIO"/>
    <s v="PASCO"/>
    <s v="OXAPAMPA"/>
    <s v="CONSTITUCIÓN"/>
    <s v="LORENCILLO 1"/>
    <s v="CARRETERA LORENCILLO I KM 55"/>
    <s v="Rural"/>
    <n v="-9.9691109999999998"/>
    <n v="-75.049302999999995"/>
    <n v="30"/>
    <s v="SATELITAL"/>
    <s v="Centro"/>
    <x v="1"/>
    <n v="30"/>
    <n v="5"/>
    <n v="5"/>
    <n v="0.83333333333333337"/>
    <n v="5.833333333333333"/>
    <x v="0"/>
    <x v="6"/>
    <x v="4"/>
    <m/>
  </r>
  <r>
    <n v="481"/>
    <n v="417"/>
    <n v="406509"/>
    <s v="34010 DANIEL ALCIDES CARRION"/>
    <s v="PASCO"/>
    <s v="OXAPAMPA"/>
    <s v="HUANCABAMBA"/>
    <s v="MALLAMPAMPA"/>
    <s v="CARRETERA MALLAMPAMPA KM.27"/>
    <s v="Rural"/>
    <n v="-10.50323"/>
    <n v="-75.670103999999995"/>
    <n v="30"/>
    <s v="SATELITAL"/>
    <s v="Centro"/>
    <x v="1"/>
    <n v="30"/>
    <n v="5"/>
    <n v="5"/>
    <n v="0.83333333333333337"/>
    <n v="5.833333333333333"/>
    <x v="0"/>
    <x v="6"/>
    <x v="4"/>
    <m/>
  </r>
  <r>
    <n v="482"/>
    <n v="418"/>
    <n v="691380"/>
    <s v="315 LOS ANGELITOS"/>
    <s v="PASCO"/>
    <s v="OXAPAMPA"/>
    <s v="OXAPAMPA"/>
    <s v="ACUZAZU"/>
    <s v="ACUZAZU"/>
    <s v="Rural"/>
    <n v="-10.524836000000001"/>
    <n v="-75.414034999999998"/>
    <n v="30"/>
    <s v="SATELITAL"/>
    <s v="Centro"/>
    <x v="1"/>
    <n v="30"/>
    <n v="5"/>
    <n v="5"/>
    <n v="0.83333333333333337"/>
    <n v="5.833333333333333"/>
    <x v="0"/>
    <x v="6"/>
    <x v="4"/>
    <m/>
  </r>
  <r>
    <n v="483"/>
    <n v="419"/>
    <n v="691399"/>
    <s v="316"/>
    <s v="PASCO"/>
    <s v="OXAPAMPA"/>
    <s v="OXAPAMPA"/>
    <s v="ALTO CHURUMAZU"/>
    <s v="ALTO CHURUMAZU"/>
    <s v="Rural"/>
    <n v="-10.768943"/>
    <n v="-75.345082000000005"/>
    <n v="30"/>
    <s v="SATELITAL"/>
    <s v="Centro"/>
    <x v="1"/>
    <n v="30"/>
    <n v="5"/>
    <n v="5"/>
    <n v="0.83333333333333337"/>
    <n v="5.833333333333333"/>
    <x v="0"/>
    <x v="6"/>
    <x v="4"/>
    <m/>
  </r>
  <r>
    <n v="484"/>
    <n v="420"/>
    <n v="775030"/>
    <s v="NIÑO MANUELITO"/>
    <s v="PASCO"/>
    <s v="OXAPAMPA"/>
    <s v="OXAPAMPA"/>
    <s v="ALTO PLAYA PAMPA"/>
    <s v="ALTO PLAYA PAMPA"/>
    <s v="Rural"/>
    <n v="-10.794600000000001"/>
    <n v="-75.351900000000001"/>
    <n v="30"/>
    <s v="SATELITAL"/>
    <s v="Centro"/>
    <x v="1"/>
    <n v="30"/>
    <n v="5"/>
    <n v="5"/>
    <n v="0.83333333333333337"/>
    <n v="5.833333333333333"/>
    <x v="0"/>
    <x v="6"/>
    <x v="4"/>
    <m/>
  </r>
  <r>
    <n v="485"/>
    <n v="421"/>
    <n v="691417"/>
    <s v="318 VIRGEN DEL CARMEN"/>
    <s v="PASCO"/>
    <s v="OXAPAMPA"/>
    <s v="OXAPAMPA"/>
    <s v="CHACOS"/>
    <s v="CHACOS"/>
    <s v="Rural"/>
    <n v="-10.623379999999999"/>
    <n v="-75.337959999999995"/>
    <n v="30"/>
    <s v="SATELITAL"/>
    <s v="Centro"/>
    <x v="1"/>
    <n v="30"/>
    <n v="5"/>
    <n v="5"/>
    <n v="0.83333333333333337"/>
    <n v="5.833333333333333"/>
    <x v="0"/>
    <x v="6"/>
    <x v="4"/>
    <m/>
  </r>
  <r>
    <n v="486"/>
    <n v="422"/>
    <n v="763739"/>
    <s v="NUEVO HORIZONTE"/>
    <s v="PASCO"/>
    <s v="OXAPAMPA"/>
    <s v="OXAPAMPA"/>
    <s v="CHURUMAZU"/>
    <s v="CARRETERA CHURUMAZU KM. 38"/>
    <s v="Rural"/>
    <n v="-10.775725"/>
    <n v="-75.358209000000002"/>
    <n v="30"/>
    <s v="SATELITAL"/>
    <s v="Centro"/>
    <x v="1"/>
    <n v="30"/>
    <n v="5"/>
    <n v="5"/>
    <n v="0.83333333333333337"/>
    <n v="5.833333333333333"/>
    <x v="0"/>
    <x v="6"/>
    <x v="4"/>
    <m/>
  </r>
  <r>
    <n v="487"/>
    <n v="423"/>
    <n v="748206"/>
    <s v="GOTITAS DE AMOR"/>
    <s v="PASCO"/>
    <s v="OXAPAMPA"/>
    <s v="OXAPAMPA"/>
    <s v="LA CAÑERA"/>
    <s v="LA CAÑERA SECTOR LA CAÑERA"/>
    <s v="Rural"/>
    <n v="-10.68637"/>
    <n v="-75.379084000000006"/>
    <n v="30"/>
    <s v="SATELITAL"/>
    <s v="Centro"/>
    <x v="1"/>
    <n v="30"/>
    <n v="5"/>
    <n v="5"/>
    <n v="0.83333333333333337"/>
    <n v="5.833333333333333"/>
    <x v="0"/>
    <x v="6"/>
    <x v="4"/>
    <m/>
  </r>
  <r>
    <n v="488"/>
    <n v="424"/>
    <n v="775049"/>
    <s v="SAGRADO CORAZON DE JESUS"/>
    <s v="PASCO"/>
    <s v="OXAPAMPA"/>
    <s v="OXAPAMPA"/>
    <s v="PROGRESO"/>
    <s v="PROGRESO"/>
    <s v="Rural"/>
    <n v="-10.512320000000001"/>
    <n v="-75.446240000000003"/>
    <n v="30"/>
    <s v="SATELITAL"/>
    <s v="Centro"/>
    <x v="1"/>
    <n v="30"/>
    <n v="5"/>
    <n v="5"/>
    <n v="0.83333333333333337"/>
    <n v="5.833333333333333"/>
    <x v="0"/>
    <x v="6"/>
    <x v="4"/>
    <m/>
  </r>
  <r>
    <n v="489"/>
    <n v="425"/>
    <n v="691422"/>
    <s v="321 SEÑOR DE MURUHUAY"/>
    <s v="PASCO"/>
    <s v="OXAPAMPA"/>
    <s v="OXAPAMPA"/>
    <s v="RIO PISCO"/>
    <s v="CASRIO RIO PISCO"/>
    <s v="Rural"/>
    <n v="-10.735530000000001"/>
    <n v="-75.34563"/>
    <n v="30"/>
    <s v="SATELITAL"/>
    <s v="Centro"/>
    <x v="1"/>
    <n v="30"/>
    <n v="5"/>
    <n v="5"/>
    <n v="0.83333333333333337"/>
    <n v="5.833333333333333"/>
    <x v="0"/>
    <x v="6"/>
    <x v="4"/>
    <m/>
  </r>
  <r>
    <n v="490"/>
    <n v="426"/>
    <n v="406180"/>
    <s v="34206 INDEPENDENCIA"/>
    <s v="PASCO"/>
    <s v="OXAPAMPA"/>
    <s v="OXAPAMPA"/>
    <s v="SOGORMO"/>
    <s v="CARRETERA SOGORMO KM. 40"/>
    <s v="Rural"/>
    <n v="-10.817130000000001"/>
    <n v="-75.326689999999999"/>
    <n v="30"/>
    <s v="SATELITAL"/>
    <s v="Centro"/>
    <x v="1"/>
    <n v="30"/>
    <n v="5"/>
    <n v="5"/>
    <n v="0.83333333333333337"/>
    <n v="5.833333333333333"/>
    <x v="0"/>
    <x v="6"/>
    <x v="4"/>
    <m/>
  </r>
  <r>
    <n v="491"/>
    <n v="427"/>
    <n v="406774"/>
    <s v="LAS NAZARENAS"/>
    <s v="PASCO"/>
    <s v="OXAPAMPA"/>
    <s v="PALCAZU"/>
    <s v="ISCOZACIN"/>
    <s v="AVENIDA JUAN FRANTZEN WESTREICHER S/N"/>
    <s v="Rural"/>
    <n v="-10.18407"/>
    <n v="-75.149090000000001"/>
    <n v="30"/>
    <s v="SATELITAL"/>
    <s v="Centro"/>
    <x v="1"/>
    <n v="30"/>
    <n v="5"/>
    <n v="5"/>
    <n v="0.83333333333333337"/>
    <n v="5.833333333333333"/>
    <x v="0"/>
    <x v="6"/>
    <x v="4"/>
    <m/>
  </r>
  <r>
    <n v="492"/>
    <n v="428"/>
    <n v="407226"/>
    <s v="PUERTO ISCOZACIN"/>
    <s v="PASCO"/>
    <s v="OXAPAMPA"/>
    <s v="PALCAZU"/>
    <s v="PUERTO ISCOZACIN"/>
    <s v="PUERTO ISCOZACIN"/>
    <s v="Rural"/>
    <n v="-10.191700000000001"/>
    <n v="-75.16"/>
    <n v="30"/>
    <s v="SATELITAL"/>
    <s v="Centro"/>
    <x v="1"/>
    <n v="30"/>
    <n v="5"/>
    <n v="5"/>
    <n v="0.83333333333333337"/>
    <n v="5.833333333333333"/>
    <x v="0"/>
    <x v="6"/>
    <x v="4"/>
    <m/>
  </r>
  <r>
    <n v="493"/>
    <n v="429"/>
    <n v="407556"/>
    <s v="34266"/>
    <s v="PASCO"/>
    <s v="OXAPAMPA"/>
    <s v="PALCAZU"/>
    <s v="RIO NEGRO"/>
    <s v="RIO NEGRO"/>
    <s v="Rural"/>
    <n v="-9.9819010000000006"/>
    <n v="-75.349562000000006"/>
    <n v="30"/>
    <s v="SATELITAL"/>
    <s v="Centro"/>
    <x v="1"/>
    <n v="30"/>
    <n v="5"/>
    <n v="5"/>
    <n v="0.83333333333333337"/>
    <n v="5.833333333333333"/>
    <x v="0"/>
    <x v="6"/>
    <x v="4"/>
    <m/>
  </r>
  <r>
    <n v="494"/>
    <n v="430"/>
    <n v="631046"/>
    <s v="GOTITAS DE AMOR"/>
    <s v="PASCO"/>
    <s v="OXAPAMPA"/>
    <s v="PALCAZU"/>
    <s v="RIO NEGRO"/>
    <s v="CARRETERA ISCOZACIN MAYRO"/>
    <s v="Rural"/>
    <n v="-9.9820759999999993"/>
    <n v="-75.349744999999999"/>
    <n v="30"/>
    <s v="SATELITAL"/>
    <s v="Centro"/>
    <x v="1"/>
    <n v="30"/>
    <n v="5"/>
    <n v="5"/>
    <n v="0.83333333333333337"/>
    <n v="5.833333333333333"/>
    <x v="0"/>
    <x v="6"/>
    <x v="4"/>
    <m/>
  </r>
  <r>
    <n v="495"/>
    <n v="431"/>
    <n v="409391"/>
    <s v="CRISTO REDENTOR"/>
    <s v="PASCO"/>
    <s v="OXAPAMPA"/>
    <s v="VILLA RICA"/>
    <s v="CEDROPAMPA"/>
    <s v="CARRETERA CEDROPAMPA S/N"/>
    <s v="Rural"/>
    <n v="-10.796099999999999"/>
    <n v="-75.254900000000006"/>
    <n v="30"/>
    <s v="SATELITAL"/>
    <s v="Centro"/>
    <x v="1"/>
    <n v="30"/>
    <n v="5"/>
    <n v="5"/>
    <n v="0.83333333333333337"/>
    <n v="5.833333333333333"/>
    <x v="0"/>
    <x v="6"/>
    <x v="4"/>
    <m/>
  </r>
  <r>
    <n v="496"/>
    <n v="432"/>
    <n v="409881"/>
    <s v="OCONAL"/>
    <s v="PASCO"/>
    <s v="OXAPAMPA"/>
    <s v="VILLA RICA"/>
    <s v="EL OCONAL"/>
    <s v="CARRETERA EL SOL S/N"/>
    <s v="Rural"/>
    <n v="-10.763299999999999"/>
    <n v="-75.261799999999994"/>
    <n v="30"/>
    <s v="SATELITAL"/>
    <s v="Centro"/>
    <x v="1"/>
    <n v="30"/>
    <n v="5"/>
    <n v="5"/>
    <n v="0.83333333333333337"/>
    <n v="5.833333333333333"/>
    <x v="0"/>
    <x v="6"/>
    <x v="4"/>
    <m/>
  </r>
  <r>
    <n v="497"/>
    <n v="433"/>
    <n v="409862"/>
    <s v="LOS MELLIZOS"/>
    <s v="PASCO"/>
    <s v="OXAPAMPA"/>
    <s v="VILLA RICA"/>
    <s v="LOS MELLIZOS I"/>
    <s v="CARRETERA MARGINAL KM.15"/>
    <s v="Rural"/>
    <n v="-10.738683999999999"/>
    <n v="-75.163988000000003"/>
    <n v="30"/>
    <s v="SATELITAL"/>
    <s v="Centro"/>
    <x v="1"/>
    <n v="30"/>
    <n v="5"/>
    <n v="5"/>
    <n v="0.83333333333333337"/>
    <n v="5.833333333333333"/>
    <x v="0"/>
    <x v="6"/>
    <x v="4"/>
    <m/>
  </r>
  <r>
    <n v="498"/>
    <n v="434"/>
    <n v="409536"/>
    <s v="34287"/>
    <s v="PASCO"/>
    <s v="OXAPAMPA"/>
    <s v="VILLA RICA"/>
    <s v="MAIME"/>
    <s v="CARRETERA MAYME S/N"/>
    <s v="Rural"/>
    <n v="-10.7456"/>
    <n v="-75.241100000000003"/>
    <n v="30"/>
    <s v="SATELITAL"/>
    <s v="Centro"/>
    <x v="1"/>
    <n v="30"/>
    <n v="5"/>
    <n v="5"/>
    <n v="0.83333333333333337"/>
    <n v="5.833333333333333"/>
    <x v="0"/>
    <x v="6"/>
    <x v="4"/>
    <m/>
  </r>
  <r>
    <n v="499"/>
    <n v="435"/>
    <n v="691667"/>
    <s v="352"/>
    <s v="PASCO"/>
    <s v="OXAPAMPA"/>
    <s v="VILLA RICA"/>
    <s v="PAMPA ENCANTADA"/>
    <s v="DE PAMPA ENCANTADA"/>
    <s v="Rural"/>
    <n v="-10.8056"/>
    <n v="-75.3048"/>
    <n v="30"/>
    <s v="SATELITAL"/>
    <s v="Centro"/>
    <x v="1"/>
    <n v="30"/>
    <n v="5"/>
    <n v="5"/>
    <n v="0.83333333333333337"/>
    <n v="5.833333333333333"/>
    <x v="0"/>
    <x v="6"/>
    <x v="4"/>
    <m/>
  </r>
  <r>
    <n v="500"/>
    <n v="436"/>
    <n v="400183"/>
    <s v="35001 CIPRIANO PROAÑO"/>
    <s v="PASCO"/>
    <s v="PASCO"/>
    <s v="CHAUPIMARCA"/>
    <s v="CHAUPIMARCA"/>
    <s v="AVENIDA CIRCUNVALACION TUPAC AMARU 212"/>
    <s v="Urbana"/>
    <n v="-10.68671"/>
    <n v="-76.254360000000005"/>
    <n v="30"/>
    <s v="SATELITAL"/>
    <s v="Centro"/>
    <x v="1"/>
    <n v="30"/>
    <n v="5"/>
    <n v="5"/>
    <n v="0.83333333333333337"/>
    <n v="5.833333333333333"/>
    <x v="0"/>
    <x v="6"/>
    <x v="4"/>
    <m/>
  </r>
  <r>
    <n v="501"/>
    <n v="437"/>
    <n v="400215"/>
    <s v="DANIEL ALCIDES CARRION"/>
    <s v="PASCO"/>
    <s v="PASCO"/>
    <s v="CHAUPIMARCA"/>
    <s v="CHAUPIMARCA"/>
    <s v="TUPAC AMARU"/>
    <s v="Urbana"/>
    <n v="-10.688404999999999"/>
    <n v="-76.253523000000001"/>
    <n v="30"/>
    <s v="SATELITAL"/>
    <s v="Centro"/>
    <x v="1"/>
    <n v="30"/>
    <n v="5"/>
    <n v="5"/>
    <n v="0.83333333333333337"/>
    <n v="5.833333333333333"/>
    <x v="0"/>
    <x v="6"/>
    <x v="4"/>
    <m/>
  </r>
  <r>
    <n v="502"/>
    <n v="438"/>
    <n v="400588"/>
    <s v="34460 JOSE OLAYA BALANBRA"/>
    <s v="PASCO"/>
    <s v="PASCO"/>
    <s v="HUARIACA"/>
    <s v="ACOBAMBA"/>
    <s v="ACOBAMBA"/>
    <s v="Urbana"/>
    <n v="-10.449529999999999"/>
    <n v="-76.179789999999997"/>
    <n v="30"/>
    <s v="SATELITAL"/>
    <s v="Centro"/>
    <x v="1"/>
    <n v="30"/>
    <n v="5"/>
    <n v="5"/>
    <n v="0.83333333333333337"/>
    <n v="5.833333333333333"/>
    <x v="0"/>
    <x v="6"/>
    <x v="4"/>
    <m/>
  </r>
  <r>
    <n v="503"/>
    <n v="439"/>
    <n v="401917"/>
    <s v="ACOPALCA"/>
    <s v="PASCO"/>
    <s v="PASCO"/>
    <s v="PAUCARTAMBO"/>
    <s v="ACOPALCA"/>
    <s v="AVENIDA LIRIO DE LOS VALLES S/N"/>
    <s v="Rural"/>
    <n v="-10.8255"/>
    <n v="-75.851699999999994"/>
    <n v="30"/>
    <s v="SATELITAL"/>
    <s v="Centro"/>
    <x v="1"/>
    <n v="30"/>
    <n v="5"/>
    <n v="5"/>
    <n v="0.83333333333333337"/>
    <n v="5.833333333333333"/>
    <x v="0"/>
    <x v="6"/>
    <x v="4"/>
    <m/>
  </r>
  <r>
    <n v="504"/>
    <n v="440"/>
    <n v="402115"/>
    <s v="34058 JOSE FAUSTINO SANCHEZ CARRION"/>
    <s v="PASCO"/>
    <s v="PASCO"/>
    <s v="SAN FRANCISCO DE ASIS DE YARUSYACAN"/>
    <s v="MACHCAN"/>
    <s v="PASAJE COYLLARCANCHA S/N"/>
    <s v="Rural"/>
    <n v="-10.548360000000001"/>
    <n v="-76.220219999999998"/>
    <n v="30"/>
    <s v="SATELITAL"/>
    <s v="Centro"/>
    <x v="1"/>
    <n v="30"/>
    <n v="5"/>
    <n v="5"/>
    <n v="0.83333333333333337"/>
    <n v="5.833333333333333"/>
    <x v="0"/>
    <x v="6"/>
    <x v="4"/>
    <m/>
  </r>
  <r>
    <n v="505"/>
    <n v="441"/>
    <n v="760613"/>
    <s v="DEMETRIO TEMPLADERA MARTINEZ"/>
    <s v="PASCO"/>
    <s v="PASCO"/>
    <s v="TICLACAYAN"/>
    <s v="SUNEC"/>
    <s v="SUNEC S/N"/>
    <s v="Rural"/>
    <n v="-10.336026"/>
    <n v="-75.922740000000005"/>
    <n v="30"/>
    <s v="SATELITAL"/>
    <s v="Centro"/>
    <x v="1"/>
    <n v="30"/>
    <n v="5"/>
    <n v="5"/>
    <n v="0.83333333333333337"/>
    <n v="5.833333333333333"/>
    <x v="0"/>
    <x v="6"/>
    <x v="4"/>
    <m/>
  </r>
  <r>
    <n v="506"/>
    <n v="442"/>
    <n v="403389"/>
    <s v="34056 DAVID PATIÑO LOPEZ"/>
    <s v="PASCO"/>
    <s v="PASCO"/>
    <s v="YANACANCHA"/>
    <s v="SANTA ROSA DE PITIC"/>
    <s v="CARRETERA POMACOCHA S/N"/>
    <s v="Rural"/>
    <n v="-10.618474000000001"/>
    <n v="-76.187316999999993"/>
    <n v="30"/>
    <s v="SATELITAL"/>
    <s v="Centro"/>
    <x v="1"/>
    <n v="30"/>
    <n v="5"/>
    <n v="5"/>
    <n v="0.83333333333333337"/>
    <n v="5.833333333333333"/>
    <x v="0"/>
    <x v="6"/>
    <x v="4"/>
    <m/>
  </r>
  <r>
    <n v="507"/>
    <n v="443"/>
    <n v="403582"/>
    <s v="34109 JOSE ANTONIO ENCINAS FRANCO"/>
    <s v="PASCO"/>
    <s v="PASCO"/>
    <s v="YANACANCHA"/>
    <s v="TINGO PALCA"/>
    <s v="AVENIDA MIGUEL BRAVO QUISPE 204"/>
    <s v="Rural"/>
    <n v="-10.575951999999999"/>
    <n v="-76.273607999999996"/>
    <n v="30"/>
    <s v="SATELITAL"/>
    <s v="Centro"/>
    <x v="1"/>
    <n v="30"/>
    <n v="5"/>
    <n v="5"/>
    <n v="0.83333333333333337"/>
    <n v="5.833333333333333"/>
    <x v="0"/>
    <x v="6"/>
    <x v="4"/>
    <m/>
  </r>
  <r>
    <n v="508"/>
    <n v="907"/>
    <n v="42458"/>
    <s v="54040"/>
    <s v="APURIMAC"/>
    <s v="ABANCAY"/>
    <s v="ABANCAY"/>
    <s v="ASILLO"/>
    <s v="ASILLO"/>
    <s v="Rural"/>
    <n v="-13.626545"/>
    <n v="-72.845432000000002"/>
    <n v="30"/>
    <s v="SATELITAL"/>
    <s v="Sur"/>
    <x v="2"/>
    <n v="30"/>
    <n v="5"/>
    <n v="5"/>
    <n v="0.83333333333333337"/>
    <n v="5.833333333333333"/>
    <x v="0"/>
    <x v="8"/>
    <x v="2"/>
    <m/>
  </r>
  <r>
    <n v="509"/>
    <n v="908"/>
    <n v="42477"/>
    <s v="54042"/>
    <s v="APURIMAC"/>
    <s v="ABANCAY"/>
    <s v="ABANCAY"/>
    <s v="ATUMPATA"/>
    <s v="ATUMPATA"/>
    <s v="Rural"/>
    <n v="-13.649886"/>
    <n v="-72.852062000000004"/>
    <n v="30"/>
    <s v="SATELITAL"/>
    <s v="Sur"/>
    <x v="2"/>
    <n v="30"/>
    <n v="5"/>
    <n v="5"/>
    <n v="0.83333333333333337"/>
    <n v="5.833333333333333"/>
    <x v="0"/>
    <x v="8"/>
    <x v="2"/>
    <m/>
  </r>
  <r>
    <n v="510"/>
    <n v="909"/>
    <n v="42868"/>
    <s v="54059"/>
    <s v="APURIMAC"/>
    <s v="ABANCAY"/>
    <s v="CHACOCHE"/>
    <s v="CASINCHIHUA"/>
    <s v="CARRETERA CASINCHIHUA"/>
    <s v="Rural"/>
    <n v="-13.876797"/>
    <n v="-73.026432"/>
    <n v="30"/>
    <s v="SATELITAL"/>
    <s v="Sur"/>
    <x v="2"/>
    <n v="30"/>
    <n v="5"/>
    <n v="5"/>
    <n v="0.83333333333333337"/>
    <n v="5.833333333333333"/>
    <x v="0"/>
    <x v="8"/>
    <x v="2"/>
    <m/>
  </r>
  <r>
    <n v="511"/>
    <n v="910"/>
    <n v="833469"/>
    <s v="54027 DANIEL DEL PINO MUÑOZ"/>
    <s v="APURIMAC"/>
    <s v="ABANCAY"/>
    <s v="CHACOCHE"/>
    <s v="CHACOCHE"/>
    <s v="CALLE LIMA S/N"/>
    <s v="Rural"/>
    <n v="-13.94129"/>
    <n v="-72.991290000000006"/>
    <n v="30"/>
    <s v="SATELITAL"/>
    <s v="Sur"/>
    <x v="2"/>
    <n v="30"/>
    <n v="5"/>
    <n v="5"/>
    <n v="0.83333333333333337"/>
    <n v="5.833333333333333"/>
    <x v="0"/>
    <x v="8"/>
    <x v="2"/>
    <m/>
  </r>
  <r>
    <n v="512"/>
    <n v="911"/>
    <n v="43090"/>
    <s v="JOSE CARLOS MARIATEGUI"/>
    <s v="APURIMAC"/>
    <s v="ABANCAY"/>
    <s v="CIRCA"/>
    <s v="TACCACCA"/>
    <s v="TACCACCA"/>
    <s v="Rural"/>
    <n v="-13.9687"/>
    <n v="-72.891199999999998"/>
    <n v="30"/>
    <s v="SATELITAL"/>
    <s v="Sur"/>
    <x v="2"/>
    <n v="30"/>
    <n v="5"/>
    <n v="5"/>
    <n v="0.83333333333333337"/>
    <n v="5.833333333333333"/>
    <x v="0"/>
    <x v="8"/>
    <x v="2"/>
    <m/>
  </r>
  <r>
    <n v="513"/>
    <n v="912"/>
    <n v="43231"/>
    <s v="54021 NUESTRA SEÑORA DE LAS MERCEDES"/>
    <s v="APURIMAC"/>
    <s v="ABANCAY"/>
    <s v="CURAHUASI"/>
    <s v="ANTILLA"/>
    <s v="ANTILLA"/>
    <s v="Rural"/>
    <n v="-13.6419"/>
    <n v="-72.571700000000007"/>
    <n v="30"/>
    <s v="SATELITAL"/>
    <s v="Sur"/>
    <x v="2"/>
    <n v="30"/>
    <n v="5"/>
    <n v="5"/>
    <n v="0.83333333333333337"/>
    <n v="5.833333333333333"/>
    <x v="0"/>
    <x v="8"/>
    <x v="2"/>
    <m/>
  </r>
  <r>
    <n v="514"/>
    <n v="913"/>
    <n v="538958"/>
    <s v="MARIO VARGAS LLOSA"/>
    <s v="APURIMAC"/>
    <s v="ABANCAY"/>
    <s v="CURAHUASI"/>
    <s v="ANTILLA"/>
    <s v="ANTILLA S/N"/>
    <s v="Rural"/>
    <n v="-13.642300000000001"/>
    <n v="-72.571700000000007"/>
    <n v="30"/>
    <s v="SATELITAL"/>
    <s v="Sur"/>
    <x v="2"/>
    <n v="30"/>
    <n v="5"/>
    <n v="5"/>
    <n v="0.83333333333333337"/>
    <n v="5.833333333333333"/>
    <x v="0"/>
    <x v="8"/>
    <x v="2"/>
    <m/>
  </r>
  <r>
    <n v="515"/>
    <n v="914"/>
    <n v="308066"/>
    <s v="EDGAR SEGOVIA CAMPANA"/>
    <s v="APURIMAC"/>
    <s v="ABANCAY"/>
    <s v="CURAHUASI"/>
    <s v="PALMIRA"/>
    <s v="PALMIRA"/>
    <s v="Rural"/>
    <n v="-13.56723"/>
    <n v="-72.694419999999994"/>
    <n v="30"/>
    <s v="SATELITAL"/>
    <s v="Sur"/>
    <x v="2"/>
    <n v="30"/>
    <n v="5"/>
    <n v="5"/>
    <n v="0.83333333333333337"/>
    <n v="5.833333333333333"/>
    <x v="0"/>
    <x v="8"/>
    <x v="2"/>
    <m/>
  </r>
  <r>
    <n v="516"/>
    <n v="915"/>
    <n v="44650"/>
    <s v="54491"/>
    <s v="APURIMAC"/>
    <s v="ANDAHUAYLAS"/>
    <s v="ANDAHUAYLAS"/>
    <s v="CCACCE"/>
    <s v="CCACCE"/>
    <s v="Rural"/>
    <n v="-13.774322"/>
    <n v="-73.407024000000007"/>
    <n v="30"/>
    <s v="SATELITAL"/>
    <s v="Sur"/>
    <x v="2"/>
    <n v="30"/>
    <n v="5"/>
    <n v="5"/>
    <n v="0.83333333333333337"/>
    <n v="5.833333333333333"/>
    <x v="0"/>
    <x v="8"/>
    <x v="2"/>
    <m/>
  </r>
  <r>
    <n v="517"/>
    <n v="916"/>
    <n v="44891"/>
    <s v="931 || 55006-9"/>
    <s v="APURIMAC"/>
    <s v="ANDAHUAYLAS"/>
    <s v="ANDAHUAYLAS"/>
    <s v="COLLPA"/>
    <s v="CCOLLPA AA.HH."/>
    <s v="Rural"/>
    <n v="-13.6913"/>
    <n v="-73.365007000000006"/>
    <n v="30"/>
    <s v="SATELITAL"/>
    <s v="Sur"/>
    <x v="2"/>
    <n v="30"/>
    <n v="5"/>
    <n v="5"/>
    <n v="0.83333333333333337"/>
    <n v="5.833333333333333"/>
    <x v="0"/>
    <x v="8"/>
    <x v="2"/>
    <m/>
  </r>
  <r>
    <n v="518"/>
    <n v="917"/>
    <n v="44730"/>
    <s v="COPRODELI"/>
    <s v="APURIMAC"/>
    <s v="ANDAHUAYLAS"/>
    <s v="ANDAHUAYLAS"/>
    <s v="PALTACC"/>
    <s v="JOSE MARIA ARGUEDAS DE PALTACC 4"/>
    <s v="Rural"/>
    <n v="-13.680956"/>
    <n v="-73.409667999999996"/>
    <n v="30"/>
    <s v="SATELITAL"/>
    <s v="Sur"/>
    <x v="2"/>
    <n v="30"/>
    <n v="5"/>
    <n v="5"/>
    <n v="0.83333333333333337"/>
    <n v="5.833333333333333"/>
    <x v="0"/>
    <x v="8"/>
    <x v="2"/>
    <m/>
  </r>
  <r>
    <n v="519"/>
    <n v="918"/>
    <n v="45956"/>
    <s v="54159"/>
    <s v="APURIMAC"/>
    <s v="ANDAHUAYLAS"/>
    <s v="KISHUARA"/>
    <s v="BELEN ANTA"/>
    <s v="BELEN ANTA"/>
    <s v="Rural"/>
    <n v="-13.60665"/>
    <n v="-73.156079000000005"/>
    <n v="30"/>
    <s v="SATELITAL"/>
    <s v="Sur"/>
    <x v="2"/>
    <n v="30"/>
    <n v="5"/>
    <n v="5"/>
    <n v="0.83333333333333337"/>
    <n v="5.833333333333333"/>
    <x v="0"/>
    <x v="8"/>
    <x v="2"/>
    <m/>
  </r>
  <r>
    <n v="520"/>
    <n v="919"/>
    <n v="538982"/>
    <s v="LOS CHANKAS DE QUILLABAMBA"/>
    <s v="APURIMAC"/>
    <s v="ANDAHUAYLAS"/>
    <s v="KISHUARA"/>
    <s v="QUILLABAMBA"/>
    <s v="QUILLABAMBA"/>
    <s v="Rural"/>
    <n v="-13.631703"/>
    <n v="-73.199843000000001"/>
    <n v="30"/>
    <s v="SATELITAL"/>
    <s v="Sur"/>
    <x v="2"/>
    <n v="30"/>
    <n v="5"/>
    <n v="5"/>
    <n v="0.83333333333333337"/>
    <n v="5.833333333333333"/>
    <x v="0"/>
    <x v="8"/>
    <x v="2"/>
    <m/>
  </r>
  <r>
    <n v="521"/>
    <n v="920"/>
    <n v="46003"/>
    <s v="54706"/>
    <s v="APURIMAC"/>
    <s v="ANDAHUAYLAS"/>
    <s v="KISHUARA"/>
    <s v="SANTIAGO"/>
    <s v="SANTIAGO"/>
    <s v="Rural"/>
    <n v="-13.600227"/>
    <n v="-73.172386000000003"/>
    <n v="30"/>
    <s v="SATELITAL"/>
    <s v="Sur"/>
    <x v="2"/>
    <n v="30"/>
    <n v="5"/>
    <n v="5"/>
    <n v="0.83333333333333337"/>
    <n v="5.833333333333333"/>
    <x v="0"/>
    <x v="8"/>
    <x v="2"/>
    <m/>
  </r>
  <r>
    <n v="522"/>
    <n v="921"/>
    <n v="1250"/>
    <s v="INCA GARCILASO DE LA VEGA || 54492 INCA GARCILASO DE LA VEGA"/>
    <s v="APURIMAC"/>
    <s v="ANDAHUAYLAS"/>
    <s v="KISHUARA"/>
    <s v="SOTCCOMAYO"/>
    <s v="SOTCCOMAYO"/>
    <s v="Rural"/>
    <n v="-13.631262"/>
    <n v="-73.171323000000001"/>
    <n v="30"/>
    <s v="SATELITAL"/>
    <s v="Sur"/>
    <x v="2"/>
    <n v="30"/>
    <n v="5"/>
    <n v="5"/>
    <n v="0.83333333333333337"/>
    <n v="5.833333333333333"/>
    <x v="0"/>
    <x v="8"/>
    <x v="2"/>
    <m/>
  </r>
  <r>
    <n v="523"/>
    <n v="922"/>
    <n v="46178"/>
    <s v="54094 FEDERICO LATORRE ORMACHEA"/>
    <s v="APURIMAC"/>
    <s v="ANDAHUAYLAS"/>
    <s v="PACOBAMBA"/>
    <s v="HUANCANE"/>
    <s v="HUANCANE CRUZ PAMPA"/>
    <s v="Rural"/>
    <n v="-13.611954000000001"/>
    <n v="-73.106685999999996"/>
    <n v="30"/>
    <s v="SATELITAL"/>
    <s v="Sur"/>
    <x v="2"/>
    <n v="30"/>
    <n v="5"/>
    <n v="5"/>
    <n v="0.83333333333333337"/>
    <n v="5.833333333333333"/>
    <x v="0"/>
    <x v="8"/>
    <x v="2"/>
    <m/>
  </r>
  <r>
    <n v="524"/>
    <n v="923"/>
    <n v="46499"/>
    <s v="LUZ DIVINA DE LOS ANDES"/>
    <s v="APURIMAC"/>
    <s v="ANDAHUAYLAS"/>
    <s v="PACUCHA"/>
    <s v="COTAHUACHO ALTO"/>
    <s v="COTAHUACHO ALTO"/>
    <s v="Rural"/>
    <n v="-13.586672999999999"/>
    <n v="-73.274001999999996"/>
    <n v="30"/>
    <s v="SATELITAL"/>
    <s v="Sur"/>
    <x v="2"/>
    <n v="30"/>
    <n v="5"/>
    <n v="5"/>
    <n v="0.83333333333333337"/>
    <n v="5.833333333333333"/>
    <x v="0"/>
    <x v="8"/>
    <x v="2"/>
    <m/>
  </r>
  <r>
    <n v="525"/>
    <n v="924"/>
    <n v="46753"/>
    <s v="54208"/>
    <s v="APURIMAC"/>
    <s v="ANDAHUAYLAS"/>
    <s v="SAN ANTONIO DE CACHI"/>
    <s v="CHULLISANA"/>
    <s v="CHULLIZANA S/N"/>
    <s v="Rural"/>
    <n v="-13.813119"/>
    <n v="-73.627561999999998"/>
    <n v="30"/>
    <s v="SATELITAL"/>
    <s v="Sur"/>
    <x v="2"/>
    <n v="30"/>
    <n v="5"/>
    <n v="5"/>
    <n v="0.83333333333333337"/>
    <n v="5.833333333333333"/>
    <x v="0"/>
    <x v="8"/>
    <x v="2"/>
    <m/>
  </r>
  <r>
    <n v="526"/>
    <n v="925"/>
    <n v="47012"/>
    <s v="55006-7"/>
    <s v="APURIMAC"/>
    <s v="ANDAHUAYLAS"/>
    <s v="SAN JERONIMO"/>
    <s v="CHOCCECANCHA"/>
    <s v="CHOCCECANCHA"/>
    <s v="Rural"/>
    <n v="-13.679233"/>
    <n v="-73.267515000000003"/>
    <n v="30"/>
    <s v="SATELITAL"/>
    <s v="Sur"/>
    <x v="2"/>
    <n v="30"/>
    <n v="5"/>
    <n v="5"/>
    <n v="0.83333333333333337"/>
    <n v="5.833333333333333"/>
    <x v="0"/>
    <x v="8"/>
    <x v="2"/>
    <m/>
  </r>
  <r>
    <n v="527"/>
    <n v="926"/>
    <n v="47366"/>
    <s v="54720"/>
    <s v="APURIMAC"/>
    <s v="ANDAHUAYLAS"/>
    <s v="SANTA MARIA DE CHICMO"/>
    <s v="PUCAHUASI"/>
    <s v="PUCAHUASI"/>
    <s v="Rural"/>
    <n v="-13.674300000000001"/>
    <n v="-73.469300000000004"/>
    <n v="30"/>
    <s v="SATELITAL"/>
    <s v="Sur"/>
    <x v="2"/>
    <n v="30"/>
    <n v="5"/>
    <n v="5"/>
    <n v="0.83333333333333337"/>
    <n v="5.833333333333333"/>
    <x v="0"/>
    <x v="8"/>
    <x v="2"/>
    <m/>
  </r>
  <r>
    <n v="528"/>
    <n v="927"/>
    <n v="47601"/>
    <s v="54215"/>
    <s v="APURIMAC"/>
    <s v="ANDAHUAYLAS"/>
    <s v="TALAVERA"/>
    <s v="CCACCACHA"/>
    <s v="CCACCACHA"/>
    <s v="Rural"/>
    <n v="-13.6798"/>
    <n v="-73.456627999999995"/>
    <n v="30"/>
    <s v="SATELITAL"/>
    <s v="Sur"/>
    <x v="2"/>
    <n v="30"/>
    <n v="5"/>
    <n v="5"/>
    <n v="0.83333333333333337"/>
    <n v="5.833333333333333"/>
    <x v="0"/>
    <x v="8"/>
    <x v="2"/>
    <m/>
  </r>
  <r>
    <n v="529"/>
    <n v="928"/>
    <n v="48021"/>
    <s v="JUAN ANTONIO LIGARDA PINEDA"/>
    <s v="APURIMAC"/>
    <s v="ANDAHUAYLAS"/>
    <s v="TURPO"/>
    <s v="TURPO"/>
    <s v="SECTOR TIKAPATA"/>
    <s v="Rural"/>
    <n v="-13.7859"/>
    <n v="-73.469899999999996"/>
    <n v="30"/>
    <s v="SATELITAL"/>
    <s v="Sur"/>
    <x v="2"/>
    <n v="30"/>
    <n v="5"/>
    <n v="5"/>
    <n v="0.83333333333333337"/>
    <n v="5.833333333333333"/>
    <x v="0"/>
    <x v="8"/>
    <x v="2"/>
    <m/>
  </r>
  <r>
    <n v="530"/>
    <n v="929"/>
    <n v="53381"/>
    <s v="54819-6"/>
    <s v="APURIMAC"/>
    <s v="CHINCHEROS"/>
    <s v="ANCO_HUALLO"/>
    <s v="BUENA VISTA"/>
    <s v="AVENIDA VIRGEN DE COCHARCAS BUENA VISTA S/N"/>
    <s v="Rural"/>
    <n v="-13.536746000000001"/>
    <n v="-73.662899999999993"/>
    <n v="30"/>
    <s v="SATELITAL"/>
    <s v="Sur"/>
    <x v="2"/>
    <n v="30"/>
    <n v="5"/>
    <n v="5"/>
    <n v="0.83333333333333337"/>
    <n v="5.833333333333333"/>
    <x v="0"/>
    <x v="8"/>
    <x v="2"/>
    <m/>
  </r>
  <r>
    <n v="531"/>
    <n v="930"/>
    <n v="52857"/>
    <s v="ANDRES AVELLINO CACERES"/>
    <s v="APURIMAC"/>
    <s v="CHINCHEROS"/>
    <s v="HUACCANA"/>
    <s v="HUARAPARI"/>
    <s v="HUARAPARI"/>
    <s v="Rural"/>
    <n v="-13.354924"/>
    <n v="-73.674785999999997"/>
    <n v="30"/>
    <s v="SATELITAL"/>
    <s v="Sur"/>
    <x v="2"/>
    <n v="30"/>
    <n v="5"/>
    <n v="5"/>
    <n v="0.83333333333333337"/>
    <n v="5.833333333333333"/>
    <x v="0"/>
    <x v="8"/>
    <x v="2"/>
    <m/>
  </r>
  <r>
    <n v="532"/>
    <n v="931"/>
    <n v="52697"/>
    <s v="54204"/>
    <s v="APURIMAC"/>
    <s v="CHINCHEROS"/>
    <s v="HUACCANA"/>
    <s v="TOCSOPAMPA"/>
    <s v="TOCCSOPAMPA"/>
    <s v="Rural"/>
    <n v="-13.360880999999999"/>
    <n v="-73.673401999999996"/>
    <n v="30"/>
    <s v="SATELITAL"/>
    <s v="Sur"/>
    <x v="2"/>
    <n v="30"/>
    <n v="5"/>
    <n v="5"/>
    <n v="0.83333333333333337"/>
    <n v="5.833333333333333"/>
    <x v="0"/>
    <x v="8"/>
    <x v="2"/>
    <m/>
  </r>
  <r>
    <n v="533"/>
    <n v="932"/>
    <n v="51462"/>
    <s v="50683"/>
    <s v="APURIMAC"/>
    <s v="COTABAMBAS"/>
    <s v="HAQUIRA"/>
    <s v="HUILLUCA"/>
    <s v="HUILLUCA"/>
    <s v="Rural"/>
    <n v="-14.345227"/>
    <n v="-72.189228"/>
    <n v="30"/>
    <s v="SATELITAL"/>
    <s v="Sur"/>
    <x v="2"/>
    <n v="30"/>
    <n v="5"/>
    <n v="5"/>
    <n v="0.83333333333333337"/>
    <n v="5.833333333333333"/>
    <x v="0"/>
    <x v="8"/>
    <x v="2"/>
    <m/>
  </r>
  <r>
    <n v="534"/>
    <n v="933"/>
    <n v="541828"/>
    <s v="NUESTRA SEÑORA DEL CARMEN"/>
    <s v="APURIMAC"/>
    <s v="COTABAMBAS"/>
    <s v="HAQUIRA"/>
    <s v="PATAN"/>
    <s v="PATAN"/>
    <s v="Rural"/>
    <n v="-14.298581"/>
    <n v="-72.275953000000001"/>
    <n v="30"/>
    <s v="SATELITAL"/>
    <s v="Sur"/>
    <x v="2"/>
    <n v="30"/>
    <n v="5"/>
    <n v="5"/>
    <n v="0.83333333333333337"/>
    <n v="5.833333333333333"/>
    <x v="0"/>
    <x v="8"/>
    <x v="2"/>
    <m/>
  </r>
  <r>
    <n v="535"/>
    <n v="934"/>
    <n v="63785"/>
    <s v="40217 VIRGEN DE LA ASUNTA"/>
    <s v="AREQUIPA"/>
    <s v="AREQUIPA"/>
    <s v="SAN JUAN DE TARUCANI"/>
    <s v="SALINAS HUITO"/>
    <s v="CARRETERA A PUNO KM.120"/>
    <s v="Rural"/>
    <n v="-16.321065999999998"/>
    <n v="-71.151083999999997"/>
    <n v="30"/>
    <s v="SATELITAL"/>
    <s v="Sur"/>
    <x v="2"/>
    <n v="30"/>
    <n v="5"/>
    <n v="5"/>
    <n v="0.83333333333333337"/>
    <n v="5.833333333333333"/>
    <x v="0"/>
    <x v="9"/>
    <x v="2"/>
    <m/>
  </r>
  <r>
    <n v="536"/>
    <n v="935"/>
    <n v="67123"/>
    <s v="40203 TUPAC AMARU"/>
    <s v="AREQUIPA"/>
    <s v="CAMANA"/>
    <s v="SAMUEL PASTOR"/>
    <s v="LA PAMPA"/>
    <s v="CALLE PRINCIPAL MZ G LOTE 8"/>
    <s v="Urbana"/>
    <n v="-16.599882000000001"/>
    <n v="-72.694834999999998"/>
    <n v="30"/>
    <s v="SATELITAL"/>
    <s v="Sur"/>
    <x v="2"/>
    <n v="30"/>
    <n v="5"/>
    <n v="5"/>
    <n v="0.83333333333333337"/>
    <n v="5.833333333333333"/>
    <x v="0"/>
    <x v="9"/>
    <x v="2"/>
    <m/>
  </r>
  <r>
    <n v="537"/>
    <n v="936"/>
    <n v="68603"/>
    <s v="40573"/>
    <s v="AREQUIPA"/>
    <s v="CASTILLA"/>
    <s v="CHACHAS"/>
    <s v="HUARACOPALLCA"/>
    <s v="HUAROCOPALCA"/>
    <s v="Rural"/>
    <n v="-14.90096"/>
    <n v="-72.025279999999995"/>
    <n v="30"/>
    <s v="SATELITAL"/>
    <s v="Sur"/>
    <x v="2"/>
    <n v="30"/>
    <n v="5"/>
    <n v="5"/>
    <n v="0.83333333333333337"/>
    <n v="5.833333333333333"/>
    <x v="0"/>
    <x v="8"/>
    <x v="2"/>
    <m/>
  </r>
  <r>
    <n v="538"/>
    <n v="937"/>
    <n v="70007"/>
    <s v="40406"/>
    <s v="AREQUIPA"/>
    <s v="CAYLLOMA"/>
    <s v="CAYLLOMA"/>
    <s v="CUCHO CAPILLA"/>
    <s v="CUCHO CAPILLA"/>
    <s v="Rural"/>
    <n v="-14.961695000000001"/>
    <n v="-71.836287999999996"/>
    <n v="30"/>
    <s v="SATELITAL"/>
    <s v="Sur"/>
    <x v="2"/>
    <n v="30"/>
    <n v="5"/>
    <n v="5"/>
    <n v="0.83333333333333337"/>
    <n v="5.833333333333333"/>
    <x v="0"/>
    <x v="9"/>
    <x v="2"/>
    <m/>
  </r>
  <r>
    <n v="539"/>
    <n v="938"/>
    <n v="69985"/>
    <s v="40030 SAN FRANCISCO DE ASIS"/>
    <s v="AREQUIPA"/>
    <s v="CAYLLOMA"/>
    <s v="CAYLLOMA"/>
    <s v="JACHAÑA"/>
    <s v="JACHAÑA"/>
    <s v="Rural"/>
    <n v="-14.914781"/>
    <n v="-71.875069999999994"/>
    <n v="30"/>
    <s v="SATELITAL"/>
    <s v="Sur"/>
    <x v="2"/>
    <n v="30"/>
    <n v="5"/>
    <n v="5"/>
    <n v="0.83333333333333337"/>
    <n v="5.833333333333333"/>
    <x v="0"/>
    <x v="9"/>
    <x v="2"/>
    <m/>
  </r>
  <r>
    <n v="540"/>
    <n v="939"/>
    <n v="70979"/>
    <s v="40398"/>
    <s v="AREQUIPA"/>
    <s v="CAYLLOMA"/>
    <s v="SAN ANTONIO DE CHUCA"/>
    <s v="COLCA HUALLATA"/>
    <s v="COLCA HUALLATA"/>
    <s v="Rural"/>
    <n v="-15.675985000000001"/>
    <n v="-71.047763000000003"/>
    <n v="30"/>
    <s v="SATELITAL"/>
    <s v="Sur"/>
    <x v="2"/>
    <n v="30"/>
    <n v="5"/>
    <n v="5"/>
    <n v="0.83333333333333337"/>
    <n v="5.833333333333333"/>
    <x v="0"/>
    <x v="9"/>
    <x v="2"/>
    <m/>
  </r>
  <r>
    <n v="541"/>
    <n v="940"/>
    <n v="71196"/>
    <s v="40395"/>
    <s v="AREQUIPA"/>
    <s v="CAYLLOMA"/>
    <s v="TISCO"/>
    <s v="COTA COTA"/>
    <s v="CALLE LA PAZ S/N"/>
    <s v="Rural"/>
    <n v="-15.215299999999999"/>
    <n v="-71.388199999999998"/>
    <n v="30"/>
    <s v="SATELITAL"/>
    <s v="Sur"/>
    <x v="2"/>
    <n v="30"/>
    <n v="5"/>
    <n v="5"/>
    <n v="0.83333333333333337"/>
    <n v="5.833333333333333"/>
    <x v="0"/>
    <x v="9"/>
    <x v="2"/>
    <m/>
  </r>
  <r>
    <n v="542"/>
    <n v="941"/>
    <n v="71766"/>
    <s v="40568 || ARCATA"/>
    <s v="AREQUIPA"/>
    <s v="CONDESUYOS"/>
    <s v="CAYARANI"/>
    <s v="ARCATA"/>
    <s v="ARCATA PUEBLO"/>
    <s v="Rural"/>
    <n v="-15.0412"/>
    <n v="-72.2761"/>
    <n v="30"/>
    <s v="SATELITAL"/>
    <s v="Sur"/>
    <x v="2"/>
    <n v="30"/>
    <n v="5"/>
    <n v="5"/>
    <n v="0.83333333333333337"/>
    <n v="5.833333333333333"/>
    <x v="0"/>
    <x v="8"/>
    <x v="2"/>
    <m/>
  </r>
  <r>
    <n v="543"/>
    <n v="942"/>
    <n v="71629"/>
    <s v="SAN LUIS GONZAGA"/>
    <s v="AREQUIPA"/>
    <s v="CONDESUYOS"/>
    <s v="CHUQUIBAMBA"/>
    <s v="CHUQUIBAMBA"/>
    <s v="JIRON IRAY S/N"/>
    <s v="Urbana"/>
    <n v="-15.843025000000001"/>
    <n v="-72.649413999999993"/>
    <n v="30"/>
    <s v="SATELITAL"/>
    <s v="Sur"/>
    <x v="2"/>
    <n v="30"/>
    <n v="5"/>
    <n v="5"/>
    <n v="0.83333333333333337"/>
    <n v="5.833333333333333"/>
    <x v="0"/>
    <x v="8"/>
    <x v="2"/>
    <m/>
  </r>
  <r>
    <n v="544"/>
    <n v="943"/>
    <n v="72737"/>
    <s v="41513 SAGRADO CORAZON DE JESUS"/>
    <s v="AREQUIPA"/>
    <s v="ISLAY"/>
    <s v="COCACHACRA"/>
    <s v="CHUCARAPI"/>
    <s v="AVENIDA PERU S/N"/>
    <s v="Rural"/>
    <n v="-17.070429000000001"/>
    <n v="-71.724771000000004"/>
    <n v="30"/>
    <s v="SATELITAL"/>
    <s v="Sur"/>
    <x v="2"/>
    <n v="30"/>
    <n v="5"/>
    <n v="5"/>
    <n v="0.83333333333333337"/>
    <n v="5.833333333333333"/>
    <x v="0"/>
    <x v="9"/>
    <x v="2"/>
    <m/>
  </r>
  <r>
    <n v="545"/>
    <n v="944"/>
    <n v="72742"/>
    <s v="CHUCARAPI"/>
    <s v="AREQUIPA"/>
    <s v="ISLAY"/>
    <s v="COCACHACRA"/>
    <s v="CHUCARAPI"/>
    <s v="CALLE VILLA HERMOSA"/>
    <s v="Rural"/>
    <n v="-17.070667"/>
    <n v="-71.724081999999996"/>
    <n v="30"/>
    <s v="SATELITAL"/>
    <s v="Sur"/>
    <x v="2"/>
    <n v="30"/>
    <n v="5"/>
    <n v="5"/>
    <n v="0.83333333333333337"/>
    <n v="5.833333333333333"/>
    <x v="0"/>
    <x v="9"/>
    <x v="2"/>
    <m/>
  </r>
  <r>
    <n v="546"/>
    <n v="945"/>
    <n v="72978"/>
    <s v="40505"/>
    <s v="AREQUIPA"/>
    <s v="ISLAY"/>
    <s v="PUNTA DE BOMBON"/>
    <s v="BOMBON"/>
    <s v="CALLE SAN MARTIN S/N"/>
    <s v="Rural"/>
    <n v="-17.171946999999999"/>
    <n v="-71.807480999999996"/>
    <n v="30"/>
    <s v="SATELITAL"/>
    <s v="Sur"/>
    <x v="2"/>
    <n v="30"/>
    <n v="5"/>
    <n v="5"/>
    <n v="0.83333333333333337"/>
    <n v="5.833333333333333"/>
    <x v="0"/>
    <x v="9"/>
    <x v="2"/>
    <m/>
  </r>
  <r>
    <n v="547"/>
    <n v="946"/>
    <n v="73341"/>
    <s v="PIRAMARCA || 40545"/>
    <s v="AREQUIPA"/>
    <s v="LA UNION"/>
    <s v="HUAYNACOTAS"/>
    <s v="PIRAMARCA"/>
    <s v="PLAZA PRINCIPAL"/>
    <s v="Rural"/>
    <n v="-15.0937"/>
    <n v="-72.778300000000002"/>
    <n v="30"/>
    <s v="SATELITAL"/>
    <s v="Sur"/>
    <x v="2"/>
    <n v="30"/>
    <n v="5"/>
    <n v="5"/>
    <n v="0.83333333333333337"/>
    <n v="5.833333333333333"/>
    <x v="0"/>
    <x v="8"/>
    <x v="2"/>
    <m/>
  </r>
  <r>
    <n v="548"/>
    <n v="947"/>
    <n v="73303"/>
    <s v="40520 GREGORIO SEGOVIA"/>
    <s v="AREQUIPA"/>
    <s v="LA UNION"/>
    <s v="HUAYNACOTAS"/>
    <s v="VISBE"/>
    <s v="PLAZA PRINCIPAL"/>
    <s v="Rural"/>
    <n v="-15.149554"/>
    <n v="-72.819957000000002"/>
    <n v="30"/>
    <s v="SATELITAL"/>
    <s v="Sur"/>
    <x v="2"/>
    <n v="30"/>
    <n v="5"/>
    <n v="5"/>
    <n v="0.83333333333333337"/>
    <n v="5.833333333333333"/>
    <x v="0"/>
    <x v="8"/>
    <x v="2"/>
    <m/>
  </r>
  <r>
    <n v="549"/>
    <n v="948"/>
    <n v="77872"/>
    <s v="MARIA PARADO DE BELLIDO"/>
    <s v="AYACUCHO"/>
    <s v="CANGALLO"/>
    <s v="CANGALLO"/>
    <s v="CANGALLO"/>
    <s v="AVENIDA VICTOR FAJARDO S/N"/>
    <s v="Urbana"/>
    <n v="-13.631819999999999"/>
    <n v="-74.142240000000001"/>
    <n v="30"/>
    <s v="SATELITAL"/>
    <s v="Sur"/>
    <x v="2"/>
    <n v="30"/>
    <n v="5"/>
    <n v="5"/>
    <n v="0.83333333333333337"/>
    <n v="5.833333333333333"/>
    <x v="0"/>
    <x v="8"/>
    <x v="2"/>
    <m/>
  </r>
  <r>
    <n v="550"/>
    <n v="949"/>
    <n v="78051"/>
    <s v="38545"/>
    <s v="AYACUCHO"/>
    <s v="CANGALLO"/>
    <s v="CHUSCHI"/>
    <s v="CCOTARARA"/>
    <s v="PLAZA PRINCIPAL"/>
    <s v="Rural"/>
    <n v="-13.597"/>
    <n v="-74.327200000000005"/>
    <n v="30"/>
    <s v="SATELITAL"/>
    <s v="Sur"/>
    <x v="2"/>
    <n v="30"/>
    <n v="5"/>
    <n v="5"/>
    <n v="0.83333333333333337"/>
    <n v="5.833333333333333"/>
    <x v="0"/>
    <x v="7"/>
    <x v="2"/>
    <m/>
  </r>
  <r>
    <n v="551"/>
    <n v="950"/>
    <n v="78131"/>
    <s v="38862"/>
    <s v="AYACUCHO"/>
    <s v="CANGALLO"/>
    <s v="CHUSCHI"/>
    <s v="HUERTAHUASI"/>
    <s v="PARQUE PLAZA PRINCIPAL S/N"/>
    <s v="Rural"/>
    <n v="-13.5321"/>
    <n v="-74.430499999999995"/>
    <n v="30"/>
    <s v="SATELITAL"/>
    <s v="Sur"/>
    <x v="2"/>
    <n v="30"/>
    <n v="5"/>
    <n v="5"/>
    <n v="0.83333333333333337"/>
    <n v="5.833333333333333"/>
    <x v="0"/>
    <x v="7"/>
    <x v="2"/>
    <m/>
  </r>
  <r>
    <n v="552"/>
    <n v="951"/>
    <n v="78126"/>
    <s v="38858"/>
    <s v="AYACUCHO"/>
    <s v="CANGALLO"/>
    <s v="CHUSCHI"/>
    <s v="KALLCABAMBA"/>
    <s v="PLAZA PRINCIPAL"/>
    <s v="Rural"/>
    <n v="-13.589510000000001"/>
    <n v="-74.327979999999997"/>
    <n v="30"/>
    <s v="SATELITAL"/>
    <s v="Sur"/>
    <x v="2"/>
    <n v="30"/>
    <n v="5"/>
    <n v="5"/>
    <n v="0.83333333333333337"/>
    <n v="5.833333333333333"/>
    <x v="0"/>
    <x v="7"/>
    <x v="2"/>
    <m/>
  </r>
  <r>
    <n v="553"/>
    <n v="952"/>
    <n v="78107"/>
    <s v="38792"/>
    <s v="AYACUCHO"/>
    <s v="CANGALLO"/>
    <s v="CHUSCHI"/>
    <s v="PAMPAMARCA"/>
    <s v="PLAZA PRINCIPAL"/>
    <s v="Rural"/>
    <n v="-13.4482"/>
    <n v="-74.348100000000002"/>
    <n v="30"/>
    <s v="SATELITAL"/>
    <s v="Sur"/>
    <x v="2"/>
    <n v="30"/>
    <n v="5"/>
    <n v="5"/>
    <n v="0.83333333333333337"/>
    <n v="5.833333333333333"/>
    <x v="0"/>
    <x v="7"/>
    <x v="2"/>
    <m/>
  </r>
  <r>
    <n v="554"/>
    <n v="953"/>
    <n v="78046"/>
    <s v="38543"/>
    <s v="AYACUCHO"/>
    <s v="CANGALLO"/>
    <s v="CHUSCHI"/>
    <s v="PUNCUPATA"/>
    <s v="PLAZA PRINCIPAL"/>
    <s v="Urbana"/>
    <n v="-13.4663"/>
    <n v="-74.400800000000004"/>
    <n v="30"/>
    <s v="SATELITAL"/>
    <s v="Sur"/>
    <x v="2"/>
    <n v="30"/>
    <n v="5"/>
    <n v="5"/>
    <n v="0.83333333333333337"/>
    <n v="5.833333333333333"/>
    <x v="0"/>
    <x v="7"/>
    <x v="2"/>
    <m/>
  </r>
  <r>
    <n v="555"/>
    <n v="954"/>
    <n v="78150"/>
    <s v="38940"/>
    <s v="AYACUCHO"/>
    <s v="CANGALLO"/>
    <s v="CHUSCHI"/>
    <s v="RUMICHACA"/>
    <s v="PLAZA PRINCIPAL"/>
    <s v="Rural"/>
    <n v="-13.341144999999999"/>
    <n v="-74.540069000000003"/>
    <n v="30"/>
    <s v="SATELITAL"/>
    <s v="Sur"/>
    <x v="2"/>
    <n v="30"/>
    <n v="5"/>
    <n v="5"/>
    <n v="0.83333333333333337"/>
    <n v="5.833333333333333"/>
    <x v="0"/>
    <x v="7"/>
    <x v="2"/>
    <m/>
  </r>
  <r>
    <n v="556"/>
    <n v="955"/>
    <n v="78112"/>
    <s v="38793"/>
    <s v="AYACUCHO"/>
    <s v="CANGALLO"/>
    <s v="CHUSCHI"/>
    <s v="TUCO"/>
    <s v="PLAZA PRINCIPAL S/N"/>
    <s v="Rural"/>
    <n v="-13.500373"/>
    <n v="-74.470556999999999"/>
    <n v="30"/>
    <s v="SATELITAL"/>
    <s v="Sur"/>
    <x v="2"/>
    <n v="30"/>
    <n v="5"/>
    <n v="5"/>
    <n v="0.83333333333333337"/>
    <n v="5.833333333333333"/>
    <x v="0"/>
    <x v="7"/>
    <x v="2"/>
    <m/>
  </r>
  <r>
    <n v="557"/>
    <n v="956"/>
    <n v="78348"/>
    <s v="38590"/>
    <s v="AYACUCHO"/>
    <s v="CANGALLO"/>
    <s v="LOS MOROCHUCOS"/>
    <s v="CUCHUCANCHA"/>
    <s v="PLAZA PRINCIPAL"/>
    <s v="Rural"/>
    <n v="-13.5313"/>
    <n v="-74.207700000000003"/>
    <n v="30"/>
    <s v="SATELITAL"/>
    <s v="Sur"/>
    <x v="2"/>
    <n v="30"/>
    <n v="5"/>
    <n v="5"/>
    <n v="0.83333333333333337"/>
    <n v="5.833333333333333"/>
    <x v="0"/>
    <x v="7"/>
    <x v="2"/>
    <m/>
  </r>
  <r>
    <n v="558"/>
    <n v="957"/>
    <n v="78287"/>
    <s v="38197"/>
    <s v="AYACUCHO"/>
    <s v="CANGALLO"/>
    <s v="LOS MOROCHUCOS"/>
    <s v="SATICA"/>
    <s v="PLAZA PRINCIPAL"/>
    <s v="Rural"/>
    <n v="-13.4338"/>
    <n v="-74.267399999999995"/>
    <n v="30"/>
    <s v="SATELITAL"/>
    <s v="Sur"/>
    <x v="2"/>
    <n v="30"/>
    <n v="5"/>
    <n v="5"/>
    <n v="0.83333333333333337"/>
    <n v="5.833333333333333"/>
    <x v="0"/>
    <x v="7"/>
    <x v="2"/>
    <m/>
  </r>
  <r>
    <n v="559"/>
    <n v="958"/>
    <n v="78433"/>
    <s v="38589 MARTIN CASTO CAMPOS"/>
    <s v="AYACUCHO"/>
    <s v="CANGALLO"/>
    <s v="MARIA PARADO DE BELLIDO"/>
    <s v="SANTA CRUZ DE ÑUÑUNHUAYCCO"/>
    <s v="PARQUE PLAZA PRINCIPAL S/N"/>
    <s v="Rural"/>
    <n v="-13.565200000000001"/>
    <n v="-74.278899999999993"/>
    <n v="30"/>
    <s v="SATELITAL"/>
    <s v="Sur"/>
    <x v="2"/>
    <n v="30"/>
    <n v="5"/>
    <n v="5"/>
    <n v="0.83333333333333337"/>
    <n v="5.833333333333333"/>
    <x v="0"/>
    <x v="7"/>
    <x v="2"/>
    <m/>
  </r>
  <r>
    <n v="560"/>
    <n v="959"/>
    <n v="78758"/>
    <s v="INDEPENDENCIA AMERICANA"/>
    <s v="AYACUCHO"/>
    <s v="CANGALLO"/>
    <s v="PARAS"/>
    <s v="CCARHUACC LICAPA"/>
    <s v="PARQUE PRINCIPAL CCARHUACC LICAPA S/N"/>
    <s v="Rural"/>
    <n v="-13.357967"/>
    <n v="-74.859133999999997"/>
    <n v="30"/>
    <s v="SATELITAL"/>
    <s v="Sur"/>
    <x v="2"/>
    <n v="30"/>
    <n v="5"/>
    <n v="5"/>
    <n v="0.83333333333333337"/>
    <n v="5.833333333333333"/>
    <x v="0"/>
    <x v="7"/>
    <x v="2"/>
    <m/>
  </r>
  <r>
    <n v="561"/>
    <n v="960"/>
    <n v="78598"/>
    <s v="38206"/>
    <s v="AYACUCHO"/>
    <s v="CANGALLO"/>
    <s v="PARAS"/>
    <s v="CHALANA"/>
    <s v="PLAZA PRINCIPAL"/>
    <s v="Rural"/>
    <n v="-13.527200000000001"/>
    <n v="-74.607900000000001"/>
    <n v="30"/>
    <s v="SATELITAL"/>
    <s v="Sur"/>
    <x v="2"/>
    <n v="30"/>
    <n v="5"/>
    <n v="5"/>
    <n v="0.83333333333333337"/>
    <n v="5.833333333333333"/>
    <x v="0"/>
    <x v="7"/>
    <x v="2"/>
    <m/>
  </r>
  <r>
    <n v="562"/>
    <n v="961"/>
    <n v="78640"/>
    <s v="38652"/>
    <s v="AYACUCHO"/>
    <s v="CANGALLO"/>
    <s v="PARAS"/>
    <s v="LLANTALLACCTA"/>
    <s v="PLAZA PRINCIPAL"/>
    <s v="Rural"/>
    <n v="-13.517300000000001"/>
    <n v="-74.6554"/>
    <n v="30"/>
    <s v="SATELITAL"/>
    <s v="Sur"/>
    <x v="2"/>
    <n v="30"/>
    <n v="5"/>
    <n v="5"/>
    <n v="0.83333333333333337"/>
    <n v="5.833333333333333"/>
    <x v="0"/>
    <x v="7"/>
    <x v="2"/>
    <m/>
  </r>
  <r>
    <n v="563"/>
    <n v="962"/>
    <n v="78621"/>
    <s v="38209"/>
    <s v="AYACUCHO"/>
    <s v="CANGALLO"/>
    <s v="PARAS"/>
    <s v="SANTA CRUZ DE HOSPICIO"/>
    <s v="PLAZA PRINCIPAL"/>
    <s v="Rural"/>
    <n v="-13.440597"/>
    <n v="-74.796152000000006"/>
    <n v="30"/>
    <s v="SATELITAL"/>
    <s v="Sur"/>
    <x v="2"/>
    <n v="30"/>
    <n v="5"/>
    <n v="5"/>
    <n v="0.83333333333333337"/>
    <n v="5.833333333333333"/>
    <x v="0"/>
    <x v="7"/>
    <x v="2"/>
    <m/>
  </r>
  <r>
    <n v="564"/>
    <n v="963"/>
    <n v="78560"/>
    <s v="38203"/>
    <s v="AYACUCHO"/>
    <s v="CANGALLO"/>
    <s v="PARAS"/>
    <s v="VISTA ALEGRE DE CCARHUACCOCCO"/>
    <s v="PLAZA PRINCIPAL"/>
    <s v="Rural"/>
    <n v="-13.5573"/>
    <n v="-74.732699999999994"/>
    <n v="30"/>
    <s v="SATELITAL"/>
    <s v="Sur"/>
    <x v="2"/>
    <n v="30"/>
    <n v="5"/>
    <n v="5"/>
    <n v="0.83333333333333337"/>
    <n v="5.833333333333333"/>
    <x v="0"/>
    <x v="7"/>
    <x v="2"/>
    <m/>
  </r>
  <r>
    <n v="565"/>
    <n v="964"/>
    <n v="78904"/>
    <s v="ANDRES AVELINO CACERES"/>
    <s v="AYACUCHO"/>
    <s v="CANGALLO"/>
    <s v="TOTOS"/>
    <s v="QUIÑASI"/>
    <s v="PLAZA PRINCIPAL"/>
    <s v="Rural"/>
    <n v="-13.579542999999999"/>
    <n v="-74.469108000000006"/>
    <n v="30"/>
    <s v="SATELITAL"/>
    <s v="Sur"/>
    <x v="2"/>
    <n v="30"/>
    <n v="5"/>
    <n v="5"/>
    <n v="0.83333333333333337"/>
    <n v="5.833333333333333"/>
    <x v="0"/>
    <x v="7"/>
    <x v="2"/>
    <m/>
  </r>
  <r>
    <n v="566"/>
    <n v="965"/>
    <n v="78796"/>
    <s v="38140"/>
    <s v="AYACUCHO"/>
    <s v="CANGALLO"/>
    <s v="TOTOS"/>
    <s v="VERACRUZ"/>
    <s v="PARQUE PLAZA PRINCIPAL S/N"/>
    <s v="Rural"/>
    <n v="-13.569599999999999"/>
    <n v="-74.523600000000002"/>
    <n v="30"/>
    <s v="SATELITAL"/>
    <s v="Sur"/>
    <x v="2"/>
    <n v="30"/>
    <n v="5"/>
    <n v="5"/>
    <n v="0.83333333333333337"/>
    <n v="5.833333333333333"/>
    <x v="0"/>
    <x v="7"/>
    <x v="2"/>
    <m/>
  </r>
  <r>
    <n v="567"/>
    <n v="966"/>
    <n v="75038"/>
    <s v="407 HERMILIO VALDIZAN || 38033 HERMILIO VALDIZAN || HERMILIO VALDIZAN"/>
    <s v="AYACUCHO"/>
    <s v="HUAMANGA"/>
    <s v="ACOCRO"/>
    <s v="PAMPAMARCA"/>
    <s v="AVENIDA MARISCAL CACERES S/N"/>
    <s v="Rural"/>
    <n v="-13.261837999999999"/>
    <n v="-74.045748000000003"/>
    <n v="30"/>
    <s v="SATELITAL"/>
    <s v="Sur"/>
    <x v="2"/>
    <n v="30"/>
    <n v="5"/>
    <n v="5"/>
    <n v="0.83333333333333337"/>
    <n v="5.833333333333333"/>
    <x v="0"/>
    <x v="7"/>
    <x v="2"/>
    <m/>
  </r>
  <r>
    <n v="568"/>
    <n v="967"/>
    <n v="75316"/>
    <s v="38700 SN.PASTOR DE HUAMANCCOCHA"/>
    <s v="AYACUCHO"/>
    <s v="HUAMANGA"/>
    <s v="ACOS VINCHOS"/>
    <s v="HACIENDA HUAMANCONA"/>
    <s v="CARRETERA PLAZA PRINCIPAL S/N"/>
    <s v="Rural"/>
    <n v="-13.185843"/>
    <n v="-74.024786000000006"/>
    <n v="30"/>
    <s v="SATELITAL"/>
    <s v="Sur"/>
    <x v="2"/>
    <n v="30"/>
    <n v="5"/>
    <n v="5"/>
    <n v="0.83333333333333337"/>
    <n v="5.833333333333333"/>
    <x v="0"/>
    <x v="7"/>
    <x v="2"/>
    <m/>
  </r>
  <r>
    <n v="569"/>
    <n v="968"/>
    <n v="75302"/>
    <s v="38739"/>
    <s v="AYACUCHO"/>
    <s v="HUAMANGA"/>
    <s v="ACOS VINCHOS"/>
    <s v="MATARILLA"/>
    <s v="CARRETERA MATARILLA S/N COMUNIDAD CAMPESINA"/>
    <s v="Rural"/>
    <n v="-13.162986999999999"/>
    <n v="-74.063675000000003"/>
    <n v="30"/>
    <s v="SATELITAL"/>
    <s v="Sur"/>
    <x v="2"/>
    <n v="30"/>
    <n v="5"/>
    <n v="5"/>
    <n v="0.83333333333333337"/>
    <n v="5.833333333333333"/>
    <x v="0"/>
    <x v="7"/>
    <x v="2"/>
    <m/>
  </r>
  <r>
    <n v="570"/>
    <n v="969"/>
    <n v="74406"/>
    <s v="38012 SEÑOR AMANCAES"/>
    <s v="AYACUCHO"/>
    <s v="HUAMANGA"/>
    <s v="ANDRES AVELINO CACERES DORREGARAY"/>
    <s v="CONCHOPATA"/>
    <s v="AMANCAES"/>
    <s v="Urbana"/>
    <n v="-13.16319"/>
    <n v="-74.217389999999995"/>
    <n v="30"/>
    <s v="SATELITAL"/>
    <s v="Sur"/>
    <x v="2"/>
    <n v="30"/>
    <n v="5"/>
    <n v="5"/>
    <n v="0.83333333333333337"/>
    <n v="5.833333333333333"/>
    <x v="0"/>
    <x v="7"/>
    <x v="2"/>
    <m/>
  </r>
  <r>
    <n v="571"/>
    <n v="970"/>
    <n v="74350"/>
    <s v="NUESTRA SEÑORA DE LAS MERCEDES"/>
    <s v="AYACUCHO"/>
    <s v="HUAMANGA"/>
    <s v="ANDRES AVELINO CACERES DORREGARAY"/>
    <s v="JARDIN"/>
    <s v="AVENIDA LAS MERCEDES 351"/>
    <s v="Urbana"/>
    <n v="-13.16197"/>
    <n v="-74.210880000000003"/>
    <n v="30"/>
    <s v="SATELITAL"/>
    <s v="Sur"/>
    <x v="2"/>
    <n v="30"/>
    <n v="5"/>
    <n v="5"/>
    <n v="0.83333333333333337"/>
    <n v="5.833333333333333"/>
    <x v="0"/>
    <x v="7"/>
    <x v="2"/>
    <m/>
  </r>
  <r>
    <n v="572"/>
    <n v="971"/>
    <n v="74326"/>
    <s v="38060 SIMON BOLIVAR"/>
    <s v="AYACUCHO"/>
    <s v="HUAMANGA"/>
    <s v="ANDRES AVELINO CACERES DORREGARAY"/>
    <s v="SANTA ELENA"/>
    <s v="JIRON TACNA 385"/>
    <s v="Urbana"/>
    <n v="-13.1707"/>
    <n v="-74.198406000000006"/>
    <n v="30"/>
    <s v="SATELITAL"/>
    <s v="Sur"/>
    <x v="2"/>
    <n v="30"/>
    <n v="5"/>
    <n v="5"/>
    <n v="0.83333333333333337"/>
    <n v="5.833333333333333"/>
    <x v="0"/>
    <x v="7"/>
    <x v="2"/>
    <m/>
  </r>
  <r>
    <n v="573"/>
    <n v="972"/>
    <n v="74294"/>
    <s v="39003 CORAZON DE JESUS"/>
    <s v="AYACUCHO"/>
    <s v="HUAMANGA"/>
    <s v="AYACUCHO"/>
    <s v="16 DE ABRIL"/>
    <s v="16 DE ABRIL"/>
    <s v="Urbana"/>
    <n v="-13.15366"/>
    <n v="-74.231470000000002"/>
    <n v="30"/>
    <s v="SATELITAL"/>
    <s v="Sur"/>
    <x v="2"/>
    <n v="30"/>
    <n v="5"/>
    <n v="5"/>
    <n v="0.83333333333333337"/>
    <n v="5.833333333333333"/>
    <x v="0"/>
    <x v="7"/>
    <x v="2"/>
    <m/>
  </r>
  <r>
    <n v="574"/>
    <n v="973"/>
    <n v="73968"/>
    <s v="GUAMAN POMA DE AYALA"/>
    <s v="AYACUCHO"/>
    <s v="HUAMANGA"/>
    <s v="AYACUCHO"/>
    <s v="AYACUCHO"/>
    <s v="PASAJE HUAMAN POMA S/N"/>
    <s v="Urbana"/>
    <n v="-13.149660000000001"/>
    <n v="-74.218100000000007"/>
    <n v="30"/>
    <s v="SATELITAL"/>
    <s v="Sur"/>
    <x v="2"/>
    <n v="30"/>
    <n v="5"/>
    <n v="5"/>
    <n v="0.83333333333333337"/>
    <n v="5.833333333333333"/>
    <x v="0"/>
    <x v="7"/>
    <x v="2"/>
    <m/>
  </r>
  <r>
    <n v="575"/>
    <n v="974"/>
    <n v="74147"/>
    <s v="MARISCAL CACERES"/>
    <s v="AYACUCHO"/>
    <s v="HUAMANGA"/>
    <s v="AYACUCHO"/>
    <s v="AYACUCHO"/>
    <s v="AVENIDA INDEPENDENCIA 435"/>
    <s v="Urbana"/>
    <n v="-13.150309999999999"/>
    <n v="-74.223240000000004"/>
    <n v="30"/>
    <s v="SATELITAL"/>
    <s v="Sur"/>
    <x v="2"/>
    <n v="30"/>
    <n v="5"/>
    <n v="5"/>
    <n v="0.83333333333333337"/>
    <n v="5.833333333333333"/>
    <x v="0"/>
    <x v="7"/>
    <x v="2"/>
    <m/>
  </r>
  <r>
    <n v="576"/>
    <n v="975"/>
    <n v="74166"/>
    <s v="38018 DE MARAVILLAS || 38018"/>
    <s v="AYACUCHO"/>
    <s v="HUAMANGA"/>
    <s v="AYACUCHO"/>
    <s v="AYACUCHO"/>
    <s v="JIRON GARCILAZO DE LA VEGA 878"/>
    <s v="Urbana"/>
    <n v="-13.15254"/>
    <n v="-74.225610000000003"/>
    <n v="30"/>
    <s v="SATELITAL"/>
    <s v="Sur"/>
    <x v="2"/>
    <n v="30"/>
    <n v="5"/>
    <n v="5"/>
    <n v="0.83333333333333337"/>
    <n v="5.833333333333333"/>
    <x v="0"/>
    <x v="7"/>
    <x v="2"/>
    <m/>
  </r>
  <r>
    <n v="577"/>
    <n v="976"/>
    <n v="74208"/>
    <s v="LOS LIBERTADORES"/>
    <s v="AYACUCHO"/>
    <s v="HUAMANGA"/>
    <s v="AYACUCHO"/>
    <s v="AYACUCHO"/>
    <s v="JIRON JOSE OLAYA 277"/>
    <s v="Urbana"/>
    <n v="-13.157249999999999"/>
    <n v="-74.230760000000004"/>
    <n v="30"/>
    <s v="SATELITAL"/>
    <s v="Sur"/>
    <x v="2"/>
    <n v="30"/>
    <n v="5"/>
    <n v="5"/>
    <n v="0.83333333333333337"/>
    <n v="5.833333333333333"/>
    <x v="0"/>
    <x v="7"/>
    <x v="2"/>
    <m/>
  </r>
  <r>
    <n v="578"/>
    <n v="977"/>
    <n v="74227"/>
    <s v="38001 GUSTAVO CASTRO PANTOJA"/>
    <s v="AYACUCHO"/>
    <s v="HUAMANGA"/>
    <s v="AYACUCHO"/>
    <s v="AYACUCHO"/>
    <s v="JIRON GARCILAZO DE LA VEGA 111"/>
    <s v="Urbana"/>
    <n v="-13.16038"/>
    <n v="-74.227699999999999"/>
    <n v="30"/>
    <s v="SATELITAL"/>
    <s v="Sur"/>
    <x v="2"/>
    <n v="30"/>
    <n v="5"/>
    <n v="5"/>
    <n v="0.83333333333333337"/>
    <n v="5.833333333333333"/>
    <x v="0"/>
    <x v="7"/>
    <x v="2"/>
    <m/>
  </r>
  <r>
    <n v="579"/>
    <n v="978"/>
    <n v="74265"/>
    <s v="38059 ABILIO SOTO YUPANQUI"/>
    <s v="AYACUCHO"/>
    <s v="HUAMANGA"/>
    <s v="AYACUCHO"/>
    <s v="AYACUCHO"/>
    <s v="AVENIDA ARRIBA PERU 303"/>
    <s v="Urbana"/>
    <n v="-13.15826"/>
    <n v="-74.234999999999999"/>
    <n v="30"/>
    <s v="SATELITAL"/>
    <s v="Sur"/>
    <x v="2"/>
    <n v="30"/>
    <n v="5"/>
    <n v="5"/>
    <n v="0.83333333333333337"/>
    <n v="5.833333333333333"/>
    <x v="0"/>
    <x v="7"/>
    <x v="2"/>
    <m/>
  </r>
  <r>
    <n v="580"/>
    <n v="979"/>
    <n v="74289"/>
    <s v="39002 MARIA PARADO DE BELLIDO || MARIA PARADO DE BELIDO"/>
    <s v="AYACUCHO"/>
    <s v="HUAMANGA"/>
    <s v="AYACUCHO"/>
    <s v="AYACUCHO"/>
    <s v="JIRON CALLAO 289"/>
    <s v="Urbana"/>
    <n v="-13.159269999999999"/>
    <n v="-74.228380000000001"/>
    <n v="30"/>
    <s v="SATELITAL"/>
    <s v="Sur"/>
    <x v="2"/>
    <n v="30"/>
    <n v="5"/>
    <n v="5"/>
    <n v="0.83333333333333337"/>
    <n v="5.833333333333333"/>
    <x v="0"/>
    <x v="7"/>
    <x v="2"/>
    <m/>
  </r>
  <r>
    <n v="581"/>
    <n v="980"/>
    <n v="74312"/>
    <s v="39008 YURAQ YURAQ"/>
    <s v="AYACUCHO"/>
    <s v="HUAMANGA"/>
    <s v="AYACUCHO"/>
    <s v="AYACUCHO"/>
    <s v="AVENIDA LOS ANDES 102"/>
    <s v="Urbana"/>
    <n v="-13.16113"/>
    <n v="-74.231570000000005"/>
    <n v="30"/>
    <s v="SATELITAL"/>
    <s v="Sur"/>
    <x v="2"/>
    <n v="30"/>
    <n v="5"/>
    <n v="5"/>
    <n v="0.83333333333333337"/>
    <n v="5.833333333333333"/>
    <x v="0"/>
    <x v="7"/>
    <x v="2"/>
    <m/>
  </r>
  <r>
    <n v="582"/>
    <n v="981"/>
    <n v="74388"/>
    <s v="SAN RAMON"/>
    <s v="AYACUCHO"/>
    <s v="HUAMANGA"/>
    <s v="AYACUCHO"/>
    <s v="AYACUCHO"/>
    <s v="JIRON ALAMEDA BOLOGNESI 754"/>
    <s v="Urbana"/>
    <n v="-13.17085"/>
    <n v="-74.227649999999997"/>
    <n v="30"/>
    <s v="SATELITAL"/>
    <s v="Sur"/>
    <x v="2"/>
    <n v="30"/>
    <n v="5"/>
    <n v="5"/>
    <n v="0.83333333333333337"/>
    <n v="5.833333333333333"/>
    <x v="0"/>
    <x v="7"/>
    <x v="2"/>
    <m/>
  </r>
  <r>
    <n v="583"/>
    <n v="982"/>
    <n v="74425"/>
    <s v="38984-2"/>
    <s v="AYACUCHO"/>
    <s v="HUAMANGA"/>
    <s v="AYACUCHO"/>
    <s v="BACILIO"/>
    <s v="CALLE BASILIO AUQUI S/N"/>
    <s v="Urbana"/>
    <n v="-13.151562"/>
    <n v="-74.231802000000002"/>
    <n v="30"/>
    <s v="SATELITAL"/>
    <s v="Sur"/>
    <x v="2"/>
    <n v="30"/>
    <n v="5"/>
    <n v="5"/>
    <n v="0.83333333333333337"/>
    <n v="5.833333333333333"/>
    <x v="0"/>
    <x v="7"/>
    <x v="2"/>
    <m/>
  </r>
  <r>
    <n v="584"/>
    <n v="983"/>
    <n v="74246"/>
    <s v="MELITON CARVAJAL"/>
    <s v="AYACUCHO"/>
    <s v="HUAMANGA"/>
    <s v="AYACUCHO"/>
    <s v="BELEN"/>
    <s v="JIRON UNSCH 511"/>
    <s v="Urbana"/>
    <n v="-13.16403"/>
    <n v="-74.233800000000002"/>
    <n v="30"/>
    <s v="SATELITAL"/>
    <s v="Sur"/>
    <x v="2"/>
    <n v="30"/>
    <n v="5"/>
    <n v="5"/>
    <n v="0.83333333333333337"/>
    <n v="5.833333333333333"/>
    <x v="0"/>
    <x v="7"/>
    <x v="2"/>
    <m/>
  </r>
  <r>
    <n v="585"/>
    <n v="984"/>
    <n v="74369"/>
    <s v="38738"/>
    <s v="AYACUCHO"/>
    <s v="HUAMANGA"/>
    <s v="AYACUCHO"/>
    <s v="CCORIHUILLCA CHICO"/>
    <s v="PLAZA PRINCIPAL"/>
    <s v="Rural"/>
    <n v="-13.130699999999999"/>
    <n v="-74.252600000000001"/>
    <n v="30"/>
    <s v="SATELITAL"/>
    <s v="Sur"/>
    <x v="2"/>
    <n v="30"/>
    <n v="5"/>
    <n v="5"/>
    <n v="0.83333333333333337"/>
    <n v="5.833333333333333"/>
    <x v="0"/>
    <x v="7"/>
    <x v="2"/>
    <m/>
  </r>
  <r>
    <n v="586"/>
    <n v="985"/>
    <n v="74331"/>
    <s v="TUPAC AMARU II"/>
    <s v="AYACUCHO"/>
    <s v="HUAMANGA"/>
    <s v="AYACUCHO"/>
    <s v="HUASCAHURA"/>
    <s v="PLAZA PRINCIPAL"/>
    <s v="Rural"/>
    <n v="-13.164979000000001"/>
    <n v="-74.249260000000007"/>
    <n v="30"/>
    <s v="SATELITAL"/>
    <s v="Sur"/>
    <x v="2"/>
    <n v="30"/>
    <n v="5"/>
    <n v="5"/>
    <n v="0.83333333333333337"/>
    <n v="5.833333333333333"/>
    <x v="0"/>
    <x v="7"/>
    <x v="2"/>
    <m/>
  </r>
  <r>
    <n v="587"/>
    <n v="986"/>
    <n v="74468"/>
    <s v="38083"/>
    <s v="AYACUCHO"/>
    <s v="HUAMANGA"/>
    <s v="AYACUCHO"/>
    <s v="LICENCIADOS"/>
    <s v="AVENIDA LA MARINA S/N"/>
    <s v="Urbana"/>
    <n v="-13.145709999999999"/>
    <n v="-74.227329999999995"/>
    <n v="30"/>
    <s v="SATELITAL"/>
    <s v="Sur"/>
    <x v="2"/>
    <n v="30"/>
    <n v="5"/>
    <n v="5"/>
    <n v="0.83333333333333337"/>
    <n v="5.833333333333333"/>
    <x v="0"/>
    <x v="7"/>
    <x v="2"/>
    <m/>
  </r>
  <r>
    <n v="588"/>
    <n v="987"/>
    <n v="74393"/>
    <s v="38876 VIRGEN DEL CARMEN"/>
    <s v="AYACUCHO"/>
    <s v="HUAMANGA"/>
    <s v="AYACUCHO"/>
    <s v="PILA CUCHO"/>
    <s v="AVENIDA WARI S/N"/>
    <s v="Urbana"/>
    <n v="-13.168834"/>
    <n v="-74.236532999999994"/>
    <n v="30"/>
    <s v="SATELITAL"/>
    <s v="Sur"/>
    <x v="2"/>
    <n v="30"/>
    <n v="5"/>
    <n v="5"/>
    <n v="0.83333333333333337"/>
    <n v="5.833333333333333"/>
    <x v="0"/>
    <x v="7"/>
    <x v="2"/>
    <m/>
  </r>
  <r>
    <n v="589"/>
    <n v="988"/>
    <n v="74345"/>
    <s v="38015 VIRGEN DEL CARMEN"/>
    <s v="AYACUCHO"/>
    <s v="HUAMANGA"/>
    <s v="AYACUCHO"/>
    <s v="RANCHA"/>
    <s v="PARQUE PLAZA PRINCIPAL S/N"/>
    <s v="Rural"/>
    <n v="-13.187457999999999"/>
    <n v="-74.261199000000005"/>
    <n v="30"/>
    <s v="SATELITAL"/>
    <s v="Sur"/>
    <x v="2"/>
    <n v="30"/>
    <n v="5"/>
    <n v="5"/>
    <n v="0.83333333333333337"/>
    <n v="5.833333333333333"/>
    <x v="0"/>
    <x v="7"/>
    <x v="2"/>
    <m/>
  </r>
  <r>
    <n v="590"/>
    <n v="989"/>
    <n v="521868"/>
    <s v="LOS HEROES DEL PERU"/>
    <s v="AYACUCHO"/>
    <s v="HUAMANGA"/>
    <s v="AYACUCHO"/>
    <s v="RANCHA"/>
    <s v="PLAZA PRINCIPAL S/N"/>
    <s v="Rural"/>
    <n v="-13.182"/>
    <n v="-74.265100000000004"/>
    <n v="30"/>
    <s v="SATELITAL"/>
    <s v="Sur"/>
    <x v="2"/>
    <n v="30"/>
    <n v="5"/>
    <n v="5"/>
    <n v="0.83333333333333337"/>
    <n v="5.833333333333333"/>
    <x v="0"/>
    <x v="7"/>
    <x v="2"/>
    <m/>
  </r>
  <r>
    <n v="591"/>
    <n v="990"/>
    <n v="74307"/>
    <s v="39006"/>
    <s v="AYACUCHO"/>
    <s v="HUAMANGA"/>
    <s v="AYACUCHO"/>
    <s v="SANTA ANA"/>
    <s v="CALLE JERUSALEN S/N"/>
    <s v="Urbana"/>
    <n v="-13.170173999999999"/>
    <n v="-74.230903999999995"/>
    <n v="30"/>
    <s v="SATELITAL"/>
    <s v="Sur"/>
    <x v="2"/>
    <n v="30"/>
    <n v="5"/>
    <n v="5"/>
    <n v="0.83333333333333337"/>
    <n v="5.833333333333333"/>
    <x v="0"/>
    <x v="7"/>
    <x v="2"/>
    <m/>
  </r>
  <r>
    <n v="592"/>
    <n v="991"/>
    <n v="74430"/>
    <s v="FRANCISCO BOLOGNESI"/>
    <s v="AYACUCHO"/>
    <s v="HUAMANGA"/>
    <s v="AYACUCHO"/>
    <s v="YURAC YURAC"/>
    <s v="JIRON JAVIER HERAUD S/N"/>
    <s v="Urbana"/>
    <n v="-13.162191999999999"/>
    <n v="-74.233239999999995"/>
    <n v="30"/>
    <s v="SATELITAL"/>
    <s v="Sur"/>
    <x v="2"/>
    <n v="30"/>
    <n v="5"/>
    <n v="5"/>
    <n v="0.83333333333333337"/>
    <n v="5.833333333333333"/>
    <x v="0"/>
    <x v="7"/>
    <x v="2"/>
    <m/>
  </r>
  <r>
    <n v="593"/>
    <n v="992"/>
    <n v="75401"/>
    <s v="38023 NUESTRA SEÑORA DEL CARMEN"/>
    <s v="AYACUCHO"/>
    <s v="HUAMANGA"/>
    <s v="CARMEN ALTO"/>
    <s v="CARMEN ALTO"/>
    <s v="AVENIDA MARISCAL CACERES 204"/>
    <s v="Urbana"/>
    <n v="-13.17609"/>
    <n v="-74.224239999999995"/>
    <n v="30"/>
    <s v="SATELITAL"/>
    <s v="Sur"/>
    <x v="2"/>
    <n v="30"/>
    <n v="5"/>
    <n v="5"/>
    <n v="0.83333333333333337"/>
    <n v="5.833333333333333"/>
    <x v="0"/>
    <x v="7"/>
    <x v="2"/>
    <m/>
  </r>
  <r>
    <n v="594"/>
    <n v="993"/>
    <n v="75458"/>
    <s v="38984-8"/>
    <s v="AYACUCHO"/>
    <s v="HUAMANGA"/>
    <s v="CARMEN ALTO"/>
    <s v="QUICAPATA"/>
    <s v="AVENIDA HEROES DEL CENEPA MZ 8 LOTE 10"/>
    <s v="Urbana"/>
    <n v="-13.1884"/>
    <n v="-74.226600000000005"/>
    <n v="30"/>
    <s v="SATELITAL"/>
    <s v="Sur"/>
    <x v="2"/>
    <n v="30"/>
    <n v="5"/>
    <n v="5"/>
    <n v="0.83333333333333337"/>
    <n v="5.833333333333333"/>
    <x v="0"/>
    <x v="7"/>
    <x v="2"/>
    <m/>
  </r>
  <r>
    <n v="595"/>
    <n v="994"/>
    <n v="75420"/>
    <s v="38736"/>
    <s v="AYACUCHO"/>
    <s v="HUAMANGA"/>
    <s v="CARMEN ALTO"/>
    <s v="SAN CRISTOBAL DE CASAORCCO"/>
    <s v="PLAZA PRINCIPAL"/>
    <s v="Rural"/>
    <n v="-13.2203"/>
    <n v="-74.228700000000003"/>
    <n v="30"/>
    <s v="SATELITAL"/>
    <s v="Sur"/>
    <x v="2"/>
    <n v="30"/>
    <n v="5"/>
    <n v="5"/>
    <n v="0.83333333333333337"/>
    <n v="5.833333333333333"/>
    <x v="0"/>
    <x v="7"/>
    <x v="2"/>
    <m/>
  </r>
  <r>
    <n v="596"/>
    <n v="995"/>
    <n v="75415"/>
    <s v="38582 ABRAHAM VALDELOMAR"/>
    <s v="AYACUCHO"/>
    <s v="HUAMANGA"/>
    <s v="CARMEN ALTO"/>
    <s v="VISTA ALEGRE"/>
    <s v="AVENIDA VISTA ALEGRE S/N"/>
    <s v="Urbana"/>
    <n v="-13.1806"/>
    <n v="-74.221000000000004"/>
    <n v="30"/>
    <s v="SATELITAL"/>
    <s v="Sur"/>
    <x v="2"/>
    <n v="30"/>
    <n v="5"/>
    <n v="5"/>
    <n v="0.83333333333333337"/>
    <n v="5.833333333333333"/>
    <x v="0"/>
    <x v="7"/>
    <x v="2"/>
    <m/>
  </r>
  <r>
    <n v="597"/>
    <n v="996"/>
    <n v="262271"/>
    <s v="EFRAIN MOROTE BEST"/>
    <s v="AYACUCHO"/>
    <s v="HUAMANGA"/>
    <s v="CHIARA"/>
    <s v="ALLPACHAKA"/>
    <s v="ALLPACHAKA"/>
    <s v="Rural"/>
    <n v="-13.3919"/>
    <n v="-74.265699999999995"/>
    <n v="30"/>
    <s v="SATELITAL"/>
    <s v="Sur"/>
    <x v="2"/>
    <n v="30"/>
    <n v="5"/>
    <n v="5"/>
    <n v="0.83333333333333337"/>
    <n v="5.833333333333333"/>
    <x v="0"/>
    <x v="7"/>
    <x v="2"/>
    <m/>
  </r>
  <r>
    <n v="598"/>
    <n v="997"/>
    <n v="74171"/>
    <s v="SEÑOR DE LOS MILAGROS"/>
    <s v="AYACUCHO"/>
    <s v="HUAMANGA"/>
    <s v="JESUS NAZARENO"/>
    <s v="LAS NAZARENAS"/>
    <s v="JIRON CIRO ALEGRIA 500"/>
    <s v="Urbana"/>
    <n v="-13.15648"/>
    <n v="-74.216149999999999"/>
    <n v="30"/>
    <s v="SATELITAL"/>
    <s v="Sur"/>
    <x v="2"/>
    <n v="30"/>
    <n v="5"/>
    <n v="5"/>
    <n v="0.83333333333333337"/>
    <n v="5.833333333333333"/>
    <x v="0"/>
    <x v="7"/>
    <x v="2"/>
    <m/>
  </r>
  <r>
    <n v="599"/>
    <n v="998"/>
    <n v="74185"/>
    <s v="38020"/>
    <s v="AYACUCHO"/>
    <s v="HUAMANGA"/>
    <s v="JESUS NAZARENO"/>
    <s v="LAS NAZARENAS"/>
    <s v="JIRON PORRAS BARRENECHEA 477"/>
    <s v="Urbana"/>
    <n v="-13.15394"/>
    <n v="-74.212630000000004"/>
    <n v="30"/>
    <s v="SATELITAL"/>
    <s v="Sur"/>
    <x v="2"/>
    <n v="30"/>
    <n v="5"/>
    <n v="5"/>
    <n v="0.83333333333333337"/>
    <n v="5.833333333333333"/>
    <x v="0"/>
    <x v="7"/>
    <x v="2"/>
    <m/>
  </r>
  <r>
    <n v="600"/>
    <n v="999"/>
    <n v="74109"/>
    <s v="38054"/>
    <s v="AYACUCHO"/>
    <s v="HUAMANGA"/>
    <s v="JESUS NAZARENO"/>
    <s v="TOTORILLA"/>
    <s v="CARRETERA TOTORILLA S/N"/>
    <s v="Urbana"/>
    <n v="-13.141389999999999"/>
    <n v="-74.213350000000005"/>
    <n v="30"/>
    <s v="SATELITAL"/>
    <s v="Sur"/>
    <x v="2"/>
    <n v="30"/>
    <n v="5"/>
    <n v="5"/>
    <n v="0.83333333333333337"/>
    <n v="5.833333333333333"/>
    <x v="0"/>
    <x v="7"/>
    <x v="2"/>
    <m/>
  </r>
  <r>
    <n v="601"/>
    <n v="1000"/>
    <n v="74411"/>
    <s v="38977"/>
    <s v="AYACUCHO"/>
    <s v="HUAMANGA"/>
    <s v="JESUS NAZARENO"/>
    <s v="VILLA SAN CRISTOBAL"/>
    <s v="LOS INKAS MZ LL LOTE 7"/>
    <s v="Urbana"/>
    <n v="-13.14672"/>
    <n v="-74.213179999999994"/>
    <n v="30"/>
    <s v="SATELITAL"/>
    <s v="Sur"/>
    <x v="2"/>
    <n v="30"/>
    <n v="5"/>
    <n v="5"/>
    <n v="0.83333333333333337"/>
    <n v="5.833333333333333"/>
    <x v="0"/>
    <x v="7"/>
    <x v="2"/>
    <m/>
  </r>
  <r>
    <n v="602"/>
    <n v="1001"/>
    <n v="558376"/>
    <s v="38983 BRAULIO ZAGA PARIONA || BRAULIO ZAGA PARIONA"/>
    <s v="AYACUCHO"/>
    <s v="HUAMANGA"/>
    <s v="OCROS"/>
    <s v="HATUN CUSI"/>
    <s v="CARRETERA CUSI - VALLE SAN FRANSICO"/>
    <s v="Rural"/>
    <n v="-13.41417"/>
    <n v="-73.84348"/>
    <n v="30"/>
    <s v="SATELITAL"/>
    <s v="Sur"/>
    <x v="2"/>
    <n v="30"/>
    <n v="5"/>
    <n v="5"/>
    <n v="0.83333333333333337"/>
    <n v="5.833333333333333"/>
    <x v="0"/>
    <x v="8"/>
    <x v="2"/>
    <m/>
  </r>
  <r>
    <n v="603"/>
    <n v="1002"/>
    <n v="75788"/>
    <s v="38064"/>
    <s v="AYACUCHO"/>
    <s v="HUAMANGA"/>
    <s v="OCROS"/>
    <s v="JACASPAMPA"/>
    <s v="PLAZA PRINCIPAL"/>
    <s v="Rural"/>
    <n v="-13.377262999999999"/>
    <n v="-73.903485000000003"/>
    <n v="30"/>
    <s v="SATELITAL"/>
    <s v="Sur"/>
    <x v="2"/>
    <n v="30"/>
    <n v="5"/>
    <n v="5"/>
    <n v="0.83333333333333337"/>
    <n v="5.833333333333333"/>
    <x v="0"/>
    <x v="8"/>
    <x v="2"/>
    <m/>
  </r>
  <r>
    <n v="604"/>
    <n v="1003"/>
    <n v="75712"/>
    <s v="38025"/>
    <s v="AYACUCHO"/>
    <s v="HUAMANGA"/>
    <s v="OCROS"/>
    <s v="LLACCOLLA"/>
    <s v="PLAZA PRINCIPAL"/>
    <s v="Rural"/>
    <n v="-13.3643"/>
    <n v="-73.893900000000002"/>
    <n v="30"/>
    <s v="SATELITAL"/>
    <s v="Sur"/>
    <x v="2"/>
    <n v="30"/>
    <n v="5"/>
    <n v="5"/>
    <n v="0.83333333333333337"/>
    <n v="5.833333333333333"/>
    <x v="0"/>
    <x v="8"/>
    <x v="2"/>
    <m/>
  </r>
  <r>
    <n v="605"/>
    <n v="1004"/>
    <n v="75873"/>
    <s v="38937"/>
    <s v="AYACUCHO"/>
    <s v="HUAMANGA"/>
    <s v="OCROS"/>
    <s v="VACAHUASI"/>
    <s v="VACAHUASI"/>
    <s v="Rural"/>
    <n v="-13.417999999999999"/>
    <n v="-73.853099999999998"/>
    <n v="30"/>
    <s v="SATELITAL"/>
    <s v="Sur"/>
    <x v="2"/>
    <n v="30"/>
    <n v="5"/>
    <n v="5"/>
    <n v="0.83333333333333337"/>
    <n v="5.833333333333333"/>
    <x v="0"/>
    <x v="8"/>
    <x v="2"/>
    <m/>
  </r>
  <r>
    <n v="606"/>
    <n v="1005"/>
    <n v="75967"/>
    <s v="MARISCAL ANTONIO JOSE DE SUCRE"/>
    <s v="AYACUCHO"/>
    <s v="HUAMANGA"/>
    <s v="PACAYCASA"/>
    <s v="PACAYCASA"/>
    <s v="PARQUE PLAZA PRINCIPAL S/N"/>
    <s v="Rural"/>
    <n v="-13.0571"/>
    <n v="-74.214600000000004"/>
    <n v="30"/>
    <s v="SATELITAL"/>
    <s v="Sur"/>
    <x v="2"/>
    <n v="30"/>
    <n v="5"/>
    <n v="5"/>
    <n v="0.83333333333333337"/>
    <n v="5.833333333333333"/>
    <x v="0"/>
    <x v="7"/>
    <x v="2"/>
    <m/>
  </r>
  <r>
    <n v="607"/>
    <n v="1006"/>
    <n v="76047"/>
    <s v="38037 LIBERTAD DE AMERICA || LIBERTAD DE AMERICA"/>
    <s v="AYACUCHO"/>
    <s v="HUAMANGA"/>
    <s v="QUINUA"/>
    <s v="ANANSAYOCC"/>
    <s v="JIRON LA MAR S/N"/>
    <s v="Urbana"/>
    <n v="-13.053175"/>
    <n v="-74.140671999999995"/>
    <n v="30"/>
    <s v="SATELITAL"/>
    <s v="Sur"/>
    <x v="2"/>
    <n v="30"/>
    <n v="5"/>
    <n v="5"/>
    <n v="0.83333333333333337"/>
    <n v="5.833333333333333"/>
    <x v="0"/>
    <x v="7"/>
    <x v="2"/>
    <m/>
  </r>
  <r>
    <n v="608"/>
    <n v="1007"/>
    <n v="76108"/>
    <s v="38078"/>
    <s v="AYACUCHO"/>
    <s v="HUAMANGA"/>
    <s v="QUINUA"/>
    <s v="MUYURINA"/>
    <s v="PARQUE PLAZA PRINCIPAL S/N"/>
    <s v="Rural"/>
    <n v="-13.113915"/>
    <n v="-74.192762999999999"/>
    <n v="30"/>
    <s v="SATELITAL"/>
    <s v="Sur"/>
    <x v="2"/>
    <n v="30"/>
    <n v="5"/>
    <n v="5"/>
    <n v="0.83333333333333337"/>
    <n v="5.833333333333333"/>
    <x v="0"/>
    <x v="7"/>
    <x v="2"/>
    <m/>
  </r>
  <r>
    <n v="609"/>
    <n v="1008"/>
    <n v="76995"/>
    <s v="38913"/>
    <s v="AYACUCHO"/>
    <s v="HUAMANGA"/>
    <s v="TAMBILLO"/>
    <s v="PINAO"/>
    <s v="CARRETERA BORDE DE CARRETERA S/N"/>
    <s v="Rural"/>
    <n v="-13.231966"/>
    <n v="-74.109010999999995"/>
    <n v="30"/>
    <s v="SATELITAL"/>
    <s v="Sur"/>
    <x v="2"/>
    <n v="30"/>
    <n v="5"/>
    <n v="5"/>
    <n v="0.83333333333333337"/>
    <n v="5.833333333333333"/>
    <x v="0"/>
    <x v="7"/>
    <x v="2"/>
    <m/>
  </r>
  <r>
    <n v="610"/>
    <n v="1009"/>
    <n v="77589"/>
    <s v="JOSE DE SAN MARTIN"/>
    <s v="AYACUCHO"/>
    <s v="HUAMANGA"/>
    <s v="VINCHOS"/>
    <s v="ACCOPAMPA"/>
    <s v="ACCOPAMPA"/>
    <s v="Rural"/>
    <n v="-13.241441999999999"/>
    <n v="-74.355626000000001"/>
    <n v="30"/>
    <s v="SATELITAL"/>
    <s v="Sur"/>
    <x v="2"/>
    <n v="30"/>
    <n v="5"/>
    <n v="5"/>
    <n v="0.83333333333333337"/>
    <n v="5.833333333333333"/>
    <x v="0"/>
    <x v="7"/>
    <x v="2"/>
    <m/>
  </r>
  <r>
    <n v="611"/>
    <n v="1010"/>
    <n v="77117"/>
    <s v="38099"/>
    <s v="AYACUCHO"/>
    <s v="HUAMANGA"/>
    <s v="VINCHOS"/>
    <s v="ANCHAK HUASI"/>
    <s v="AVENIDA 5 DE ABRIL S/N"/>
    <s v="Rural"/>
    <n v="-13.2956"/>
    <n v="-74.340599999999995"/>
    <n v="30"/>
    <s v="SATELITAL"/>
    <s v="Sur"/>
    <x v="2"/>
    <n v="30"/>
    <n v="5"/>
    <n v="5"/>
    <n v="0.83333333333333337"/>
    <n v="5.833333333333333"/>
    <x v="0"/>
    <x v="7"/>
    <x v="2"/>
    <m/>
  </r>
  <r>
    <n v="612"/>
    <n v="1011"/>
    <n v="712636"/>
    <s v="ANTONIO BRACK EGG"/>
    <s v="AYACUCHO"/>
    <s v="HUAMANGA"/>
    <s v="VINCHOS"/>
    <s v="PATAHUASI"/>
    <s v="PATAHUASI"/>
    <s v="Rural"/>
    <n v="-13.24058"/>
    <n v="-74.474310000000003"/>
    <n v="30"/>
    <s v="SATELITAL"/>
    <s v="Sur"/>
    <x v="2"/>
    <n v="30"/>
    <n v="5"/>
    <n v="5"/>
    <n v="0.83333333333333337"/>
    <n v="5.833333333333333"/>
    <x v="0"/>
    <x v="7"/>
    <x v="2"/>
    <m/>
  </r>
  <r>
    <n v="613"/>
    <n v="1012"/>
    <n v="78956"/>
    <s v="LOS ANDES"/>
    <s v="AYACUCHO"/>
    <s v="HUANCA SANCOS"/>
    <s v="SANCOS"/>
    <s v="HUANCA SANCOS"/>
    <s v="JIRON LOS ANDES S/N"/>
    <s v="Urbana"/>
    <n v="-13.918200000000001"/>
    <n v="-74.332705000000004"/>
    <n v="30"/>
    <s v="SATELITAL"/>
    <s v="Sur"/>
    <x v="2"/>
    <n v="30"/>
    <n v="5"/>
    <n v="5"/>
    <n v="0.83333333333333337"/>
    <n v="5.833333333333333"/>
    <x v="0"/>
    <x v="8"/>
    <x v="2"/>
    <m/>
  </r>
  <r>
    <n v="614"/>
    <n v="1013"/>
    <n v="77805"/>
    <s v="38754"/>
    <s v="AYACUCHO"/>
    <s v="HUANTA"/>
    <s v="CANAYRE"/>
    <s v="PUEBLO NUEVO SANTA ROSA"/>
    <s v="PUEBLO NUEVO SANTA ROSA"/>
    <s v="Rural"/>
    <n v="-12.3116"/>
    <n v="-73.981999999999999"/>
    <n v="30"/>
    <s v="SATELITAL"/>
    <s v="Sur"/>
    <x v="2"/>
    <n v="30"/>
    <n v="5"/>
    <n v="5"/>
    <n v="0.83333333333333337"/>
    <n v="5.833333333333333"/>
    <x v="0"/>
    <x v="7"/>
    <x v="2"/>
    <m/>
  </r>
  <r>
    <n v="615"/>
    <n v="1014"/>
    <n v="510803"/>
    <s v="38734"/>
    <s v="AYACUCHO"/>
    <s v="HUANTA"/>
    <s v="CHACA"/>
    <s v="PURUS"/>
    <s v="JIRON PUMA S/N"/>
    <s v="Rural"/>
    <n v="-12.78323"/>
    <n v="-74.167280000000005"/>
    <n v="30"/>
    <s v="SATELITAL"/>
    <s v="Sur"/>
    <x v="2"/>
    <n v="30"/>
    <n v="5"/>
    <n v="5"/>
    <n v="0.83333333333333337"/>
    <n v="5.833333333333333"/>
    <x v="0"/>
    <x v="7"/>
    <x v="2"/>
    <m/>
  </r>
  <r>
    <n v="616"/>
    <n v="1015"/>
    <n v="505439"/>
    <s v="38774"/>
    <s v="AYACUCHO"/>
    <s v="HUANTA"/>
    <s v="HUAMANGUILLA"/>
    <s v="CCOCHACHIN"/>
    <s v="PLAZA PRINCIPAL"/>
    <s v="Rural"/>
    <n v="-13.023300000000001"/>
    <n v="-74.186300000000003"/>
    <n v="30"/>
    <s v="SATELITAL"/>
    <s v="Sur"/>
    <x v="2"/>
    <n v="30"/>
    <n v="5"/>
    <n v="5"/>
    <n v="0.83333333333333337"/>
    <n v="5.833333333333333"/>
    <x v="0"/>
    <x v="7"/>
    <x v="2"/>
    <m/>
  </r>
  <r>
    <n v="617"/>
    <n v="1016"/>
    <n v="80389"/>
    <s v="38342 SEÑOR DE EXALTACION"/>
    <s v="AYACUCHO"/>
    <s v="HUANTA"/>
    <s v="HUAMANGUILLA"/>
    <s v="CHILCACCASA"/>
    <s v="CHILLCAQASA"/>
    <s v="Rural"/>
    <n v="-13.029201"/>
    <n v="-74.189722000000003"/>
    <n v="30"/>
    <s v="SATELITAL"/>
    <s v="Sur"/>
    <x v="2"/>
    <n v="30"/>
    <n v="5"/>
    <n v="5"/>
    <n v="0.83333333333333337"/>
    <n v="5.833333333333333"/>
    <x v="0"/>
    <x v="7"/>
    <x v="2"/>
    <m/>
  </r>
  <r>
    <n v="618"/>
    <n v="1017"/>
    <n v="80407"/>
    <s v="38642 INCA GARCILAZO DE LA VEGA"/>
    <s v="AYACUCHO"/>
    <s v="HUANTA"/>
    <s v="HUAMANGUILLA"/>
    <s v="LA VEGA"/>
    <s v="PLAZA PRINCIPAL"/>
    <s v="Rural"/>
    <n v="-13.028"/>
    <n v="-74.213999999999999"/>
    <n v="30"/>
    <s v="SATELITAL"/>
    <s v="Sur"/>
    <x v="2"/>
    <n v="30"/>
    <n v="5"/>
    <n v="5"/>
    <n v="0.83333333333333337"/>
    <n v="5.833333333333333"/>
    <x v="0"/>
    <x v="7"/>
    <x v="2"/>
    <m/>
  </r>
  <r>
    <n v="619"/>
    <n v="1018"/>
    <n v="517055"/>
    <s v="TENIENTE CORONEL MARIANO SOSA LOZANO"/>
    <s v="AYACUCHO"/>
    <s v="HUANTA"/>
    <s v="HUAMANGUILLA"/>
    <s v="LA VEGA"/>
    <s v="AVENIDA RAZUHUILLCA S/N"/>
    <s v="Rural"/>
    <n v="-13.028700000000001"/>
    <n v="-74.213200000000001"/>
    <n v="30"/>
    <s v="SATELITAL"/>
    <s v="Sur"/>
    <x v="2"/>
    <n v="30"/>
    <n v="5"/>
    <n v="5"/>
    <n v="0.83333333333333337"/>
    <n v="5.833333333333333"/>
    <x v="0"/>
    <x v="7"/>
    <x v="2"/>
    <m/>
  </r>
  <r>
    <n v="620"/>
    <n v="1019"/>
    <n v="79994"/>
    <s v="38790"/>
    <s v="AYACUCHO"/>
    <s v="HUANTA"/>
    <s v="HUANTA"/>
    <s v="CEDROPATA"/>
    <s v="PLAZA PRINCIPAL"/>
    <s v="Rural"/>
    <n v="-12.9214"/>
    <n v="-74.248199999999997"/>
    <n v="30"/>
    <s v="SATELITAL"/>
    <s v="Sur"/>
    <x v="2"/>
    <n v="30"/>
    <n v="5"/>
    <n v="5"/>
    <n v="0.83333333333333337"/>
    <n v="5.833333333333333"/>
    <x v="0"/>
    <x v="7"/>
    <x v="2"/>
    <m/>
  </r>
  <r>
    <n v="621"/>
    <n v="1020"/>
    <n v="79404"/>
    <s v="38259"/>
    <s v="AYACUCHO"/>
    <s v="HUANTA"/>
    <s v="HUANTA"/>
    <s v="ESPIRITU SANTO"/>
    <s v="PASAJE SAN MARTIN S/N"/>
    <s v="Rural"/>
    <n v="-12.9544"/>
    <n v="-74.236699999999999"/>
    <n v="30"/>
    <s v="SATELITAL"/>
    <s v="Sur"/>
    <x v="2"/>
    <n v="30"/>
    <n v="5"/>
    <n v="5"/>
    <n v="0.83333333333333337"/>
    <n v="5.833333333333333"/>
    <x v="0"/>
    <x v="7"/>
    <x v="2"/>
    <m/>
  </r>
  <r>
    <n v="622"/>
    <n v="1021"/>
    <n v="79890"/>
    <s v="38990-13"/>
    <s v="AYACUCHO"/>
    <s v="HUANTA"/>
    <s v="HUANTA"/>
    <s v="ICHPICO"/>
    <s v="AGRUPACION DE ICHPICO"/>
    <s v="Rural"/>
    <n v="-12.9358"/>
    <n v="-74.265699999999995"/>
    <n v="30"/>
    <s v="SATELITAL"/>
    <s v="Sur"/>
    <x v="2"/>
    <n v="30"/>
    <n v="5"/>
    <n v="5"/>
    <n v="0.83333333333333337"/>
    <n v="5.833333333333333"/>
    <x v="0"/>
    <x v="7"/>
    <x v="2"/>
    <m/>
  </r>
  <r>
    <n v="623"/>
    <n v="1022"/>
    <n v="561406"/>
    <s v="ALBERTO SANCHEZ PORTOCARRERO"/>
    <s v="AYACUCHO"/>
    <s v="HUANTA"/>
    <s v="HUANTA"/>
    <s v="MIO"/>
    <s v="MIO S/N"/>
    <s v="Rural"/>
    <n v="-12.9068"/>
    <n v="-74.2393"/>
    <n v="30"/>
    <s v="SATELITAL"/>
    <s v="Sur"/>
    <x v="2"/>
    <n v="30"/>
    <n v="5"/>
    <n v="5"/>
    <n v="0.83333333333333337"/>
    <n v="5.833333333333333"/>
    <x v="0"/>
    <x v="7"/>
    <x v="2"/>
    <m/>
  </r>
  <r>
    <n v="624"/>
    <n v="1023"/>
    <n v="79593"/>
    <s v="38878"/>
    <s v="AYACUCHO"/>
    <s v="HUANTA"/>
    <s v="HUANTA"/>
    <s v="PATASUCRO"/>
    <s v="PATASUCRO"/>
    <s v="Rural"/>
    <n v="-12.909367"/>
    <n v="-74.235380000000006"/>
    <n v="30"/>
    <s v="SATELITAL"/>
    <s v="Sur"/>
    <x v="2"/>
    <n v="30"/>
    <n v="5"/>
    <n v="5"/>
    <n v="0.83333333333333337"/>
    <n v="5.833333333333333"/>
    <x v="0"/>
    <x v="7"/>
    <x v="2"/>
    <m/>
  </r>
  <r>
    <n v="625"/>
    <n v="1024"/>
    <n v="79423"/>
    <s v="38261"/>
    <s v="AYACUCHO"/>
    <s v="HUANTA"/>
    <s v="HUANTA"/>
    <s v="PUCARAQAY"/>
    <s v="PUCARACCAY"/>
    <s v="Urbana"/>
    <n v="-12.930199999999999"/>
    <n v="-74.242199999999997"/>
    <n v="30"/>
    <s v="SATELITAL"/>
    <s v="Sur"/>
    <x v="2"/>
    <n v="30"/>
    <n v="5"/>
    <n v="5"/>
    <n v="0.83333333333333337"/>
    <n v="5.833333333333333"/>
    <x v="0"/>
    <x v="7"/>
    <x v="2"/>
    <m/>
  </r>
  <r>
    <n v="626"/>
    <n v="1025"/>
    <n v="79507"/>
    <s v="38294"/>
    <s v="AYACUCHO"/>
    <s v="HUANTA"/>
    <s v="HUANTA"/>
    <s v="QUINRAPA"/>
    <s v="QUINRAPA"/>
    <s v="Rural"/>
    <n v="-12.9406"/>
    <n v="-74.269549999999995"/>
    <n v="30"/>
    <s v="SATELITAL"/>
    <s v="Sur"/>
    <x v="2"/>
    <n v="30"/>
    <n v="5"/>
    <n v="5"/>
    <n v="0.83333333333333337"/>
    <n v="5.833333333333333"/>
    <x v="0"/>
    <x v="7"/>
    <x v="2"/>
    <m/>
  </r>
  <r>
    <n v="627"/>
    <n v="1026"/>
    <n v="849559"/>
    <s v="38990-7"/>
    <s v="AYACUCHO"/>
    <s v="HUANTA"/>
    <s v="LLOCHEGUA"/>
    <s v="CCEROBAMBA"/>
    <s v="CCEROBAMBA"/>
    <s v="Rural"/>
    <n v="-12.48048"/>
    <n v="-74.077550000000002"/>
    <n v="30"/>
    <s v="SATELITAL"/>
    <s v="Sur"/>
    <x v="2"/>
    <n v="30"/>
    <n v="5"/>
    <n v="5"/>
    <n v="0.83333333333333337"/>
    <n v="5.833333333333333"/>
    <x v="0"/>
    <x v="7"/>
    <x v="2"/>
    <m/>
  </r>
  <r>
    <n v="628"/>
    <n v="1027"/>
    <n v="80638"/>
    <s v="38331 JESUS NAZARENO"/>
    <s v="AYACUCHO"/>
    <s v="HUANTA"/>
    <s v="LURICOCHA"/>
    <s v="AZANGARO"/>
    <s v="AZANGARO S/N"/>
    <s v="Rural"/>
    <n v="-12.925800000000001"/>
    <n v="-74.2971"/>
    <n v="30"/>
    <s v="SATELITAL"/>
    <s v="Sur"/>
    <x v="2"/>
    <n v="30"/>
    <n v="5"/>
    <n v="5"/>
    <n v="0.83333333333333337"/>
    <n v="5.833333333333333"/>
    <x v="0"/>
    <x v="7"/>
    <x v="2"/>
    <m/>
  </r>
  <r>
    <n v="629"/>
    <n v="1028"/>
    <n v="80577"/>
    <s v="38276 SAN MARTIN DE PORRES"/>
    <s v="AYACUCHO"/>
    <s v="HUANTA"/>
    <s v="LURICOCHA"/>
    <s v="LURICOCHA"/>
    <s v="AVENIDA CARLOS CH HIRAOKA S/N"/>
    <s v="Rural"/>
    <n v="-12.9011"/>
    <n v="-74.274100000000004"/>
    <n v="30"/>
    <s v="SATELITAL"/>
    <s v="Sur"/>
    <x v="2"/>
    <n v="30"/>
    <n v="5"/>
    <n v="5"/>
    <n v="0.83333333333333337"/>
    <n v="5.833333333333333"/>
    <x v="0"/>
    <x v="7"/>
    <x v="2"/>
    <m/>
  </r>
  <r>
    <n v="630"/>
    <n v="1029"/>
    <n v="80582"/>
    <s v="NUESTRA SEÑORA DEL PERPETUO SOCORRO"/>
    <s v="AYACUCHO"/>
    <s v="HUANTA"/>
    <s v="LURICOCHA"/>
    <s v="LURICOCHA"/>
    <s v="JOSE SALVADOR CAVERO OVALLE"/>
    <s v="Rural"/>
    <n v="-12.9009"/>
    <n v="-74.272400000000005"/>
    <n v="30"/>
    <s v="SATELITAL"/>
    <s v="Sur"/>
    <x v="2"/>
    <n v="30"/>
    <n v="5"/>
    <n v="5"/>
    <n v="0.83333333333333337"/>
    <n v="5.833333333333333"/>
    <x v="0"/>
    <x v="7"/>
    <x v="2"/>
    <m/>
  </r>
  <r>
    <n v="631"/>
    <n v="1030"/>
    <n v="80600"/>
    <s v="38280"/>
    <s v="AYACUCHO"/>
    <s v="HUANTA"/>
    <s v="LURICOCHA"/>
    <s v="PAMPAY"/>
    <s v="PLAZA PRINCIPAL"/>
    <s v="Rural"/>
    <n v="-12.8787"/>
    <n v="-74.286299999999997"/>
    <n v="30"/>
    <s v="SATELITAL"/>
    <s v="Sur"/>
    <x v="2"/>
    <n v="30"/>
    <n v="5"/>
    <n v="5"/>
    <n v="0.83333333333333337"/>
    <n v="5.833333333333333"/>
    <x v="0"/>
    <x v="7"/>
    <x v="2"/>
    <m/>
  </r>
  <r>
    <n v="632"/>
    <n v="1031"/>
    <n v="79673"/>
    <s v="JUAN VELASQUEZ CHAVEZ"/>
    <s v="AYACUCHO"/>
    <s v="HUANTA"/>
    <s v="UCHURACCAY"/>
    <s v="HUAYCHAO"/>
    <s v="HUAYCHAO"/>
    <s v="Rural"/>
    <n v="-12.779299999999999"/>
    <n v="-74.106800000000007"/>
    <n v="30"/>
    <s v="SATELITAL"/>
    <s v="Sur"/>
    <x v="2"/>
    <n v="30"/>
    <n v="5"/>
    <n v="5"/>
    <n v="0.83333333333333337"/>
    <n v="5.833333333333333"/>
    <x v="0"/>
    <x v="7"/>
    <x v="2"/>
    <m/>
  </r>
  <r>
    <n v="633"/>
    <n v="1032"/>
    <n v="79654"/>
    <s v="38301"/>
    <s v="AYACUCHO"/>
    <s v="HUANTA"/>
    <s v="UCHURACCAY"/>
    <s v="UCHURACCAY"/>
    <s v="UCHURACCAY S/N"/>
    <s v="Rural"/>
    <n v="-12.826892000000001"/>
    <n v="-74.110174000000001"/>
    <n v="30"/>
    <s v="SATELITAL"/>
    <s v="Sur"/>
    <x v="2"/>
    <n v="30"/>
    <n v="5"/>
    <n v="5"/>
    <n v="0.83333333333333337"/>
    <n v="5.833333333333333"/>
    <x v="0"/>
    <x v="7"/>
    <x v="2"/>
    <m/>
  </r>
  <r>
    <n v="634"/>
    <n v="1033"/>
    <n v="82213"/>
    <s v="38994-12 || 9 DE DICIEMBRE"/>
    <s v="AYACUCHO"/>
    <s v="LA MAR"/>
    <s v="SAN MIGUEL"/>
    <s v="SAN MIGUEL"/>
    <s v="JIRON FRANCISCO PIZARRO S/N"/>
    <s v="Urbana"/>
    <n v="-13.013793"/>
    <n v="-73.980045000000004"/>
    <n v="30"/>
    <s v="SATELITAL"/>
    <s v="Sur"/>
    <x v="2"/>
    <n v="30"/>
    <n v="5"/>
    <n v="5"/>
    <n v="0.83333333333333337"/>
    <n v="5.833333333333333"/>
    <x v="0"/>
    <x v="7"/>
    <x v="2"/>
    <m/>
  </r>
  <r>
    <n v="635"/>
    <n v="1034"/>
    <n v="84151"/>
    <s v="38613"/>
    <s v="AYACUCHO"/>
    <s v="LA MAR"/>
    <s v="TAMBO"/>
    <s v="CHALLHUAMAYO ALTA"/>
    <s v="CHALLHUAMAYO ALTA"/>
    <s v="Rural"/>
    <n v="-12.869598"/>
    <n v="-74.026213999999996"/>
    <n v="30"/>
    <s v="SATELITAL"/>
    <s v="Sur"/>
    <x v="2"/>
    <n v="30"/>
    <n v="5"/>
    <n v="5"/>
    <n v="0.83333333333333337"/>
    <n v="5.833333333333333"/>
    <x v="0"/>
    <x v="7"/>
    <x v="2"/>
    <m/>
  </r>
  <r>
    <n v="636"/>
    <n v="1035"/>
    <n v="84033"/>
    <s v="39016"/>
    <s v="AYACUCHO"/>
    <s v="LA MAR"/>
    <s v="TAMBO"/>
    <s v="QEQRA"/>
    <s v="QUEBRADA"/>
    <s v="Urbana"/>
    <n v="-12.946294999999999"/>
    <n v="-74.012727999999996"/>
    <n v="30"/>
    <s v="SATELITAL"/>
    <s v="Sur"/>
    <x v="2"/>
    <n v="30"/>
    <n v="5"/>
    <n v="5"/>
    <n v="0.83333333333333337"/>
    <n v="5.833333333333333"/>
    <x v="0"/>
    <x v="7"/>
    <x v="2"/>
    <m/>
  </r>
  <r>
    <n v="637"/>
    <n v="1036"/>
    <n v="566852"/>
    <s v="ACROPECUARIO SANTA ANA DE AUCARA"/>
    <s v="AYACUCHO"/>
    <s v="LUCANAS"/>
    <s v="AUCARA"/>
    <s v="SANTA ANA"/>
    <s v="JIRON LA CULTURA S/N"/>
    <s v="Rural"/>
    <n v="-14.198264999999999"/>
    <n v="-74.087705999999997"/>
    <n v="30"/>
    <s v="SATELITAL"/>
    <s v="Sur"/>
    <x v="2"/>
    <n v="30"/>
    <n v="5"/>
    <n v="5"/>
    <n v="0.83333333333333337"/>
    <n v="5.833333333333333"/>
    <x v="0"/>
    <x v="8"/>
    <x v="2"/>
    <m/>
  </r>
  <r>
    <n v="638"/>
    <n v="1037"/>
    <n v="513774"/>
    <s v="INTERNADO EXPERIMENTAL DE HUATACCOCHA"/>
    <s v="AYACUCHO"/>
    <s v="LUCANAS"/>
    <s v="CHIPAO"/>
    <s v="HUATACCOCHA"/>
    <s v="HUATACCOCHA"/>
    <s v="Rural"/>
    <n v="-14.509613"/>
    <n v="-73.595631999999995"/>
    <n v="30"/>
    <s v="SATELITAL"/>
    <s v="Sur"/>
    <x v="2"/>
    <n v="30"/>
    <n v="5"/>
    <n v="5"/>
    <n v="0.83333333333333337"/>
    <n v="5.833333333333333"/>
    <x v="0"/>
    <x v="8"/>
    <x v="2"/>
    <m/>
  </r>
  <r>
    <n v="639"/>
    <n v="1038"/>
    <n v="86046"/>
    <s v="24388"/>
    <s v="AYACUCHO"/>
    <s v="LUCANAS"/>
    <s v="LUCANAS"/>
    <s v="LA QUINA"/>
    <s v="PLAZA DE ARMAS"/>
    <s v="Rural"/>
    <n v="-14.602674"/>
    <n v="-74.233182999999997"/>
    <n v="30"/>
    <s v="SATELITAL"/>
    <s v="Sur"/>
    <x v="2"/>
    <n v="30"/>
    <n v="5"/>
    <n v="5"/>
    <n v="0.83333333333333337"/>
    <n v="5.833333333333333"/>
    <x v="0"/>
    <x v="8"/>
    <x v="2"/>
    <m/>
  </r>
  <r>
    <n v="640"/>
    <n v="1039"/>
    <n v="86051"/>
    <s v="24381"/>
    <s v="AYACUCHO"/>
    <s v="LUCANAS"/>
    <s v="LUCANAS"/>
    <s v="PEDREGAL"/>
    <s v="CARRETERA PEDREGAL"/>
    <s v="Rural"/>
    <n v="-14.433439999999999"/>
    <n v="-74.433768000000001"/>
    <n v="30"/>
    <s v="SATELITAL"/>
    <s v="Sur"/>
    <x v="2"/>
    <n v="30"/>
    <n v="5"/>
    <n v="5"/>
    <n v="0.83333333333333337"/>
    <n v="5.833333333333333"/>
    <x v="0"/>
    <x v="8"/>
    <x v="2"/>
    <m/>
  </r>
  <r>
    <n v="641"/>
    <n v="1040"/>
    <n v="566531"/>
    <s v="AREAS TECNICAS SANTIAGO DE VADO"/>
    <s v="AYACUCHO"/>
    <s v="LUCANAS"/>
    <s v="LUCANAS"/>
    <s v="SANTIAGO DE VADO"/>
    <s v="SANTIAGO DE VADO"/>
    <s v="Rural"/>
    <n v="-14.605600000000001"/>
    <n v="-74.272499999999994"/>
    <n v="30"/>
    <s v="SATELITAL"/>
    <s v="Sur"/>
    <x v="2"/>
    <n v="30"/>
    <n v="5"/>
    <n v="5"/>
    <n v="0.83333333333333337"/>
    <n v="5.833333333333333"/>
    <x v="0"/>
    <x v="8"/>
    <x v="2"/>
    <m/>
  </r>
  <r>
    <n v="642"/>
    <n v="1041"/>
    <n v="86211"/>
    <s v="24207"/>
    <s v="AYACUCHO"/>
    <s v="LUCANAS"/>
    <s v="OCAÑA"/>
    <s v="SAN JOSE DE TOMATE"/>
    <s v="SAN JOSE DE TOMATE"/>
    <s v="Rural"/>
    <n v="-14.3354"/>
    <n v="-74.771600000000007"/>
    <n v="30"/>
    <s v="SATELITAL"/>
    <s v="Sur"/>
    <x v="2"/>
    <n v="30"/>
    <n v="5"/>
    <n v="5"/>
    <n v="0.83333333333333337"/>
    <n v="5.833333333333333"/>
    <x v="0"/>
    <x v="8"/>
    <x v="2"/>
    <m/>
  </r>
  <r>
    <n v="643"/>
    <n v="1042"/>
    <n v="86334"/>
    <s v="AREAS TECNICAS SAN PEDRO DE SONCONC"/>
    <s v="AYACUCHO"/>
    <s v="LUCANAS"/>
    <s v="OCAÑA"/>
    <s v="SONCONCHE / SAN PEDRO DE SONCONCHE"/>
    <s v="AVENIDA EL PORVENIR S/N"/>
    <s v="Rural"/>
    <n v="-14.382199999999999"/>
    <n v="-74.674199999999999"/>
    <n v="30"/>
    <s v="SATELITAL"/>
    <s v="Sur"/>
    <x v="2"/>
    <n v="30"/>
    <n v="5"/>
    <n v="5"/>
    <n v="0.83333333333333337"/>
    <n v="5.833333333333333"/>
    <x v="0"/>
    <x v="8"/>
    <x v="2"/>
    <m/>
  </r>
  <r>
    <n v="644"/>
    <n v="1043"/>
    <n v="84325"/>
    <s v="237 || 24054"/>
    <s v="AYACUCHO"/>
    <s v="LUCANAS"/>
    <s v="PUQUIO"/>
    <s v="SAN MARTIN"/>
    <s v="CARRETERA NAZCA-PUQUIO"/>
    <s v="Urbana"/>
    <n v="-14.701375000000001"/>
    <n v="-74.133123999999995"/>
    <n v="30"/>
    <s v="SATELITAL"/>
    <s v="Sur"/>
    <x v="2"/>
    <n v="30"/>
    <n v="5"/>
    <n v="5"/>
    <n v="0.83333333333333337"/>
    <n v="5.833333333333333"/>
    <x v="0"/>
    <x v="8"/>
    <x v="2"/>
    <m/>
  </r>
  <r>
    <n v="645"/>
    <n v="1044"/>
    <n v="566526"/>
    <s v="INDUSTRIAL TECNICO METALURGICO AMADEO PICKMAN SOLIER"/>
    <s v="AYACUCHO"/>
    <s v="LUCANAS"/>
    <s v="SANCOS"/>
    <s v="SAN LUIS ALTA"/>
    <s v="SAN LUIS ALTA"/>
    <s v="Rural"/>
    <n v="-15.335896999999999"/>
    <n v="-74.276375999999999"/>
    <n v="30"/>
    <s v="SATELITAL"/>
    <s v="Sur"/>
    <x v="2"/>
    <n v="30"/>
    <n v="5"/>
    <n v="5"/>
    <n v="0.83333333333333337"/>
    <n v="5.833333333333333"/>
    <x v="0"/>
    <x v="8"/>
    <x v="2"/>
    <m/>
  </r>
  <r>
    <n v="646"/>
    <n v="1045"/>
    <n v="88192"/>
    <s v="24233"/>
    <s v="AYACUCHO"/>
    <s v="PARINACOCHAS"/>
    <s v="CORACORA"/>
    <s v="CONDORCOCCHA"/>
    <s v="CONDORCCOCHA"/>
    <s v="Rural"/>
    <n v="-14.6088"/>
    <n v="-73.647499999999994"/>
    <n v="30"/>
    <s v="SATELITAL"/>
    <s v="Sur"/>
    <x v="2"/>
    <n v="30"/>
    <n v="5"/>
    <n v="5"/>
    <n v="0.83333333333333337"/>
    <n v="5.833333333333333"/>
    <x v="0"/>
    <x v="8"/>
    <x v="2"/>
    <m/>
  </r>
  <r>
    <n v="647"/>
    <n v="1046"/>
    <n v="565744"/>
    <s v="NEGRO MAYO"/>
    <s v="AYACUCHO"/>
    <s v="PARINACOCHAS"/>
    <s v="CORACORA"/>
    <s v="NEGRO MAYO"/>
    <s v="CARRETERA SUR ANDINA KM 130"/>
    <s v="Rural"/>
    <n v="-14.644299999999999"/>
    <n v="-73.755099999999999"/>
    <n v="30"/>
    <s v="SATELITAL"/>
    <s v="Sur"/>
    <x v="2"/>
    <n v="30"/>
    <n v="5"/>
    <n v="5"/>
    <n v="0.83333333333333337"/>
    <n v="5.833333333333333"/>
    <x v="0"/>
    <x v="8"/>
    <x v="2"/>
    <m/>
  </r>
  <r>
    <n v="648"/>
    <n v="1047"/>
    <n v="590705"/>
    <s v="ARQ. FERNANDO BELAUNDE TERRY"/>
    <s v="AYACUCHO"/>
    <s v="PARINACOCHAS"/>
    <s v="CORACORA"/>
    <s v="PAMPAMARCA"/>
    <s v="PAMPAMARCA"/>
    <s v="Rural"/>
    <n v="-14.5695"/>
    <n v="-73.561199999999999"/>
    <n v="30"/>
    <s v="SATELITAL"/>
    <s v="Sur"/>
    <x v="2"/>
    <n v="30"/>
    <n v="5"/>
    <n v="5"/>
    <n v="0.83333333333333337"/>
    <n v="5.833333333333333"/>
    <x v="0"/>
    <x v="8"/>
    <x v="2"/>
    <m/>
  </r>
  <r>
    <n v="649"/>
    <n v="1048"/>
    <n v="88922"/>
    <s v="SAN MARTIN DE PORRES"/>
    <s v="AYACUCHO"/>
    <s v="PARINACOCHAS"/>
    <s v="PULLO"/>
    <s v="SAN MARTIN DE PORRES DE HUILLCALLAMA"/>
    <s v="HUILLCALLAMA"/>
    <s v="Rural"/>
    <n v="-15.2064"/>
    <n v="-74.037099999999995"/>
    <n v="30"/>
    <s v="SATELITAL"/>
    <s v="Sur"/>
    <x v="2"/>
    <n v="30"/>
    <n v="5"/>
    <n v="5"/>
    <n v="0.83333333333333337"/>
    <n v="5.833333333333333"/>
    <x v="0"/>
    <x v="8"/>
    <x v="2"/>
    <m/>
  </r>
  <r>
    <n v="650"/>
    <n v="1049"/>
    <n v="90213"/>
    <s v="SANTA CRUZ"/>
    <s v="AYACUCHO"/>
    <s v="PAUCAR DEL SARA SARA"/>
    <s v="PARARCA"/>
    <s v="PARARCA"/>
    <s v="PARARCA S/N"/>
    <s v="Rural"/>
    <n v="-15.219011999999999"/>
    <n v="-73.462937999999994"/>
    <n v="30"/>
    <s v="SATELITAL"/>
    <s v="Sur"/>
    <x v="2"/>
    <n v="30"/>
    <n v="5"/>
    <n v="5"/>
    <n v="0.83333333333333337"/>
    <n v="5.833333333333333"/>
    <x v="0"/>
    <x v="8"/>
    <x v="2"/>
    <m/>
  </r>
  <r>
    <n v="651"/>
    <n v="1050"/>
    <n v="90411"/>
    <s v="24148"/>
    <s v="AYACUCHO"/>
    <s v="SUCRE"/>
    <s v="QUEROBAMBA"/>
    <s v="ICATITA"/>
    <s v="CARRETERA POTONGO ECCATITA"/>
    <s v="Rural"/>
    <n v="-13.940602"/>
    <n v="-73.755225999999993"/>
    <n v="30"/>
    <s v="SATELITAL"/>
    <s v="Sur"/>
    <x v="2"/>
    <n v="30"/>
    <n v="5"/>
    <n v="5"/>
    <n v="0.83333333333333337"/>
    <n v="5.833333333333333"/>
    <x v="0"/>
    <x v="8"/>
    <x v="2"/>
    <m/>
  </r>
  <r>
    <n v="652"/>
    <n v="1051"/>
    <n v="91873"/>
    <s v="38517"/>
    <s v="AYACUCHO"/>
    <s v="VICTOR FAJARDO"/>
    <s v="CANARIA"/>
    <s v="UMASI"/>
    <s v="CALLE CARMEN PAMPA S/N"/>
    <s v="Rural"/>
    <n v="-14.12773"/>
    <n v="-74.032499999999999"/>
    <n v="30"/>
    <s v="SATELITAL"/>
    <s v="Sur"/>
    <x v="2"/>
    <n v="30"/>
    <n v="5"/>
    <n v="5"/>
    <n v="0.83333333333333337"/>
    <n v="5.833333333333333"/>
    <x v="0"/>
    <x v="8"/>
    <x v="2"/>
    <m/>
  </r>
  <r>
    <n v="653"/>
    <n v="1052"/>
    <n v="91953"/>
    <s v="38519"/>
    <s v="AYACUCHO"/>
    <s v="VICTOR FAJARDO"/>
    <s v="HUAMANQUIQUIA"/>
    <s v="NAZARET DE UCHU"/>
    <s v="JIRON LIMA S/N"/>
    <s v="Rural"/>
    <n v="-13.718999999999999"/>
    <n v="-74.309299999999993"/>
    <n v="30"/>
    <s v="SATELITAL"/>
    <s v="Sur"/>
    <x v="2"/>
    <n v="30"/>
    <n v="5"/>
    <n v="5"/>
    <n v="0.83333333333333337"/>
    <n v="5.833333333333333"/>
    <x v="0"/>
    <x v="8"/>
    <x v="2"/>
    <m/>
  </r>
  <r>
    <n v="654"/>
    <n v="1053"/>
    <n v="92349"/>
    <s v="38966"/>
    <s v="AYACUCHO"/>
    <s v="VICTOR FAJARDO"/>
    <s v="VILCANCHOS"/>
    <s v="MIRAFLORES"/>
    <s v="PARQUE PLAZA PRINCIPAL S/N"/>
    <s v="Rural"/>
    <n v="-13.6424"/>
    <n v="-74.732900000000001"/>
    <n v="30"/>
    <s v="SATELITAL"/>
    <s v="Sur"/>
    <x v="2"/>
    <n v="30"/>
    <n v="5"/>
    <n v="5"/>
    <n v="0.83333333333333337"/>
    <n v="5.833333333333333"/>
    <x v="0"/>
    <x v="7"/>
    <x v="2"/>
    <m/>
  </r>
  <r>
    <n v="655"/>
    <n v="1054"/>
    <n v="699022"/>
    <s v="GENARO TABOADA GUTIERREZ"/>
    <s v="AYACUCHO"/>
    <s v="VILCAS HUAMAN"/>
    <s v="VILCAS HUAMAN"/>
    <s v="SAN JUAN DE CHITO"/>
    <s v="SAN JUAN DE CHITO"/>
    <s v="Rural"/>
    <n v="-13.6416"/>
    <n v="-73.925399999999996"/>
    <n v="30"/>
    <s v="SATELITAL"/>
    <s v="Sur"/>
    <x v="2"/>
    <n v="30"/>
    <n v="5"/>
    <n v="5"/>
    <n v="0.83333333333333337"/>
    <n v="5.833333333333333"/>
    <x v="0"/>
    <x v="8"/>
    <x v="2"/>
    <m/>
  </r>
  <r>
    <n v="656"/>
    <n v="1055"/>
    <n v="596806"/>
    <s v="SAGRADO CORAZON DE JESUS"/>
    <s v="CUSCO"/>
    <s v="ACOMAYO"/>
    <s v="ACOPIA"/>
    <s v="SANTO DOMINGO"/>
    <s v="SANTO DOMINGO"/>
    <s v="Rural"/>
    <n v="-14.08694"/>
    <n v="-71.501360000000005"/>
    <n v="30"/>
    <s v="SATELITAL"/>
    <s v="Sur"/>
    <x v="2"/>
    <n v="30"/>
    <n v="5"/>
    <n v="5"/>
    <n v="0.83333333333333337"/>
    <n v="5.833333333333333"/>
    <x v="0"/>
    <x v="8"/>
    <x v="2"/>
    <m/>
  </r>
  <r>
    <n v="657"/>
    <n v="1056"/>
    <n v="150301"/>
    <s v="50063"/>
    <s v="CUSCO"/>
    <s v="ACOMAYO"/>
    <s v="SANGARARA"/>
    <s v="SANGARARA"/>
    <s v="PARQUE PLAZA DE ARMAS S/N AA.HH."/>
    <s v="Rural"/>
    <n v="-13.948653"/>
    <n v="-71.600345000000004"/>
    <n v="30"/>
    <s v="SATELITAL"/>
    <s v="Sur"/>
    <x v="2"/>
    <n v="30"/>
    <n v="5"/>
    <n v="5"/>
    <n v="0.83333333333333337"/>
    <n v="5.833333333333333"/>
    <x v="0"/>
    <x v="8"/>
    <x v="2"/>
    <m/>
  </r>
  <r>
    <n v="658"/>
    <n v="1057"/>
    <n v="150344"/>
    <s v="LIBERTADORES DE AMERICA"/>
    <s v="CUSCO"/>
    <s v="ACOMAYO"/>
    <s v="SANGARARA"/>
    <s v="SANGARARA"/>
    <s v="PARQUE PLAZA DE ARMAS S/N"/>
    <s v="Rural"/>
    <n v="-13.9472"/>
    <n v="-71.603099999999998"/>
    <n v="30"/>
    <s v="SATELITAL"/>
    <s v="Sur"/>
    <x v="2"/>
    <n v="30"/>
    <n v="5"/>
    <n v="5"/>
    <n v="0.83333333333333337"/>
    <n v="5.833333333333333"/>
    <x v="0"/>
    <x v="8"/>
    <x v="2"/>
    <m/>
  </r>
  <r>
    <n v="659"/>
    <n v="1058"/>
    <n v="150363"/>
    <s v="SANGARARA"/>
    <s v="CUSCO"/>
    <s v="ACOMAYO"/>
    <s v="SANGARARA"/>
    <s v="SANGARARA"/>
    <s v="AVENIDA 18 DE NOVIEMBRE S/N"/>
    <s v="Rural"/>
    <n v="-13.9535"/>
    <n v="-71.600099999999998"/>
    <n v="30"/>
    <s v="SATELITAL"/>
    <s v="Sur"/>
    <x v="2"/>
    <n v="30"/>
    <n v="5"/>
    <n v="5"/>
    <n v="0.83333333333333337"/>
    <n v="5.833333333333333"/>
    <x v="0"/>
    <x v="8"/>
    <x v="2"/>
    <m/>
  </r>
  <r>
    <n v="660"/>
    <n v="1059"/>
    <n v="150297"/>
    <s v="50062"/>
    <s v="CUSCO"/>
    <s v="ACOMAYO"/>
    <s v="SANGARARA"/>
    <s v="UNION CHAHUAY"/>
    <s v="CHAHUAY"/>
    <s v="Rural"/>
    <n v="-14.000686"/>
    <n v="-71.526696000000001"/>
    <n v="30"/>
    <s v="SATELITAL"/>
    <s v="Sur"/>
    <x v="2"/>
    <n v="30"/>
    <n v="5"/>
    <n v="5"/>
    <n v="0.83333333333333337"/>
    <n v="5.833333333333333"/>
    <x v="0"/>
    <x v="8"/>
    <x v="2"/>
    <m/>
  </r>
  <r>
    <n v="661"/>
    <n v="1060"/>
    <n v="560157"/>
    <s v="LAGUNA AZUL"/>
    <s v="CUSCO"/>
    <s v="ACOMAYO"/>
    <s v="SANGARARA"/>
    <s v="UNION CHAHUAY"/>
    <s v="UNION CHAHUAY"/>
    <s v="Rural"/>
    <n v="-14.0006"/>
    <n v="-71.526499999999999"/>
    <n v="30"/>
    <s v="SATELITAL"/>
    <s v="Sur"/>
    <x v="2"/>
    <n v="30"/>
    <n v="5"/>
    <n v="5"/>
    <n v="0.83333333333333337"/>
    <n v="5.833333333333333"/>
    <x v="0"/>
    <x v="8"/>
    <x v="2"/>
    <m/>
  </r>
  <r>
    <n v="662"/>
    <n v="1061"/>
    <n v="150773"/>
    <s v="50738"/>
    <s v="CUSCO"/>
    <s v="ANTA"/>
    <s v="ANCAHUASI"/>
    <s v="CHAMANCALLA"/>
    <s v="CHAMANCALLA"/>
    <s v="Rural"/>
    <n v="-13.444983000000001"/>
    <n v="-72.329164000000006"/>
    <n v="30"/>
    <s v="SATELITAL"/>
    <s v="Sur"/>
    <x v="2"/>
    <n v="30"/>
    <n v="5"/>
    <n v="5"/>
    <n v="0.83333333333333337"/>
    <n v="5.833333333333333"/>
    <x v="0"/>
    <x v="8"/>
    <x v="2"/>
    <m/>
  </r>
  <r>
    <n v="663"/>
    <n v="1062"/>
    <n v="150848"/>
    <s v="50123 SAN LUIS GONZAGA"/>
    <s v="CUSCO"/>
    <s v="ANTA"/>
    <s v="ANCAHUASI"/>
    <s v="CHAQUILLCCASA"/>
    <s v="CHAQUILCCASA"/>
    <s v="Rural"/>
    <n v="-13.45749"/>
    <n v="-72.292062000000001"/>
    <n v="30"/>
    <s v="SATELITAL"/>
    <s v="Sur"/>
    <x v="2"/>
    <n v="30"/>
    <n v="5"/>
    <n v="5"/>
    <n v="0.83333333333333337"/>
    <n v="5.833333333333333"/>
    <x v="0"/>
    <x v="8"/>
    <x v="2"/>
    <m/>
  </r>
  <r>
    <n v="664"/>
    <n v="1063"/>
    <n v="150834"/>
    <s v="501102"/>
    <s v="CUSCO"/>
    <s v="ANTA"/>
    <s v="ANCAHUASI"/>
    <s v="CIRGAKCACYA"/>
    <s v="CIRCA KCACYA S/N"/>
    <s v="Rural"/>
    <n v="-13.467442999999999"/>
    <n v="-72.291347999999999"/>
    <n v="30"/>
    <s v="SATELITAL"/>
    <s v="Sur"/>
    <x v="2"/>
    <n v="30"/>
    <n v="5"/>
    <n v="5"/>
    <n v="0.83333333333333337"/>
    <n v="5.833333333333333"/>
    <x v="0"/>
    <x v="8"/>
    <x v="2"/>
    <m/>
  </r>
  <r>
    <n v="665"/>
    <n v="1064"/>
    <n v="601577"/>
    <s v="PADRE JOAQUIN MESEGUER"/>
    <s v="CUSCO"/>
    <s v="ANTA"/>
    <s v="ANCAHUASI"/>
    <s v="KATAÑARAY"/>
    <s v="KATAÑIRAY"/>
    <s v="Rural"/>
    <n v="-13.47363"/>
    <n v="-72.270750000000007"/>
    <n v="30"/>
    <s v="SATELITAL"/>
    <s v="Sur"/>
    <x v="2"/>
    <n v="30"/>
    <n v="5"/>
    <n v="5"/>
    <n v="0.83333333333333337"/>
    <n v="5.833333333333333"/>
    <x v="0"/>
    <x v="8"/>
    <x v="2"/>
    <m/>
  </r>
  <r>
    <n v="666"/>
    <n v="1065"/>
    <n v="150495"/>
    <s v="50098"/>
    <s v="CUSCO"/>
    <s v="ANTA"/>
    <s v="ANTA"/>
    <s v="ANTA"/>
    <s v="CALLE CONFRATERNIDAD S/N"/>
    <s v="Urbana"/>
    <n v="-13.466739"/>
    <n v="-72.149113"/>
    <n v="30"/>
    <s v="SATELITAL"/>
    <s v="Sur"/>
    <x v="2"/>
    <n v="30"/>
    <n v="5"/>
    <n v="5"/>
    <n v="0.83333333333333337"/>
    <n v="5.833333333333333"/>
    <x v="0"/>
    <x v="4"/>
    <x v="4"/>
    <m/>
  </r>
  <r>
    <n v="667"/>
    <n v="1066"/>
    <n v="150589"/>
    <s v="50128"/>
    <s v="CUSCO"/>
    <s v="ANTA"/>
    <s v="ANTA"/>
    <s v="CASACUNCA"/>
    <s v="CCASACUNCA S/N"/>
    <s v="Rural"/>
    <n v="-13.5227"/>
    <n v="-72.110900000000001"/>
    <n v="30"/>
    <s v="SATELITAL"/>
    <s v="Sur"/>
    <x v="2"/>
    <n v="30"/>
    <n v="5"/>
    <n v="5"/>
    <n v="0.83333333333333337"/>
    <n v="5.833333333333333"/>
    <x v="0"/>
    <x v="4"/>
    <x v="4"/>
    <m/>
  </r>
  <r>
    <n v="668"/>
    <n v="1067"/>
    <n v="151070"/>
    <s v="501096"/>
    <s v="CUSCO"/>
    <s v="ANTA"/>
    <s v="CHINCHAYPUJIO"/>
    <s v="HACIENDA PAUCARCOTO"/>
    <s v="PAUCCARCCOTO"/>
    <s v="Rural"/>
    <n v="-13.660053"/>
    <n v="-72.215402999999995"/>
    <n v="30"/>
    <s v="SATELITAL"/>
    <s v="Sur"/>
    <x v="2"/>
    <n v="30"/>
    <n v="5"/>
    <n v="5"/>
    <n v="0.83333333333333337"/>
    <n v="5.833333333333333"/>
    <x v="0"/>
    <x v="8"/>
    <x v="2"/>
    <m/>
  </r>
  <r>
    <n v="669"/>
    <n v="1068"/>
    <n v="150971"/>
    <s v="50140"/>
    <s v="CUSCO"/>
    <s v="ANTA"/>
    <s v="CHINCHAYPUJIO"/>
    <s v="PARCOTICA"/>
    <s v="PARCCOTICA S/N"/>
    <s v="Rural"/>
    <n v="-13.573819"/>
    <n v="-72.248644999999996"/>
    <n v="30"/>
    <s v="SATELITAL"/>
    <s v="Sur"/>
    <x v="2"/>
    <n v="30"/>
    <n v="5"/>
    <n v="5"/>
    <n v="0.83333333333333337"/>
    <n v="5.833333333333333"/>
    <x v="0"/>
    <x v="8"/>
    <x v="2"/>
    <m/>
  </r>
  <r>
    <n v="670"/>
    <n v="1069"/>
    <n v="151174"/>
    <s v="50108"/>
    <s v="CUSCO"/>
    <s v="ANTA"/>
    <s v="HUAROCONDO"/>
    <s v="HUAROCONDO"/>
    <s v="AVENIDA HUAROCONDO S/N"/>
    <s v="Urbana"/>
    <n v="-13.417676999999999"/>
    <n v="-72.203778999999997"/>
    <n v="30"/>
    <s v="SATELITAL"/>
    <s v="Sur"/>
    <x v="2"/>
    <n v="30"/>
    <n v="5"/>
    <n v="5"/>
    <n v="0.83333333333333337"/>
    <n v="5.833333333333333"/>
    <x v="0"/>
    <x v="4"/>
    <x v="4"/>
    <m/>
  </r>
  <r>
    <n v="671"/>
    <n v="1070"/>
    <n v="151334"/>
    <s v="50136"/>
    <s v="CUSCO"/>
    <s v="ANTA"/>
    <s v="LIMATAMBO"/>
    <s v="CHOQUEMARCA"/>
    <s v="CHOQUEMARCA S/N"/>
    <s v="Rural"/>
    <n v="-13.498946999999999"/>
    <n v="-72.421559999999999"/>
    <n v="30"/>
    <s v="SATELITAL"/>
    <s v="Sur"/>
    <x v="2"/>
    <n v="30"/>
    <n v="5"/>
    <n v="5"/>
    <n v="0.83333333333333337"/>
    <n v="5.833333333333333"/>
    <x v="0"/>
    <x v="8"/>
    <x v="2"/>
    <m/>
  </r>
  <r>
    <n v="672"/>
    <n v="1071"/>
    <n v="151895"/>
    <s v="50166"/>
    <s v="CUSCO"/>
    <s v="CALCA"/>
    <s v="CALCA"/>
    <s v="AMPARAES"/>
    <s v="CALLE EJERCITO S/N"/>
    <s v="Rural"/>
    <n v="-13.054933"/>
    <n v="-71.946467999999996"/>
    <n v="30"/>
    <s v="SATELITAL"/>
    <s v="Sur"/>
    <x v="2"/>
    <n v="30"/>
    <n v="5"/>
    <n v="5"/>
    <n v="0.83333333333333337"/>
    <n v="5.833333333333333"/>
    <x v="0"/>
    <x v="4"/>
    <x v="4"/>
    <m/>
  </r>
  <r>
    <n v="673"/>
    <n v="1072"/>
    <n v="151923"/>
    <s v="50189"/>
    <s v="CUSCO"/>
    <s v="CALCA"/>
    <s v="CALCA"/>
    <s v="TTIO"/>
    <s v="TTIO TTIO"/>
    <s v="Rural"/>
    <n v="-13.242862000000001"/>
    <n v="-71.793003999999996"/>
    <n v="30"/>
    <s v="SATELITAL"/>
    <s v="Sur"/>
    <x v="2"/>
    <n v="30"/>
    <n v="5"/>
    <n v="5"/>
    <n v="0.83333333333333337"/>
    <n v="5.833333333333333"/>
    <x v="0"/>
    <x v="4"/>
    <x v="4"/>
    <m/>
  </r>
  <r>
    <n v="674"/>
    <n v="1073"/>
    <n v="152282"/>
    <s v="501225"/>
    <s v="CUSCO"/>
    <s v="CALCA"/>
    <s v="LAMAY"/>
    <s v="CHAUPIMAYO / HUARQUI"/>
    <s v="CHAUPIMAYO / HUARQUI"/>
    <s v="Rural"/>
    <n v="-13.304316999999999"/>
    <n v="-71.768535"/>
    <n v="30"/>
    <s v="SATELITAL"/>
    <s v="Sur"/>
    <x v="2"/>
    <n v="30"/>
    <n v="5"/>
    <n v="5"/>
    <n v="0.83333333333333337"/>
    <n v="5.833333333333333"/>
    <x v="0"/>
    <x v="4"/>
    <x v="4"/>
    <m/>
  </r>
  <r>
    <n v="675"/>
    <n v="1074"/>
    <n v="152319"/>
    <s v="50171"/>
    <s v="CUSCO"/>
    <s v="CALCA"/>
    <s v="LARES"/>
    <s v="CHOQUECANCHA"/>
    <s v="CHOQUECANCHA S/N"/>
    <s v="Rural"/>
    <n v="-13.036899999999999"/>
    <n v="-72.0364"/>
    <n v="30"/>
    <s v="SATELITAL"/>
    <s v="Sur"/>
    <x v="2"/>
    <n v="30"/>
    <n v="5"/>
    <n v="5"/>
    <n v="0.83333333333333337"/>
    <n v="5.833333333333333"/>
    <x v="0"/>
    <x v="4"/>
    <x v="4"/>
    <m/>
  </r>
  <r>
    <n v="676"/>
    <n v="1075"/>
    <n v="152630"/>
    <s v="50214"/>
    <s v="CUSCO"/>
    <s v="CALCA"/>
    <s v="PISAC"/>
    <s v="CHAHUAYTIRE"/>
    <s v="CHAHUAYTIRE"/>
    <s v="Rural"/>
    <n v="-13.389200000000001"/>
    <n v="-71.778599999999997"/>
    <n v="30"/>
    <s v="SATELITAL"/>
    <s v="Sur"/>
    <x v="2"/>
    <n v="30"/>
    <n v="5"/>
    <n v="5"/>
    <n v="0.83333333333333337"/>
    <n v="5.833333333333333"/>
    <x v="0"/>
    <x v="4"/>
    <x v="4"/>
    <m/>
  </r>
  <r>
    <n v="677"/>
    <n v="1076"/>
    <n v="153012"/>
    <s v="50170"/>
    <s v="CUSCO"/>
    <s v="CALCA"/>
    <s v="YANATILE"/>
    <s v="CUQUIPATA"/>
    <s v="CUQUIPATA"/>
    <s v="Rural"/>
    <n v="-12.75745"/>
    <n v="-72.176150000000007"/>
    <n v="30"/>
    <s v="SATELITAL"/>
    <s v="Sur"/>
    <x v="2"/>
    <n v="30"/>
    <n v="5"/>
    <n v="5"/>
    <n v="0.83333333333333337"/>
    <n v="5.833333333333333"/>
    <x v="0"/>
    <x v="4"/>
    <x v="4"/>
    <m/>
  </r>
  <r>
    <n v="678"/>
    <n v="1077"/>
    <n v="153210"/>
    <s v="50817"/>
    <s v="CUSCO"/>
    <s v="CALCA"/>
    <s v="YANATILE"/>
    <s v="YAVERO"/>
    <s v="YAVERO COMUNIDAD DE YAVERO"/>
    <s v="Rural"/>
    <n v="-12.405269000000001"/>
    <n v="-72.517330000000001"/>
    <n v="30"/>
    <s v="SATELITAL"/>
    <s v="Sur"/>
    <x v="2"/>
    <n v="30"/>
    <n v="5"/>
    <n v="5"/>
    <n v="0.83333333333333337"/>
    <n v="5.833333333333333"/>
    <x v="0"/>
    <x v="4"/>
    <x v="4"/>
    <m/>
  </r>
  <r>
    <n v="679"/>
    <n v="1078"/>
    <n v="153875"/>
    <s v="ALTIVA CANAS || 56160"/>
    <s v="CUSCO"/>
    <s v="CANAS"/>
    <s v="CHECCA"/>
    <s v="CHITIBAMBA"/>
    <s v="CHITIBAMBA"/>
    <s v="Rural"/>
    <n v="-14.448433"/>
    <n v="-71.485847000000007"/>
    <n v="30"/>
    <s v="SATELITAL"/>
    <s v="Sur"/>
    <x v="2"/>
    <n v="30"/>
    <n v="5"/>
    <n v="5"/>
    <n v="0.83333333333333337"/>
    <n v="5.833333333333333"/>
    <x v="0"/>
    <x v="9"/>
    <x v="2"/>
    <m/>
  </r>
  <r>
    <n v="680"/>
    <n v="1079"/>
    <n v="154200"/>
    <s v="56167"/>
    <s v="CUSCO"/>
    <s v="CANAS"/>
    <s v="LANGUI"/>
    <s v="URINSAYA CCOLLANA"/>
    <s v="EL PORVENIR S/N"/>
    <s v="Rural"/>
    <n v="-14.407591999999999"/>
    <n v="-71.309556000000001"/>
    <n v="30"/>
    <s v="SATELITAL"/>
    <s v="Sur"/>
    <x v="2"/>
    <n v="30"/>
    <n v="5"/>
    <n v="5"/>
    <n v="0.83333333333333337"/>
    <n v="5.833333333333333"/>
    <x v="0"/>
    <x v="9"/>
    <x v="2"/>
    <m/>
  </r>
  <r>
    <n v="681"/>
    <n v="1080"/>
    <n v="603492"/>
    <s v="HORACIO ZEVALLOS GAMEZ"/>
    <s v="CUSCO"/>
    <s v="CANAS"/>
    <s v="LAYO"/>
    <s v="URINSAYA CCOLLANA / CALCA PAMPA"/>
    <s v="URINSAYA CCOLLANA"/>
    <s v="Rural"/>
    <n v="-14.531499999999999"/>
    <n v="-71.158500000000004"/>
    <n v="30"/>
    <s v="SATELITAL"/>
    <s v="Sur"/>
    <x v="2"/>
    <n v="30"/>
    <n v="5"/>
    <n v="5"/>
    <n v="0.83333333333333337"/>
    <n v="5.833333333333333"/>
    <x v="0"/>
    <x v="9"/>
    <x v="2"/>
    <m/>
  </r>
  <r>
    <n v="682"/>
    <n v="1081"/>
    <n v="154460"/>
    <s v="56119"/>
    <s v="CUSCO"/>
    <s v="CANAS"/>
    <s v="PAMPAMARCA"/>
    <s v="PABELLONES"/>
    <s v="PABELLONES"/>
    <s v="Rural"/>
    <n v="-14.179399999999999"/>
    <n v="-71.446100000000001"/>
    <n v="30"/>
    <s v="SATELITAL"/>
    <s v="Sur"/>
    <x v="2"/>
    <n v="30"/>
    <n v="5"/>
    <n v="5"/>
    <n v="0.83333333333333337"/>
    <n v="5.833333333333333"/>
    <x v="0"/>
    <x v="9"/>
    <x v="2"/>
    <m/>
  </r>
  <r>
    <n v="683"/>
    <n v="1082"/>
    <n v="153700"/>
    <s v="56145"/>
    <s v="CUSCO"/>
    <s v="CANAS"/>
    <s v="YANAOCA"/>
    <s v="PUNA VAQUERIA"/>
    <s v="PUNA VAQUERIA"/>
    <s v="Rural"/>
    <n v="-14.314"/>
    <n v="-71.436899999999994"/>
    <n v="30"/>
    <s v="SATELITAL"/>
    <s v="Sur"/>
    <x v="2"/>
    <n v="30"/>
    <n v="5"/>
    <n v="5"/>
    <n v="0.83333333333333337"/>
    <n v="5.833333333333333"/>
    <x v="0"/>
    <x v="9"/>
    <x v="2"/>
    <m/>
  </r>
  <r>
    <n v="684"/>
    <n v="1083"/>
    <n v="155681"/>
    <s v="56094"/>
    <s v="CUSCO"/>
    <s v="CANCHIS"/>
    <s v="CHECACUPE"/>
    <s v="LLOCLLORA"/>
    <s v="LLOCLLORA"/>
    <s v="Rural"/>
    <n v="-13.9955"/>
    <n v="-71.462000000000003"/>
    <n v="30"/>
    <s v="SATELITAL"/>
    <s v="Sur"/>
    <x v="2"/>
    <n v="30"/>
    <n v="5"/>
    <n v="5"/>
    <n v="0.83333333333333337"/>
    <n v="5.833333333333333"/>
    <x v="0"/>
    <x v="8"/>
    <x v="2"/>
    <m/>
  </r>
  <r>
    <n v="685"/>
    <n v="1084"/>
    <n v="156242"/>
    <s v="594 || 56099"/>
    <s v="CUSCO"/>
    <s v="CANCHIS"/>
    <s v="PITUMARCA"/>
    <s v="HUASAPAMPA"/>
    <s v="HUASAPAMPA"/>
    <s v="Rural"/>
    <n v="-13.97513"/>
    <n v="-71.380309999999994"/>
    <n v="30"/>
    <s v="SATELITAL"/>
    <s v="Sur"/>
    <x v="2"/>
    <n v="30"/>
    <n v="5"/>
    <n v="5"/>
    <n v="0.83333333333333337"/>
    <n v="5.833333333333333"/>
    <x v="0"/>
    <x v="9"/>
    <x v="2"/>
    <m/>
  </r>
  <r>
    <n v="686"/>
    <n v="1085"/>
    <n v="156261"/>
    <s v="UCHULLUCLLU || 56097"/>
    <s v="CUSCO"/>
    <s v="CANCHIS"/>
    <s v="PITUMARCA"/>
    <s v="UCHULLUCLLO"/>
    <s v="UCHULLUCLLO"/>
    <s v="Rural"/>
    <n v="-13.9711"/>
    <n v="-71.310599999999994"/>
    <n v="30"/>
    <s v="SATELITAL"/>
    <s v="Sur"/>
    <x v="2"/>
    <n v="30"/>
    <n v="5"/>
    <n v="5"/>
    <n v="0.83333333333333337"/>
    <n v="5.833333333333333"/>
    <x v="0"/>
    <x v="9"/>
    <x v="2"/>
    <m/>
  </r>
  <r>
    <n v="687"/>
    <n v="1086"/>
    <n v="156529"/>
    <s v="SANTA BARBARA || 597 || 56074"/>
    <s v="CUSCO"/>
    <s v="CANCHIS"/>
    <s v="SAN PABLO"/>
    <s v="SANTA BARBARA"/>
    <s v="CALLE SANTA BARBARA S/N"/>
    <s v="Rural"/>
    <n v="-14.165150000000001"/>
    <n v="-71.195329999999998"/>
    <n v="30"/>
    <s v="SATELITAL"/>
    <s v="Sur"/>
    <x v="2"/>
    <n v="30"/>
    <n v="5"/>
    <n v="5"/>
    <n v="0.83333333333333337"/>
    <n v="5.833333333333333"/>
    <x v="0"/>
    <x v="9"/>
    <x v="2"/>
    <m/>
  </r>
  <r>
    <n v="688"/>
    <n v="1087"/>
    <n v="155148"/>
    <s v="56022"/>
    <s v="CUSCO"/>
    <s v="CANCHIS"/>
    <s v="SICUANI"/>
    <s v="CCOCHACUNCA"/>
    <s v="COCHACUNCA S/N"/>
    <s v="Rural"/>
    <n v="-14.224299999999999"/>
    <n v="-71.259900000000002"/>
    <n v="30"/>
    <s v="SATELITAL"/>
    <s v="Sur"/>
    <x v="2"/>
    <n v="30"/>
    <n v="5"/>
    <n v="5"/>
    <n v="0.83333333333333337"/>
    <n v="5.833333333333333"/>
    <x v="0"/>
    <x v="9"/>
    <x v="2"/>
    <m/>
  </r>
  <r>
    <n v="689"/>
    <n v="1088"/>
    <n v="156831"/>
    <s v="56042 || CPED - 56042"/>
    <s v="CUSCO"/>
    <s v="CANCHIS"/>
    <s v="TINTA"/>
    <s v="QUEROMARCA"/>
    <s v="QUEROMARCA S/N"/>
    <s v="Rural"/>
    <n v="-14.192027"/>
    <n v="-71.378714000000002"/>
    <n v="30"/>
    <s v="SATELITAL"/>
    <s v="Sur"/>
    <x v="2"/>
    <n v="30"/>
    <n v="5"/>
    <n v="5"/>
    <n v="0.83333333333333337"/>
    <n v="5.833333333333333"/>
    <x v="0"/>
    <x v="9"/>
    <x v="2"/>
    <m/>
  </r>
  <r>
    <n v="690"/>
    <n v="1089"/>
    <n v="157468"/>
    <s v="56261"/>
    <s v="CUSCO"/>
    <s v="CHUMBIVILCAS"/>
    <s v="CAPACMARCA"/>
    <s v="HUASCABAMBA"/>
    <s v="CARRETERA CCAPACMARCA - MARA"/>
    <s v="Rural"/>
    <n v="-14.034800000000001"/>
    <n v="-72.053577000000004"/>
    <n v="30"/>
    <s v="SATELITAL"/>
    <s v="Sur"/>
    <x v="2"/>
    <n v="30"/>
    <n v="5"/>
    <n v="5"/>
    <n v="0.83333333333333337"/>
    <n v="5.833333333333333"/>
    <x v="0"/>
    <x v="8"/>
    <x v="2"/>
    <m/>
  </r>
  <r>
    <n v="691"/>
    <n v="1090"/>
    <n v="157487"/>
    <s v="56277 || 823 || 56277 SAN ANTONIO DE PADUA"/>
    <s v="CUSCO"/>
    <s v="CHUMBIVILCAS"/>
    <s v="CAPACMARCA"/>
    <s v="TAHUAY"/>
    <s v="TAHUAY"/>
    <s v="Rural"/>
    <n v="-13.9634"/>
    <n v="-72.012299999999996"/>
    <n v="30"/>
    <s v="SATELITAL"/>
    <s v="Sur"/>
    <x v="2"/>
    <n v="30"/>
    <n v="5"/>
    <n v="5"/>
    <n v="0.83333333333333337"/>
    <n v="5.833333333333333"/>
    <x v="0"/>
    <x v="8"/>
    <x v="2"/>
    <m/>
  </r>
  <r>
    <n v="692"/>
    <n v="1091"/>
    <n v="158279"/>
    <s v="56392 JUAN VELASCO ALVARADO"/>
    <s v="CUSCO"/>
    <s v="CHUMBIVILCAS"/>
    <s v="LIVITACA"/>
    <s v="KAYNO"/>
    <s v="K'AYNO S/N"/>
    <s v="Rural"/>
    <n v="-14.2423"/>
    <n v="-71.529700000000005"/>
    <n v="30"/>
    <s v="SATELITAL"/>
    <s v="Sur"/>
    <x v="2"/>
    <n v="30"/>
    <n v="5"/>
    <n v="5"/>
    <n v="0.83333333333333337"/>
    <n v="5.833333333333333"/>
    <x v="0"/>
    <x v="8"/>
    <x v="2"/>
    <m/>
  </r>
  <r>
    <n v="693"/>
    <n v="1092"/>
    <n v="158203"/>
    <s v="56405"/>
    <s v="CUSCO"/>
    <s v="CHUMBIVILCAS"/>
    <s v="LIVITACA"/>
    <s v="PARCCO LLAULLIPATA"/>
    <s v="PARCCO LLAULLIPATA"/>
    <s v="Rural"/>
    <n v="-14.238"/>
    <n v="-71.643199999999993"/>
    <n v="30"/>
    <s v="SATELITAL"/>
    <s v="Sur"/>
    <x v="2"/>
    <n v="30"/>
    <n v="5"/>
    <n v="5"/>
    <n v="0.83333333333333337"/>
    <n v="5.833333333333333"/>
    <x v="0"/>
    <x v="8"/>
    <x v="2"/>
    <m/>
  </r>
  <r>
    <n v="694"/>
    <n v="1093"/>
    <n v="158302"/>
    <s v="56267"/>
    <s v="CUSCO"/>
    <s v="CHUMBIVILCAS"/>
    <s v="LIVITACA"/>
    <s v="TOTORA"/>
    <s v="TOTORA S/N"/>
    <s v="Rural"/>
    <n v="-14.1668"/>
    <n v="-71.579800000000006"/>
    <n v="30"/>
    <s v="SATELITAL"/>
    <s v="Sur"/>
    <x v="2"/>
    <n v="30"/>
    <n v="5"/>
    <n v="5"/>
    <n v="0.83333333333333337"/>
    <n v="5.833333333333333"/>
    <x v="0"/>
    <x v="8"/>
    <x v="2"/>
    <m/>
  </r>
  <r>
    <n v="695"/>
    <n v="1094"/>
    <n v="158509"/>
    <s v="56297"/>
    <s v="CUSCO"/>
    <s v="CHUMBIVILCAS"/>
    <s v="QUIÑOTA"/>
    <s v="UTUTA"/>
    <s v="UTUTA"/>
    <s v="Rural"/>
    <n v="-14.398679"/>
    <n v="-72.207055999999994"/>
    <n v="30"/>
    <s v="SATELITAL"/>
    <s v="Sur"/>
    <x v="2"/>
    <n v="30"/>
    <n v="5"/>
    <n v="5"/>
    <n v="0.83333333333333337"/>
    <n v="5.833333333333333"/>
    <x v="0"/>
    <x v="8"/>
    <x v="2"/>
    <m/>
  </r>
  <r>
    <n v="696"/>
    <n v="1095"/>
    <n v="157086"/>
    <s v="56256"/>
    <s v="CUSCO"/>
    <s v="CHUMBIVILCAS"/>
    <s v="SANTO TOMAS"/>
    <s v="YAVINA"/>
    <s v="YAVINA"/>
    <s v="Rural"/>
    <n v="-14.5669"/>
    <n v="-72.1965"/>
    <n v="30"/>
    <s v="SATELITAL"/>
    <s v="Sur"/>
    <x v="2"/>
    <n v="30"/>
    <n v="5"/>
    <n v="5"/>
    <n v="0.83333333333333337"/>
    <n v="5.833333333333333"/>
    <x v="0"/>
    <x v="8"/>
    <x v="2"/>
    <m/>
  </r>
  <r>
    <n v="697"/>
    <n v="1096"/>
    <n v="158613"/>
    <s v="56299"/>
    <s v="CUSCO"/>
    <s v="CHUMBIVILCAS"/>
    <s v="VELILLE"/>
    <s v="ALJA VICTORIA"/>
    <s v="ALCCAVICTORIA"/>
    <s v="Rural"/>
    <n v="-14.784018"/>
    <n v="-72.040350000000004"/>
    <n v="30"/>
    <s v="SATELITAL"/>
    <s v="Sur"/>
    <x v="2"/>
    <n v="30"/>
    <n v="5"/>
    <n v="5"/>
    <n v="0.83333333333333337"/>
    <n v="5.833333333333333"/>
    <x v="0"/>
    <x v="8"/>
    <x v="2"/>
    <m/>
  </r>
  <r>
    <n v="698"/>
    <n v="1097"/>
    <n v="145946"/>
    <s v="50859"/>
    <s v="CUSCO"/>
    <s v="CUSCO"/>
    <s v="CUSCO"/>
    <s v="CUSCO"/>
    <s v="AVENIDA CHINCHAYSUYO S/N"/>
    <s v="Urbana"/>
    <n v="-13.51465"/>
    <n v="-71.956429999999997"/>
    <n v="30"/>
    <s v="SATELITAL"/>
    <s v="Sur"/>
    <x v="2"/>
    <n v="30"/>
    <n v="5"/>
    <n v="5"/>
    <n v="0.83333333333333337"/>
    <n v="5.833333333333333"/>
    <x v="0"/>
    <x v="4"/>
    <x v="4"/>
    <m/>
  </r>
  <r>
    <n v="699"/>
    <n v="1098"/>
    <n v="146291"/>
    <s v="50966"/>
    <s v="CUSCO"/>
    <s v="CUSCO"/>
    <s v="CUSCO"/>
    <s v="CUSCO"/>
    <s v="AYUDA MUTUA"/>
    <s v="Urbana"/>
    <n v="-13.512079999999999"/>
    <n v="-71.960257999999996"/>
    <n v="30"/>
    <s v="SATELITAL"/>
    <s v="Sur"/>
    <x v="2"/>
    <n v="30"/>
    <n v="5"/>
    <n v="5"/>
    <n v="0.83333333333333337"/>
    <n v="5.833333333333333"/>
    <x v="0"/>
    <x v="4"/>
    <x v="4"/>
    <m/>
  </r>
  <r>
    <n v="700"/>
    <n v="1099"/>
    <n v="146470"/>
    <s v="50040"/>
    <s v="CUSCO"/>
    <s v="CUSCO"/>
    <s v="CUSCO"/>
    <s v="HUILLCARPATA"/>
    <s v="CARRETERA HUILLCAPATA"/>
    <s v="Rural"/>
    <n v="-13.459695999999999"/>
    <n v="-71.927269999999993"/>
    <n v="30"/>
    <s v="SATELITAL"/>
    <s v="Sur"/>
    <x v="2"/>
    <n v="30"/>
    <n v="5"/>
    <n v="5"/>
    <n v="0.83333333333333337"/>
    <n v="5.833333333333333"/>
    <x v="0"/>
    <x v="4"/>
    <x v="4"/>
    <m/>
  </r>
  <r>
    <n v="701"/>
    <n v="1100"/>
    <n v="159815"/>
    <s v="BARTOLOME DE LAS CASAS"/>
    <s v="CUSCO"/>
    <s v="ESPINAR"/>
    <s v="COPORAQUE"/>
    <s v="HUAYHUAHUASI"/>
    <s v="HUAYHUAHUASI"/>
    <s v="Rural"/>
    <n v="-14.67272"/>
    <n v="-71.532560000000004"/>
    <n v="30"/>
    <s v="SATELITAL"/>
    <s v="Sur"/>
    <x v="2"/>
    <n v="30"/>
    <n v="5"/>
    <n v="5"/>
    <n v="0.83333333333333337"/>
    <n v="5.833333333333333"/>
    <x v="0"/>
    <x v="9"/>
    <x v="2"/>
    <m/>
  </r>
  <r>
    <n v="702"/>
    <n v="1101"/>
    <n v="159472"/>
    <s v="56209"/>
    <s v="CUSCO"/>
    <s v="ESPINAR"/>
    <s v="COPORAQUE"/>
    <s v="MAMANIHUAYTA"/>
    <s v="MAMANIHUAYTA"/>
    <s v="Rural"/>
    <n v="-14.958091"/>
    <n v="-71.561864"/>
    <n v="30"/>
    <s v="SATELITAL"/>
    <s v="Sur"/>
    <x v="2"/>
    <n v="30"/>
    <n v="5"/>
    <n v="5"/>
    <n v="0.83333333333333337"/>
    <n v="5.833333333333333"/>
    <x v="0"/>
    <x v="9"/>
    <x v="2"/>
    <m/>
  </r>
  <r>
    <n v="703"/>
    <n v="1102"/>
    <n v="159518"/>
    <s v="56214 ANDRES AVELINO CACERES"/>
    <s v="CUSCO"/>
    <s v="ESPINAR"/>
    <s v="COPORAQUE"/>
    <s v="QQUEROCCOLLANA"/>
    <s v="QQUEROCCOLLANA"/>
    <s v="Rural"/>
    <n v="-14.7575"/>
    <n v="-71.690799999999996"/>
    <n v="30"/>
    <s v="SATELITAL"/>
    <s v="Sur"/>
    <x v="2"/>
    <n v="30"/>
    <n v="5"/>
    <n v="5"/>
    <n v="0.83333333333333337"/>
    <n v="5.833333333333333"/>
    <x v="0"/>
    <x v="9"/>
    <x v="2"/>
    <m/>
  </r>
  <r>
    <n v="704"/>
    <n v="1103"/>
    <n v="160135"/>
    <s v="56348"/>
    <s v="CUSCO"/>
    <s v="ESPINAR"/>
    <s v="PICHIGUA"/>
    <s v="SAN MIGUEL"/>
    <s v="SAN MIGUEL"/>
    <s v="Rural"/>
    <n v="-14.673400000000001"/>
    <n v="-71.281899999999993"/>
    <n v="30"/>
    <s v="SATELITAL"/>
    <s v="Sur"/>
    <x v="2"/>
    <n v="30"/>
    <n v="5"/>
    <n v="5"/>
    <n v="0.83333333333333337"/>
    <n v="5.833333333333333"/>
    <x v="0"/>
    <x v="9"/>
    <x v="2"/>
    <m/>
  </r>
  <r>
    <n v="705"/>
    <n v="1104"/>
    <n v="161470"/>
    <s v="50784"/>
    <s v="CUSCO"/>
    <s v="LA CONVENCION"/>
    <s v="ECHARATE"/>
    <s v="ILLAPANI"/>
    <s v="ILLAPANI"/>
    <s v="Rural"/>
    <n v="-12.650926"/>
    <n v="-72.642061999999996"/>
    <n v="30"/>
    <s v="SATELITAL"/>
    <s v="Sur"/>
    <x v="2"/>
    <n v="30"/>
    <n v="5"/>
    <n v="5"/>
    <n v="0.83333333333333337"/>
    <n v="5.833333333333333"/>
    <x v="0"/>
    <x v="4"/>
    <x v="4"/>
    <m/>
  </r>
  <r>
    <n v="706"/>
    <n v="1105"/>
    <n v="161719"/>
    <s v="64452"/>
    <s v="CUSCO"/>
    <s v="LA CONVENCION"/>
    <s v="MEGANTONI"/>
    <s v="SHIVANKORENI"/>
    <s v="SHIVANKORENI"/>
    <s v="Rural"/>
    <n v="-11.711007"/>
    <n v="-72.929035999999996"/>
    <n v="30"/>
    <s v="SATELITAL"/>
    <s v="Sur"/>
    <x v="2"/>
    <n v="30"/>
    <n v="5"/>
    <n v="5"/>
    <n v="0.83333333333333337"/>
    <n v="5.833333333333333"/>
    <x v="0"/>
    <x v="4"/>
    <x v="4"/>
    <m/>
  </r>
  <r>
    <n v="707"/>
    <n v="1106"/>
    <n v="163148"/>
    <s v="SAN JUAN BAUTISTA"/>
    <s v="CUSCO"/>
    <s v="LA CONVENCION"/>
    <s v="OCOBAMBA"/>
    <s v="VERSALLES"/>
    <s v="VERSALLES"/>
    <s v="Rural"/>
    <n v="-12.706585"/>
    <n v="-72.332407000000003"/>
    <n v="30"/>
    <s v="SATELITAL"/>
    <s v="Sur"/>
    <x v="2"/>
    <n v="30"/>
    <n v="5"/>
    <n v="5"/>
    <n v="0.83333333333333337"/>
    <n v="5.833333333333333"/>
    <x v="0"/>
    <x v="4"/>
    <x v="4"/>
    <m/>
  </r>
  <r>
    <n v="708"/>
    <n v="1107"/>
    <n v="160710"/>
    <s v="50282"/>
    <s v="CUSCO"/>
    <s v="LA CONVENCION"/>
    <s v="SANTA ANA"/>
    <s v="CHAUPIMAYO B"/>
    <s v="CHAUPIMAYO B"/>
    <s v="Rural"/>
    <n v="-12.851663"/>
    <n v="-72.736581999999999"/>
    <n v="30"/>
    <s v="SATELITAL"/>
    <s v="Sur"/>
    <x v="2"/>
    <n v="30"/>
    <n v="5"/>
    <n v="5"/>
    <n v="0.83333333333333337"/>
    <n v="5.833333333333333"/>
    <x v="0"/>
    <x v="4"/>
    <x v="4"/>
    <m/>
  </r>
  <r>
    <n v="709"/>
    <n v="1108"/>
    <n v="163855"/>
    <s v="50985 ALTO SALKANTAY"/>
    <s v="CUSCO"/>
    <s v="LA CONVENCION"/>
    <s v="SANTA TERESA"/>
    <s v="SAHUAYACO"/>
    <s v="SAHUAYACO"/>
    <s v="Rural"/>
    <n v="-13.228343000000001"/>
    <n v="-72.628620999999995"/>
    <n v="30"/>
    <s v="SATELITAL"/>
    <s v="Sur"/>
    <x v="2"/>
    <n v="30"/>
    <n v="5"/>
    <n v="5"/>
    <n v="0.83333333333333337"/>
    <n v="5.833333333333333"/>
    <x v="0"/>
    <x v="4"/>
    <x v="4"/>
    <m/>
  </r>
  <r>
    <n v="710"/>
    <n v="1109"/>
    <n v="164421"/>
    <s v="50268 || JOSE BERNARDO ALCEDO"/>
    <s v="CUSCO"/>
    <s v="LA CONVENCION"/>
    <s v="VILCABAMBA"/>
    <s v="OYARA"/>
    <s v="SAN JUAN UNDARA"/>
    <s v="Rural"/>
    <n v="-13.035359"/>
    <n v="-72.833274000000003"/>
    <n v="30"/>
    <s v="SATELITAL"/>
    <s v="Sur"/>
    <x v="2"/>
    <n v="30"/>
    <n v="5"/>
    <n v="5"/>
    <n v="0.83333333333333337"/>
    <n v="5.833333333333333"/>
    <x v="0"/>
    <x v="4"/>
    <x v="4"/>
    <m/>
  </r>
  <r>
    <n v="711"/>
    <n v="1110"/>
    <n v="164082"/>
    <s v="50325 INCA SAYRI TUPAC"/>
    <s v="CUSCO"/>
    <s v="LA CONVENCION"/>
    <s v="VILCABAMBA"/>
    <s v="PAMPACONAS"/>
    <s v="PAMPACONAS"/>
    <s v="Rural"/>
    <n v="-13.092233999999999"/>
    <n v="-73.060281000000003"/>
    <n v="30"/>
    <s v="SATELITAL"/>
    <s v="Sur"/>
    <x v="2"/>
    <n v="30"/>
    <n v="5"/>
    <n v="5"/>
    <n v="0.83333333333333337"/>
    <n v="5.833333333333333"/>
    <x v="0"/>
    <x v="4"/>
    <x v="4"/>
    <m/>
  </r>
  <r>
    <n v="712"/>
    <n v="1111"/>
    <n v="164435"/>
    <s v="50333 MIGUEL GRAU"/>
    <s v="CUSCO"/>
    <s v="LA CONVENCION"/>
    <s v="VILCABAMBA"/>
    <s v="VILCABAMBA"/>
    <s v="VILCABAMBA"/>
    <s v="Rural"/>
    <n v="-13.1249"/>
    <n v="-72.979179999999999"/>
    <n v="30"/>
    <s v="SATELITAL"/>
    <s v="Sur"/>
    <x v="2"/>
    <n v="30"/>
    <n v="5"/>
    <n v="5"/>
    <n v="0.83333333333333337"/>
    <n v="5.833333333333333"/>
    <x v="0"/>
    <x v="4"/>
    <x v="4"/>
    <m/>
  </r>
  <r>
    <n v="713"/>
    <n v="1112"/>
    <n v="164044"/>
    <s v="719 || 50321"/>
    <s v="CUSCO"/>
    <s v="LA CONVENCION"/>
    <s v="VILCABAMBA"/>
    <s v="YUVENI"/>
    <s v="YUVENI"/>
    <s v="Rural"/>
    <n v="-12.755699999999999"/>
    <n v="-73.134299999999996"/>
    <n v="30"/>
    <s v="SATELITAL"/>
    <s v="Sur"/>
    <x v="2"/>
    <n v="30"/>
    <n v="5"/>
    <n v="5"/>
    <n v="0.83333333333333337"/>
    <n v="5.833333333333333"/>
    <x v="0"/>
    <x v="4"/>
    <x v="4"/>
    <m/>
  </r>
  <r>
    <n v="714"/>
    <n v="1113"/>
    <n v="165246"/>
    <s v="50802"/>
    <s v="CUSCO"/>
    <s v="PARURO"/>
    <s v="CCAPI"/>
    <s v="CCASCCAS"/>
    <s v="CCASCCAS"/>
    <s v="Rural"/>
    <n v="-13.908874000000001"/>
    <n v="-72.037577999999996"/>
    <n v="30"/>
    <s v="SATELITAL"/>
    <s v="Sur"/>
    <x v="2"/>
    <n v="30"/>
    <n v="5"/>
    <n v="5"/>
    <n v="0.83333333333333337"/>
    <n v="5.833333333333333"/>
    <x v="0"/>
    <x v="8"/>
    <x v="2"/>
    <m/>
  </r>
  <r>
    <n v="715"/>
    <n v="1114"/>
    <n v="165538"/>
    <s v="50395"/>
    <s v="CUSCO"/>
    <s v="PARURO"/>
    <s v="HUANOQUITE"/>
    <s v="CHANCCA"/>
    <s v="CHANCA S/N"/>
    <s v="Rural"/>
    <n v="-13.650328"/>
    <n v="-72.073058000000003"/>
    <n v="30"/>
    <s v="SATELITAL"/>
    <s v="Sur"/>
    <x v="2"/>
    <n v="30"/>
    <n v="5"/>
    <n v="5"/>
    <n v="0.83333333333333337"/>
    <n v="5.833333333333333"/>
    <x v="0"/>
    <x v="8"/>
    <x v="2"/>
    <m/>
  </r>
  <r>
    <n v="716"/>
    <n v="1115"/>
    <n v="165524"/>
    <s v="50394"/>
    <s v="CUSCO"/>
    <s v="PARURO"/>
    <s v="HUANOQUITE"/>
    <s v="HUANCAHUANCA"/>
    <s v="HUANCA HUANCA"/>
    <s v="Rural"/>
    <n v="-13.744400000000001"/>
    <n v="-72.089200000000005"/>
    <n v="30"/>
    <s v="SATELITAL"/>
    <s v="Sur"/>
    <x v="2"/>
    <n v="30"/>
    <n v="5"/>
    <n v="5"/>
    <n v="0.83333333333333337"/>
    <n v="5.833333333333333"/>
    <x v="0"/>
    <x v="8"/>
    <x v="2"/>
    <m/>
  </r>
  <r>
    <n v="717"/>
    <n v="1116"/>
    <n v="165029"/>
    <s v="HERMANOS AYAR"/>
    <s v="CUSCO"/>
    <s v="PARURO"/>
    <s v="PARURO"/>
    <s v="PARURO"/>
    <s v="PARURO"/>
    <s v="Rural"/>
    <n v="-13.764699999999999"/>
    <n v="-71.843400000000003"/>
    <n v="30"/>
    <s v="SATELITAL"/>
    <s v="Sur"/>
    <x v="2"/>
    <n v="30"/>
    <n v="5"/>
    <n v="5"/>
    <n v="0.83333333333333337"/>
    <n v="5.833333333333333"/>
    <x v="0"/>
    <x v="8"/>
    <x v="2"/>
    <m/>
  </r>
  <r>
    <n v="718"/>
    <n v="1117"/>
    <n v="166665"/>
    <s v="50419"/>
    <s v="CUSCO"/>
    <s v="PAUCARTAMBO"/>
    <s v="CAICAY"/>
    <s v="VILCABAMBA"/>
    <s v="AUTOPISTA VILCABAMBA"/>
    <s v="Rural"/>
    <n v="-13.556699999999999"/>
    <n v="-71.715699999999998"/>
    <n v="30"/>
    <s v="SATELITAL"/>
    <s v="Sur"/>
    <x v="2"/>
    <n v="30"/>
    <n v="5"/>
    <n v="5"/>
    <n v="0.83333333333333337"/>
    <n v="5.833333333333333"/>
    <x v="0"/>
    <x v="4"/>
    <x v="4"/>
    <m/>
  </r>
  <r>
    <n v="719"/>
    <n v="1118"/>
    <n v="166769"/>
    <s v="50465 DANIEL ALCIDES CARRION"/>
    <s v="CUSCO"/>
    <s v="PAUCARTAMBO"/>
    <s v="CHALLABAMBA"/>
    <s v="PAROBAMBA"/>
    <s v="PAROBAMBA"/>
    <s v="Rural"/>
    <n v="-12.969922"/>
    <n v="-71.879873000000003"/>
    <n v="30"/>
    <s v="SATELITAL"/>
    <s v="Sur"/>
    <x v="2"/>
    <n v="30"/>
    <n v="5"/>
    <n v="5"/>
    <n v="0.83333333333333337"/>
    <n v="5.833333333333333"/>
    <x v="0"/>
    <x v="4"/>
    <x v="4"/>
    <m/>
  </r>
  <r>
    <n v="720"/>
    <n v="1119"/>
    <n v="167288"/>
    <s v="899 || 50461"/>
    <s v="CUSCO"/>
    <s v="PAUCARTAMBO"/>
    <s v="COLQUEPATA"/>
    <s v="PICHIGUA"/>
    <s v="PICHIGUA"/>
    <s v="Rural"/>
    <n v="-13.452840999999999"/>
    <n v="-71.548575"/>
    <n v="30"/>
    <s v="SATELITAL"/>
    <s v="Sur"/>
    <x v="2"/>
    <n v="30"/>
    <n v="5"/>
    <n v="5"/>
    <n v="0.83333333333333337"/>
    <n v="5.833333333333333"/>
    <x v="0"/>
    <x v="4"/>
    <x v="4"/>
    <m/>
  </r>
  <r>
    <n v="721"/>
    <n v="1120"/>
    <n v="167575"/>
    <s v="50446 VALENTIN PANIAGUA CORAZAO"/>
    <s v="CUSCO"/>
    <s v="PAUCARTAMBO"/>
    <s v="HUANCARANI"/>
    <s v="CHURO"/>
    <s v="CHURO"/>
    <s v="Rural"/>
    <n v="-13.512646"/>
    <n v="-71.568973"/>
    <n v="30"/>
    <s v="SATELITAL"/>
    <s v="Sur"/>
    <x v="2"/>
    <n v="30"/>
    <n v="5"/>
    <n v="5"/>
    <n v="0.83333333333333337"/>
    <n v="5.833333333333333"/>
    <x v="0"/>
    <x v="4"/>
    <x v="4"/>
    <m/>
  </r>
  <r>
    <n v="722"/>
    <n v="1121"/>
    <n v="166236"/>
    <s v="50435"/>
    <s v="CUSCO"/>
    <s v="PAUCARTAMBO"/>
    <s v="PAUCARTAMBO"/>
    <s v="MOLLOMARCA"/>
    <s v="MOLLOMARCA S/N"/>
    <s v="Rural"/>
    <n v="-13.4297"/>
    <n v="-71.509399999999999"/>
    <n v="30"/>
    <s v="SATELITAL"/>
    <s v="Sur"/>
    <x v="2"/>
    <n v="30"/>
    <n v="5"/>
    <n v="5"/>
    <n v="0.83333333333333337"/>
    <n v="5.833333333333333"/>
    <x v="0"/>
    <x v="4"/>
    <x v="4"/>
    <m/>
  </r>
  <r>
    <n v="723"/>
    <n v="1122"/>
    <n v="166255"/>
    <s v="50437 INCA ROCA"/>
    <s v="CUSCO"/>
    <s v="PAUCARTAMBO"/>
    <s v="PAUCARTAMBO"/>
    <s v="QUERO GRANDE"/>
    <s v="QUEROS GRANDE S/N"/>
    <s v="Rural"/>
    <n v="-13.38472"/>
    <n v="-71.264075000000005"/>
    <n v="30"/>
    <s v="SATELITAL"/>
    <s v="Sur"/>
    <x v="2"/>
    <n v="30"/>
    <n v="5"/>
    <n v="5"/>
    <n v="0.83333333333333337"/>
    <n v="5.833333333333333"/>
    <x v="0"/>
    <x v="4"/>
    <x v="4"/>
    <m/>
  </r>
  <r>
    <n v="724"/>
    <n v="1123"/>
    <n v="168711"/>
    <s v="50718"/>
    <s v="CUSCO"/>
    <s v="QUISPICANCHI"/>
    <s v="CCATCA"/>
    <s v="AUSARAY"/>
    <s v="AUSARAY"/>
    <s v="Rural"/>
    <n v="-13.617050000000001"/>
    <n v="-71.485709999999997"/>
    <n v="30"/>
    <s v="SATELITAL"/>
    <s v="Sur"/>
    <x v="2"/>
    <n v="30"/>
    <n v="5"/>
    <n v="5"/>
    <n v="0.83333333333333337"/>
    <n v="5.833333333333333"/>
    <x v="0"/>
    <x v="4"/>
    <x v="4"/>
    <m/>
  </r>
  <r>
    <n v="725"/>
    <n v="1124"/>
    <n v="168626"/>
    <s v="50495"/>
    <s v="CUSCO"/>
    <s v="QUISPICANCHI"/>
    <s v="CCATCA"/>
    <s v="CCAPANA"/>
    <s v="CCAPANA"/>
    <s v="Rural"/>
    <n v="-13.548501"/>
    <n v="-71.455954000000006"/>
    <n v="30"/>
    <s v="SATELITAL"/>
    <s v="Sur"/>
    <x v="2"/>
    <n v="30"/>
    <n v="5"/>
    <n v="5"/>
    <n v="0.83333333333333337"/>
    <n v="5.833333333333333"/>
    <x v="0"/>
    <x v="4"/>
    <x v="4"/>
    <m/>
  </r>
  <r>
    <n v="726"/>
    <n v="1125"/>
    <n v="168650"/>
    <s v="50534"/>
    <s v="CUSCO"/>
    <s v="QUISPICANCHI"/>
    <s v="CCATCA"/>
    <s v="CHICHINA"/>
    <s v="CHICHINA"/>
    <s v="Rural"/>
    <n v="-13.466239"/>
    <n v="-71.503439"/>
    <n v="30"/>
    <s v="SATELITAL"/>
    <s v="Sur"/>
    <x v="2"/>
    <n v="30"/>
    <n v="5"/>
    <n v="5"/>
    <n v="0.83333333333333337"/>
    <n v="5.833333333333333"/>
    <x v="0"/>
    <x v="4"/>
    <x v="4"/>
    <m/>
  </r>
  <r>
    <n v="727"/>
    <n v="1126"/>
    <n v="168947"/>
    <s v="50529"/>
    <s v="CUSCO"/>
    <s v="QUISPICANCHI"/>
    <s v="CUSIPATA"/>
    <s v="CHILLIHUANI"/>
    <s v="CHILLIHUANI S/N"/>
    <s v="Rural"/>
    <n v="-13.864699999999999"/>
    <n v="-71.419200000000004"/>
    <n v="30"/>
    <s v="SATELITAL"/>
    <s v="Sur"/>
    <x v="2"/>
    <n v="30"/>
    <n v="5"/>
    <n v="5"/>
    <n v="0.83333333333333337"/>
    <n v="5.833333333333333"/>
    <x v="0"/>
    <x v="4"/>
    <x v="4"/>
    <m/>
  </r>
  <r>
    <n v="728"/>
    <n v="1127"/>
    <n v="168928"/>
    <s v="50527"/>
    <s v="CUSCO"/>
    <s v="QUISPICANCHI"/>
    <s v="CUSIPATA"/>
    <s v="TINTINCO"/>
    <s v="TINTINCO S/N"/>
    <s v="Rural"/>
    <n v="-13.896800000000001"/>
    <n v="-71.471130000000002"/>
    <n v="30"/>
    <s v="SATELITAL"/>
    <s v="Sur"/>
    <x v="2"/>
    <n v="30"/>
    <n v="5"/>
    <n v="5"/>
    <n v="0.83333333333333337"/>
    <n v="5.833333333333333"/>
    <x v="0"/>
    <x v="8"/>
    <x v="2"/>
    <m/>
  </r>
  <r>
    <n v="729"/>
    <n v="1128"/>
    <n v="588627"/>
    <s v="VIRGEN DEL ROSARIO"/>
    <s v="CUSCO"/>
    <s v="QUISPICANCHI"/>
    <s v="HUARO"/>
    <s v="SULLUMAYO"/>
    <s v="SULLUMAYO"/>
    <s v="Rural"/>
    <n v="-13.792669999999999"/>
    <n v="-71.667280000000005"/>
    <n v="30"/>
    <s v="SATELITAL"/>
    <s v="Sur"/>
    <x v="2"/>
    <n v="30"/>
    <n v="5"/>
    <n v="5"/>
    <n v="0.83333333333333337"/>
    <n v="5.833333333333333"/>
    <x v="0"/>
    <x v="8"/>
    <x v="2"/>
    <m/>
  </r>
  <r>
    <n v="730"/>
    <n v="1129"/>
    <n v="169013"/>
    <s v="51501"/>
    <s v="CUSCO"/>
    <s v="QUISPICANCHI"/>
    <s v="HUARO"/>
    <s v="URPAY"/>
    <s v="URPAY S/N"/>
    <s v="Rural"/>
    <n v="-13.70776"/>
    <n v="-71.659961999999993"/>
    <n v="30"/>
    <s v="SATELITAL"/>
    <s v="Sur"/>
    <x v="2"/>
    <n v="30"/>
    <n v="5"/>
    <n v="5"/>
    <n v="0.83333333333333337"/>
    <n v="5.833333333333333"/>
    <x v="0"/>
    <x v="4"/>
    <x v="4"/>
    <m/>
  </r>
  <r>
    <n v="731"/>
    <n v="1130"/>
    <n v="514085"/>
    <s v="501400"/>
    <s v="CUSCO"/>
    <s v="QUISPICANCHI"/>
    <s v="OCONGATE"/>
    <s v="CHAUPIMAYO"/>
    <s v="CHAUPIMAYO"/>
    <s v="Rural"/>
    <n v="-13.6334"/>
    <n v="-71.274500000000003"/>
    <n v="30"/>
    <s v="SATELITAL"/>
    <s v="Sur"/>
    <x v="2"/>
    <n v="30"/>
    <n v="5"/>
    <n v="5"/>
    <n v="0.83333333333333337"/>
    <n v="5.833333333333333"/>
    <x v="0"/>
    <x v="4"/>
    <x v="4"/>
    <m/>
  </r>
  <r>
    <n v="732"/>
    <n v="1131"/>
    <n v="169602"/>
    <s v="50854"/>
    <s v="CUSCO"/>
    <s v="QUISPICANCHI"/>
    <s v="OCONGATE"/>
    <s v="PATAPALLPA"/>
    <s v="PATAPALLPA"/>
    <s v="Rural"/>
    <n v="-13.681584000000001"/>
    <n v="-71.391178999999994"/>
    <n v="30"/>
    <s v="SATELITAL"/>
    <s v="Sur"/>
    <x v="2"/>
    <n v="30"/>
    <n v="5"/>
    <n v="5"/>
    <n v="0.83333333333333337"/>
    <n v="5.833333333333333"/>
    <x v="0"/>
    <x v="4"/>
    <x v="4"/>
    <m/>
  </r>
  <r>
    <n v="733"/>
    <n v="1132"/>
    <n v="169621"/>
    <s v="50978"/>
    <s v="CUSCO"/>
    <s v="QUISPICANCHI"/>
    <s v="OCONGATE"/>
    <s v="POCOYAYQUI / MAHUALLANE"/>
    <s v="MAHUAYANI S/N"/>
    <s v="Rural"/>
    <n v="-13.605090000000001"/>
    <n v="-71.229174999999998"/>
    <n v="30"/>
    <s v="SATELITAL"/>
    <s v="Sur"/>
    <x v="2"/>
    <n v="30"/>
    <n v="5"/>
    <n v="5"/>
    <n v="0.83333333333333337"/>
    <n v="5.833333333333333"/>
    <x v="0"/>
    <x v="4"/>
    <x v="4"/>
    <m/>
  </r>
  <r>
    <n v="734"/>
    <n v="1133"/>
    <n v="169918"/>
    <s v="50515"/>
    <s v="CUSCO"/>
    <s v="QUISPICANCHI"/>
    <s v="QUIQUIJANA"/>
    <s v="LLAMPA"/>
    <s v="LLAMPA"/>
    <s v="Rural"/>
    <n v="-13.8034"/>
    <n v="-71.477199999999996"/>
    <n v="30"/>
    <s v="SATELITAL"/>
    <s v="Sur"/>
    <x v="2"/>
    <n v="30"/>
    <n v="5"/>
    <n v="5"/>
    <n v="0.83333333333333337"/>
    <n v="5.833333333333333"/>
    <x v="0"/>
    <x v="4"/>
    <x v="4"/>
    <m/>
  </r>
  <r>
    <n v="735"/>
    <n v="1134"/>
    <n v="169881"/>
    <s v="50485"/>
    <s v="CUSCO"/>
    <s v="QUISPICANCHI"/>
    <s v="QUIQUIJANA"/>
    <s v="TTIO"/>
    <s v="TTIO S/N"/>
    <s v="Rural"/>
    <n v="-13.773866"/>
    <n v="-71.573554000000001"/>
    <n v="30"/>
    <s v="SATELITAL"/>
    <s v="Sur"/>
    <x v="2"/>
    <n v="30"/>
    <n v="5"/>
    <n v="5"/>
    <n v="0.83333333333333337"/>
    <n v="5.833333333333333"/>
    <x v="0"/>
    <x v="4"/>
    <x v="4"/>
    <m/>
  </r>
  <r>
    <n v="736"/>
    <n v="1135"/>
    <n v="168056"/>
    <s v="50536"/>
    <s v="CUSCO"/>
    <s v="QUISPICANCHI"/>
    <s v="URCOS"/>
    <s v="CCOÑAMURO"/>
    <s v="CCOÑAMURO"/>
    <s v="Rural"/>
    <n v="-13.6226"/>
    <n v="-71.639099999999999"/>
    <n v="30"/>
    <s v="SATELITAL"/>
    <s v="Sur"/>
    <x v="2"/>
    <n v="30"/>
    <n v="5"/>
    <n v="5"/>
    <n v="0.83333333333333337"/>
    <n v="5.833333333333333"/>
    <x v="0"/>
    <x v="4"/>
    <x v="4"/>
    <m/>
  </r>
  <r>
    <n v="737"/>
    <n v="1136"/>
    <n v="170525"/>
    <s v="50610"/>
    <s v="CUSCO"/>
    <s v="URUBAMBA"/>
    <s v="CHINCHERO"/>
    <s v="CHUSO"/>
    <s v="CHUSO"/>
    <s v="Rural"/>
    <n v="-13.435600000000001"/>
    <n v="-72.039500000000004"/>
    <n v="30"/>
    <s v="SATELITAL"/>
    <s v="Sur"/>
    <x v="2"/>
    <n v="30"/>
    <n v="5"/>
    <n v="5"/>
    <n v="0.83333333333333337"/>
    <n v="5.833333333333333"/>
    <x v="0"/>
    <x v="4"/>
    <x v="4"/>
    <m/>
  </r>
  <r>
    <n v="738"/>
    <n v="1137"/>
    <n v="170530"/>
    <s v="50611"/>
    <s v="CUSCO"/>
    <s v="URUBAMBA"/>
    <s v="CHINCHERO"/>
    <s v="PONGOBAMBA"/>
    <s v="PONGOBAMBA"/>
    <s v="Rural"/>
    <n v="-13.425140000000001"/>
    <n v="-72.041049999999998"/>
    <n v="30"/>
    <s v="SATELITAL"/>
    <s v="Sur"/>
    <x v="2"/>
    <n v="30"/>
    <n v="5"/>
    <n v="5"/>
    <n v="0.83333333333333337"/>
    <n v="5.833333333333333"/>
    <x v="0"/>
    <x v="4"/>
    <x v="4"/>
    <m/>
  </r>
  <r>
    <n v="739"/>
    <n v="1138"/>
    <n v="171068"/>
    <s v="50585"/>
    <s v="CUSCO"/>
    <s v="URUBAMBA"/>
    <s v="OLLANTAYTAMBO"/>
    <s v="CHILLCA"/>
    <s v="CHILLCA"/>
    <s v="Rural"/>
    <n v="-13.221299999999999"/>
    <n v="-72.3459"/>
    <n v="30"/>
    <s v="SATELITAL"/>
    <s v="Sur"/>
    <x v="2"/>
    <n v="30"/>
    <n v="5"/>
    <n v="5"/>
    <n v="0.83333333333333337"/>
    <n v="5.833333333333333"/>
    <x v="0"/>
    <x v="4"/>
    <x v="4"/>
    <m/>
  </r>
  <r>
    <n v="740"/>
    <n v="1139"/>
    <n v="171105"/>
    <s v="50618"/>
    <s v="CUSCO"/>
    <s v="URUBAMBA"/>
    <s v="OLLANTAYTAMBO"/>
    <s v="PATACANCHA"/>
    <s v="PATACANCHA"/>
    <s v="Rural"/>
    <n v="-13.172567000000001"/>
    <n v="-72.192182000000003"/>
    <n v="30"/>
    <s v="SATELITAL"/>
    <s v="Sur"/>
    <x v="2"/>
    <n v="30"/>
    <n v="5"/>
    <n v="5"/>
    <n v="0.83333333333333337"/>
    <n v="5.833333333333333"/>
    <x v="0"/>
    <x v="4"/>
    <x v="4"/>
    <m/>
  </r>
  <r>
    <n v="741"/>
    <n v="1140"/>
    <n v="643153"/>
    <s v="SAN ISIDRO"/>
    <s v="CUSCO"/>
    <s v="URUBAMBA"/>
    <s v="OLLANTAYTAMBO"/>
    <s v="PRIMAVERA"/>
    <s v="PRIMAVERA"/>
    <s v="Rural"/>
    <n v="-13.226900000000001"/>
    <n v="-72.337999999999994"/>
    <n v="30"/>
    <s v="SATELITAL"/>
    <s v="Sur"/>
    <x v="2"/>
    <n v="30"/>
    <n v="5"/>
    <n v="5"/>
    <n v="0.83333333333333337"/>
    <n v="5.833333333333333"/>
    <x v="0"/>
    <x v="4"/>
    <x v="4"/>
    <m/>
  </r>
  <r>
    <n v="742"/>
    <n v="1141"/>
    <n v="171252"/>
    <s v="50621"/>
    <s v="CUSCO"/>
    <s v="URUBAMBA"/>
    <s v="OLLANTAYTAMBO"/>
    <s v="QELQANQA"/>
    <s v="QELQANQA"/>
    <s v="Rural"/>
    <n v="-13.05945"/>
    <n v="-72.223500000000001"/>
    <n v="30"/>
    <s v="SATELITAL"/>
    <s v="Sur"/>
    <x v="2"/>
    <n v="30"/>
    <n v="5"/>
    <n v="5"/>
    <n v="0.83333333333333337"/>
    <n v="5.833333333333333"/>
    <x v="0"/>
    <x v="4"/>
    <x v="4"/>
    <m/>
  </r>
  <r>
    <n v="743"/>
    <n v="1142"/>
    <n v="170243"/>
    <s v="50721"/>
    <s v="CUSCO"/>
    <s v="URUBAMBA"/>
    <s v="URUBAMBA"/>
    <s v="CHICON"/>
    <s v="CHICON"/>
    <s v="Rural"/>
    <n v="-13.286992"/>
    <n v="-72.109393999999995"/>
    <n v="30"/>
    <s v="SATELITAL"/>
    <s v="Sur"/>
    <x v="2"/>
    <n v="30"/>
    <n v="5"/>
    <n v="5"/>
    <n v="0.83333333333333337"/>
    <n v="5.833333333333333"/>
    <x v="0"/>
    <x v="4"/>
    <x v="4"/>
    <m/>
  </r>
  <r>
    <n v="744"/>
    <n v="1143"/>
    <n v="170224"/>
    <s v="50596 TUPAC AMARU || 50596"/>
    <s v="CUSCO"/>
    <s v="URUBAMBA"/>
    <s v="URUBAMBA"/>
    <s v="HUACAHUASI"/>
    <s v="HUACAHUASI"/>
    <s v="Rural"/>
    <n v="-13.135619999999999"/>
    <n v="-72.106999999999999"/>
    <n v="30"/>
    <s v="SATELITAL"/>
    <s v="Sur"/>
    <x v="2"/>
    <n v="30"/>
    <n v="5"/>
    <n v="5"/>
    <n v="0.83333333333333337"/>
    <n v="5.833333333333333"/>
    <x v="0"/>
    <x v="4"/>
    <x v="4"/>
    <m/>
  </r>
  <r>
    <n v="745"/>
    <n v="1144"/>
    <n v="170219"/>
    <s v="50595"/>
    <s v="CUSCO"/>
    <s v="URUBAMBA"/>
    <s v="URUBAMBA"/>
    <s v="PALCCARAQUI"/>
    <s v="PALCCARAQUI"/>
    <s v="Urbana"/>
    <n v="-13.295496"/>
    <n v="-72.125243999999995"/>
    <n v="30"/>
    <s v="SATELITAL"/>
    <s v="Sur"/>
    <x v="2"/>
    <n v="30"/>
    <n v="5"/>
    <n v="5"/>
    <n v="0.83333333333333337"/>
    <n v="5.833333333333333"/>
    <x v="0"/>
    <x v="4"/>
    <x v="4"/>
    <m/>
  </r>
  <r>
    <n v="746"/>
    <n v="1145"/>
    <n v="170196"/>
    <s v="50574"/>
    <s v="CUSCO"/>
    <s v="URUBAMBA"/>
    <s v="URUBAMBA"/>
    <s v="YANAHUARA"/>
    <s v="YANAHUARA"/>
    <s v="Rural"/>
    <n v="-13.2752"/>
    <n v="-72.170900000000003"/>
    <n v="30"/>
    <s v="SATELITAL"/>
    <s v="Sur"/>
    <x v="2"/>
    <n v="30"/>
    <n v="5"/>
    <n v="5"/>
    <n v="0.83333333333333337"/>
    <n v="5.833333333333333"/>
    <x v="0"/>
    <x v="4"/>
    <x v="4"/>
    <m/>
  </r>
  <r>
    <n v="747"/>
    <n v="1146"/>
    <n v="170323"/>
    <s v="SEÑOR DE TORRECHAYOC"/>
    <s v="CUSCO"/>
    <s v="URUBAMBA"/>
    <s v="URUBAMBA"/>
    <s v="YANAHUARA"/>
    <s v="YANAHUARA"/>
    <s v="Rural"/>
    <n v="-13.2758"/>
    <n v="-72.170299999999997"/>
    <n v="30"/>
    <s v="SATELITAL"/>
    <s v="Sur"/>
    <x v="2"/>
    <n v="30"/>
    <n v="5"/>
    <n v="5"/>
    <n v="0.83333333333333337"/>
    <n v="5.833333333333333"/>
    <x v="0"/>
    <x v="4"/>
    <x v="4"/>
    <m/>
  </r>
  <r>
    <n v="748"/>
    <n v="1147"/>
    <n v="399052"/>
    <s v="AGROPECUARIO SALINAS MOCHE"/>
    <s v="MOQUEGUA"/>
    <s v="GENERAL SANCHEZ CERRO"/>
    <s v="PUQUINA"/>
    <s v="SALINAS MOCHE"/>
    <s v="AVENIDA ROMA S/N"/>
    <s v="Rural"/>
    <n v="-16.411655"/>
    <n v="-71.115620000000007"/>
    <n v="30"/>
    <s v="SATELITAL"/>
    <s v="Sur"/>
    <x v="2"/>
    <n v="30"/>
    <n v="5"/>
    <n v="5"/>
    <n v="0.83333333333333337"/>
    <n v="5.833333333333333"/>
    <x v="0"/>
    <x v="9"/>
    <x v="2"/>
    <m/>
  </r>
  <r>
    <n v="749"/>
    <n v="1148"/>
    <n v="396973"/>
    <s v="43017"/>
    <s v="MOQUEGUA"/>
    <s v="MARISCAL NIETO"/>
    <s v="MOQUEGUA"/>
    <s v="EL CONDE"/>
    <s v="CARRETERA PANAMERICANA SUR KM 21"/>
    <s v="Rural"/>
    <n v="-17.322635999999999"/>
    <n v="-70.989007000000001"/>
    <n v="30"/>
    <s v="SATELITAL"/>
    <s v="Sur"/>
    <x v="2"/>
    <n v="30"/>
    <n v="5"/>
    <n v="5"/>
    <n v="0.83333333333333337"/>
    <n v="5.833333333333333"/>
    <x v="0"/>
    <x v="9"/>
    <x v="2"/>
    <m/>
  </r>
  <r>
    <n v="750"/>
    <n v="1149"/>
    <n v="397500"/>
    <s v="43005"/>
    <s v="MOQUEGUA"/>
    <s v="MARISCAL NIETO"/>
    <s v="SAMEGUA"/>
    <s v="EL COMUN"/>
    <s v="AÑO NUEVO"/>
    <s v="Rural"/>
    <n v="-17.148561999999998"/>
    <n v="-70.857816999999997"/>
    <n v="30"/>
    <s v="SATELITAL"/>
    <s v="Sur"/>
    <x v="2"/>
    <n v="30"/>
    <n v="5"/>
    <n v="5"/>
    <n v="0.83333333333333337"/>
    <n v="5.833333333333333"/>
    <x v="0"/>
    <x v="9"/>
    <x v="2"/>
    <m/>
  </r>
  <r>
    <n v="751"/>
    <n v="1150"/>
    <n v="397519"/>
    <s v="NUESTRA SEÑORA DEL CARMEN"/>
    <s v="MOQUEGUA"/>
    <s v="MARISCAL NIETO"/>
    <s v="SAMEGUA"/>
    <s v="EL MOLINO TUMILACA"/>
    <s v="CARRETERA EL MOLINO - TUMILACA"/>
    <s v="Rural"/>
    <n v="-17.131031"/>
    <n v="-70.838611"/>
    <n v="30"/>
    <s v="SATELITAL"/>
    <s v="Sur"/>
    <x v="2"/>
    <n v="30"/>
    <n v="5"/>
    <n v="5"/>
    <n v="0.83333333333333337"/>
    <n v="5.833333333333333"/>
    <x v="0"/>
    <x v="9"/>
    <x v="2"/>
    <m/>
  </r>
  <r>
    <n v="752"/>
    <n v="1151"/>
    <n v="758592"/>
    <s v="JOSE CARLOS MARIATEGUI"/>
    <s v="MOQUEGUA"/>
    <s v="MARISCAL NIETO"/>
    <s v="TORATA"/>
    <s v="TORATA"/>
    <s v="CALLE ALFONSO UGARTE S/N"/>
    <s v="Rural"/>
    <n v="-17.075607000000002"/>
    <n v="-70.842142999999993"/>
    <n v="30"/>
    <s v="SATELITAL"/>
    <s v="Sur"/>
    <x v="2"/>
    <n v="30"/>
    <n v="5"/>
    <n v="5"/>
    <n v="0.83333333333333337"/>
    <n v="5.833333333333333"/>
    <x v="0"/>
    <x v="9"/>
    <x v="2"/>
    <m/>
  </r>
  <r>
    <n v="753"/>
    <n v="1152"/>
    <n v="397755"/>
    <s v="VIDAL HERRERA DIAZ"/>
    <s v="MOQUEGUA"/>
    <s v="MARISCAL NIETO"/>
    <s v="TORATA"/>
    <s v="YACANGO"/>
    <s v="CALLE YACANGO S/N"/>
    <s v="Rural"/>
    <n v="-17.095569999999999"/>
    <n v="-70.869296000000006"/>
    <n v="30"/>
    <s v="SATELITAL"/>
    <s v="Sur"/>
    <x v="2"/>
    <n v="30"/>
    <n v="5"/>
    <n v="5"/>
    <n v="0.83333333333333337"/>
    <n v="5.833333333333333"/>
    <x v="0"/>
    <x v="9"/>
    <x v="2"/>
    <m/>
  </r>
  <r>
    <n v="754"/>
    <n v="1153"/>
    <n v="446628"/>
    <s v="72673"/>
    <s v="PUNO"/>
    <s v="AZANGARO"/>
    <s v="ASILLO"/>
    <s v="CHOQUEMOROCO"/>
    <s v="CHOQUEMOROCO"/>
    <s v="Rural"/>
    <n v="-14.869185999999999"/>
    <n v="-70.330973"/>
    <n v="30"/>
    <s v="SATELITAL"/>
    <s v="Sur"/>
    <x v="2"/>
    <n v="30"/>
    <n v="5"/>
    <n v="5"/>
    <n v="0.83333333333333337"/>
    <n v="5.833333333333333"/>
    <x v="0"/>
    <x v="9"/>
    <x v="2"/>
    <m/>
  </r>
  <r>
    <n v="755"/>
    <n v="1154"/>
    <n v="446464"/>
    <s v="72070"/>
    <s v="PUNO"/>
    <s v="AZANGARO"/>
    <s v="ASILLO"/>
    <s v="KALAHUALA"/>
    <s v="KALAHUALA"/>
    <s v="Rural"/>
    <n v="-14.766690000000001"/>
    <n v="-70.275170000000003"/>
    <n v="30"/>
    <s v="SATELITAL"/>
    <s v="Sur"/>
    <x v="2"/>
    <n v="30"/>
    <n v="5"/>
    <n v="5"/>
    <n v="0.83333333333333337"/>
    <n v="5.833333333333333"/>
    <x v="0"/>
    <x v="9"/>
    <x v="2"/>
    <m/>
  </r>
  <r>
    <n v="756"/>
    <n v="1155"/>
    <n v="446567"/>
    <s v="72612"/>
    <s v="PUNO"/>
    <s v="AZANGARO"/>
    <s v="ASILLO"/>
    <s v="SAN MIGUEL"/>
    <s v="SAN MIGUEL"/>
    <s v="Rural"/>
    <n v="-14.726400999999999"/>
    <n v="-70.284935000000004"/>
    <n v="30"/>
    <s v="SATELITAL"/>
    <s v="Sur"/>
    <x v="2"/>
    <n v="30"/>
    <n v="5"/>
    <n v="5"/>
    <n v="0.83333333333333337"/>
    <n v="5.833333333333333"/>
    <x v="0"/>
    <x v="9"/>
    <x v="2"/>
    <m/>
  </r>
  <r>
    <n v="757"/>
    <n v="1156"/>
    <n v="445558"/>
    <s v="72686"/>
    <s v="PUNO"/>
    <s v="AZANGARO"/>
    <s v="AZANGARO"/>
    <s v="CONDORIRI"/>
    <s v="CONDORIRI"/>
    <s v="Rural"/>
    <n v="-14.815200000000001"/>
    <n v="-70.045900000000003"/>
    <n v="30"/>
    <s v="SATELITAL"/>
    <s v="Sur"/>
    <x v="2"/>
    <n v="30"/>
    <n v="5"/>
    <n v="5"/>
    <n v="0.83333333333333337"/>
    <n v="5.833333333333333"/>
    <x v="0"/>
    <x v="9"/>
    <x v="2"/>
    <m/>
  </r>
  <r>
    <n v="758"/>
    <n v="1157"/>
    <n v="445799"/>
    <s v="AGROPECUARIO"/>
    <s v="PUNO"/>
    <s v="AZANGARO"/>
    <s v="AZANGARO"/>
    <s v="MORORCCO"/>
    <s v="MORORCCO"/>
    <s v="Rural"/>
    <n v="-14.76164"/>
    <n v="-70.051653999999999"/>
    <n v="30"/>
    <s v="SATELITAL"/>
    <s v="Sur"/>
    <x v="2"/>
    <n v="30"/>
    <n v="5"/>
    <n v="5"/>
    <n v="0.83333333333333337"/>
    <n v="5.833333333333333"/>
    <x v="0"/>
    <x v="9"/>
    <x v="2"/>
    <m/>
  </r>
  <r>
    <n v="759"/>
    <n v="1158"/>
    <n v="445172"/>
    <s v="72025"/>
    <s v="PUNO"/>
    <s v="AZANGARO"/>
    <s v="AZANGARO"/>
    <s v="TIRAMAZA"/>
    <s v="TIRAMAZA"/>
    <s v="Rural"/>
    <n v="-14.8878"/>
    <n v="-70.050700000000006"/>
    <n v="30"/>
    <s v="SATELITAL"/>
    <s v="Sur"/>
    <x v="2"/>
    <n v="30"/>
    <n v="5"/>
    <n v="5"/>
    <n v="0.83333333333333337"/>
    <n v="5.833333333333333"/>
    <x v="0"/>
    <x v="9"/>
    <x v="2"/>
    <m/>
  </r>
  <r>
    <n v="760"/>
    <n v="1159"/>
    <n v="446954"/>
    <s v="72136"/>
    <s v="PUNO"/>
    <s v="AZANGARO"/>
    <s v="CHUPA"/>
    <s v="CHUCAHUACAS"/>
    <s v="CHUCAHUACAS"/>
    <s v="Rural"/>
    <n v="-15.1158"/>
    <n v="-69.935500000000005"/>
    <n v="30"/>
    <s v="SATELITAL"/>
    <s v="Sur"/>
    <x v="2"/>
    <n v="30"/>
    <n v="5"/>
    <n v="5"/>
    <n v="0.83333333333333337"/>
    <n v="5.833333333333333"/>
    <x v="0"/>
    <x v="9"/>
    <x v="2"/>
    <m/>
  </r>
  <r>
    <n v="761"/>
    <n v="1160"/>
    <n v="445266"/>
    <s v="72080"/>
    <s v="PUNO"/>
    <s v="AZANGARO"/>
    <s v="MUÑANI"/>
    <s v="MORORCCO"/>
    <s v="MORORCCO"/>
    <s v="Rural"/>
    <n v="-14.762752000000001"/>
    <n v="-70.053579999999997"/>
    <n v="30"/>
    <s v="SATELITAL"/>
    <s v="Sur"/>
    <x v="2"/>
    <n v="30"/>
    <n v="5"/>
    <n v="5"/>
    <n v="0.83333333333333337"/>
    <n v="5.833333333333333"/>
    <x v="0"/>
    <x v="9"/>
    <x v="2"/>
    <m/>
  </r>
  <r>
    <n v="762"/>
    <n v="1161"/>
    <n v="447755"/>
    <s v="72009"/>
    <s v="PUNO"/>
    <s v="AZANGARO"/>
    <s v="SAMAN"/>
    <s v="MUNI GRANDE"/>
    <s v="MUNI GRANDE"/>
    <s v="Rural"/>
    <n v="-15.376619"/>
    <n v="-69.999261000000004"/>
    <n v="30"/>
    <s v="SATELITAL"/>
    <s v="Sur"/>
    <x v="2"/>
    <n v="30"/>
    <n v="5"/>
    <n v="5"/>
    <n v="0.83333333333333337"/>
    <n v="5.833333333333333"/>
    <x v="0"/>
    <x v="9"/>
    <x v="2"/>
    <m/>
  </r>
  <r>
    <n v="763"/>
    <n v="1162"/>
    <n v="447920"/>
    <s v="DANTE NAVA"/>
    <s v="PUNO"/>
    <s v="AZANGARO"/>
    <s v="SAMAN"/>
    <s v="MUNI GRANDE"/>
    <s v="MUNI GRANDE"/>
    <s v="Rural"/>
    <n v="-15.373934999999999"/>
    <n v="-70.001182999999997"/>
    <n v="30"/>
    <s v="SATELITAL"/>
    <s v="Sur"/>
    <x v="2"/>
    <n v="30"/>
    <n v="5"/>
    <n v="5"/>
    <n v="0.83333333333333337"/>
    <n v="5.833333333333333"/>
    <x v="0"/>
    <x v="9"/>
    <x v="2"/>
    <m/>
  </r>
  <r>
    <n v="764"/>
    <n v="1163"/>
    <n v="447798"/>
    <s v="72045"/>
    <s v="PUNO"/>
    <s v="AZANGARO"/>
    <s v="SAMAN"/>
    <s v="QUEJON MOCCO"/>
    <s v="QUEJON MOCCO"/>
    <s v="Rural"/>
    <n v="-15.219516"/>
    <n v="-70.051145000000005"/>
    <n v="30"/>
    <s v="SATELITAL"/>
    <s v="Sur"/>
    <x v="2"/>
    <n v="30"/>
    <n v="5"/>
    <n v="5"/>
    <n v="0.83333333333333337"/>
    <n v="5.833333333333333"/>
    <x v="0"/>
    <x v="9"/>
    <x v="2"/>
    <m/>
  </r>
  <r>
    <n v="765"/>
    <n v="1164"/>
    <n v="449537"/>
    <s v="72670"/>
    <s v="PUNO"/>
    <s v="CARABAYA"/>
    <s v="CORANI"/>
    <s v="ACCONSAYA"/>
    <s v="ACONSAYA"/>
    <s v="Rural"/>
    <n v="-13.869300000000001"/>
    <n v="-70.590059999999994"/>
    <n v="30"/>
    <s v="SATELITAL"/>
    <s v="Sur"/>
    <x v="2"/>
    <n v="30"/>
    <n v="5"/>
    <n v="5"/>
    <n v="0.83333333333333337"/>
    <n v="5.833333333333333"/>
    <x v="0"/>
    <x v="9"/>
    <x v="2"/>
    <m/>
  </r>
  <r>
    <n v="766"/>
    <n v="1165"/>
    <n v="449504"/>
    <s v="72199"/>
    <s v="PUNO"/>
    <s v="CARABAYA"/>
    <s v="CORANI"/>
    <s v="VILUYO CHIMBOYA"/>
    <s v="CHIMBOYA"/>
    <s v="Rural"/>
    <n v="-13.820959999999999"/>
    <n v="-70.753127000000006"/>
    <n v="30"/>
    <s v="SATELITAL"/>
    <s v="Sur"/>
    <x v="2"/>
    <n v="30"/>
    <n v="5"/>
    <n v="5"/>
    <n v="0.83333333333333337"/>
    <n v="5.833333333333333"/>
    <x v="0"/>
    <x v="9"/>
    <x v="2"/>
    <m/>
  </r>
  <r>
    <n v="767"/>
    <n v="1166"/>
    <n v="449919"/>
    <s v="72202"/>
    <s v="PUNO"/>
    <s v="CARABAYA"/>
    <s v="ITUATA"/>
    <s v="PAGO CARABAYA"/>
    <s v="PAGO CARABAYA"/>
    <s v="Rural"/>
    <n v="-13.808849"/>
    <n v="-70.268631999999997"/>
    <n v="30"/>
    <s v="SATELITAL"/>
    <s v="Sur"/>
    <x v="2"/>
    <n v="30"/>
    <n v="5"/>
    <n v="5"/>
    <n v="0.83333333333333337"/>
    <n v="5.833333333333333"/>
    <x v="0"/>
    <x v="9"/>
    <x v="2"/>
    <m/>
  </r>
  <r>
    <n v="768"/>
    <n v="1167"/>
    <n v="448991"/>
    <s v="JOSE MACEDO MENDOZA"/>
    <s v="PUNO"/>
    <s v="CARABAYA"/>
    <s v="MACUSANI"/>
    <s v="MACUSANI"/>
    <s v="JIRON PUNO 104"/>
    <s v="Urbana"/>
    <n v="-14.069129999999999"/>
    <n v="-70.435220000000001"/>
    <n v="30"/>
    <s v="SATELITAL"/>
    <s v="Sur"/>
    <x v="2"/>
    <n v="30"/>
    <n v="5"/>
    <n v="5"/>
    <n v="0.83333333333333337"/>
    <n v="5.833333333333333"/>
    <x v="0"/>
    <x v="9"/>
    <x v="2"/>
    <m/>
  </r>
  <r>
    <n v="769"/>
    <n v="1168"/>
    <n v="450074"/>
    <s v="72214"/>
    <s v="PUNO"/>
    <s v="CARABAYA"/>
    <s v="OLLACHEA"/>
    <s v="PALCA"/>
    <s v="PALCA"/>
    <s v="Rural"/>
    <n v="-13.614502999999999"/>
    <n v="-70.649850999999998"/>
    <n v="30"/>
    <s v="SATELITAL"/>
    <s v="Sur"/>
    <x v="2"/>
    <n v="30"/>
    <n v="5"/>
    <n v="5"/>
    <n v="0.83333333333333337"/>
    <n v="5.833333333333333"/>
    <x v="0"/>
    <x v="4"/>
    <x v="4"/>
    <m/>
  </r>
  <r>
    <n v="770"/>
    <n v="1169"/>
    <n v="450639"/>
    <s v="70202"/>
    <s v="PUNO"/>
    <s v="CHUCUITO"/>
    <s v="JULI"/>
    <s v="COLLPA JAHUIRA"/>
    <s v="COLLPA JAHUIRA"/>
    <s v="Rural"/>
    <n v="-16.403611999999999"/>
    <n v="-69.475429000000005"/>
    <n v="30"/>
    <s v="SATELITAL"/>
    <s v="Sur"/>
    <x v="2"/>
    <n v="30"/>
    <n v="5"/>
    <n v="5"/>
    <n v="0.83333333333333337"/>
    <n v="5.833333333333333"/>
    <x v="0"/>
    <x v="9"/>
    <x v="2"/>
    <m/>
  </r>
  <r>
    <n v="771"/>
    <n v="1170"/>
    <n v="451059"/>
    <s v="MOLINO"/>
    <s v="PUNO"/>
    <s v="CHUCUITO"/>
    <s v="JULI"/>
    <s v="EL MOLINO"/>
    <s v="MOLINO S/N"/>
    <s v="Rural"/>
    <n v="-16.224513999999999"/>
    <n v="-69.386251999999999"/>
    <n v="30"/>
    <s v="SATELITAL"/>
    <s v="Sur"/>
    <x v="2"/>
    <n v="30"/>
    <n v="5"/>
    <n v="5"/>
    <n v="0.83333333333333337"/>
    <n v="5.833333333333333"/>
    <x v="0"/>
    <x v="9"/>
    <x v="2"/>
    <m/>
  </r>
  <r>
    <n v="772"/>
    <n v="1171"/>
    <n v="450535"/>
    <s v="70173"/>
    <s v="PUNO"/>
    <s v="CHUCUITO"/>
    <s v="JULI"/>
    <s v="JULI"/>
    <s v="JIRON BERTONIO 240"/>
    <s v="Urbana"/>
    <n v="-16.211037000000001"/>
    <n v="-69.459864999999994"/>
    <n v="30"/>
    <s v="SATELITAL"/>
    <s v="Sur"/>
    <x v="2"/>
    <n v="30"/>
    <n v="5"/>
    <n v="5"/>
    <n v="0.83333333333333337"/>
    <n v="5.833333333333333"/>
    <x v="0"/>
    <x v="9"/>
    <x v="2"/>
    <m/>
  </r>
  <r>
    <n v="773"/>
    <n v="1172"/>
    <n v="451002"/>
    <s v="71004"/>
    <s v="PUNO"/>
    <s v="CHUCUITO"/>
    <s v="JULI"/>
    <s v="JULI"/>
    <s v="JIRON JULI 428"/>
    <s v="Urbana"/>
    <n v="-16.211835000000001"/>
    <n v="-69.460002000000003"/>
    <n v="30"/>
    <s v="SATELITAL"/>
    <s v="Sur"/>
    <x v="2"/>
    <n v="30"/>
    <n v="5"/>
    <n v="5"/>
    <n v="0.83333333333333337"/>
    <n v="5.833333333333333"/>
    <x v="0"/>
    <x v="9"/>
    <x v="2"/>
    <m/>
  </r>
  <r>
    <n v="774"/>
    <n v="1173"/>
    <n v="451035"/>
    <s v="PERU BIRF INDUSTRIAL"/>
    <s v="PUNO"/>
    <s v="CHUCUITO"/>
    <s v="JULI"/>
    <s v="JULI"/>
    <s v="JIRON SAN JUAN BELLAVISTA S/N"/>
    <s v="Urbana"/>
    <n v="-16.202297000000002"/>
    <n v="-69.454890000000006"/>
    <n v="30"/>
    <s v="SATELITAL"/>
    <s v="Sur"/>
    <x v="2"/>
    <n v="30"/>
    <n v="5"/>
    <n v="5"/>
    <n v="0.83333333333333337"/>
    <n v="5.833333333333333"/>
    <x v="0"/>
    <x v="9"/>
    <x v="2"/>
    <m/>
  </r>
  <r>
    <n v="775"/>
    <n v="1174"/>
    <n v="450700"/>
    <s v="70210"/>
    <s v="PUNO"/>
    <s v="CHUCUITO"/>
    <s v="JULI"/>
    <s v="PASIRI"/>
    <s v="PASIRI"/>
    <s v="Rural"/>
    <n v="-16.353594999999999"/>
    <n v="-69.454736999999994"/>
    <n v="30"/>
    <s v="SATELITAL"/>
    <s v="Sur"/>
    <x v="2"/>
    <n v="30"/>
    <n v="5"/>
    <n v="5"/>
    <n v="0.83333333333333337"/>
    <n v="5.833333333333333"/>
    <x v="0"/>
    <x v="9"/>
    <x v="2"/>
    <m/>
  </r>
  <r>
    <n v="776"/>
    <n v="1175"/>
    <n v="450804"/>
    <s v="70664"/>
    <s v="PUNO"/>
    <s v="CHUCUITO"/>
    <s v="JULI"/>
    <s v="VILCALLAMI"/>
    <s v="VILCALLAMI"/>
    <s v="Rural"/>
    <n v="-16.232054000000002"/>
    <n v="-69.404667000000003"/>
    <n v="30"/>
    <s v="SATELITAL"/>
    <s v="Sur"/>
    <x v="2"/>
    <n v="30"/>
    <n v="5"/>
    <n v="5"/>
    <n v="0.83333333333333337"/>
    <n v="5.833333333333333"/>
    <x v="0"/>
    <x v="9"/>
    <x v="2"/>
    <m/>
  </r>
  <r>
    <n v="777"/>
    <n v="1176"/>
    <n v="451648"/>
    <s v="70258"/>
    <s v="PUNO"/>
    <s v="CHUCUITO"/>
    <s v="KELLUYO"/>
    <s v="KELLUYO"/>
    <s v="KELLUYO"/>
    <s v="Rural"/>
    <n v="-16.733167999999999"/>
    <n v="-69.251076999999995"/>
    <n v="30"/>
    <s v="SATELITAL"/>
    <s v="Sur"/>
    <x v="2"/>
    <n v="30"/>
    <n v="5"/>
    <n v="5"/>
    <n v="0.83333333333333337"/>
    <n v="5.833333333333333"/>
    <x v="0"/>
    <x v="9"/>
    <x v="2"/>
    <m/>
  </r>
  <r>
    <n v="778"/>
    <n v="1177"/>
    <n v="451771"/>
    <s v="AGRO INDUSTRIAL KELLUYO"/>
    <s v="PUNO"/>
    <s v="CHUCUITO"/>
    <s v="KELLUYO"/>
    <s v="KELLUYO"/>
    <s v="JIRON TUPAC AMARU S/N"/>
    <s v="Rural"/>
    <n v="-16.723572999999998"/>
    <n v="-69.250701000000007"/>
    <n v="30"/>
    <s v="SATELITAL"/>
    <s v="Sur"/>
    <x v="2"/>
    <n v="30"/>
    <n v="5"/>
    <n v="5"/>
    <n v="0.83333333333333337"/>
    <n v="5.833333333333333"/>
    <x v="0"/>
    <x v="9"/>
    <x v="2"/>
    <m/>
  </r>
  <r>
    <n v="779"/>
    <n v="1178"/>
    <n v="451785"/>
    <s v="JUAN VELAZCO ALVARADO"/>
    <s v="PUNO"/>
    <s v="CHUCUITO"/>
    <s v="KELLUYO"/>
    <s v="TOTORAMA"/>
    <s v="TOTOROMA"/>
    <s v="Rural"/>
    <n v="-16.759916"/>
    <n v="-69.341297999999995"/>
    <n v="30"/>
    <s v="SATELITAL"/>
    <s v="Sur"/>
    <x v="2"/>
    <n v="30"/>
    <n v="5"/>
    <n v="5"/>
    <n v="0.83333333333333337"/>
    <n v="5.833333333333333"/>
    <x v="0"/>
    <x v="9"/>
    <x v="2"/>
    <m/>
  </r>
  <r>
    <n v="780"/>
    <n v="1179"/>
    <n v="451974"/>
    <s v="PIZACOMA"/>
    <s v="PUNO"/>
    <s v="CHUCUITO"/>
    <s v="PISACOMA"/>
    <s v="PIZACOMA"/>
    <s v="JIRON TACNA S/N"/>
    <s v="Rural"/>
    <n v="-16.91264"/>
    <n v="-69.369479999999996"/>
    <n v="30"/>
    <s v="SATELITAL"/>
    <s v="Sur"/>
    <x v="2"/>
    <n v="30"/>
    <n v="5"/>
    <n v="5"/>
    <n v="0.83333333333333337"/>
    <n v="5.833333333333333"/>
    <x v="0"/>
    <x v="9"/>
    <x v="2"/>
    <m/>
  </r>
  <r>
    <n v="781"/>
    <n v="1180"/>
    <n v="452474"/>
    <s v="70262"/>
    <s v="PUNO"/>
    <s v="CHUCUITO"/>
    <s v="ZEPITA"/>
    <s v="ALTO AYRIGUAS"/>
    <s v="ALTO AYRIGUAS"/>
    <s v="Rural"/>
    <n v="-16.542221000000001"/>
    <n v="-69.163347999999999"/>
    <n v="30"/>
    <s v="SATELITAL"/>
    <s v="Sur"/>
    <x v="2"/>
    <n v="30"/>
    <n v="5"/>
    <n v="5"/>
    <n v="0.83333333333333337"/>
    <n v="5.833333333333333"/>
    <x v="0"/>
    <x v="9"/>
    <x v="2"/>
    <m/>
  </r>
  <r>
    <n v="782"/>
    <n v="1181"/>
    <n v="452780"/>
    <s v="CESAR VALLEJO"/>
    <s v="PUNO"/>
    <s v="CHUCUITO"/>
    <s v="ZEPITA"/>
    <s v="BAJO PAVITA B"/>
    <s v="BAJO PAVITA"/>
    <s v="Rural"/>
    <n v="-16.537517999999999"/>
    <n v="-69.259472000000002"/>
    <n v="30"/>
    <s v="SATELITAL"/>
    <s v="Sur"/>
    <x v="2"/>
    <n v="30"/>
    <n v="5"/>
    <n v="5"/>
    <n v="0.83333333333333337"/>
    <n v="5.833333333333333"/>
    <x v="0"/>
    <x v="9"/>
    <x v="2"/>
    <m/>
  </r>
  <r>
    <n v="783"/>
    <n v="1182"/>
    <n v="453925"/>
    <s v="70214"/>
    <s v="PUNO"/>
    <s v="EL COLLAO"/>
    <s v="CAPAZO"/>
    <s v="ROSARIO ALTO ANCOMARCA"/>
    <s v="ROSARIO ALTO ANCOMARCA"/>
    <s v="Rural"/>
    <n v="-17.172802999999998"/>
    <n v="-69.643884"/>
    <n v="30"/>
    <s v="SATELITAL"/>
    <s v="Sur"/>
    <x v="2"/>
    <n v="30"/>
    <n v="5"/>
    <n v="5"/>
    <n v="0.83333333333333337"/>
    <n v="5.833333333333333"/>
    <x v="0"/>
    <x v="9"/>
    <x v="2"/>
    <m/>
  </r>
  <r>
    <n v="784"/>
    <n v="1183"/>
    <n v="453987"/>
    <s v="71543"/>
    <s v="PUNO"/>
    <s v="EL COLLAO"/>
    <s v="CAPAZO"/>
    <s v="TUPALA HACIENDA"/>
    <s v="TUPALA"/>
    <s v="Rural"/>
    <n v="-17.009906999999998"/>
    <n v="-69.63158"/>
    <n v="30"/>
    <s v="SATELITAL"/>
    <s v="Sur"/>
    <x v="2"/>
    <n v="30"/>
    <n v="5"/>
    <n v="5"/>
    <n v="0.83333333333333337"/>
    <n v="5.833333333333333"/>
    <x v="0"/>
    <x v="9"/>
    <x v="2"/>
    <m/>
  </r>
  <r>
    <n v="785"/>
    <n v="1184"/>
    <n v="509121"/>
    <s v="70743"/>
    <s v="PUNO"/>
    <s v="EL COLLAO"/>
    <s v="ILAVE"/>
    <s v="CALACOTA"/>
    <s v="CALACOTA"/>
    <s v="Rural"/>
    <n v="-16.048673999999998"/>
    <n v="-69.604853000000006"/>
    <n v="30"/>
    <s v="SATELITAL"/>
    <s v="Sur"/>
    <x v="2"/>
    <n v="30"/>
    <n v="5"/>
    <n v="5"/>
    <n v="0.83333333333333337"/>
    <n v="5.833333333333333"/>
    <x v="0"/>
    <x v="9"/>
    <x v="2"/>
    <m/>
  </r>
  <r>
    <n v="786"/>
    <n v="1185"/>
    <n v="453039"/>
    <s v="70161"/>
    <s v="PUNO"/>
    <s v="EL COLLAO"/>
    <s v="ILAVE"/>
    <s v="SUQUINAPE"/>
    <s v="SUQUINAPI S/N"/>
    <s v="Rural"/>
    <n v="-16.112687999999999"/>
    <n v="-69.623519999999999"/>
    <n v="30"/>
    <s v="SATELITAL"/>
    <s v="Sur"/>
    <x v="2"/>
    <n v="30"/>
    <n v="5"/>
    <n v="5"/>
    <n v="0.83333333333333337"/>
    <n v="5.833333333333333"/>
    <x v="0"/>
    <x v="9"/>
    <x v="2"/>
    <m/>
  </r>
  <r>
    <n v="787"/>
    <n v="1186"/>
    <n v="454406"/>
    <s v="ACCASO"/>
    <s v="PUNO"/>
    <s v="EL COLLAO"/>
    <s v="PILCUYO"/>
    <s v="ACCASO"/>
    <s v="ACCASO S/N"/>
    <s v="Rural"/>
    <n v="-16.045154"/>
    <n v="-69.471412999999998"/>
    <n v="30"/>
    <s v="SATELITAL"/>
    <s v="Sur"/>
    <x v="2"/>
    <n v="30"/>
    <n v="5"/>
    <n v="5"/>
    <n v="0.83333333333333337"/>
    <n v="5.833333333333333"/>
    <x v="0"/>
    <x v="9"/>
    <x v="2"/>
    <m/>
  </r>
  <r>
    <n v="788"/>
    <n v="1187"/>
    <n v="454543"/>
    <s v="70342"/>
    <s v="PUNO"/>
    <s v="EL COLLAO"/>
    <s v="SANTA ROSA"/>
    <s v="CHINCHILLAPI"/>
    <s v="CHICHILLAPI"/>
    <s v="Rural"/>
    <n v="-16.935106999999999"/>
    <n v="-69.834535000000002"/>
    <n v="30"/>
    <s v="SATELITAL"/>
    <s v="Sur"/>
    <x v="2"/>
    <n v="30"/>
    <n v="5"/>
    <n v="5"/>
    <n v="0.83333333333333337"/>
    <n v="5.833333333333333"/>
    <x v="0"/>
    <x v="9"/>
    <x v="2"/>
    <m/>
  </r>
  <r>
    <n v="789"/>
    <n v="1188"/>
    <n v="455750"/>
    <s v="73018"/>
    <s v="PUNO"/>
    <s v="HUANCANE"/>
    <s v="COJATA"/>
    <s v="CAYLLOMA"/>
    <s v="CAYLLOMA"/>
    <s v="Rural"/>
    <n v="-14.902429"/>
    <n v="-69.462400000000002"/>
    <n v="30"/>
    <s v="SATELITAL"/>
    <s v="Sur"/>
    <x v="2"/>
    <n v="30"/>
    <n v="5"/>
    <n v="5"/>
    <n v="0.83333333333333337"/>
    <n v="5.833333333333333"/>
    <x v="0"/>
    <x v="9"/>
    <x v="2"/>
    <m/>
  </r>
  <r>
    <n v="790"/>
    <n v="1189"/>
    <n v="455788"/>
    <s v="73025"/>
    <s v="PUNO"/>
    <s v="HUANCANE"/>
    <s v="COJATA"/>
    <s v="KANTATI URURI"/>
    <s v="KANTATI URURI"/>
    <s v="Rural"/>
    <n v="-15.206007"/>
    <n v="-69.157858000000004"/>
    <n v="30"/>
    <s v="SATELITAL"/>
    <s v="Sur"/>
    <x v="2"/>
    <n v="30"/>
    <n v="5"/>
    <n v="5"/>
    <n v="0.83333333333333337"/>
    <n v="5.833333333333333"/>
    <x v="0"/>
    <x v="9"/>
    <x v="2"/>
    <m/>
  </r>
  <r>
    <n v="791"/>
    <n v="1190"/>
    <n v="455463"/>
    <s v="JOSE CARLOS MARIATEGUI"/>
    <s v="PUNO"/>
    <s v="HUANCANE"/>
    <s v="HUANCANE"/>
    <s v="CHACAPAMPA"/>
    <s v="CHACAPAMPA"/>
    <s v="Rural"/>
    <n v="-15.179722"/>
    <n v="-69.833668000000003"/>
    <n v="30"/>
    <s v="SATELITAL"/>
    <s v="Sur"/>
    <x v="2"/>
    <n v="30"/>
    <n v="5"/>
    <n v="5"/>
    <n v="0.83333333333333337"/>
    <n v="5.833333333333333"/>
    <x v="0"/>
    <x v="9"/>
    <x v="2"/>
    <m/>
  </r>
  <r>
    <n v="792"/>
    <n v="1191"/>
    <n v="455482"/>
    <s v="LIBERTADOR JOSE DE SAN MARTIN"/>
    <s v="PUNO"/>
    <s v="HUANCANE"/>
    <s v="HUANCANE"/>
    <s v="HUARIZANI"/>
    <s v="HUARISANI"/>
    <s v="Rural"/>
    <n v="-15.276479999999999"/>
    <n v="-69.755099999999999"/>
    <n v="30"/>
    <s v="SATELITAL"/>
    <s v="Sur"/>
    <x v="2"/>
    <n v="30"/>
    <n v="5"/>
    <n v="5"/>
    <n v="0.83333333333333337"/>
    <n v="5.833333333333333"/>
    <x v="0"/>
    <x v="9"/>
    <x v="2"/>
    <m/>
  </r>
  <r>
    <n v="793"/>
    <n v="1192"/>
    <n v="457565"/>
    <s v="TUPAC AMARU"/>
    <s v="PUNO"/>
    <s v="LAMPA"/>
    <s v="LAMPA"/>
    <s v="PIAS HUAYTA"/>
    <s v="CENTRAL HUAYTA"/>
    <s v="Rural"/>
    <n v="-15.490872"/>
    <n v="-70.396780000000007"/>
    <n v="30"/>
    <s v="SATELITAL"/>
    <s v="Sur"/>
    <x v="2"/>
    <n v="30"/>
    <n v="5"/>
    <n v="5"/>
    <n v="0.83333333333333337"/>
    <n v="5.833333333333333"/>
    <x v="0"/>
    <x v="9"/>
    <x v="2"/>
    <m/>
  </r>
  <r>
    <n v="794"/>
    <n v="1193"/>
    <n v="457301"/>
    <s v="70405"/>
    <s v="PUNO"/>
    <s v="LAMPA"/>
    <s v="LAMPA"/>
    <s v="QUELLO QUELLO"/>
    <s v="QUELLO QUELLO"/>
    <s v="Rural"/>
    <n v="-15.27277"/>
    <n v="-70.341610000000003"/>
    <n v="30"/>
    <s v="SATELITAL"/>
    <s v="Sur"/>
    <x v="2"/>
    <n v="30"/>
    <n v="5"/>
    <n v="5"/>
    <n v="0.83333333333333337"/>
    <n v="5.833333333333333"/>
    <x v="0"/>
    <x v="9"/>
    <x v="2"/>
    <m/>
  </r>
  <r>
    <n v="795"/>
    <n v="1194"/>
    <n v="458070"/>
    <s v="ANTONIO TICONA MAMANI || 70473"/>
    <s v="PUNO"/>
    <s v="LAMPA"/>
    <s v="OCUVIRI"/>
    <s v="PARINA"/>
    <s v="PARINA"/>
    <s v="Rural"/>
    <n v="-15.2677"/>
    <n v="-70.906700000000001"/>
    <n v="30"/>
    <s v="SATELITAL"/>
    <s v="Sur"/>
    <x v="2"/>
    <n v="30"/>
    <n v="5"/>
    <n v="5"/>
    <n v="0.83333333333333337"/>
    <n v="5.833333333333333"/>
    <x v="0"/>
    <x v="9"/>
    <x v="2"/>
    <m/>
  </r>
  <r>
    <n v="796"/>
    <n v="1195"/>
    <n v="458046"/>
    <s v="70406"/>
    <s v="PUNO"/>
    <s v="LAMPA"/>
    <s v="OCUVIRI"/>
    <s v="VILCAMARCA"/>
    <s v="VILCAMARCA"/>
    <s v="Rural"/>
    <n v="-15.16473"/>
    <n v="-70.776600000000002"/>
    <n v="30"/>
    <s v="SATELITAL"/>
    <s v="Sur"/>
    <x v="2"/>
    <n v="30"/>
    <n v="5"/>
    <n v="5"/>
    <n v="0.83333333333333337"/>
    <n v="5.833333333333333"/>
    <x v="0"/>
    <x v="9"/>
    <x v="2"/>
    <m/>
  </r>
  <r>
    <n v="797"/>
    <n v="1196"/>
    <n v="458230"/>
    <s v="70453"/>
    <s v="PUNO"/>
    <s v="LAMPA"/>
    <s v="PARATIA"/>
    <s v="LLANCA"/>
    <s v="LLANCA"/>
    <s v="Rural"/>
    <n v="-15.4262"/>
    <n v="-70.756"/>
    <n v="30"/>
    <s v="SATELITAL"/>
    <s v="Sur"/>
    <x v="2"/>
    <n v="30"/>
    <n v="5"/>
    <n v="5"/>
    <n v="0.83333333333333337"/>
    <n v="5.833333333333333"/>
    <x v="0"/>
    <x v="9"/>
    <x v="2"/>
    <m/>
  </r>
  <r>
    <n v="798"/>
    <n v="1197"/>
    <n v="458206"/>
    <s v="70439"/>
    <s v="PUNO"/>
    <s v="LAMPA"/>
    <s v="PARATIA"/>
    <s v="QUILLISANI"/>
    <s v="QUILLISANI"/>
    <s v="Rural"/>
    <n v="-15.3759"/>
    <n v="-70.756900000000002"/>
    <n v="30"/>
    <s v="SATELITAL"/>
    <s v="Sur"/>
    <x v="2"/>
    <n v="30"/>
    <n v="5"/>
    <n v="5"/>
    <n v="0.83333333333333337"/>
    <n v="5.833333333333333"/>
    <x v="0"/>
    <x v="9"/>
    <x v="2"/>
    <m/>
  </r>
  <r>
    <n v="799"/>
    <n v="1198"/>
    <n v="458555"/>
    <s v="70459"/>
    <s v="PUNO"/>
    <s v="LAMPA"/>
    <s v="PUCARA"/>
    <s v="CCOLQUE"/>
    <s v="COLQUE"/>
    <s v="Rural"/>
    <n v="-15.149100000000001"/>
    <n v="-70.455349999999996"/>
    <n v="30"/>
    <s v="SATELITAL"/>
    <s v="Sur"/>
    <x v="2"/>
    <n v="30"/>
    <n v="5"/>
    <n v="5"/>
    <n v="0.83333333333333337"/>
    <n v="5.833333333333333"/>
    <x v="0"/>
    <x v="9"/>
    <x v="2"/>
    <m/>
  </r>
  <r>
    <n v="800"/>
    <n v="1199"/>
    <n v="458409"/>
    <s v="70394"/>
    <s v="PUNO"/>
    <s v="LAMPA"/>
    <s v="PUCARA"/>
    <s v="PUCARA"/>
    <s v="JIRON PUNO S/N S/N"/>
    <s v="Rural"/>
    <n v="-15.041869999999999"/>
    <n v="-70.370050000000006"/>
    <n v="30"/>
    <s v="SATELITAL"/>
    <s v="Sur"/>
    <x v="2"/>
    <n v="30"/>
    <n v="5"/>
    <n v="5"/>
    <n v="0.83333333333333337"/>
    <n v="5.833333333333333"/>
    <x v="0"/>
    <x v="9"/>
    <x v="2"/>
    <m/>
  </r>
  <r>
    <n v="801"/>
    <n v="1200"/>
    <n v="458923"/>
    <s v="70446"/>
    <s v="PUNO"/>
    <s v="LAMPA"/>
    <s v="VILAVILA"/>
    <s v="CHIVAY"/>
    <s v="CHIVAY"/>
    <s v="Rural"/>
    <n v="-15.206607"/>
    <n v="-70.743795000000006"/>
    <n v="30"/>
    <s v="SATELITAL"/>
    <s v="Sur"/>
    <x v="2"/>
    <n v="30"/>
    <n v="5"/>
    <n v="5"/>
    <n v="0.83333333333333337"/>
    <n v="5.833333333333333"/>
    <x v="0"/>
    <x v="9"/>
    <x v="2"/>
    <m/>
  </r>
  <r>
    <n v="802"/>
    <n v="1201"/>
    <n v="459442"/>
    <s v="70482"/>
    <s v="PUNO"/>
    <s v="MELGAR"/>
    <s v="ANTAUTA"/>
    <s v="CCOROCCA"/>
    <s v="CCOROCCA"/>
    <s v="Rural"/>
    <n v="-14.473799"/>
    <n v="-70.377066999999997"/>
    <n v="30"/>
    <s v="SATELITAL"/>
    <s v="Sur"/>
    <x v="2"/>
    <n v="30"/>
    <n v="5"/>
    <n v="5"/>
    <n v="0.83333333333333337"/>
    <n v="5.833333333333333"/>
    <x v="0"/>
    <x v="9"/>
    <x v="2"/>
    <m/>
  </r>
  <r>
    <n v="803"/>
    <n v="1202"/>
    <n v="459277"/>
    <s v="70847"/>
    <s v="PUNO"/>
    <s v="MELGAR"/>
    <s v="AYAVIRI"/>
    <s v="PUEBLO LIBRE / BALSA PATA"/>
    <s v="JIRON PEDRO NAYHUA S/N"/>
    <s v="Urbana"/>
    <n v="-14.8963"/>
    <n v="-70.590100000000007"/>
    <n v="30"/>
    <s v="SATELITAL"/>
    <s v="Sur"/>
    <x v="2"/>
    <n v="30"/>
    <n v="5"/>
    <n v="5"/>
    <n v="0.83333333333333337"/>
    <n v="5.833333333333333"/>
    <x v="0"/>
    <x v="9"/>
    <x v="2"/>
    <m/>
  </r>
  <r>
    <n v="804"/>
    <n v="1203"/>
    <n v="459809"/>
    <s v="202"/>
    <s v="PUNO"/>
    <s v="MELGAR"/>
    <s v="MACARI"/>
    <s v="SANTA CRUZ"/>
    <s v="SANTA CRUZ"/>
    <s v="Rural"/>
    <n v="-14.6434"/>
    <n v="-70.862700000000004"/>
    <n v="30"/>
    <s v="SATELITAL"/>
    <s v="Sur"/>
    <x v="2"/>
    <n v="30"/>
    <n v="5"/>
    <n v="5"/>
    <n v="0.83333333333333337"/>
    <n v="5.833333333333333"/>
    <x v="0"/>
    <x v="9"/>
    <x v="2"/>
    <m/>
  </r>
  <r>
    <n v="805"/>
    <n v="1204"/>
    <n v="460105"/>
    <s v="70808"/>
    <s v="PUNO"/>
    <s v="MELGAR"/>
    <s v="NUÑOA"/>
    <s v="CANGALLI PICHACANI/CANGALLI"/>
    <s v="CANGALLI PICHACANI"/>
    <s v="Rural"/>
    <n v="-14.406565000000001"/>
    <n v="-70.790835999999999"/>
    <n v="30"/>
    <s v="SATELITAL"/>
    <s v="Sur"/>
    <x v="2"/>
    <n v="30"/>
    <n v="5"/>
    <n v="5"/>
    <n v="0.83333333333333337"/>
    <n v="5.833333333333333"/>
    <x v="0"/>
    <x v="9"/>
    <x v="2"/>
    <m/>
  </r>
  <r>
    <n v="806"/>
    <n v="1205"/>
    <n v="460761"/>
    <s v="ACLLAMAYO"/>
    <s v="PUNO"/>
    <s v="MELGAR"/>
    <s v="ORURILLO"/>
    <s v="ACLLAMAYO"/>
    <s v="ACLLAMAYO"/>
    <s v="Rural"/>
    <n v="-14.614485"/>
    <n v="-70.480897999999996"/>
    <n v="30"/>
    <s v="SATELITAL"/>
    <s v="Sur"/>
    <x v="2"/>
    <n v="30"/>
    <n v="5"/>
    <n v="5"/>
    <n v="0.83333333333333337"/>
    <n v="5.833333333333333"/>
    <x v="0"/>
    <x v="9"/>
    <x v="2"/>
    <m/>
  </r>
  <r>
    <n v="807"/>
    <n v="1206"/>
    <n v="460577"/>
    <s v="70511"/>
    <s v="PUNO"/>
    <s v="MELGAR"/>
    <s v="ORURILLO"/>
    <s v="HUARACONI"/>
    <s v="HUARACONI"/>
    <s v="Rural"/>
    <n v="-14.714022"/>
    <n v="-70.618423000000007"/>
    <n v="30"/>
    <s v="SATELITAL"/>
    <s v="Sur"/>
    <x v="2"/>
    <n v="30"/>
    <n v="5"/>
    <n v="5"/>
    <n v="0.83333333333333337"/>
    <n v="5.833333333333333"/>
    <x v="0"/>
    <x v="9"/>
    <x v="2"/>
    <m/>
  </r>
  <r>
    <n v="808"/>
    <n v="1207"/>
    <n v="460780"/>
    <s v="70858"/>
    <s v="PUNO"/>
    <s v="MELGAR"/>
    <s v="ORURILLO"/>
    <s v="TIAHUANACO"/>
    <s v="SAN JOSE DE TIAHUANACO"/>
    <s v="Rural"/>
    <n v="-14.748552"/>
    <n v="-70.531664000000006"/>
    <n v="30"/>
    <s v="SATELITAL"/>
    <s v="Sur"/>
    <x v="2"/>
    <n v="30"/>
    <n v="5"/>
    <n v="5"/>
    <n v="0.83333333333333337"/>
    <n v="5.833333333333333"/>
    <x v="0"/>
    <x v="9"/>
    <x v="2"/>
    <m/>
  </r>
  <r>
    <n v="809"/>
    <n v="1208"/>
    <n v="460822"/>
    <s v="70475 SAN JUAN BAUTISTA DE LA SALLE"/>
    <s v="PUNO"/>
    <s v="MELGAR"/>
    <s v="SANTA ROSA"/>
    <s v="SANTA ROSA"/>
    <s v="CALLE MOQUEGUA S/N"/>
    <s v="Urbana"/>
    <n v="-14.6142"/>
    <n v="-70.782799999999995"/>
    <n v="30"/>
    <s v="SATELITAL"/>
    <s v="Sur"/>
    <x v="2"/>
    <n v="30"/>
    <n v="5"/>
    <n v="5"/>
    <n v="0.83333333333333337"/>
    <n v="5.833333333333333"/>
    <x v="0"/>
    <x v="9"/>
    <x v="2"/>
    <m/>
  </r>
  <r>
    <n v="810"/>
    <n v="1209"/>
    <n v="460836"/>
    <s v="70478 NUESTRA SEÑORA DE FATIMA"/>
    <s v="PUNO"/>
    <s v="MELGAR"/>
    <s v="SANTA ROSA"/>
    <s v="SANTA ROSA"/>
    <s v="CALLE AREQUIPA S/N"/>
    <s v="Urbana"/>
    <n v="-14.6073"/>
    <n v="-70.788300000000007"/>
    <n v="30"/>
    <s v="SATELITAL"/>
    <s v="Sur"/>
    <x v="2"/>
    <n v="30"/>
    <n v="5"/>
    <n v="5"/>
    <n v="0.83333333333333337"/>
    <n v="5.833333333333333"/>
    <x v="0"/>
    <x v="9"/>
    <x v="2"/>
    <m/>
  </r>
  <r>
    <n v="811"/>
    <n v="1210"/>
    <n v="460940"/>
    <s v="108"/>
    <s v="PUNO"/>
    <s v="MELGAR"/>
    <s v="SANTA ROSA"/>
    <s v="SANTA ROSA"/>
    <s v="AVENIDA INKAÑAN S/N"/>
    <s v="Urbana"/>
    <n v="-14.61862"/>
    <n v="-70.790220000000005"/>
    <n v="30"/>
    <s v="SATELITAL"/>
    <s v="Sur"/>
    <x v="2"/>
    <n v="30"/>
    <n v="5"/>
    <n v="5"/>
    <n v="0.83333333333333337"/>
    <n v="5.833333333333333"/>
    <x v="0"/>
    <x v="9"/>
    <x v="2"/>
    <m/>
  </r>
  <r>
    <n v="812"/>
    <n v="1211"/>
    <n v="461119"/>
    <s v="UMACHIRI"/>
    <s v="PUNO"/>
    <s v="MELGAR"/>
    <s v="UMACHIRI"/>
    <s v="UMACHIRI"/>
    <s v="AVENIDA AREQUIPA 503"/>
    <s v="Rural"/>
    <n v="-14.854799999999999"/>
    <n v="-70.753399999999999"/>
    <n v="30"/>
    <s v="SATELITAL"/>
    <s v="Sur"/>
    <x v="2"/>
    <n v="30"/>
    <n v="5"/>
    <n v="5"/>
    <n v="0.83333333333333337"/>
    <n v="5.833333333333333"/>
    <x v="0"/>
    <x v="9"/>
    <x v="2"/>
    <m/>
  </r>
  <r>
    <n v="813"/>
    <n v="1212"/>
    <n v="461954"/>
    <s v="INDUSTRIAL"/>
    <s v="PUNO"/>
    <s v="MOHO"/>
    <s v="CONIMA"/>
    <s v="JAPISE"/>
    <s v="SUCUNI JAPISSE"/>
    <s v="Rural"/>
    <n v="-15.47049"/>
    <n v="-69.385689999999997"/>
    <n v="30"/>
    <s v="SATELITAL"/>
    <s v="Sur"/>
    <x v="2"/>
    <n v="30"/>
    <n v="5"/>
    <n v="5"/>
    <n v="0.83333333333333337"/>
    <n v="5.833333333333333"/>
    <x v="0"/>
    <x v="9"/>
    <x v="2"/>
    <m/>
  </r>
  <r>
    <n v="814"/>
    <n v="1213"/>
    <n v="462133"/>
    <s v="72356"/>
    <s v="PUNO"/>
    <s v="MOHO"/>
    <s v="TILALI"/>
    <s v="PATASCACHI"/>
    <s v="CARRETERA PATASCACHI S/N"/>
    <s v="Rural"/>
    <n v="-15.524800000000001"/>
    <n v="-69.341899999999995"/>
    <n v="30"/>
    <s v="SATELITAL"/>
    <s v="Sur"/>
    <x v="2"/>
    <n v="30"/>
    <n v="5"/>
    <n v="5"/>
    <n v="0.83333333333333337"/>
    <n v="5.833333333333333"/>
    <x v="0"/>
    <x v="9"/>
    <x v="2"/>
    <m/>
  </r>
  <r>
    <n v="815"/>
    <n v="1214"/>
    <n v="442475"/>
    <s v="70143"/>
    <s v="PUNO"/>
    <s v="PUNO"/>
    <s v="ACORA"/>
    <s v="CHALLOCOLLO"/>
    <s v="CHALLACOLLO"/>
    <s v="Rural"/>
    <n v="-16.071857000000001"/>
    <n v="-69.683474000000004"/>
    <n v="30"/>
    <s v="SATELITAL"/>
    <s v="Sur"/>
    <x v="2"/>
    <n v="30"/>
    <n v="5"/>
    <n v="5"/>
    <n v="0.83333333333333337"/>
    <n v="5.833333333333333"/>
    <x v="0"/>
    <x v="9"/>
    <x v="2"/>
    <m/>
  </r>
  <r>
    <n v="816"/>
    <n v="1215"/>
    <n v="442512"/>
    <s v="70148"/>
    <s v="PUNO"/>
    <s v="PUNO"/>
    <s v="ACORA"/>
    <s v="CHAMCHILLA"/>
    <s v="CHAMCHILLA"/>
    <s v="Rural"/>
    <n v="-15.967197000000001"/>
    <n v="-69.824242999999996"/>
    <n v="30"/>
    <s v="SATELITAL"/>
    <s v="Sur"/>
    <x v="2"/>
    <n v="30"/>
    <n v="5"/>
    <n v="5"/>
    <n v="0.83333333333333337"/>
    <n v="5.833333333333333"/>
    <x v="0"/>
    <x v="9"/>
    <x v="2"/>
    <m/>
  </r>
  <r>
    <n v="817"/>
    <n v="1216"/>
    <n v="442767"/>
    <s v="TUPAC AMARU II"/>
    <s v="PUNO"/>
    <s v="PUNO"/>
    <s v="ACORA"/>
    <s v="CULTA"/>
    <s v="CARRETERA PANAMERICANA SUR KM 1401"/>
    <s v="Rural"/>
    <n v="-16.024312999999999"/>
    <n v="-69.740702999999996"/>
    <n v="30"/>
    <s v="SATELITAL"/>
    <s v="Sur"/>
    <x v="2"/>
    <n v="30"/>
    <n v="5"/>
    <n v="5"/>
    <n v="0.83333333333333337"/>
    <n v="5.833333333333333"/>
    <x v="0"/>
    <x v="9"/>
    <x v="2"/>
    <m/>
  </r>
  <r>
    <n v="818"/>
    <n v="1217"/>
    <n v="443007"/>
    <s v="70008"/>
    <s v="PUNO"/>
    <s v="PUNO"/>
    <s v="AMANTANI"/>
    <s v="SANCAYUNI"/>
    <s v="SANCAYUNI"/>
    <s v="Rural"/>
    <n v="-15.658213"/>
    <n v="-69.705393999999998"/>
    <n v="30"/>
    <s v="SATELITAL"/>
    <s v="Sur"/>
    <x v="2"/>
    <n v="30"/>
    <n v="5"/>
    <n v="5"/>
    <n v="0.83333333333333337"/>
    <n v="5.833333333333333"/>
    <x v="0"/>
    <x v="9"/>
    <x v="2"/>
    <m/>
  </r>
  <r>
    <n v="819"/>
    <n v="1218"/>
    <n v="443045"/>
    <s v="TAQUILE"/>
    <s v="PUNO"/>
    <s v="PUNO"/>
    <s v="AMANTANI"/>
    <s v="TAQUILE"/>
    <s v="QUINUA PATA"/>
    <s v="Rural"/>
    <n v="-15.767730999999999"/>
    <n v="-69.683943999999997"/>
    <n v="30"/>
    <s v="SATELITAL"/>
    <s v="Sur"/>
    <x v="2"/>
    <n v="30"/>
    <n v="5"/>
    <n v="5"/>
    <n v="0.83333333333333337"/>
    <n v="5.833333333333333"/>
    <x v="0"/>
    <x v="9"/>
    <x v="2"/>
    <m/>
  </r>
  <r>
    <n v="820"/>
    <n v="1219"/>
    <n v="639212"/>
    <s v="SAN JOSE DE LLUNGO"/>
    <s v="PUNO"/>
    <s v="PUNO"/>
    <s v="ATUNCOLLA"/>
    <s v="LLUNGO"/>
    <s v="SAN JOSE DE LLUNGO"/>
    <s v="Rural"/>
    <n v="-15.697198999999999"/>
    <n v="-70.187595999999999"/>
    <n v="30"/>
    <s v="SATELITAL"/>
    <s v="Sur"/>
    <x v="2"/>
    <n v="30"/>
    <n v="5"/>
    <n v="5"/>
    <n v="0.83333333333333337"/>
    <n v="5.833333333333333"/>
    <x v="0"/>
    <x v="9"/>
    <x v="2"/>
    <m/>
  </r>
  <r>
    <n v="821"/>
    <n v="1220"/>
    <n v="443234"/>
    <s v="70015"/>
    <s v="PUNO"/>
    <s v="PUNO"/>
    <s v="CAPACHICA"/>
    <s v="CAPANO"/>
    <s v="CAPANO"/>
    <s v="Rural"/>
    <n v="-15.670999999999999"/>
    <n v="-69.848799999999997"/>
    <n v="30"/>
    <s v="SATELITAL"/>
    <s v="Sur"/>
    <x v="2"/>
    <n v="30"/>
    <n v="5"/>
    <n v="5"/>
    <n v="0.83333333333333337"/>
    <n v="5.833333333333333"/>
    <x v="0"/>
    <x v="9"/>
    <x v="2"/>
    <m/>
  </r>
  <r>
    <n v="822"/>
    <n v="1221"/>
    <n v="443620"/>
    <s v="EMILIO ROMERO PADILLA"/>
    <s v="PUNO"/>
    <s v="PUNO"/>
    <s v="CHUCUITO"/>
    <s v="CHUCUITO"/>
    <s v="JIRON TRUCOS 460"/>
    <s v="Rural"/>
    <n v="-15.8935"/>
    <n v="-69.889539999999997"/>
    <n v="30"/>
    <s v="SATELITAL"/>
    <s v="Sur"/>
    <x v="2"/>
    <n v="30"/>
    <n v="5"/>
    <n v="5"/>
    <n v="0.83333333333333337"/>
    <n v="5.833333333333333"/>
    <x v="0"/>
    <x v="9"/>
    <x v="2"/>
    <m/>
  </r>
  <r>
    <n v="823"/>
    <n v="1222"/>
    <n v="444016"/>
    <s v="70805"/>
    <s v="PUNO"/>
    <s v="PUNO"/>
    <s v="MAÑAZO"/>
    <s v="CHARAMAYA"/>
    <s v="CHARAMAYA"/>
    <s v="Rural"/>
    <n v="-15.984578000000001"/>
    <n v="-70.503961000000004"/>
    <n v="30"/>
    <s v="SATELITAL"/>
    <s v="Sur"/>
    <x v="2"/>
    <n v="30"/>
    <n v="5"/>
    <n v="5"/>
    <n v="0.83333333333333337"/>
    <n v="5.833333333333333"/>
    <x v="0"/>
    <x v="9"/>
    <x v="2"/>
    <m/>
  </r>
  <r>
    <n v="824"/>
    <n v="1223"/>
    <n v="444592"/>
    <s v="MANUEL ZUÑIGA CAMACHO"/>
    <s v="PUNO"/>
    <s v="PUNO"/>
    <s v="PLATERIA"/>
    <s v="PLATERIA"/>
    <s v="JIRON TEODORO VALCARCEL 280"/>
    <s v="Rural"/>
    <n v="-15.94699"/>
    <n v="-69.834339999999997"/>
    <n v="30"/>
    <s v="SATELITAL"/>
    <s v="Sur"/>
    <x v="2"/>
    <n v="30"/>
    <n v="5"/>
    <n v="5"/>
    <n v="0.83333333333333337"/>
    <n v="5.833333333333333"/>
    <x v="0"/>
    <x v="9"/>
    <x v="2"/>
    <m/>
  </r>
  <r>
    <n v="825"/>
    <n v="1224"/>
    <n v="444573"/>
    <s v="70725 || RINCONADA"/>
    <s v="PUNO"/>
    <s v="PUNO"/>
    <s v="PLATERIA"/>
    <s v="RINCONADA"/>
    <s v="RINCONADA"/>
    <s v="Rural"/>
    <n v="-15.947683"/>
    <n v="-69.846091999999999"/>
    <n v="30"/>
    <s v="SATELITAL"/>
    <s v="Sur"/>
    <x v="2"/>
    <n v="30"/>
    <n v="5"/>
    <n v="5"/>
    <n v="0.83333333333333337"/>
    <n v="5.833333333333333"/>
    <x v="0"/>
    <x v="9"/>
    <x v="2"/>
    <m/>
  </r>
  <r>
    <n v="826"/>
    <n v="1225"/>
    <n v="441598"/>
    <s v="70801 NUESTRA SEÑORA DE GUADALUPE"/>
    <s v="PUNO"/>
    <s v="PUNO"/>
    <s v="PUNO"/>
    <s v="CIUDAD DE LA HUMANIDAD"/>
    <s v="CIUDAD DE UNAMUNO"/>
    <s v="Urbana"/>
    <n v="-15.818389"/>
    <n v="-70.050602999999995"/>
    <n v="30"/>
    <s v="SATELITAL"/>
    <s v="Sur"/>
    <x v="2"/>
    <n v="30"/>
    <n v="5"/>
    <n v="5"/>
    <n v="0.83333333333333337"/>
    <n v="5.833333333333333"/>
    <x v="0"/>
    <x v="9"/>
    <x v="2"/>
    <m/>
  </r>
  <r>
    <n v="827"/>
    <n v="1226"/>
    <n v="441447"/>
    <s v="70090"/>
    <s v="PUNO"/>
    <s v="PUNO"/>
    <s v="PUNO"/>
    <s v="JAYLLIHUAYA"/>
    <s v="JAYLLIHUAYA"/>
    <s v="Urbana"/>
    <n v="-15.883056"/>
    <n v="-69.970868999999993"/>
    <n v="30"/>
    <s v="SATELITAL"/>
    <s v="Sur"/>
    <x v="2"/>
    <n v="30"/>
    <n v="5"/>
    <n v="5"/>
    <n v="0.83333333333333337"/>
    <n v="5.833333333333333"/>
    <x v="0"/>
    <x v="9"/>
    <x v="2"/>
    <m/>
  </r>
  <r>
    <n v="828"/>
    <n v="1227"/>
    <n v="441720"/>
    <s v="CARLOS DANTE NAVA"/>
    <s v="PUNO"/>
    <s v="PUNO"/>
    <s v="PUNO"/>
    <s v="JAYLLIHUAYA"/>
    <s v="JAYLLIHUAYA"/>
    <s v="Urbana"/>
    <n v="-15.88053"/>
    <n v="-69.970245000000006"/>
    <n v="30"/>
    <s v="SATELITAL"/>
    <s v="Sur"/>
    <x v="2"/>
    <n v="30"/>
    <n v="5"/>
    <n v="5"/>
    <n v="0.83333333333333337"/>
    <n v="5.833333333333333"/>
    <x v="0"/>
    <x v="9"/>
    <x v="2"/>
    <m/>
  </r>
  <r>
    <n v="829"/>
    <n v="1228"/>
    <n v="441353"/>
    <s v="70026"/>
    <s v="PUNO"/>
    <s v="PUNO"/>
    <s v="PUNO"/>
    <s v="PORTEÑO"/>
    <s v="AVENIDA TITICACA 516"/>
    <s v="Urbana"/>
    <n v="-15.837182"/>
    <n v="-70.018961000000004"/>
    <n v="30"/>
    <s v="SATELITAL"/>
    <s v="Sur"/>
    <x v="2"/>
    <n v="30"/>
    <n v="5"/>
    <n v="5"/>
    <n v="0.83333333333333337"/>
    <n v="5.833333333333333"/>
    <x v="0"/>
    <x v="9"/>
    <x v="2"/>
    <m/>
  </r>
  <r>
    <n v="830"/>
    <n v="1229"/>
    <n v="462449"/>
    <s v="SAN ANTONIO DE PADUA"/>
    <s v="PUNO"/>
    <s v="SAN ANTONIO DE PUTINA"/>
    <s v="PUTINA"/>
    <s v="FRANCISCO"/>
    <s v="AVENIDA PROGRESO S/N"/>
    <s v="Urbana"/>
    <n v="-14.906090000000001"/>
    <n v="-69.865309999999994"/>
    <n v="30"/>
    <s v="SATELITAL"/>
    <s v="Sur"/>
    <x v="2"/>
    <n v="30"/>
    <n v="5"/>
    <n v="5"/>
    <n v="0.83333333333333337"/>
    <n v="5.833333333333333"/>
    <x v="0"/>
    <x v="9"/>
    <x v="2"/>
    <m/>
  </r>
  <r>
    <n v="831"/>
    <n v="1230"/>
    <n v="794444"/>
    <s v="70709"/>
    <s v="PUNO"/>
    <s v="SAN ROMAN"/>
    <s v="SAN MIGUEL"/>
    <s v="HORACIO ZEBALLOS"/>
    <s v="JIRON MARINERO S/N"/>
    <s v="Urbana"/>
    <n v="-15.464919999999999"/>
    <n v="-70.134500000000003"/>
    <n v="30"/>
    <s v="SATELITAL"/>
    <s v="Sur"/>
    <x v="2"/>
    <n v="30"/>
    <n v="5"/>
    <n v="5"/>
    <n v="0.83333333333333337"/>
    <n v="5.833333333333333"/>
    <x v="0"/>
    <x v="9"/>
    <x v="2"/>
    <m/>
  </r>
  <r>
    <n v="832"/>
    <n v="1231"/>
    <n v="463830"/>
    <s v="SAN ISIDRO DE CCACCACHI || 70671"/>
    <s v="PUNO"/>
    <s v="SAN ROMAN"/>
    <s v="SAN MIGUEL"/>
    <s v="NATIVIDAD CCACCACHI"/>
    <s v="CARRETERA NATIVIDAD CCACCACHI KM 6"/>
    <s v="Urbana"/>
    <n v="-15.45378"/>
    <n v="-70.09966"/>
    <n v="30"/>
    <s v="SATELITAL"/>
    <s v="Sur"/>
    <x v="2"/>
    <n v="30"/>
    <n v="5"/>
    <n v="5"/>
    <n v="0.83333333333333337"/>
    <n v="5.833333333333333"/>
    <x v="0"/>
    <x v="9"/>
    <x v="2"/>
    <m/>
  </r>
  <r>
    <n v="833"/>
    <n v="1232"/>
    <n v="466188"/>
    <s v="70704"/>
    <s v="PUNO"/>
    <s v="SANDIA"/>
    <s v="PATAMBUCO"/>
    <s v="PUNCU KEARI"/>
    <s v="PUNCO KEARI"/>
    <s v="Rural"/>
    <n v="-14.377062"/>
    <n v="-69.663373000000007"/>
    <n v="30"/>
    <s v="SATELITAL"/>
    <s v="Sur"/>
    <x v="2"/>
    <n v="30"/>
    <n v="5"/>
    <n v="5"/>
    <n v="0.83333333333333337"/>
    <n v="5.833333333333333"/>
    <x v="0"/>
    <x v="9"/>
    <x v="2"/>
    <m/>
  </r>
  <r>
    <n v="834"/>
    <n v="1233"/>
    <n v="466254"/>
    <s v="72456"/>
    <s v="PUNO"/>
    <s v="SANDIA"/>
    <s v="PATAMBUCO"/>
    <s v="TIRACA"/>
    <s v="TIRACA S/N"/>
    <s v="Rural"/>
    <n v="-14.266826"/>
    <n v="-69.596416000000005"/>
    <n v="30"/>
    <s v="SATELITAL"/>
    <s v="Sur"/>
    <x v="2"/>
    <n v="30"/>
    <n v="5"/>
    <n v="5"/>
    <n v="0.83333333333333337"/>
    <n v="5.833333333333333"/>
    <x v="0"/>
    <x v="9"/>
    <x v="2"/>
    <m/>
  </r>
  <r>
    <n v="835"/>
    <n v="1234"/>
    <n v="467098"/>
    <s v="SIMON BOLIVAR"/>
    <s v="PUNO"/>
    <s v="SANDIA"/>
    <s v="SAN PEDRO DE PUTINA PUNCO"/>
    <s v="SAN PEDRO DE PUTINA PUNCO"/>
    <s v="SAN PEDRO DE PUTINA PUNCO"/>
    <s v="Rural"/>
    <n v="-14.113574"/>
    <n v="-69.045525999999995"/>
    <n v="30"/>
    <s v="SATELITAL"/>
    <s v="Sur"/>
    <x v="2"/>
    <n v="30"/>
    <n v="5"/>
    <n v="5"/>
    <n v="0.83333333333333337"/>
    <n v="5.833333333333333"/>
    <x v="0"/>
    <x v="9"/>
    <x v="2"/>
    <s v="ANTENA 1.2M + 3W"/>
  </r>
  <r>
    <n v="836"/>
    <n v="1235"/>
    <n v="465551"/>
    <s v="72461 NUESTRA SEÑORA DE LA MERCED"/>
    <s v="PUNO"/>
    <s v="SANDIA"/>
    <s v="SANDIA"/>
    <s v="CHIRIGUAYA"/>
    <s v="CHIRIHUAYA"/>
    <s v="Rural"/>
    <n v="-14.317428"/>
    <n v="-69.452689000000007"/>
    <n v="30"/>
    <s v="SATELITAL"/>
    <s v="Sur"/>
    <x v="2"/>
    <n v="30"/>
    <n v="5"/>
    <n v="5"/>
    <n v="0.83333333333333337"/>
    <n v="5.833333333333333"/>
    <x v="0"/>
    <x v="9"/>
    <x v="2"/>
    <m/>
  </r>
  <r>
    <n v="837"/>
    <n v="1236"/>
    <n v="468352"/>
    <s v="MIGUEL GRAU"/>
    <s v="PUNO"/>
    <s v="YUNGUYO"/>
    <s v="OLLARAYA"/>
    <s v="SAN MIGUEL DE OLLARAYA"/>
    <s v="OLLARAYA"/>
    <s v="Rural"/>
    <n v="-16.229797000000001"/>
    <n v="-68.988321999999997"/>
    <n v="30"/>
    <s v="SATELITAL"/>
    <s v="Sur"/>
    <x v="2"/>
    <n v="30"/>
    <n v="5"/>
    <n v="5"/>
    <n v="0.83333333333333337"/>
    <n v="5.833333333333333"/>
    <x v="0"/>
    <x v="9"/>
    <x v="2"/>
    <m/>
  </r>
  <r>
    <n v="838"/>
    <n v="1237"/>
    <n v="468371"/>
    <s v="70241"/>
    <s v="PUNO"/>
    <s v="YUNGUYO"/>
    <s v="TINICACHI"/>
    <s v="ALTO SIHUALAYA"/>
    <s v="SIHUALAYA"/>
    <s v="Rural"/>
    <n v="-16.199555"/>
    <n v="-68.963177999999999"/>
    <n v="30"/>
    <s v="SATELITAL"/>
    <s v="Sur"/>
    <x v="2"/>
    <n v="30"/>
    <n v="5"/>
    <n v="5"/>
    <n v="0.83333333333333337"/>
    <n v="5.833333333333333"/>
    <x v="0"/>
    <x v="9"/>
    <x v="2"/>
    <m/>
  </r>
  <r>
    <n v="839"/>
    <n v="1238"/>
    <n v="468432"/>
    <s v="70605"/>
    <s v="PUNO"/>
    <s v="YUNGUYO"/>
    <s v="UNICACHI"/>
    <s v="ISLA ISCAYA"/>
    <s v="ISCAYA"/>
    <s v="Rural"/>
    <n v="-16.234513"/>
    <n v="-68.950433000000004"/>
    <n v="30"/>
    <s v="SATELITAL"/>
    <s v="Sur"/>
    <x v="2"/>
    <n v="30"/>
    <n v="5"/>
    <n v="5"/>
    <n v="0.83333333333333337"/>
    <n v="5.833333333333333"/>
    <x v="0"/>
    <x v="9"/>
    <x v="2"/>
    <m/>
  </r>
  <r>
    <n v="840"/>
    <n v="1239"/>
    <n v="467791"/>
    <s v="70264"/>
    <s v="PUNO"/>
    <s v="YUNGUYO"/>
    <s v="YUNGUYO"/>
    <s v="ACCARI"/>
    <s v="ACARI"/>
    <s v="Rural"/>
    <n v="-16.261161000000001"/>
    <n v="-69.142733000000007"/>
    <n v="30"/>
    <s v="SATELITAL"/>
    <s v="Sur"/>
    <x v="2"/>
    <n v="30"/>
    <n v="5"/>
    <n v="5"/>
    <n v="0.83333333333333337"/>
    <n v="5.833333333333333"/>
    <x v="0"/>
    <x v="9"/>
    <x v="2"/>
    <m/>
  </r>
  <r>
    <n v="841"/>
    <n v="1240"/>
    <n v="467871"/>
    <s v="70666"/>
    <s v="PUNO"/>
    <s v="YUNGUYO"/>
    <s v="YUNGUYO"/>
    <s v="MACHAJMARCA / MACHAMARCA"/>
    <s v="MACHACA MARCA"/>
    <s v="Rural"/>
    <n v="-16.320347000000002"/>
    <n v="-69.070627000000002"/>
    <n v="30"/>
    <s v="SATELITAL"/>
    <s v="Sur"/>
    <x v="2"/>
    <n v="30"/>
    <n v="5"/>
    <n v="5"/>
    <n v="0.83333333333333337"/>
    <n v="5.833333333333333"/>
    <x v="0"/>
    <x v="9"/>
    <x v="2"/>
    <m/>
  </r>
  <r>
    <n v="842"/>
    <n v="1241"/>
    <n v="489095"/>
    <s v="375"/>
    <s v="TACNA"/>
    <s v="JORGE BASADRE"/>
    <s v="LOCUMBA"/>
    <s v="ALTO CAMIARA / CAMIARA"/>
    <s v="CARRETERA PANAMERICANA NORTE"/>
    <s v="Rural"/>
    <n v="-17.646871000000001"/>
    <n v="-70.900392999999994"/>
    <n v="30"/>
    <s v="SATELITAL"/>
    <s v="Sur"/>
    <x v="2"/>
    <n v="30"/>
    <n v="5"/>
    <n v="5"/>
    <n v="0.83333333333333337"/>
    <n v="5.833333333333333"/>
    <x v="0"/>
    <x v="9"/>
    <x v="2"/>
    <m/>
  </r>
  <r>
    <n v="843"/>
    <n v="1242"/>
    <n v="487671"/>
    <s v="42196 SANTA RITA DE CASIA"/>
    <s v="TACNA"/>
    <s v="TACNA"/>
    <s v="CALANA"/>
    <s v="SANTA RITA"/>
    <s v="CARRETERA TACNA - PACHIA KM 10 5"/>
    <s v="Urbana"/>
    <n v="-17.980502999999999"/>
    <n v="-70.200361000000001"/>
    <n v="30"/>
    <s v="SATELITAL"/>
    <s v="Sur"/>
    <x v="2"/>
    <n v="30"/>
    <n v="5"/>
    <n v="5"/>
    <n v="0.83333333333333337"/>
    <n v="5.833333333333333"/>
    <x v="0"/>
    <x v="9"/>
    <x v="2"/>
    <m/>
  </r>
  <r>
    <n v="844"/>
    <n v="1243"/>
    <n v="488265"/>
    <s v="42246 JOSE OLAYA BALANDRA"/>
    <s v="TACNA"/>
    <s v="TACNA"/>
    <s v="PALCA"/>
    <s v="ANCOMARCA"/>
    <s v="ANCOMARCA"/>
    <s v="Rural"/>
    <n v="-17.5289"/>
    <n v="-69.581299999999999"/>
    <n v="30"/>
    <s v="SATELITAL"/>
    <s v="Sur"/>
    <x v="2"/>
    <n v="30"/>
    <n v="5"/>
    <n v="5"/>
    <n v="0.83333333333333337"/>
    <n v="5.833333333333333"/>
    <x v="0"/>
    <x v="9"/>
    <x v="2"/>
    <m/>
  </r>
  <r>
    <n v="845"/>
    <n v="1244"/>
    <n v="488227"/>
    <s v="42222"/>
    <s v="TACNA"/>
    <s v="TACNA"/>
    <s v="PALCA"/>
    <s v="RIO KAÑO"/>
    <s v="RIO KAÑO"/>
    <s v="Rural"/>
    <n v="-17.408200000000001"/>
    <n v="-69.540599999999998"/>
    <n v="30"/>
    <s v="SATELITAL"/>
    <s v="Sur"/>
    <x v="2"/>
    <n v="30"/>
    <n v="5"/>
    <n v="5"/>
    <n v="0.83333333333333337"/>
    <n v="5.833333333333333"/>
    <x v="0"/>
    <x v="9"/>
    <x v="2"/>
    <m/>
  </r>
  <r>
    <n v="846"/>
    <n v="1245"/>
    <n v="489750"/>
    <s v="42215"/>
    <s v="TACNA"/>
    <s v="TARATA"/>
    <s v="ESTIQUE"/>
    <s v="PALQUILLA"/>
    <s v="PALQUILLA"/>
    <s v="Rural"/>
    <n v="-17.591000000000001"/>
    <n v="-70.017799999999994"/>
    <n v="30"/>
    <s v="SATELITAL"/>
    <s v="Sur"/>
    <x v="2"/>
    <n v="30"/>
    <n v="5"/>
    <n v="5"/>
    <n v="0.83333333333333337"/>
    <n v="5.833333333333333"/>
    <x v="0"/>
    <x v="9"/>
    <x v="2"/>
    <m/>
  </r>
  <r>
    <n v="847"/>
    <n v="1246"/>
    <n v="489887"/>
    <s v="42131 CORONEL FRANCISCO BOLOGNESI"/>
    <s v="TACNA"/>
    <s v="TARATA"/>
    <s v="SITAJARA"/>
    <s v="CHALLAGUAYA"/>
    <s v="CARRETERA CHALLAGUAYA"/>
    <s v="Rural"/>
    <n v="-17.401001999999998"/>
    <n v="-70.108421000000007"/>
    <n v="30"/>
    <s v="SATELITAL"/>
    <s v="Sur"/>
    <x v="2"/>
    <n v="30"/>
    <n v="5"/>
    <n v="5"/>
    <n v="0.83333333333333337"/>
    <n v="5.833333333333333"/>
    <x v="0"/>
    <x v="9"/>
    <x v="2"/>
    <m/>
  </r>
  <r>
    <n v="848"/>
    <n v="1247"/>
    <n v="489585"/>
    <s v="43010 HORACIO ZEBALLOS GAMEZ"/>
    <s v="TACNA"/>
    <s v="TARATA"/>
    <s v="TARATA"/>
    <s v="KALLAPUMA"/>
    <s v="CARRETERA KALLAPUMA"/>
    <s v="Rural"/>
    <n v="-17.317150000000002"/>
    <n v="-69.730391999999995"/>
    <n v="30"/>
    <s v="SATELITAL"/>
    <s v="Sur"/>
    <x v="2"/>
    <n v="30"/>
    <n v="5"/>
    <n v="5"/>
    <n v="0.83333333333333337"/>
    <n v="5.833333333333333"/>
    <x v="0"/>
    <x v="9"/>
    <x v="2"/>
    <m/>
  </r>
  <r>
    <n v="849"/>
    <n v="1248"/>
    <n v="489854"/>
    <s v="42099 MANUELA FLOR DE SILVA"/>
    <s v="TACNA"/>
    <s v="TARATA"/>
    <s v="TARUCACHI"/>
    <s v="TARUCACHI"/>
    <s v="CALLE TACNA S/N"/>
    <s v="Rural"/>
    <n v="-17.525300000000001"/>
    <n v="-70.035399999999996"/>
    <n v="30"/>
    <s v="SATELITAL"/>
    <s v="Sur"/>
    <x v="2"/>
    <n v="30"/>
    <n v="5"/>
    <n v="5"/>
    <n v="0.83333333333333337"/>
    <n v="5.833333333333333"/>
    <x v="0"/>
    <x v="9"/>
    <x v="2"/>
    <m/>
  </r>
  <r>
    <n v="850"/>
    <n v="1249"/>
    <n v="489873"/>
    <s v="42101 JORGE BASADRE GROHMANN"/>
    <s v="TACNA"/>
    <s v="TARATA"/>
    <s v="TICACO"/>
    <s v="TICACO"/>
    <s v="CALLE A B LEGUIA - ELOY G URETA S/N"/>
    <s v="Rural"/>
    <n v="-17.451197000000001"/>
    <n v="-70.045090999999999"/>
    <n v="30"/>
    <s v="SATELITAL"/>
    <s v="Sur"/>
    <x v="2"/>
    <n v="30"/>
    <n v="5"/>
    <n v="5"/>
    <n v="0.83333333333333337"/>
    <n v="5.833333333333333"/>
    <x v="0"/>
    <x v="9"/>
    <x v="2"/>
    <m/>
  </r>
  <r>
    <n v="851"/>
    <n v="444"/>
    <n v="100702"/>
    <s v="JOSE OLAYA"/>
    <s v="CAJAMARCA"/>
    <s v="CAJABAMBA"/>
    <s v="CACHACHI"/>
    <s v="CACHACHI"/>
    <s v="CARRETERA CACHACHI S/N"/>
    <s v="Rural"/>
    <n v="-7.452464"/>
    <n v="-78.270274000000001"/>
    <n v="30"/>
    <s v="SATELITAL"/>
    <s v="Norte"/>
    <x v="3"/>
    <n v="30"/>
    <n v="5"/>
    <n v="5"/>
    <n v="0.83333333333333337"/>
    <n v="5.833333333333333"/>
    <x v="0"/>
    <x v="1"/>
    <x v="1"/>
    <m/>
  </r>
  <r>
    <n v="852"/>
    <n v="445"/>
    <n v="100231"/>
    <s v="82318"/>
    <s v="CAJAMARCA"/>
    <s v="CAJABAMBA"/>
    <s v="CACHACHI"/>
    <s v="CALLUAN"/>
    <s v="CALLUAN"/>
    <s v="Rural"/>
    <n v="-7.552098"/>
    <n v="-78.311912000000007"/>
    <n v="30"/>
    <s v="SATELITAL"/>
    <s v="Norte"/>
    <x v="3"/>
    <n v="30"/>
    <n v="5"/>
    <n v="5"/>
    <n v="0.83333333333333337"/>
    <n v="5.833333333333333"/>
    <x v="0"/>
    <x v="1"/>
    <x v="1"/>
    <m/>
  </r>
  <r>
    <n v="853"/>
    <n v="446"/>
    <n v="100542"/>
    <s v="821084"/>
    <s v="CAJAMARCA"/>
    <s v="CAJABAMBA"/>
    <s v="CACHACHI"/>
    <s v="SHAHUINDO DE AMARCUCHO"/>
    <s v="SHAHUINDO DE AMARCUCHO"/>
    <s v="Rural"/>
    <n v="-7.5161860000000003"/>
    <n v="-78.164050000000003"/>
    <n v="30"/>
    <s v="SATELITAL"/>
    <s v="Norte"/>
    <x v="3"/>
    <n v="30"/>
    <n v="5"/>
    <n v="5"/>
    <n v="0.83333333333333337"/>
    <n v="5.833333333333333"/>
    <x v="0"/>
    <x v="1"/>
    <x v="1"/>
    <m/>
  </r>
  <r>
    <n v="854"/>
    <n v="447"/>
    <n v="100113"/>
    <s v="ASI 82363 || 82363"/>
    <s v="CAJAMARCA"/>
    <s v="CAJABAMBA"/>
    <s v="CACHACHI"/>
    <s v="TABACAL"/>
    <s v="TABACAL S/N"/>
    <s v="Rural"/>
    <n v="-7.53322"/>
    <n v="-78.173810000000003"/>
    <n v="30"/>
    <s v="SATELITAL"/>
    <s v="Norte"/>
    <x v="3"/>
    <n v="30"/>
    <n v="5"/>
    <n v="5"/>
    <n v="0.83333333333333337"/>
    <n v="5.833333333333333"/>
    <x v="0"/>
    <x v="1"/>
    <x v="1"/>
    <m/>
  </r>
  <r>
    <n v="855"/>
    <n v="448"/>
    <n v="100820"/>
    <s v="82320"/>
    <s v="CAJAMARCA"/>
    <s v="CAJABAMBA"/>
    <s v="CONDEBAMBA"/>
    <s v="CAUDAY"/>
    <s v="JIRON AUGUSTO MADALENGOITIA S/N"/>
    <s v="Rural"/>
    <n v="-7.5716530000000004"/>
    <n v="-78.071853000000004"/>
    <n v="30"/>
    <s v="SATELITAL"/>
    <s v="Norte"/>
    <x v="3"/>
    <n v="30"/>
    <n v="5"/>
    <n v="5"/>
    <n v="0.83333333333333337"/>
    <n v="5.833333333333333"/>
    <x v="0"/>
    <x v="1"/>
    <x v="1"/>
    <m/>
  </r>
  <r>
    <n v="856"/>
    <n v="449"/>
    <n v="101061"/>
    <s v="JOSE CARLOS MARIATEGUI"/>
    <s v="CAJAMARCA"/>
    <s v="CAJABAMBA"/>
    <s v="CONDEBAMBA"/>
    <s v="CAUDAY"/>
    <s v="JIRON RICARDO PALMA S/N"/>
    <s v="Rural"/>
    <n v="-7.5733090000000001"/>
    <n v="-78.071258"/>
    <n v="30"/>
    <s v="SATELITAL"/>
    <s v="Norte"/>
    <x v="3"/>
    <n v="30"/>
    <n v="5"/>
    <n v="5"/>
    <n v="0.83333333333333337"/>
    <n v="5.833333333333333"/>
    <x v="0"/>
    <x v="1"/>
    <x v="1"/>
    <m/>
  </r>
  <r>
    <n v="857"/>
    <n v="450"/>
    <n v="100839"/>
    <s v="82322"/>
    <s v="CAJAMARCA"/>
    <s v="CAJABAMBA"/>
    <s v="CONDEBAMBA"/>
    <s v="SARIN"/>
    <s v="SARIN"/>
    <s v="Rural"/>
    <n v="-7.5714319999999997"/>
    <n v="-78.059852000000006"/>
    <n v="30"/>
    <s v="SATELITAL"/>
    <s v="Norte"/>
    <x v="3"/>
    <n v="30"/>
    <n v="5"/>
    <n v="5"/>
    <n v="0.83333333333333337"/>
    <n v="5.833333333333333"/>
    <x v="0"/>
    <x v="1"/>
    <x v="1"/>
    <m/>
  </r>
  <r>
    <n v="858"/>
    <n v="451"/>
    <n v="95791"/>
    <s v="RAMON CASTILLA"/>
    <s v="CAJAMARCA"/>
    <s v="CAJAMARCA"/>
    <s v="ASUNCION"/>
    <s v="SAPUC"/>
    <s v="SAPUC"/>
    <s v="Rural"/>
    <n v="-7.3547380000000002"/>
    <n v="-78.537282000000005"/>
    <n v="30"/>
    <s v="SATELITAL"/>
    <s v="Norte"/>
    <x v="3"/>
    <n v="30"/>
    <n v="5"/>
    <n v="5"/>
    <n v="0.83333333333333337"/>
    <n v="5.833333333333333"/>
    <x v="0"/>
    <x v="1"/>
    <x v="1"/>
    <m/>
  </r>
  <r>
    <n v="859"/>
    <n v="452"/>
    <n v="94777"/>
    <s v="821373"/>
    <s v="CAJAMARCA"/>
    <s v="CAJAMARCA"/>
    <s v="CAJAMARCA"/>
    <s v="CAPILLANIA"/>
    <s v="MANZANAS CAPELLANIA"/>
    <s v="Rural"/>
    <n v="-7.0865780000000003"/>
    <n v="-78.568813000000006"/>
    <n v="30"/>
    <s v="SATELITAL"/>
    <s v="Norte"/>
    <x v="3"/>
    <n v="30"/>
    <n v="5"/>
    <n v="5"/>
    <n v="0.83333333333333337"/>
    <n v="5.833333333333333"/>
    <x v="0"/>
    <x v="0"/>
    <x v="0"/>
    <m/>
  </r>
  <r>
    <n v="860"/>
    <n v="453"/>
    <n v="94353"/>
    <s v="82119"/>
    <s v="CAJAMARCA"/>
    <s v="CAJAMARCA"/>
    <s v="CAJAMARCA"/>
    <s v="CORISORGONA"/>
    <s v="CORISORGONA"/>
    <s v="Rural"/>
    <n v="-7.1489339999999997"/>
    <n v="-78.540520000000001"/>
    <n v="30"/>
    <s v="SATELITAL"/>
    <s v="Norte"/>
    <x v="3"/>
    <n v="30"/>
    <n v="5"/>
    <n v="5"/>
    <n v="0.83333333333333337"/>
    <n v="5.833333333333333"/>
    <x v="0"/>
    <x v="0"/>
    <x v="0"/>
    <m/>
  </r>
  <r>
    <n v="861"/>
    <n v="454"/>
    <n v="94310"/>
    <s v="82106"/>
    <s v="CAJAMARCA"/>
    <s v="CAJAMARCA"/>
    <s v="CAJAMARCA"/>
    <s v="CUSHUNGA"/>
    <s v="CUSHUNGA"/>
    <s v="Rural"/>
    <n v="-7.1516929999999999"/>
    <n v="-78.569953999999996"/>
    <n v="30"/>
    <s v="SATELITAL"/>
    <s v="Norte"/>
    <x v="3"/>
    <n v="30"/>
    <n v="5"/>
    <n v="5"/>
    <n v="0.83333333333333337"/>
    <n v="5.833333333333333"/>
    <x v="0"/>
    <x v="0"/>
    <x v="0"/>
    <m/>
  </r>
  <r>
    <n v="862"/>
    <n v="455"/>
    <n v="94555"/>
    <s v="821062"/>
    <s v="CAJAMARCA"/>
    <s v="CAJAMARCA"/>
    <s v="CAJAMARCA"/>
    <s v="EL MILAGRO"/>
    <s v="EL MILAGRO"/>
    <s v="Urbana"/>
    <n v="-7.1067080000000002"/>
    <n v="-78.538190999999998"/>
    <n v="30"/>
    <s v="SATELITAL"/>
    <s v="Norte"/>
    <x v="3"/>
    <n v="30"/>
    <n v="5"/>
    <n v="5"/>
    <n v="0.83333333333333337"/>
    <n v="5.833333333333333"/>
    <x v="0"/>
    <x v="0"/>
    <x v="0"/>
    <m/>
  </r>
  <r>
    <n v="863"/>
    <n v="456"/>
    <n v="98520"/>
    <s v="82105"/>
    <s v="CAJAMARCA"/>
    <s v="CAJAMARCA"/>
    <s v="CAJAMARCA"/>
    <s v="PURUAY ALTO"/>
    <s v="PURUAY ALTO"/>
    <s v="Rural"/>
    <n v="-7.0713999999999997"/>
    <n v="-78.517399999999995"/>
    <n v="30"/>
    <s v="SATELITAL"/>
    <s v="Norte"/>
    <x v="3"/>
    <n v="30"/>
    <n v="5"/>
    <n v="5"/>
    <n v="0.83333333333333337"/>
    <n v="5.833333333333333"/>
    <x v="0"/>
    <x v="0"/>
    <x v="0"/>
    <m/>
  </r>
  <r>
    <n v="864"/>
    <n v="457"/>
    <n v="94763"/>
    <s v="821372"/>
    <s v="CAJAMARCA"/>
    <s v="CAJAMARCA"/>
    <s v="CAJAMARCA"/>
    <s v="RONQUILLO"/>
    <s v="RONQUILLO"/>
    <s v="Rural"/>
    <n v="-7.1540290000000004"/>
    <n v="-78.550134"/>
    <n v="30"/>
    <s v="SATELITAL"/>
    <s v="Norte"/>
    <x v="3"/>
    <n v="30"/>
    <n v="5"/>
    <n v="5"/>
    <n v="0.83333333333333337"/>
    <n v="5.833333333333333"/>
    <x v="0"/>
    <x v="0"/>
    <x v="0"/>
    <m/>
  </r>
  <r>
    <n v="865"/>
    <n v="458"/>
    <n v="94348"/>
    <s v="82115 EL CUMBE"/>
    <s v="CAJAMARCA"/>
    <s v="CAJAMARCA"/>
    <s v="CAJAMARCA"/>
    <s v="SAN VICENTE ALTO"/>
    <s v="AGUA TAPADA"/>
    <s v="Rural"/>
    <n v="-7.1734200000000001"/>
    <n v="-78.530900000000003"/>
    <n v="30"/>
    <s v="SATELITAL"/>
    <s v="Norte"/>
    <x v="3"/>
    <n v="30"/>
    <n v="5"/>
    <n v="5"/>
    <n v="0.83333333333333337"/>
    <n v="5.833333333333333"/>
    <x v="0"/>
    <x v="0"/>
    <x v="0"/>
    <m/>
  </r>
  <r>
    <n v="866"/>
    <n v="459"/>
    <n v="96050"/>
    <s v="82046"/>
    <s v="CAJAMARCA"/>
    <s v="CAJAMARCA"/>
    <s v="COSPAN"/>
    <s v="SIRACAT"/>
    <s v="SIRACAT"/>
    <s v="Rural"/>
    <n v="-7.4086280000000002"/>
    <n v="-78.582819000000001"/>
    <n v="30"/>
    <s v="SATELITAL"/>
    <s v="Norte"/>
    <x v="3"/>
    <n v="30"/>
    <n v="5"/>
    <n v="5"/>
    <n v="0.83333333333333337"/>
    <n v="5.833333333333333"/>
    <x v="0"/>
    <x v="1"/>
    <x v="1"/>
    <m/>
  </r>
  <r>
    <n v="867"/>
    <n v="460"/>
    <n v="96205"/>
    <s v="821179"/>
    <s v="CAJAMARCA"/>
    <s v="CAJAMARCA"/>
    <s v="COSPAN"/>
    <s v="SUNCHUBAMBA"/>
    <s v="SUNCHUBAMBA"/>
    <s v="Rural"/>
    <n v="-7.4882239999999998"/>
    <n v="-78.389098000000004"/>
    <n v="30"/>
    <s v="SATELITAL"/>
    <s v="Norte"/>
    <x v="3"/>
    <n v="30"/>
    <n v="5"/>
    <n v="5"/>
    <n v="0.83333333333333337"/>
    <n v="5.833333333333333"/>
    <x v="0"/>
    <x v="1"/>
    <x v="1"/>
    <m/>
  </r>
  <r>
    <n v="868"/>
    <n v="461"/>
    <n v="828788"/>
    <s v="SAN PABLO DE JESUS"/>
    <s v="CAJAMARCA"/>
    <s v="CAJAMARCA"/>
    <s v="JESUS"/>
    <s v="SAN PABLO"/>
    <s v="SAN PABLO"/>
    <s v="Rural"/>
    <n v="-7.365545"/>
    <n v="-78.324993000000006"/>
    <n v="30"/>
    <s v="SATELITAL"/>
    <s v="Norte"/>
    <x v="3"/>
    <n v="30"/>
    <n v="5"/>
    <n v="5"/>
    <n v="0.83333333333333337"/>
    <n v="5.833333333333333"/>
    <x v="0"/>
    <x v="1"/>
    <x v="1"/>
    <m/>
  </r>
  <r>
    <n v="869"/>
    <n v="462"/>
    <n v="98921"/>
    <s v="82211"/>
    <s v="CAJAMARCA"/>
    <s v="CAJAMARCA"/>
    <s v="MATARA"/>
    <s v="CIRUC"/>
    <s v="CIRUC"/>
    <s v="Rural"/>
    <n v="-7.24695"/>
    <n v="-78.280562000000003"/>
    <n v="30"/>
    <s v="SATELITAL"/>
    <s v="Norte"/>
    <x v="3"/>
    <n v="30"/>
    <n v="5"/>
    <n v="5"/>
    <n v="0.83333333333333337"/>
    <n v="5.833333333333333"/>
    <x v="0"/>
    <x v="1"/>
    <x v="1"/>
    <m/>
  </r>
  <r>
    <n v="870"/>
    <n v="463"/>
    <n v="102517"/>
    <s v="YAGEN"/>
    <s v="CAJAMARCA"/>
    <s v="CELENDIN"/>
    <s v="CORTEGANA"/>
    <s v="YAGEN"/>
    <s v="YAGEN"/>
    <s v="Rural"/>
    <n v="-6.512238"/>
    <n v="-78.255139"/>
    <n v="30"/>
    <s v="SATELITAL"/>
    <s v="Norte"/>
    <x v="3"/>
    <n v="30"/>
    <n v="5"/>
    <n v="5"/>
    <n v="0.83333333333333337"/>
    <n v="5.833333333333333"/>
    <x v="0"/>
    <x v="0"/>
    <x v="0"/>
    <m/>
  </r>
  <r>
    <n v="871"/>
    <n v="464"/>
    <n v="573447"/>
    <s v="SAN ISIDRO"/>
    <s v="CAJAMARCA"/>
    <s v="CELENDIN"/>
    <s v="HUASMIN"/>
    <s v="EL TINGO"/>
    <s v="EL TINGO"/>
    <s v="Rural"/>
    <n v="-6.8628710000000002"/>
    <n v="-78.215131"/>
    <n v="30"/>
    <s v="SATELITAL"/>
    <s v="Norte"/>
    <x v="3"/>
    <n v="30"/>
    <n v="5"/>
    <n v="5"/>
    <n v="0.83333333333333337"/>
    <n v="5.833333333333333"/>
    <x v="0"/>
    <x v="0"/>
    <x v="0"/>
    <m/>
  </r>
  <r>
    <n v="872"/>
    <n v="465"/>
    <n v="103102"/>
    <s v="SAN SANTIAGO"/>
    <s v="CAJAMARCA"/>
    <s v="CELENDIN"/>
    <s v="HUASMIN"/>
    <s v="HUASMIN"/>
    <s v="JIRON AREQUIPA S/N S/N"/>
    <s v="Rural"/>
    <n v="-6.8357340000000004"/>
    <n v="-78.244594000000006"/>
    <n v="30"/>
    <s v="SATELITAL"/>
    <s v="Norte"/>
    <x v="3"/>
    <n v="30"/>
    <n v="5"/>
    <n v="5"/>
    <n v="0.83333333333333337"/>
    <n v="5.833333333333333"/>
    <x v="0"/>
    <x v="0"/>
    <x v="0"/>
    <m/>
  </r>
  <r>
    <n v="873"/>
    <n v="466"/>
    <n v="103531"/>
    <s v="82423"/>
    <s v="CAJAMARCA"/>
    <s v="CELENDIN"/>
    <s v="OXAMARCA"/>
    <s v="PIOBAMBA"/>
    <s v="PIOBAMBA"/>
    <s v="Rural"/>
    <n v="-7.0978490000000001"/>
    <n v="-78.073113000000006"/>
    <n v="30"/>
    <s v="SATELITAL"/>
    <s v="Norte"/>
    <x v="3"/>
    <n v="30"/>
    <n v="5"/>
    <n v="5"/>
    <n v="0.83333333333333337"/>
    <n v="5.833333333333333"/>
    <x v="0"/>
    <x v="1"/>
    <x v="1"/>
    <m/>
  </r>
  <r>
    <n v="874"/>
    <n v="467"/>
    <n v="103927"/>
    <s v="821093"/>
    <s v="CAJAMARCA"/>
    <s v="CELENDIN"/>
    <s v="SOROCHUCO"/>
    <s v="CRUZ PAMPA"/>
    <s v="CRUZPAMPA"/>
    <s v="Rural"/>
    <n v="-6.9115890000000002"/>
    <n v="-78.291893999999999"/>
    <n v="30"/>
    <s v="SATELITAL"/>
    <s v="Norte"/>
    <x v="3"/>
    <n v="30"/>
    <n v="5"/>
    <n v="5"/>
    <n v="0.83333333333333337"/>
    <n v="5.833333333333333"/>
    <x v="0"/>
    <x v="0"/>
    <x v="0"/>
    <m/>
  </r>
  <r>
    <n v="875"/>
    <n v="468"/>
    <n v="104371"/>
    <s v="CESAR VALLEJO"/>
    <s v="CAJAMARCA"/>
    <s v="CELENDIN"/>
    <s v="UTCO"/>
    <s v="LIMON"/>
    <s v="LIMON S/N"/>
    <s v="Rural"/>
    <n v="-6.8578960000000002"/>
    <n v="-78.091183999999998"/>
    <n v="30"/>
    <s v="SATELITAL"/>
    <s v="Norte"/>
    <x v="3"/>
    <n v="30"/>
    <n v="5"/>
    <n v="5"/>
    <n v="0.83333333333333337"/>
    <n v="5.833333333333333"/>
    <x v="0"/>
    <x v="0"/>
    <x v="0"/>
    <m/>
  </r>
  <r>
    <n v="876"/>
    <n v="469"/>
    <n v="106266"/>
    <s v="10515"/>
    <s v="CAJAMARCA"/>
    <s v="CHOTA"/>
    <s v="CHIMBAN"/>
    <s v="SUSANGATE"/>
    <s v="SUSANGATE"/>
    <s v="Rural"/>
    <n v="-6.3118569999999998"/>
    <n v="-78.489617999999993"/>
    <n v="30"/>
    <s v="SATELITAL"/>
    <s v="Norte"/>
    <x v="3"/>
    <n v="30"/>
    <n v="5"/>
    <n v="5"/>
    <n v="0.83333333333333337"/>
    <n v="5.833333333333333"/>
    <x v="0"/>
    <x v="0"/>
    <x v="0"/>
    <m/>
  </r>
  <r>
    <n v="877"/>
    <n v="470"/>
    <n v="105568"/>
    <s v="ALMIRANTE MIGUEL GRAU"/>
    <s v="CAJAMARCA"/>
    <s v="CHOTA"/>
    <s v="CHOTA"/>
    <s v="FUNDO TUCTUHUA"/>
    <s v="CARRETERA FUNDO TUCTUHUASI S/N"/>
    <s v="Rural"/>
    <n v="-6.5539420000000002"/>
    <n v="-78.674740999999997"/>
    <n v="30"/>
    <s v="SATELITAL"/>
    <s v="Norte"/>
    <x v="3"/>
    <n v="30"/>
    <n v="5"/>
    <n v="5"/>
    <n v="0.83333333333333337"/>
    <n v="5.833333333333333"/>
    <x v="0"/>
    <x v="0"/>
    <x v="0"/>
    <m/>
  </r>
  <r>
    <n v="878"/>
    <n v="471"/>
    <n v="106964"/>
    <s v="10487"/>
    <s v="CAJAMARCA"/>
    <s v="CHOTA"/>
    <s v="CONCHAN"/>
    <s v="CRUZ CONGA"/>
    <s v="CARRETERA CRUZ CONGA S/N"/>
    <s v="Rural"/>
    <n v="-6.4234220000000004"/>
    <n v="-78.669664999999995"/>
    <n v="30"/>
    <s v="SATELITAL"/>
    <s v="Norte"/>
    <x v="3"/>
    <n v="30"/>
    <n v="5"/>
    <n v="5"/>
    <n v="0.83333333333333337"/>
    <n v="5.833333333333333"/>
    <x v="0"/>
    <x v="0"/>
    <x v="0"/>
    <m/>
  </r>
  <r>
    <n v="879"/>
    <n v="472"/>
    <n v="107015"/>
    <s v="JOSE OLAYA"/>
    <s v="CAJAMARCA"/>
    <s v="CHOTA"/>
    <s v="CONCHAN"/>
    <s v="CUTAXI"/>
    <s v="CUTAXI"/>
    <s v="Rural"/>
    <n v="-6.4920450000000001"/>
    <n v="-78.560111000000006"/>
    <n v="30"/>
    <s v="SATELITAL"/>
    <s v="Norte"/>
    <x v="3"/>
    <n v="30"/>
    <n v="5"/>
    <n v="5"/>
    <n v="0.83333333333333337"/>
    <n v="5.833333333333333"/>
    <x v="0"/>
    <x v="0"/>
    <x v="0"/>
    <m/>
  </r>
  <r>
    <n v="880"/>
    <n v="473"/>
    <n v="107218"/>
    <s v="10568"/>
    <s v="CAJAMARCA"/>
    <s v="CHOTA"/>
    <s v="HUAMBOS"/>
    <s v="CHENTEN"/>
    <s v="CARRETERA CHENTEN S/N"/>
    <s v="Rural"/>
    <n v="-6.4550179999999999"/>
    <n v="-78.940551999999997"/>
    <n v="30"/>
    <s v="SATELITAL"/>
    <s v="Norte"/>
    <x v="3"/>
    <n v="30"/>
    <n v="5"/>
    <n v="5"/>
    <n v="0.83333333333333337"/>
    <n v="5.833333333333333"/>
    <x v="0"/>
    <x v="0"/>
    <x v="0"/>
    <m/>
  </r>
  <r>
    <n v="881"/>
    <n v="474"/>
    <n v="107459"/>
    <s v="10445"/>
    <s v="CAJAMARCA"/>
    <s v="CHOTA"/>
    <s v="LAJAS"/>
    <s v="CADMALCA ALTO"/>
    <s v="CADMALCA ALTO"/>
    <s v="Rural"/>
    <n v="-6.598592"/>
    <n v="-78.709449000000006"/>
    <n v="30"/>
    <s v="SATELITAL"/>
    <s v="Norte"/>
    <x v="3"/>
    <n v="30"/>
    <n v="5"/>
    <n v="5"/>
    <n v="0.83333333333333337"/>
    <n v="5.833333333333333"/>
    <x v="0"/>
    <x v="0"/>
    <x v="0"/>
    <m/>
  </r>
  <r>
    <n v="882"/>
    <n v="475"/>
    <n v="107708"/>
    <s v="JOSE ANTONIO ENCINAS"/>
    <s v="CAJAMARCA"/>
    <s v="CHOTA"/>
    <s v="LAJAS"/>
    <s v="CADMALCA ALTO"/>
    <s v="CARRETERA CADMALCA S/N"/>
    <s v="Rural"/>
    <n v="-6.5994700000000002"/>
    <n v="-78.708367999999993"/>
    <n v="30"/>
    <s v="SATELITAL"/>
    <s v="Norte"/>
    <x v="3"/>
    <n v="30"/>
    <n v="5"/>
    <n v="5"/>
    <n v="0.83333333333333337"/>
    <n v="5.833333333333333"/>
    <x v="0"/>
    <x v="0"/>
    <x v="0"/>
    <m/>
  </r>
  <r>
    <n v="883"/>
    <n v="476"/>
    <n v="108133"/>
    <s v="10573 ELEODORO GUEVARA RUFASTO"/>
    <s v="CAJAMARCA"/>
    <s v="CHOTA"/>
    <s v="MIRACOSTA"/>
    <s v="MIRACOSTA"/>
    <s v="CALLE CHOTA S/N"/>
    <s v="Rural"/>
    <n v="-6.4054120000000001"/>
    <n v="-79.284595999999993"/>
    <n v="30"/>
    <s v="SATELITAL"/>
    <s v="Norte"/>
    <x v="3"/>
    <n v="30"/>
    <n v="5"/>
    <n v="5"/>
    <n v="0.83333333333333337"/>
    <n v="5.833333333333333"/>
    <x v="0"/>
    <x v="0"/>
    <x v="0"/>
    <m/>
  </r>
  <r>
    <n v="884"/>
    <n v="477"/>
    <n v="109000"/>
    <s v="CESAR VALLEJO"/>
    <s v="CAJAMARCA"/>
    <s v="CHOTA"/>
    <s v="QUEROCOTO"/>
    <s v="PARAGUAY"/>
    <s v="CALLE SAN FERNANDO S/N"/>
    <s v="Rural"/>
    <n v="-6.3621299999999996"/>
    <n v="-79.080100000000002"/>
    <n v="30"/>
    <s v="SATELITAL"/>
    <s v="Norte"/>
    <x v="3"/>
    <n v="30"/>
    <n v="5"/>
    <n v="5"/>
    <n v="0.83333333333333337"/>
    <n v="5.833333333333333"/>
    <x v="0"/>
    <x v="0"/>
    <x v="0"/>
    <m/>
  </r>
  <r>
    <n v="885"/>
    <n v="478"/>
    <n v="109222"/>
    <s v="10449 GENOVEVA DIAZ LOYZA"/>
    <s v="CAJAMARCA"/>
    <s v="CHOTA"/>
    <s v="TACABAMBA"/>
    <s v="CHUCMAR"/>
    <s v="CARRETERA CHUCMAR S/N"/>
    <s v="Rural"/>
    <n v="-6.4120480000000004"/>
    <n v="-78.553764999999999"/>
    <n v="30"/>
    <s v="SATELITAL"/>
    <s v="Norte"/>
    <x v="3"/>
    <n v="30"/>
    <n v="5"/>
    <n v="5"/>
    <n v="0.83333333333333337"/>
    <n v="5.833333333333333"/>
    <x v="0"/>
    <x v="0"/>
    <x v="0"/>
    <m/>
  </r>
  <r>
    <n v="886"/>
    <n v="479"/>
    <n v="109665"/>
    <s v="ANDRES A. CACERES"/>
    <s v="CAJAMARCA"/>
    <s v="CHOTA"/>
    <s v="TACABAMBA"/>
    <s v="LA PUCARA"/>
    <s v="JIRON LA PUCARA S/N"/>
    <s v="Rural"/>
    <n v="-6.4247940000000003"/>
    <n v="-78.484877999999995"/>
    <n v="30"/>
    <s v="SATELITAL"/>
    <s v="Norte"/>
    <x v="3"/>
    <n v="30"/>
    <n v="5"/>
    <n v="5"/>
    <n v="0.83333333333333337"/>
    <n v="5.833333333333333"/>
    <x v="0"/>
    <x v="0"/>
    <x v="0"/>
    <m/>
  </r>
  <r>
    <n v="887"/>
    <n v="480"/>
    <n v="113945"/>
    <s v="17019"/>
    <s v="CAJAMARCA"/>
    <s v="CUTERVO"/>
    <s v="CALLAYUC"/>
    <s v="CHAQUIMAYO"/>
    <s v="CARRETERA CHAQUIMAYO"/>
    <s v="Rural"/>
    <n v="-6.1839589999999998"/>
    <n v="-78.860785000000007"/>
    <n v="30"/>
    <s v="SATELITAL"/>
    <s v="Norte"/>
    <x v="3"/>
    <n v="30"/>
    <n v="5"/>
    <n v="5"/>
    <n v="0.83333333333333337"/>
    <n v="5.833333333333333"/>
    <x v="0"/>
    <x v="0"/>
    <x v="0"/>
    <m/>
  </r>
  <r>
    <n v="888"/>
    <n v="481"/>
    <n v="114186"/>
    <s v="16406"/>
    <s v="CAJAMARCA"/>
    <s v="CUTERVO"/>
    <s v="CHOROS"/>
    <s v="MESARRUME"/>
    <s v="MESARRUME"/>
    <s v="Rural"/>
    <n v="-5.9475680000000004"/>
    <n v="-78.763085000000004"/>
    <n v="30"/>
    <s v="SATELITAL"/>
    <s v="Norte"/>
    <x v="3"/>
    <n v="30"/>
    <n v="5"/>
    <n v="5"/>
    <n v="0.83333333333333337"/>
    <n v="5.833333333333333"/>
    <x v="0"/>
    <x v="0"/>
    <x v="0"/>
    <m/>
  </r>
  <r>
    <n v="889"/>
    <n v="482"/>
    <n v="114214"/>
    <s v="16409"/>
    <s v="CAJAMARCA"/>
    <s v="CUTERVO"/>
    <s v="CHOROS"/>
    <s v="SANTA LUCIA"/>
    <s v="SANTA LUCIA"/>
    <s v="Rural"/>
    <n v="-5.951098"/>
    <n v="-78.736718999999994"/>
    <n v="30"/>
    <s v="SATELITAL"/>
    <s v="Norte"/>
    <x v="3"/>
    <n v="30"/>
    <n v="5"/>
    <n v="5"/>
    <n v="0.83333333333333337"/>
    <n v="5.833333333333333"/>
    <x v="0"/>
    <x v="0"/>
    <x v="0"/>
    <m/>
  </r>
  <r>
    <n v="890"/>
    <n v="483"/>
    <n v="113078"/>
    <s v="16977"/>
    <s v="CAJAMARCA"/>
    <s v="CUTERVO"/>
    <s v="CUTERVO"/>
    <s v="CACHULQUE"/>
    <s v="CACHULQUE"/>
    <s v="Rural"/>
    <n v="-6.3871520000000004"/>
    <n v="-78.767418000000006"/>
    <n v="30"/>
    <s v="SATELITAL"/>
    <s v="Norte"/>
    <x v="3"/>
    <n v="30"/>
    <n v="5"/>
    <n v="5"/>
    <n v="0.83333333333333337"/>
    <n v="5.833333333333333"/>
    <x v="0"/>
    <x v="0"/>
    <x v="0"/>
    <m/>
  </r>
  <r>
    <n v="891"/>
    <n v="484"/>
    <n v="112936"/>
    <s v="10885"/>
    <s v="CAJAMARCA"/>
    <s v="CUTERVO"/>
    <s v="CUTERVO"/>
    <s v="CRUZ ROJA"/>
    <s v="CRUZ ROJA"/>
    <s v="Rural"/>
    <n v="-6.4180999999999999"/>
    <n v="-78.869646000000003"/>
    <n v="30"/>
    <s v="SATELITAL"/>
    <s v="Norte"/>
    <x v="3"/>
    <n v="30"/>
    <n v="5"/>
    <n v="5"/>
    <n v="0.83333333333333337"/>
    <n v="5.833333333333333"/>
    <x v="0"/>
    <x v="0"/>
    <x v="0"/>
    <m/>
  </r>
  <r>
    <n v="892"/>
    <n v="485"/>
    <n v="112106"/>
    <s v="10265"/>
    <s v="CAJAMARCA"/>
    <s v="CUTERVO"/>
    <s v="CUTERVO"/>
    <s v="CULLUNA"/>
    <s v="LA CULLUNA"/>
    <s v="Rural"/>
    <n v="-6.3782360000000002"/>
    <n v="-78.828946999999999"/>
    <n v="30"/>
    <s v="SATELITAL"/>
    <s v="Norte"/>
    <x v="3"/>
    <n v="30"/>
    <n v="5"/>
    <n v="5"/>
    <n v="0.83333333333333337"/>
    <n v="5.833333333333333"/>
    <x v="0"/>
    <x v="0"/>
    <x v="0"/>
    <m/>
  </r>
  <r>
    <n v="893"/>
    <n v="486"/>
    <n v="113441"/>
    <s v="JOSE VILLEGAS FERNANDEZ"/>
    <s v="CAJAMARCA"/>
    <s v="CUTERVO"/>
    <s v="CUTERVO"/>
    <s v="REJO PAMPA"/>
    <s v="REJOPAMPA"/>
    <s v="Rural"/>
    <n v="-6.4308189999999996"/>
    <n v="-78.745919000000001"/>
    <n v="30"/>
    <s v="SATELITAL"/>
    <s v="Norte"/>
    <x v="3"/>
    <n v="30"/>
    <n v="5"/>
    <n v="5"/>
    <n v="0.83333333333333337"/>
    <n v="5.833333333333333"/>
    <x v="0"/>
    <x v="0"/>
    <x v="0"/>
    <m/>
  </r>
  <r>
    <n v="894"/>
    <n v="487"/>
    <n v="115077"/>
    <s v="MANUEL GONZALES PRADA"/>
    <s v="CAJAMARCA"/>
    <s v="CUTERVO"/>
    <s v="PIMPINGOS"/>
    <s v="PIMPINCOS"/>
    <s v="CALLE HUMBERTO CARRANZA PIEDRA 02"/>
    <s v="Rural"/>
    <n v="-6.059113"/>
    <n v="-78.755847000000003"/>
    <n v="30"/>
    <s v="SATELITAL"/>
    <s v="Norte"/>
    <x v="3"/>
    <n v="30"/>
    <n v="5"/>
    <n v="5"/>
    <n v="0.83333333333333337"/>
    <n v="5.833333333333333"/>
    <x v="0"/>
    <x v="0"/>
    <x v="0"/>
    <m/>
  </r>
  <r>
    <n v="895"/>
    <n v="488"/>
    <n v="116086"/>
    <s v="16432"/>
    <s v="CAJAMARCA"/>
    <s v="CUTERVO"/>
    <s v="SAN JUAN DE CUTERVO"/>
    <s v="SAN JUAN DE CUTERVO"/>
    <s v="JIRON CHORRILLOS S/N"/>
    <s v="Rural"/>
    <n v="-6.1638130000000002"/>
    <n v="-78.599531999999996"/>
    <n v="30"/>
    <s v="SATELITAL"/>
    <s v="Norte"/>
    <x v="3"/>
    <n v="30"/>
    <n v="5"/>
    <n v="5"/>
    <n v="0.83333333333333337"/>
    <n v="5.833333333333333"/>
    <x v="0"/>
    <x v="0"/>
    <x v="0"/>
    <m/>
  </r>
  <r>
    <n v="896"/>
    <n v="489"/>
    <n v="116656"/>
    <s v="10355"/>
    <s v="CAJAMARCA"/>
    <s v="CUTERVO"/>
    <s v="SANTO DOMINGO DE LA CAPILLA"/>
    <s v="LIMON"/>
    <s v="LIMON GUAYAQUIL"/>
    <s v="Rural"/>
    <n v="-6.2225099999999998"/>
    <n v="-78.850577000000001"/>
    <n v="30"/>
    <s v="SATELITAL"/>
    <s v="Norte"/>
    <x v="3"/>
    <n v="30"/>
    <n v="5"/>
    <n v="5"/>
    <n v="0.83333333333333337"/>
    <n v="5.833333333333333"/>
    <x v="0"/>
    <x v="0"/>
    <x v="0"/>
    <m/>
  </r>
  <r>
    <n v="897"/>
    <n v="490"/>
    <n v="116661"/>
    <s v="10356"/>
    <s v="CAJAMARCA"/>
    <s v="CUTERVO"/>
    <s v="SANTO DOMINGO DE LA CAPILLA"/>
    <s v="SAN ANTONIO"/>
    <s v="CARRETERA SAN ANTONIO"/>
    <s v="Rural"/>
    <n v="-6.2531970000000001"/>
    <n v="-78.843388000000004"/>
    <n v="30"/>
    <s v="SATELITAL"/>
    <s v="Norte"/>
    <x v="3"/>
    <n v="30"/>
    <n v="5"/>
    <n v="5"/>
    <n v="0.83333333333333337"/>
    <n v="5.833333333333333"/>
    <x v="0"/>
    <x v="0"/>
    <x v="0"/>
    <m/>
  </r>
  <r>
    <n v="898"/>
    <n v="491"/>
    <n v="116699"/>
    <s v="10388"/>
    <s v="CAJAMARCA"/>
    <s v="CUTERVO"/>
    <s v="SANTO DOMINGO DE LA CAPILLA"/>
    <s v="SANTA ROSA"/>
    <s v="SANTA ROSA"/>
    <s v="Rural"/>
    <n v="-6.2716669999999999"/>
    <n v="-78.840791999999993"/>
    <n v="30"/>
    <s v="SATELITAL"/>
    <s v="Norte"/>
    <x v="3"/>
    <n v="30"/>
    <n v="5"/>
    <n v="5"/>
    <n v="0.83333333333333337"/>
    <n v="5.833333333333333"/>
    <x v="0"/>
    <x v="0"/>
    <x v="0"/>
    <m/>
  </r>
  <r>
    <n v="899"/>
    <n v="492"/>
    <n v="117137"/>
    <s v="16979"/>
    <s v="CAJAMARCA"/>
    <s v="CUTERVO"/>
    <s v="SANTO TOMAS"/>
    <s v="EL FRAILE"/>
    <s v="EL FRAILE"/>
    <s v="Rural"/>
    <n v="-6.0590020000000004"/>
    <n v="-78.655598999999995"/>
    <n v="30"/>
    <s v="SATELITAL"/>
    <s v="Norte"/>
    <x v="3"/>
    <n v="30"/>
    <n v="5"/>
    <n v="5"/>
    <n v="0.83333333333333337"/>
    <n v="5.833333333333333"/>
    <x v="0"/>
    <x v="0"/>
    <x v="0"/>
    <m/>
  </r>
  <r>
    <n v="900"/>
    <n v="493"/>
    <n v="116939"/>
    <s v="16378"/>
    <s v="CAJAMARCA"/>
    <s v="CUTERVO"/>
    <s v="SANTO TOMAS"/>
    <s v="SANTO TOMAS"/>
    <s v="CALLE 2 DE DICIEMBRE S/N"/>
    <s v="Rural"/>
    <n v="-6.1534389999999997"/>
    <n v="-78.685327999999998"/>
    <n v="30"/>
    <s v="SATELITAL"/>
    <s v="Norte"/>
    <x v="3"/>
    <n v="30"/>
    <n v="5"/>
    <n v="5"/>
    <n v="0.83333333333333337"/>
    <n v="5.833333333333333"/>
    <x v="0"/>
    <x v="0"/>
    <x v="0"/>
    <m/>
  </r>
  <r>
    <n v="901"/>
    <n v="494"/>
    <n v="523787"/>
    <s v="18023"/>
    <s v="CAJAMARCA"/>
    <s v="CUTERVO"/>
    <s v="TORIBIO CASANOVA"/>
    <s v="CELENDIN"/>
    <s v="CELENDIN"/>
    <s v="Rural"/>
    <n v="-5.9593259999999999"/>
    <n v="-78.724110999999994"/>
    <n v="30"/>
    <s v="SATELITAL"/>
    <s v="Norte"/>
    <x v="3"/>
    <n v="30"/>
    <n v="5"/>
    <n v="5"/>
    <n v="0.83333333333333337"/>
    <n v="5.833333333333333"/>
    <x v="0"/>
    <x v="0"/>
    <x v="0"/>
    <m/>
  </r>
  <r>
    <n v="902"/>
    <n v="495"/>
    <n v="117745"/>
    <s v="16617"/>
    <s v="CAJAMARCA"/>
    <s v="CUTERVO"/>
    <s v="TORIBIO CASANOVA"/>
    <s v="CHOLOQUE"/>
    <s v="EL CHOLOQUE"/>
    <s v="Rural"/>
    <n v="-6.0170089999999998"/>
    <n v="-78.688998999999995"/>
    <n v="30"/>
    <s v="SATELITAL"/>
    <s v="Norte"/>
    <x v="3"/>
    <n v="30"/>
    <n v="5"/>
    <n v="5"/>
    <n v="0.83333333333333337"/>
    <n v="5.833333333333333"/>
    <x v="0"/>
    <x v="0"/>
    <x v="0"/>
    <m/>
  </r>
  <r>
    <n v="903"/>
    <n v="496"/>
    <n v="117712"/>
    <s v="16445"/>
    <s v="CAJAMARCA"/>
    <s v="CUTERVO"/>
    <s v="TORIBIO CASANOVA"/>
    <s v="LA SACILIA"/>
    <s v="CALLE 28 DE JULIO - SANTA CRUZ S/N"/>
    <s v="Rural"/>
    <n v="-6.0074319999999997"/>
    <n v="-78.700766999999999"/>
    <n v="30"/>
    <s v="SATELITAL"/>
    <s v="Norte"/>
    <x v="3"/>
    <n v="30"/>
    <n v="5"/>
    <n v="5"/>
    <n v="0.83333333333333337"/>
    <n v="5.833333333333333"/>
    <x v="0"/>
    <x v="0"/>
    <x v="0"/>
    <m/>
  </r>
  <r>
    <n v="904"/>
    <n v="497"/>
    <n v="581918"/>
    <s v="SAGRADO PERFIL DE CRISTO"/>
    <s v="CAJAMARCA"/>
    <s v="HUALGAYOC"/>
    <s v="BAMBAMARCA"/>
    <s v="CHALA"/>
    <s v="CHALA S/N"/>
    <s v="Rural"/>
    <n v="-6.6697129999999998"/>
    <n v="-78.503517000000002"/>
    <n v="30"/>
    <s v="SATELITAL"/>
    <s v="Norte"/>
    <x v="3"/>
    <n v="30"/>
    <n v="5"/>
    <n v="5"/>
    <n v="0.83333333333333337"/>
    <n v="5.833333333333333"/>
    <x v="0"/>
    <x v="0"/>
    <x v="0"/>
    <m/>
  </r>
  <r>
    <n v="905"/>
    <n v="498"/>
    <n v="117811"/>
    <s v="821032"/>
    <s v="CAJAMARCA"/>
    <s v="HUALGAYOC"/>
    <s v="BAMBAMARCA"/>
    <s v="CHALAPAMPA ALTO"/>
    <s v="CHALAPAMPA ALTO"/>
    <s v="Rural"/>
    <n v="-6.6916469999999997"/>
    <n v="-78.490527999999998"/>
    <n v="30"/>
    <s v="SATELITAL"/>
    <s v="Norte"/>
    <x v="3"/>
    <n v="30"/>
    <n v="5"/>
    <n v="5"/>
    <n v="0.83333333333333337"/>
    <n v="5.833333333333333"/>
    <x v="0"/>
    <x v="0"/>
    <x v="0"/>
    <m/>
  </r>
  <r>
    <n v="906"/>
    <n v="499"/>
    <n v="581843"/>
    <s v="DIVINO CORAZON DE JESUS"/>
    <s v="CAJAMARCA"/>
    <s v="HUALGAYOC"/>
    <s v="BAMBAMARCA"/>
    <s v="CUMBE CHONTABAMBA"/>
    <s v="EL CUMBE S/N"/>
    <s v="Rural"/>
    <n v="-6.687538"/>
    <n v="-78.567452000000003"/>
    <n v="30"/>
    <s v="SATELITAL"/>
    <s v="Norte"/>
    <x v="3"/>
    <n v="30"/>
    <n v="5"/>
    <n v="5"/>
    <n v="0.83333333333333337"/>
    <n v="5.833333333333333"/>
    <x v="0"/>
    <x v="0"/>
    <x v="0"/>
    <m/>
  </r>
  <r>
    <n v="907"/>
    <n v="500"/>
    <n v="581800"/>
    <s v="101157"/>
    <s v="CAJAMARCA"/>
    <s v="HUALGAYOC"/>
    <s v="BAMBAMARCA"/>
    <s v="CUMBE CHONTABAMBA BAJO"/>
    <s v="CUMBE CHONTABAMBA BAJO S/N"/>
    <s v="Rural"/>
    <n v="-6.6893799999999999"/>
    <n v="-78.573616999999999"/>
    <n v="30"/>
    <s v="SATELITAL"/>
    <s v="Norte"/>
    <x v="3"/>
    <n v="30"/>
    <n v="5"/>
    <n v="5"/>
    <n v="0.83333333333333337"/>
    <n v="5.833333333333333"/>
    <x v="0"/>
    <x v="0"/>
    <x v="0"/>
    <m/>
  </r>
  <r>
    <n v="908"/>
    <n v="501"/>
    <n v="118617"/>
    <s v="821030"/>
    <s v="CAJAMARCA"/>
    <s v="HUALGAYOC"/>
    <s v="BAMBAMARCA"/>
    <s v="CUMBE LIRIO ALTO"/>
    <s v="CUMBE LIRIO ALTO"/>
    <s v="Rural"/>
    <n v="-6.7021639999999998"/>
    <n v="-78.572421000000006"/>
    <n v="30"/>
    <s v="SATELITAL"/>
    <s v="Norte"/>
    <x v="3"/>
    <n v="30"/>
    <n v="5"/>
    <n v="5"/>
    <n v="0.83333333333333337"/>
    <n v="5.833333333333333"/>
    <x v="0"/>
    <x v="0"/>
    <x v="0"/>
    <m/>
  </r>
  <r>
    <n v="909"/>
    <n v="502"/>
    <n v="119216"/>
    <s v="CIRO ALEGRIA"/>
    <s v="CAJAMARCA"/>
    <s v="HUALGAYOC"/>
    <s v="BAMBAMARCA"/>
    <s v="LA LLICA"/>
    <s v="CARRETERA LA LLICA S/N"/>
    <s v="Rural"/>
    <n v="-6.7923070000000001"/>
    <n v="-78.523414000000002"/>
    <n v="30"/>
    <s v="SATELITAL"/>
    <s v="Norte"/>
    <x v="3"/>
    <n v="30"/>
    <n v="5"/>
    <n v="5"/>
    <n v="0.83333333333333337"/>
    <n v="5.833333333333333"/>
    <x v="0"/>
    <x v="0"/>
    <x v="0"/>
    <m/>
  </r>
  <r>
    <n v="910"/>
    <n v="503"/>
    <n v="118801"/>
    <s v="821133"/>
    <s v="CAJAMARCA"/>
    <s v="HUALGAYOC"/>
    <s v="BAMBAMARCA"/>
    <s v="TAMBO ALTO"/>
    <s v="TAMBO ALTO"/>
    <s v="Rural"/>
    <n v="-6.771115"/>
    <n v="-78.485523000000001"/>
    <n v="30"/>
    <s v="SATELITAL"/>
    <s v="Norte"/>
    <x v="3"/>
    <n v="30"/>
    <n v="5"/>
    <n v="5"/>
    <n v="0.83333333333333337"/>
    <n v="5.833333333333333"/>
    <x v="0"/>
    <x v="0"/>
    <x v="0"/>
    <m/>
  </r>
  <r>
    <n v="911"/>
    <n v="504"/>
    <n v="119725"/>
    <s v="101026"/>
    <s v="CAJAMARCA"/>
    <s v="HUALGAYOC"/>
    <s v="HUALGAYOC"/>
    <s v="MORAN ALTO"/>
    <s v="MORAN ALTO"/>
    <s v="Rural"/>
    <n v="-6.6690620000000003"/>
    <n v="-78.638816000000006"/>
    <n v="30"/>
    <s v="SATELITAL"/>
    <s v="Norte"/>
    <x v="3"/>
    <n v="30"/>
    <n v="5"/>
    <n v="5"/>
    <n v="0.83333333333333337"/>
    <n v="5.833333333333333"/>
    <x v="0"/>
    <x v="0"/>
    <x v="0"/>
    <m/>
  </r>
  <r>
    <n v="912"/>
    <n v="505"/>
    <n v="122313"/>
    <s v="16109"/>
    <s v="CAJAMARCA"/>
    <s v="JAEN"/>
    <s v="CHONTALI"/>
    <s v="AGUA AZUL"/>
    <s v="AGUA AZUL"/>
    <s v="Rural"/>
    <n v="-5.6059640000000002"/>
    <n v="-79.147480000000002"/>
    <n v="30"/>
    <s v="SATELITAL"/>
    <s v="Norte"/>
    <x v="3"/>
    <n v="30"/>
    <n v="5"/>
    <n v="5"/>
    <n v="0.83333333333333337"/>
    <n v="5.833333333333333"/>
    <x v="0"/>
    <x v="0"/>
    <x v="0"/>
    <m/>
  </r>
  <r>
    <n v="913"/>
    <n v="506"/>
    <n v="122474"/>
    <s v="17408"/>
    <s v="CAJAMARCA"/>
    <s v="JAEN"/>
    <s v="CHONTALI"/>
    <s v="SAN MIGUEL DEL CORCOVADO"/>
    <s v="SAN MIGUEL DE CORCOVADO S/N"/>
    <s v="Rural"/>
    <n v="-5.5881090000000002"/>
    <n v="-79.134299999999996"/>
    <n v="30"/>
    <s v="SATELITAL"/>
    <s v="Norte"/>
    <x v="3"/>
    <n v="30"/>
    <n v="5"/>
    <n v="5"/>
    <n v="0.83333333333333337"/>
    <n v="5.833333333333333"/>
    <x v="0"/>
    <x v="0"/>
    <x v="0"/>
    <m/>
  </r>
  <r>
    <n v="914"/>
    <n v="507"/>
    <n v="123586"/>
    <s v="16610"/>
    <s v="CAJAMARCA"/>
    <s v="JAEN"/>
    <s v="HUABAL"/>
    <s v="CORAZON DE JESUS"/>
    <s v="CORAZON DE JESUS"/>
    <s v="Rural"/>
    <n v="-5.6157570000000003"/>
    <n v="-78.970376000000002"/>
    <n v="30"/>
    <s v="SATELITAL"/>
    <s v="Norte"/>
    <x v="3"/>
    <n v="30"/>
    <n v="5"/>
    <n v="5"/>
    <n v="0.83333333333333337"/>
    <n v="5.833333333333333"/>
    <x v="0"/>
    <x v="0"/>
    <x v="0"/>
    <m/>
  </r>
  <r>
    <n v="915"/>
    <n v="508"/>
    <n v="120352"/>
    <s v="16013"/>
    <s v="CAJAMARCA"/>
    <s v="JAEN"/>
    <s v="JAEN"/>
    <s v="CHAMAYA"/>
    <s v="CALLE ANDRES AVELINO CACERES - CHAMAYA S/N"/>
    <s v="Rural"/>
    <n v="-5.8332110000000004"/>
    <n v="-78.747501999999997"/>
    <n v="30"/>
    <s v="SATELITAL"/>
    <s v="Norte"/>
    <x v="3"/>
    <n v="30"/>
    <n v="5"/>
    <n v="5"/>
    <n v="0.83333333333333337"/>
    <n v="5.833333333333333"/>
    <x v="0"/>
    <x v="0"/>
    <x v="0"/>
    <m/>
  </r>
  <r>
    <n v="916"/>
    <n v="509"/>
    <n v="517965"/>
    <s v="17596"/>
    <s v="CAJAMARCA"/>
    <s v="JAEN"/>
    <s v="JAEN"/>
    <s v="LA CORDILLERA"/>
    <s v="LA CORDILLERA S/N"/>
    <s v="Rural"/>
    <n v="-5.6741549999999998"/>
    <n v="-78.878353000000004"/>
    <n v="30"/>
    <s v="SATELITAL"/>
    <s v="Norte"/>
    <x v="3"/>
    <n v="30"/>
    <n v="5"/>
    <n v="5"/>
    <n v="0.83333333333333337"/>
    <n v="5.833333333333333"/>
    <x v="0"/>
    <x v="0"/>
    <x v="0"/>
    <m/>
  </r>
  <r>
    <n v="917"/>
    <n v="510"/>
    <n v="120489"/>
    <s v="16042 FRANCISCO BOLOGNESI"/>
    <s v="CAJAMARCA"/>
    <s v="JAEN"/>
    <s v="JAEN"/>
    <s v="LINDEROS"/>
    <s v="LINDEROS"/>
    <s v="Urbana"/>
    <n v="-5.6884870000000003"/>
    <n v="-78.792669000000004"/>
    <n v="30"/>
    <s v="SATELITAL"/>
    <s v="Norte"/>
    <x v="3"/>
    <n v="30"/>
    <n v="5"/>
    <n v="5"/>
    <n v="0.83333333333333337"/>
    <n v="5.833333333333333"/>
    <x v="0"/>
    <x v="0"/>
    <x v="0"/>
    <m/>
  </r>
  <r>
    <n v="918"/>
    <n v="511"/>
    <n v="120540"/>
    <s v="16048"/>
    <s v="CAJAMARCA"/>
    <s v="JAEN"/>
    <s v="JAEN"/>
    <s v="MOCHENTA"/>
    <s v="MOCHENTA S/N"/>
    <s v="Rural"/>
    <n v="-5.7944610000000001"/>
    <n v="-78.783142999999995"/>
    <n v="30"/>
    <s v="SATELITAL"/>
    <s v="Norte"/>
    <x v="3"/>
    <n v="30"/>
    <n v="5"/>
    <n v="5"/>
    <n v="0.83333333333333337"/>
    <n v="5.833333333333333"/>
    <x v="0"/>
    <x v="0"/>
    <x v="0"/>
    <m/>
  </r>
  <r>
    <n v="919"/>
    <n v="512"/>
    <n v="120253"/>
    <s v="16019 || SAN MARCOS"/>
    <s v="CAJAMARCA"/>
    <s v="JAEN"/>
    <s v="JAEN"/>
    <s v="NOGAL"/>
    <s v="EL NOGAL S/N"/>
    <s v="Rural"/>
    <n v="-5.8194020000000002"/>
    <n v="-78.912616999999997"/>
    <n v="30"/>
    <s v="SATELITAL"/>
    <s v="Norte"/>
    <x v="3"/>
    <n v="30"/>
    <n v="5"/>
    <n v="5"/>
    <n v="0.83333333333333337"/>
    <n v="5.833333333333333"/>
    <x v="0"/>
    <x v="0"/>
    <x v="0"/>
    <m/>
  </r>
  <r>
    <n v="920"/>
    <n v="513"/>
    <n v="120917"/>
    <s v="17415"/>
    <s v="CAJAMARCA"/>
    <s v="JAEN"/>
    <s v="JAEN"/>
    <s v="SAN ANDRES"/>
    <s v="SAN ANDRES S/N"/>
    <s v="Rural"/>
    <n v="-5.7719279999999999"/>
    <n v="-78.884887000000006"/>
    <n v="30"/>
    <s v="SATELITAL"/>
    <s v="Norte"/>
    <x v="3"/>
    <n v="30"/>
    <n v="5"/>
    <n v="5"/>
    <n v="0.83333333333333337"/>
    <n v="5.833333333333333"/>
    <x v="0"/>
    <x v="0"/>
    <x v="0"/>
    <m/>
  </r>
  <r>
    <n v="921"/>
    <n v="514"/>
    <n v="124736"/>
    <s v="16840"/>
    <s v="CAJAMARCA"/>
    <s v="JAEN"/>
    <s v="SALLIQUE"/>
    <s v="ALLACATE"/>
    <s v="ALLACATE"/>
    <s v="Rural"/>
    <n v="-5.6211180000000001"/>
    <n v="-79.309246000000002"/>
    <n v="30"/>
    <s v="SATELITAL"/>
    <s v="Norte"/>
    <x v="3"/>
    <n v="30"/>
    <n v="5"/>
    <n v="5"/>
    <n v="0.83333333333333337"/>
    <n v="5.833333333333333"/>
    <x v="0"/>
    <x v="0"/>
    <x v="0"/>
    <m/>
  </r>
  <r>
    <n v="922"/>
    <n v="515"/>
    <n v="592040"/>
    <s v="SAN JUAN"/>
    <s v="CAJAMARCA"/>
    <s v="JAEN"/>
    <s v="SALLIQUE"/>
    <s v="SALLIQUE"/>
    <s v="CALLE SAN JUAN S/N"/>
    <s v="Rural"/>
    <n v="-5.6569099999999999"/>
    <n v="-79.315903000000006"/>
    <n v="30"/>
    <s v="SATELITAL"/>
    <s v="Norte"/>
    <x v="3"/>
    <n v="30"/>
    <n v="5"/>
    <n v="5"/>
    <n v="0.83333333333333337"/>
    <n v="5.833333333333333"/>
    <x v="0"/>
    <x v="0"/>
    <x v="0"/>
    <m/>
  </r>
  <r>
    <n v="923"/>
    <n v="516"/>
    <n v="124656"/>
    <s v="16144 || TABACAL"/>
    <s v="CAJAMARCA"/>
    <s v="JAEN"/>
    <s v="SALLIQUE"/>
    <s v="TABACAL"/>
    <s v="PARQUE TABACAL S/N"/>
    <s v="Rural"/>
    <n v="-5.638509"/>
    <n v="-79.308610999999999"/>
    <n v="30"/>
    <s v="SATELITAL"/>
    <s v="Norte"/>
    <x v="3"/>
    <n v="30"/>
    <n v="5"/>
    <n v="5"/>
    <n v="0.83333333333333337"/>
    <n v="5.833333333333333"/>
    <x v="0"/>
    <x v="0"/>
    <x v="0"/>
    <m/>
  </r>
  <r>
    <n v="924"/>
    <n v="517"/>
    <n v="125142"/>
    <s v="17602"/>
    <s v="CAJAMARCA"/>
    <s v="JAEN"/>
    <s v="SAN FELIPE"/>
    <s v="CUMBA"/>
    <s v="CUMBA S/N"/>
    <s v="Rural"/>
    <n v="-5.7705190000000002"/>
    <n v="-79.335401000000005"/>
    <n v="30"/>
    <s v="SATELITAL"/>
    <s v="Norte"/>
    <x v="3"/>
    <n v="30"/>
    <n v="5"/>
    <n v="5"/>
    <n v="0.83333333333333337"/>
    <n v="5.833333333333333"/>
    <x v="0"/>
    <x v="0"/>
    <x v="0"/>
    <m/>
  </r>
  <r>
    <n v="925"/>
    <n v="518"/>
    <n v="124958"/>
    <s v="16152 || CPED - 16152"/>
    <s v="CAJAMARCA"/>
    <s v="JAEN"/>
    <s v="SAN FELIPE"/>
    <s v="KM. 81"/>
    <s v="KILOMETRO 81"/>
    <s v="Rural"/>
    <n v="-5.8012940000000004"/>
    <n v="-79.374840000000006"/>
    <n v="30"/>
    <s v="SATELITAL"/>
    <s v="Norte"/>
    <x v="3"/>
    <n v="30"/>
    <n v="5"/>
    <n v="5"/>
    <n v="0.83333333333333337"/>
    <n v="5.833333333333333"/>
    <x v="0"/>
    <x v="0"/>
    <x v="0"/>
    <m/>
  </r>
  <r>
    <n v="926"/>
    <n v="519"/>
    <n v="586987"/>
    <s v="16151 NUESTRA SEÑORA DEL CARMEN"/>
    <s v="CAJAMARCA"/>
    <s v="JAEN"/>
    <s v="SAN FELIPE"/>
    <s v="PIQUIJACA"/>
    <s v="PIQUIJACA"/>
    <s v="Rural"/>
    <n v="-5.7425369999999996"/>
    <n v="-79.326138"/>
    <n v="30"/>
    <s v="SATELITAL"/>
    <s v="Norte"/>
    <x v="3"/>
    <n v="30"/>
    <n v="5"/>
    <n v="5"/>
    <n v="0.83333333333333337"/>
    <n v="5.833333333333333"/>
    <x v="0"/>
    <x v="0"/>
    <x v="0"/>
    <m/>
  </r>
  <r>
    <n v="927"/>
    <n v="520"/>
    <n v="125199"/>
    <s v="SAN FELIPE SANTIAGO"/>
    <s v="CAJAMARCA"/>
    <s v="JAEN"/>
    <s v="SAN FELIPE"/>
    <s v="SAN FELIPE"/>
    <s v="JIRON SAN FELIPE S/N"/>
    <s v="Rural"/>
    <n v="-5.7701479999999998"/>
    <n v="-79.318355999999994"/>
    <n v="30"/>
    <s v="SATELITAL"/>
    <s v="Norte"/>
    <x v="3"/>
    <n v="30"/>
    <n v="5"/>
    <n v="5"/>
    <n v="0.83333333333333337"/>
    <n v="5.833333333333333"/>
    <x v="0"/>
    <x v="0"/>
    <x v="0"/>
    <m/>
  </r>
  <r>
    <n v="928"/>
    <n v="521"/>
    <n v="127315"/>
    <s v="16485"/>
    <s v="CAJAMARCA"/>
    <s v="SAN IGNACIO"/>
    <s v="CHIRINOS"/>
    <s v="CHIRINOS"/>
    <s v="CALLE JOSE CARLOS MARIATEGUI S/N"/>
    <s v="Rural"/>
    <n v="-5.3004749999999996"/>
    <n v="-78.900343000000007"/>
    <n v="30"/>
    <s v="SATELITAL"/>
    <s v="Norte"/>
    <x v="3"/>
    <n v="30"/>
    <n v="5"/>
    <n v="5"/>
    <n v="0.83333333333333337"/>
    <n v="5.833333333333333"/>
    <x v="0"/>
    <x v="0"/>
    <x v="0"/>
    <m/>
  </r>
  <r>
    <n v="929"/>
    <n v="522"/>
    <n v="127339"/>
    <s v="16488"/>
    <s v="CAJAMARCA"/>
    <s v="SAN IGNACIO"/>
    <s v="CHIRINOS"/>
    <s v="CHIRINOS"/>
    <s v="CALLE CAJAMARCA S/N"/>
    <s v="Rural"/>
    <n v="-5.3049309999999998"/>
    <n v="-78.897819999999996"/>
    <n v="30"/>
    <s v="SATELITAL"/>
    <s v="Norte"/>
    <x v="3"/>
    <n v="30"/>
    <n v="5"/>
    <n v="5"/>
    <n v="0.83333333333333337"/>
    <n v="5.833333333333333"/>
    <x v="0"/>
    <x v="0"/>
    <x v="0"/>
    <m/>
  </r>
  <r>
    <n v="930"/>
    <n v="523"/>
    <n v="127725"/>
    <s v="JOSE MARIA ARGUEDAS"/>
    <s v="CAJAMARCA"/>
    <s v="SAN IGNACIO"/>
    <s v="CHIRINOS"/>
    <s v="CHIRINOS"/>
    <s v="CALLE SAN IGNACIO S/N"/>
    <s v="Rural"/>
    <n v="-5.3005909999999998"/>
    <n v="-78.899827999999999"/>
    <n v="30"/>
    <s v="SATELITAL"/>
    <s v="Norte"/>
    <x v="3"/>
    <n v="30"/>
    <n v="5"/>
    <n v="5"/>
    <n v="0.83333333333333337"/>
    <n v="5.833333333333333"/>
    <x v="0"/>
    <x v="0"/>
    <x v="0"/>
    <m/>
  </r>
  <r>
    <n v="931"/>
    <n v="524"/>
    <n v="127706"/>
    <s v="16487 SAN PEDRO"/>
    <s v="CAJAMARCA"/>
    <s v="SAN IGNACIO"/>
    <s v="CHIRINOS"/>
    <s v="PERICOS"/>
    <s v="PERICO"/>
    <s v="Rural"/>
    <n v="-5.3428680000000002"/>
    <n v="-78.793904999999995"/>
    <n v="30"/>
    <s v="SATELITAL"/>
    <s v="Norte"/>
    <x v="3"/>
    <n v="30"/>
    <n v="5"/>
    <n v="5"/>
    <n v="0.83333333333333337"/>
    <n v="5.833333333333333"/>
    <x v="0"/>
    <x v="0"/>
    <x v="0"/>
    <m/>
  </r>
  <r>
    <n v="932"/>
    <n v="525"/>
    <n v="128367"/>
    <s v="17690"/>
    <s v="CAJAMARCA"/>
    <s v="SAN IGNACIO"/>
    <s v="HUARANGO"/>
    <s v="SAN LUIS"/>
    <s v="SAN LUIS"/>
    <s v="Rural"/>
    <n v="-5.3469300000000004"/>
    <n v="-78.634310999999997"/>
    <n v="30"/>
    <s v="SATELITAL"/>
    <s v="Norte"/>
    <x v="3"/>
    <n v="30"/>
    <n v="5"/>
    <n v="5"/>
    <n v="0.83333333333333337"/>
    <n v="5.833333333333333"/>
    <x v="0"/>
    <x v="0"/>
    <x v="0"/>
    <m/>
  </r>
  <r>
    <n v="933"/>
    <n v="526"/>
    <n v="129183"/>
    <s v="16478 PEDRO RUIZ GALLO"/>
    <s v="CAJAMARCA"/>
    <s v="SAN IGNACIO"/>
    <s v="LA COIPA"/>
    <s v="LA LIMA"/>
    <s v="LA LIMA"/>
    <s v="Rural"/>
    <n v="-5.3580310000000004"/>
    <n v="-78.954047000000003"/>
    <n v="30"/>
    <s v="SATELITAL"/>
    <s v="Norte"/>
    <x v="3"/>
    <n v="30"/>
    <n v="5"/>
    <n v="5"/>
    <n v="0.83333333333333337"/>
    <n v="5.833333333333333"/>
    <x v="0"/>
    <x v="0"/>
    <x v="0"/>
    <m/>
  </r>
  <r>
    <n v="934"/>
    <n v="527"/>
    <n v="130087"/>
    <s v="16976 || CPED - 16976"/>
    <s v="CAJAMARCA"/>
    <s v="SAN IGNACIO"/>
    <s v="SAN JOSE DE LOURDES"/>
    <s v="NUEVO TRUJILLO"/>
    <s v="NUEVO TRUJILLO"/>
    <s v="Rural"/>
    <n v="-5.0258430000000001"/>
    <n v="-78.888644999999997"/>
    <n v="30"/>
    <s v="SATELITAL"/>
    <s v="Norte"/>
    <x v="3"/>
    <n v="30"/>
    <n v="5"/>
    <n v="5"/>
    <n v="0.83333333333333337"/>
    <n v="5.833333333333333"/>
    <x v="0"/>
    <x v="0"/>
    <x v="0"/>
    <m/>
  </r>
  <r>
    <n v="935"/>
    <n v="528"/>
    <n v="130775"/>
    <s v="16921 VIRGEN DE LA ASUNCION"/>
    <s v="CAJAMARCA"/>
    <s v="SAN IGNACIO"/>
    <s v="TABACONAS"/>
    <s v="GUAYABAL"/>
    <s v="GUAYABAL"/>
    <s v="Rural"/>
    <n v="-5.3116899999999996"/>
    <n v="-79.103710000000007"/>
    <n v="30"/>
    <s v="SATELITAL"/>
    <s v="Norte"/>
    <x v="3"/>
    <n v="30"/>
    <n v="5"/>
    <n v="5"/>
    <n v="0.83333333333333337"/>
    <n v="5.833333333333333"/>
    <x v="0"/>
    <x v="0"/>
    <x v="0"/>
    <m/>
  </r>
  <r>
    <n v="936"/>
    <n v="529"/>
    <n v="131082"/>
    <s v="16536 SAN MIGUEL"/>
    <s v="CAJAMARCA"/>
    <s v="SAN IGNACIO"/>
    <s v="TABACONAS"/>
    <s v="TABACONAS"/>
    <s v="CALLE BOLOGNESI"/>
    <s v="Rural"/>
    <n v="-5.3158969999999997"/>
    <n v="-79.282629"/>
    <n v="30"/>
    <s v="SATELITAL"/>
    <s v="Norte"/>
    <x v="3"/>
    <n v="30"/>
    <n v="5"/>
    <n v="5"/>
    <n v="0.83333333333333337"/>
    <n v="5.833333333333333"/>
    <x v="0"/>
    <x v="0"/>
    <x v="0"/>
    <m/>
  </r>
  <r>
    <n v="937"/>
    <n v="530"/>
    <n v="132393"/>
    <s v="VICTOR RAUL HAYA DE LA TORRE"/>
    <s v="CAJAMARCA"/>
    <s v="SAN MARCOS"/>
    <s v="GREGORIO PITA"/>
    <s v="ULLILLIN"/>
    <s v="ULLILLIN"/>
    <s v="Rural"/>
    <n v="-7.2612189999999996"/>
    <n v="-78.135508999999999"/>
    <n v="30"/>
    <s v="SATELITAL"/>
    <s v="Norte"/>
    <x v="3"/>
    <n v="30"/>
    <n v="5"/>
    <n v="5"/>
    <n v="0.83333333333333337"/>
    <n v="5.833333333333333"/>
    <x v="0"/>
    <x v="1"/>
    <x v="1"/>
    <m/>
  </r>
  <r>
    <n v="938"/>
    <n v="531"/>
    <n v="132492"/>
    <s v="82663"/>
    <s v="CAJAMARCA"/>
    <s v="SAN MARCOS"/>
    <s v="ICHOCAN"/>
    <s v="ICHOCAN"/>
    <s v="JIRON GONZALES PRADA 342"/>
    <s v="Rural"/>
    <n v="-7.3655499999999998"/>
    <n v="-78.127118999999993"/>
    <n v="30"/>
    <s v="SATELITAL"/>
    <s v="Norte"/>
    <x v="3"/>
    <n v="30"/>
    <n v="5"/>
    <n v="5"/>
    <n v="0.83333333333333337"/>
    <n v="5.833333333333333"/>
    <x v="0"/>
    <x v="1"/>
    <x v="1"/>
    <m/>
  </r>
  <r>
    <n v="939"/>
    <n v="532"/>
    <n v="132722"/>
    <s v="82885"/>
    <s v="CAJAMARCA"/>
    <s v="SAN MARCOS"/>
    <s v="JOSE SABOGAL"/>
    <s v="LA PAUCA"/>
    <s v="PAUCA"/>
    <s v="Rural"/>
    <n v="-7.1657950000000001"/>
    <n v="-77.996863000000005"/>
    <n v="30"/>
    <s v="SATELITAL"/>
    <s v="Norte"/>
    <x v="3"/>
    <n v="30"/>
    <n v="5"/>
    <n v="5"/>
    <n v="0.83333333333333337"/>
    <n v="5.833333333333333"/>
    <x v="0"/>
    <x v="1"/>
    <x v="1"/>
    <m/>
  </r>
  <r>
    <n v="940"/>
    <n v="533"/>
    <n v="134617"/>
    <s v="82531"/>
    <s v="CAJAMARCA"/>
    <s v="SAN MIGUEL"/>
    <s v="LLAPA"/>
    <s v="LA CALZADA"/>
    <s v="PAMPA LA CALZADA"/>
    <s v="Rural"/>
    <n v="-6.9288259999999999"/>
    <n v="-78.809174999999996"/>
    <n v="30"/>
    <s v="SATELITAL"/>
    <s v="Norte"/>
    <x v="3"/>
    <n v="30"/>
    <n v="5"/>
    <n v="5"/>
    <n v="0.83333333333333337"/>
    <n v="5.833333333333333"/>
    <x v="0"/>
    <x v="0"/>
    <x v="0"/>
    <m/>
  </r>
  <r>
    <n v="941"/>
    <n v="534"/>
    <n v="135037"/>
    <s v="SAN JUAN DE DIOS"/>
    <s v="CAJAMARCA"/>
    <s v="SAN MIGUEL"/>
    <s v="NIEPOS"/>
    <s v="NIEPOS"/>
    <s v="JIRON SAN MARTIN"/>
    <s v="Rural"/>
    <n v="-6.9289160000000001"/>
    <n v="-79.131439999999998"/>
    <n v="30"/>
    <s v="SATELITAL"/>
    <s v="Norte"/>
    <x v="3"/>
    <n v="30"/>
    <n v="5"/>
    <n v="5"/>
    <n v="0.83333333333333337"/>
    <n v="5.833333333333333"/>
    <x v="0"/>
    <x v="0"/>
    <x v="0"/>
    <m/>
  </r>
  <r>
    <n v="942"/>
    <n v="535"/>
    <n v="136616"/>
    <s v="SAN BERNARDINO"/>
    <s v="CAJAMARCA"/>
    <s v="SAN PABLO"/>
    <s v="SAN BERNARDINO"/>
    <s v="SAN BERNARDINO"/>
    <s v="CARRETERA SAN BERNARDINO"/>
    <s v="Rural"/>
    <n v="-7.167052"/>
    <n v="-78.83099"/>
    <n v="30"/>
    <s v="SATELITAL"/>
    <s v="Norte"/>
    <x v="3"/>
    <n v="30"/>
    <n v="5"/>
    <n v="5"/>
    <n v="0.83333333333333337"/>
    <n v="5.833333333333333"/>
    <x v="0"/>
    <x v="0"/>
    <x v="0"/>
    <m/>
  </r>
  <r>
    <n v="943"/>
    <n v="536"/>
    <n v="135928"/>
    <s v="82252"/>
    <s v="CAJAMARCA"/>
    <s v="SAN PABLO"/>
    <s v="SAN PABLO"/>
    <s v="CALLANCAS"/>
    <s v="CALLANCAS"/>
    <s v="Rural"/>
    <n v="-7.1095600000000001"/>
    <n v="-78.752764999999997"/>
    <n v="30"/>
    <s v="SATELITAL"/>
    <s v="Norte"/>
    <x v="3"/>
    <n v="30"/>
    <n v="5"/>
    <n v="5"/>
    <n v="0.83333333333333337"/>
    <n v="5.833333333333333"/>
    <x v="0"/>
    <x v="0"/>
    <x v="0"/>
    <m/>
  </r>
  <r>
    <n v="944"/>
    <n v="537"/>
    <n v="136145"/>
    <s v="821067"/>
    <s v="CAJAMARCA"/>
    <s v="SAN PABLO"/>
    <s v="SAN PABLO"/>
    <s v="LAS VIZCACHAS"/>
    <s v="LAS VIZCACHAS"/>
    <s v="Rural"/>
    <n v="-7.1034300000000004"/>
    <n v="-78.714439999999996"/>
    <n v="30"/>
    <s v="SATELITAL"/>
    <s v="Norte"/>
    <x v="3"/>
    <n v="30"/>
    <n v="5"/>
    <n v="5"/>
    <n v="0.83333333333333337"/>
    <n v="5.833333333333333"/>
    <x v="0"/>
    <x v="0"/>
    <x v="0"/>
    <m/>
  </r>
  <r>
    <n v="945"/>
    <n v="538"/>
    <n v="136292"/>
    <s v="SANTA ROSA DE UNANCA"/>
    <s v="CAJAMARCA"/>
    <s v="SAN PABLO"/>
    <s v="SAN PABLO"/>
    <s v="SANTA ROSA DE UNANCA"/>
    <s v="SANTA ROSA DE UNANCA"/>
    <s v="Rural"/>
    <n v="-7.0844820000000004"/>
    <n v="-78.781648000000004"/>
    <n v="30"/>
    <s v="SATELITAL"/>
    <s v="Norte"/>
    <x v="3"/>
    <n v="30"/>
    <n v="5"/>
    <n v="5"/>
    <n v="0.83333333333333337"/>
    <n v="5.833333333333333"/>
    <x v="0"/>
    <x v="0"/>
    <x v="0"/>
    <m/>
  </r>
  <r>
    <n v="946"/>
    <n v="539"/>
    <n v="136876"/>
    <s v="821172"/>
    <s v="CAJAMARCA"/>
    <s v="SAN PABLO"/>
    <s v="TUMBADEN"/>
    <s v="INGATAMBO"/>
    <s v="INGATAMBO"/>
    <s v="Rural"/>
    <n v="-6.9258649999999999"/>
    <n v="-78.662769999999995"/>
    <n v="30"/>
    <s v="SATELITAL"/>
    <s v="Norte"/>
    <x v="3"/>
    <n v="30"/>
    <n v="5"/>
    <n v="5"/>
    <n v="0.83333333333333337"/>
    <n v="5.833333333333333"/>
    <x v="0"/>
    <x v="0"/>
    <x v="0"/>
    <m/>
  </r>
  <r>
    <n v="947"/>
    <n v="540"/>
    <n v="578303"/>
    <s v="INGATAMBO"/>
    <s v="CAJAMARCA"/>
    <s v="SAN PABLO"/>
    <s v="TUMBADEN"/>
    <s v="INGATAMBO"/>
    <s v="INGATAMBO"/>
    <s v="Rural"/>
    <n v="-6.9322800000000004"/>
    <n v="-78.667179000000004"/>
    <n v="30"/>
    <s v="SATELITAL"/>
    <s v="Norte"/>
    <x v="3"/>
    <n v="30"/>
    <n v="5"/>
    <n v="5"/>
    <n v="0.83333333333333337"/>
    <n v="5.833333333333333"/>
    <x v="0"/>
    <x v="0"/>
    <x v="0"/>
    <m/>
  </r>
  <r>
    <n v="948"/>
    <n v="541"/>
    <n v="136824"/>
    <s v="82282"/>
    <s v="CAJAMARCA"/>
    <s v="SAN PABLO"/>
    <s v="TUMBADEN"/>
    <s v="VISTA ALEGRE"/>
    <s v="VISTA ALEGRE"/>
    <s v="Rural"/>
    <n v="-6.9814090000000002"/>
    <n v="-78.724800999999999"/>
    <n v="30"/>
    <s v="SATELITAL"/>
    <s v="Norte"/>
    <x v="3"/>
    <n v="30"/>
    <n v="5"/>
    <n v="5"/>
    <n v="0.83333333333333337"/>
    <n v="5.833333333333333"/>
    <x v="0"/>
    <x v="0"/>
    <x v="0"/>
    <m/>
  </r>
  <r>
    <n v="949"/>
    <n v="542"/>
    <n v="801048"/>
    <s v="VISTA ALEGRE"/>
    <s v="CAJAMARCA"/>
    <s v="SAN PABLO"/>
    <s v="TUMBADEN"/>
    <s v="VISTA ALEGRE"/>
    <s v="VISTA ALEGRE"/>
    <s v="Rural"/>
    <n v="-6.97553"/>
    <n v="-78.721500000000006"/>
    <n v="30"/>
    <s v="SATELITAL"/>
    <s v="Norte"/>
    <x v="3"/>
    <n v="30"/>
    <n v="5"/>
    <n v="5"/>
    <n v="0.83333333333333337"/>
    <n v="5.833333333333333"/>
    <x v="0"/>
    <x v="0"/>
    <x v="0"/>
    <m/>
  </r>
  <r>
    <n v="950"/>
    <n v="543"/>
    <n v="538492"/>
    <s v="SAN AGUSTIN"/>
    <s v="CAJAMARCA"/>
    <s v="SANTA CRUZ"/>
    <s v="CATACHE"/>
    <s v="CATACHE"/>
    <s v="CALLE SAN AGUSTIN S/N"/>
    <s v="Rural"/>
    <n v="-6.6761999999999997"/>
    <n v="-79.033450000000002"/>
    <n v="30"/>
    <s v="SATELITAL"/>
    <s v="Norte"/>
    <x v="3"/>
    <n v="30"/>
    <n v="5"/>
    <n v="5"/>
    <n v="0.83333333333333337"/>
    <n v="5.833333333333333"/>
    <x v="0"/>
    <x v="0"/>
    <x v="0"/>
    <m/>
  </r>
  <r>
    <n v="951"/>
    <n v="544"/>
    <n v="538500"/>
    <s v="SAN JUAN DE UDIMA"/>
    <s v="CAJAMARCA"/>
    <s v="SANTA CRUZ"/>
    <s v="CATACHE"/>
    <s v="HACIENDA UDIMA"/>
    <s v="SAN CRISTOBAL"/>
    <s v="Rural"/>
    <n v="-6.8140850000000004"/>
    <n v="-79.084160999999995"/>
    <n v="30"/>
    <s v="SATELITAL"/>
    <s v="Norte"/>
    <x v="3"/>
    <n v="30"/>
    <n v="5"/>
    <n v="5"/>
    <n v="0.83333333333333337"/>
    <n v="5.833333333333333"/>
    <x v="0"/>
    <x v="0"/>
    <x v="0"/>
    <m/>
  </r>
  <r>
    <n v="952"/>
    <n v="545"/>
    <n v="137847"/>
    <s v="10954"/>
    <s v="CAJAMARCA"/>
    <s v="SANTA CRUZ"/>
    <s v="CATACHE"/>
    <s v="LOS DOS RIOS"/>
    <s v="DOS RIOS"/>
    <s v="Rural"/>
    <n v="-6.7849000000000004"/>
    <n v="-79.058476999999996"/>
    <n v="30"/>
    <s v="SATELITAL"/>
    <s v="Norte"/>
    <x v="3"/>
    <n v="30"/>
    <n v="5"/>
    <n v="5"/>
    <n v="0.83333333333333337"/>
    <n v="5.833333333333333"/>
    <x v="0"/>
    <x v="0"/>
    <x v="0"/>
    <m/>
  </r>
  <r>
    <n v="953"/>
    <n v="546"/>
    <n v="139337"/>
    <s v="OSCAR DEMETRIO URRACA"/>
    <s v="CAJAMARCA"/>
    <s v="SANTA CRUZ"/>
    <s v="YAUYUCAN"/>
    <s v="PUCHUDEN"/>
    <s v="PUCHUDEN"/>
    <s v="Rural"/>
    <n v="-6.6916640000000003"/>
    <n v="-78.858464999999995"/>
    <n v="30"/>
    <s v="SATELITAL"/>
    <s v="Norte"/>
    <x v="3"/>
    <n v="30"/>
    <n v="5"/>
    <n v="5"/>
    <n v="0.83333333333333337"/>
    <n v="5.833333333333333"/>
    <x v="0"/>
    <x v="0"/>
    <x v="0"/>
    <m/>
  </r>
  <r>
    <n v="954"/>
    <n v="547"/>
    <n v="256109"/>
    <s v="80689 DANIEL ALCIDES CARRION"/>
    <s v="LA LIBERTAD"/>
    <s v="ASCOPE"/>
    <s v="CHICAMA"/>
    <s v="PAMPAS DE JAGUEY"/>
    <s v="PAMPAS DE JAGUEY"/>
    <s v="Rural"/>
    <n v="-7.6604999999999999"/>
    <n v="-78.952299999999994"/>
    <n v="30"/>
    <s v="SATELITAL"/>
    <s v="Norte"/>
    <x v="3"/>
    <n v="30"/>
    <n v="5"/>
    <n v="5"/>
    <n v="0.83333333333333337"/>
    <n v="5.833333333333333"/>
    <x v="0"/>
    <x v="1"/>
    <x v="1"/>
    <m/>
  </r>
  <r>
    <n v="955"/>
    <n v="548"/>
    <n v="257043"/>
    <s v="80053 JOSE OLAYA BALANDRA"/>
    <s v="LA LIBERTAD"/>
    <s v="ASCOPE"/>
    <s v="PAIJAN"/>
    <s v="LA NUEVA ARENITA"/>
    <s v="CARRETERA PANAMERICANA KM. 620"/>
    <s v="Rural"/>
    <n v="-7.6880600000000001"/>
    <n v="-79.318100000000001"/>
    <n v="30"/>
    <s v="SATELITAL"/>
    <s v="Norte"/>
    <x v="3"/>
    <n v="30"/>
    <n v="5"/>
    <n v="5"/>
    <n v="0.83333333333333337"/>
    <n v="5.833333333333333"/>
    <x v="0"/>
    <x v="0"/>
    <x v="0"/>
    <m/>
  </r>
  <r>
    <n v="956"/>
    <n v="549"/>
    <n v="257750"/>
    <s v="80098 VIRGEN DE LAS MERCEDES"/>
    <s v="LA LIBERTAD"/>
    <s v="BOLIVAR"/>
    <s v="BOLIVAR"/>
    <s v="UNAMEN"/>
    <s v="CALLE BELLAVISTA S/N"/>
    <s v="Rural"/>
    <n v="-7.1210000000000004"/>
    <n v="-77.759900000000002"/>
    <n v="30"/>
    <s v="SATELITAL"/>
    <s v="Norte"/>
    <x v="3"/>
    <n v="30"/>
    <n v="5"/>
    <n v="5"/>
    <n v="0.83333333333333337"/>
    <n v="5.833333333333333"/>
    <x v="0"/>
    <x v="1"/>
    <x v="1"/>
    <m/>
  </r>
  <r>
    <n v="957"/>
    <n v="550"/>
    <n v="258189"/>
    <s v="80118 SAN JUAN BAUTISTA"/>
    <s v="LA LIBERTAD"/>
    <s v="BOLIVAR"/>
    <s v="CONDORMARCA"/>
    <s v="BUENOS AIRES"/>
    <s v="BUENOS AIRES"/>
    <s v="Rural"/>
    <n v="-7.531193"/>
    <n v="-77.592416999999998"/>
    <n v="30"/>
    <s v="SATELITAL"/>
    <s v="Norte"/>
    <x v="3"/>
    <n v="30"/>
    <n v="5"/>
    <n v="5"/>
    <n v="0.83333333333333337"/>
    <n v="5.833333333333333"/>
    <x v="0"/>
    <x v="1"/>
    <x v="1"/>
    <m/>
  </r>
  <r>
    <n v="958"/>
    <n v="551"/>
    <n v="258839"/>
    <s v="80391 ALFREDO NOVOA CAVA"/>
    <s v="LA LIBERTAD"/>
    <s v="CHEPEN"/>
    <s v="CHEPEN"/>
    <s v="CHEPEN"/>
    <s v="CALLE GUADALUPE 145"/>
    <s v="Urbana"/>
    <n v="-7.2323000000000004"/>
    <n v="-79.427000000000007"/>
    <n v="30"/>
    <s v="SATELITAL"/>
    <s v="Norte"/>
    <x v="3"/>
    <n v="30"/>
    <n v="5"/>
    <n v="5"/>
    <n v="0.83333333333333337"/>
    <n v="5.833333333333333"/>
    <x v="0"/>
    <x v="0"/>
    <x v="0"/>
    <m/>
  </r>
  <r>
    <n v="959"/>
    <n v="552"/>
    <n v="258976"/>
    <s v="81585"/>
    <s v="LA LIBERTAD"/>
    <s v="CHEPEN"/>
    <s v="CHEPEN"/>
    <s v="EL SALVADOR"/>
    <s v="10 DE MARZO"/>
    <s v="Rural"/>
    <n v="-7.1828000000000003"/>
    <n v="-79.413700000000006"/>
    <n v="30"/>
    <s v="SATELITAL"/>
    <s v="Norte"/>
    <x v="3"/>
    <n v="30"/>
    <n v="5"/>
    <n v="5"/>
    <n v="0.83333333333333337"/>
    <n v="5.833333333333333"/>
    <x v="0"/>
    <x v="0"/>
    <x v="0"/>
    <m/>
  </r>
  <r>
    <n v="960"/>
    <n v="553"/>
    <n v="258943"/>
    <s v="81560"/>
    <s v="LA LIBERTAD"/>
    <s v="CHEPEN"/>
    <s v="CHEPEN"/>
    <s v="HUABAL"/>
    <s v="AVENIDA SEÑOR DE LOS MILAGROS"/>
    <s v="Rural"/>
    <n v="-7.2908400000000002"/>
    <n v="-79.323089999999993"/>
    <n v="30"/>
    <s v="SATELITAL"/>
    <s v="Norte"/>
    <x v="3"/>
    <n v="30"/>
    <n v="5"/>
    <n v="5"/>
    <n v="0.83333333333333337"/>
    <n v="5.833333333333333"/>
    <x v="0"/>
    <x v="0"/>
    <x v="0"/>
    <m/>
  </r>
  <r>
    <n v="961"/>
    <n v="554"/>
    <n v="259061"/>
    <s v="7 DE JUNIO"/>
    <s v="LA LIBERTAD"/>
    <s v="CHEPEN"/>
    <s v="CHEPEN"/>
    <s v="PUENTE MAYTA"/>
    <s v="AVENIDA LAS AMERICAS S/N"/>
    <s v="Rural"/>
    <n v="-7.3027100000000003"/>
    <n v="-79.397000000000006"/>
    <n v="30"/>
    <s v="SATELITAL"/>
    <s v="Norte"/>
    <x v="3"/>
    <n v="30"/>
    <n v="5"/>
    <n v="5"/>
    <n v="0.83333333333333337"/>
    <n v="5.833333333333333"/>
    <x v="0"/>
    <x v="0"/>
    <x v="0"/>
    <m/>
  </r>
  <r>
    <n v="962"/>
    <n v="555"/>
    <n v="259023"/>
    <s v="81903"/>
    <s v="LA LIBERTAD"/>
    <s v="CHEPEN"/>
    <s v="CHEPEN"/>
    <s v="SANTA CECILIA"/>
    <s v="PANAMERICANA NORTE"/>
    <s v="Rural"/>
    <n v="-7.1916399999999996"/>
    <n v="-79.430599999999998"/>
    <n v="30"/>
    <s v="SATELITAL"/>
    <s v="Norte"/>
    <x v="3"/>
    <n v="30"/>
    <n v="5"/>
    <n v="5"/>
    <n v="0.83333333333333337"/>
    <n v="5.833333333333333"/>
    <x v="0"/>
    <x v="0"/>
    <x v="0"/>
    <m/>
  </r>
  <r>
    <n v="963"/>
    <n v="556"/>
    <n v="258957"/>
    <s v="81561 ANTONIO BUENO LUCANO"/>
    <s v="LA LIBERTAD"/>
    <s v="CHEPEN"/>
    <s v="CHEPEN"/>
    <s v="ZAPOTAL"/>
    <s v="CARRETERA CAJAMARCA KM-22"/>
    <s v="Rural"/>
    <n v="-7.2758000000000003"/>
    <n v="-79.297799999999995"/>
    <n v="30"/>
    <s v="SATELITAL"/>
    <s v="Norte"/>
    <x v="3"/>
    <n v="30"/>
    <n v="5"/>
    <n v="5"/>
    <n v="0.83333333333333337"/>
    <n v="5.833333333333333"/>
    <x v="0"/>
    <x v="0"/>
    <x v="0"/>
    <m/>
  </r>
  <r>
    <n v="964"/>
    <n v="557"/>
    <n v="663971"/>
    <s v="EL ALGARROBAL"/>
    <s v="LA LIBERTAD"/>
    <s v="CHEPEN"/>
    <s v="PACANGA"/>
    <s v="EL ALGARROBAL"/>
    <s v="AVENIDA PRINCIPAL S/N"/>
    <s v="Rural"/>
    <n v="-7.1758199999999999"/>
    <n v="-79.427289999999999"/>
    <n v="30"/>
    <s v="SATELITAL"/>
    <s v="Norte"/>
    <x v="3"/>
    <n v="30"/>
    <n v="5"/>
    <n v="5"/>
    <n v="0.83333333333333337"/>
    <n v="5.833333333333333"/>
    <x v="0"/>
    <x v="0"/>
    <x v="0"/>
    <m/>
  </r>
  <r>
    <n v="965"/>
    <n v="558"/>
    <n v="259443"/>
    <s v="80416 JAVIER HERAUD PEREZ"/>
    <s v="LA LIBERTAD"/>
    <s v="CHEPEN"/>
    <s v="PACANGA"/>
    <s v="HUACA BLANCA BAJA"/>
    <s v="AVENIDA PRINCIPAL"/>
    <s v="Rural"/>
    <n v="-7.1586970000000001"/>
    <n v="-79.382317999999998"/>
    <n v="30"/>
    <s v="SATELITAL"/>
    <s v="Norte"/>
    <x v="3"/>
    <n v="30"/>
    <n v="5"/>
    <n v="5"/>
    <n v="0.83333333333333337"/>
    <n v="5.833333333333333"/>
    <x v="0"/>
    <x v="0"/>
    <x v="0"/>
    <m/>
  </r>
  <r>
    <n v="966"/>
    <n v="559"/>
    <n v="615999"/>
    <s v="82170 JESUS DE NAZARET"/>
    <s v="LA LIBERTAD"/>
    <s v="CHEPEN"/>
    <s v="PACANGA"/>
    <s v="NUEVA JERUSALEN"/>
    <s v="CARRETERA PANAMERICANA NORTE KM. 723.6"/>
    <s v="Rural"/>
    <n v="-7.1113999999999997"/>
    <n v="-79.472200000000001"/>
    <n v="30"/>
    <s v="SATELITAL"/>
    <s v="Norte"/>
    <x v="3"/>
    <n v="30"/>
    <n v="5"/>
    <n v="5"/>
    <n v="0.83333333333333337"/>
    <n v="5.833333333333333"/>
    <x v="0"/>
    <x v="0"/>
    <x v="0"/>
    <m/>
  </r>
  <r>
    <n v="967"/>
    <n v="560"/>
    <n v="259730"/>
    <s v="81719"/>
    <s v="LA LIBERTAD"/>
    <s v="CHEPEN"/>
    <s v="PUEBLO NUEVO"/>
    <s v="CHARCAPE II"/>
    <s v="CHARCAPE II MZ J LOTE 1"/>
    <s v="Rural"/>
    <n v="-7.1924900000000003"/>
    <n v="-79.532780000000002"/>
    <n v="30"/>
    <s v="SATELITAL"/>
    <s v="Norte"/>
    <x v="3"/>
    <n v="30"/>
    <n v="5"/>
    <n v="5"/>
    <n v="0.83333333333333337"/>
    <n v="5.833333333333333"/>
    <x v="0"/>
    <x v="0"/>
    <x v="0"/>
    <m/>
  </r>
  <r>
    <n v="968"/>
    <n v="561"/>
    <n v="259693"/>
    <s v="81569"/>
    <s v="LA LIBERTAD"/>
    <s v="CHEPEN"/>
    <s v="PUEBLO NUEVO"/>
    <s v="EL MILAGRO"/>
    <s v="EL MILAGRO"/>
    <s v="Rural"/>
    <n v="-7.2034399999999996"/>
    <n v="-79.517390000000006"/>
    <n v="30"/>
    <s v="SATELITAL"/>
    <s v="Norte"/>
    <x v="3"/>
    <n v="30"/>
    <n v="5"/>
    <n v="5"/>
    <n v="0.83333333333333337"/>
    <n v="5.833333333333333"/>
    <x v="0"/>
    <x v="0"/>
    <x v="0"/>
    <m/>
  </r>
  <r>
    <n v="969"/>
    <n v="562"/>
    <n v="663966"/>
    <s v="LOS JARDINES"/>
    <s v="LA LIBERTAD"/>
    <s v="CHEPEN"/>
    <s v="PUEBLO NUEVO"/>
    <s v="LOS JARDINES"/>
    <s v="CALLE MIGUEL GRAU MZ Ñ LOTE 01"/>
    <s v="Rural"/>
    <n v="-7.2528699999999997"/>
    <n v="-79.498902999999999"/>
    <n v="30"/>
    <s v="SATELITAL"/>
    <s v="Norte"/>
    <x v="3"/>
    <n v="30"/>
    <n v="5"/>
    <n v="5"/>
    <n v="0.83333333333333337"/>
    <n v="5.833333333333333"/>
    <x v="0"/>
    <x v="0"/>
    <x v="0"/>
    <m/>
  </r>
  <r>
    <n v="970"/>
    <n v="563"/>
    <n v="260639"/>
    <s v="80729"/>
    <s v="LA LIBERTAD"/>
    <s v="JULCAN"/>
    <s v="CARABAMBA"/>
    <s v="CALCHUDAY"/>
    <s v="PARQUE CALCHUDAY"/>
    <s v="Rural"/>
    <n v="-8.1177050000000008"/>
    <n v="-78.635339000000002"/>
    <n v="30"/>
    <s v="SATELITAL"/>
    <s v="Norte"/>
    <x v="3"/>
    <n v="30"/>
    <n v="5"/>
    <n v="5"/>
    <n v="0.83333333333333337"/>
    <n v="5.833333333333333"/>
    <x v="0"/>
    <x v="1"/>
    <x v="1"/>
    <m/>
  </r>
  <r>
    <n v="971"/>
    <n v="564"/>
    <n v="262134"/>
    <s v="81720"/>
    <s v="LA LIBERTAD"/>
    <s v="OTUZCO"/>
    <s v="AGALLPAMPA"/>
    <s v="SANGALLPAMPA ALTA"/>
    <s v="SANGALLPAMPA ALTA S/N"/>
    <s v="Rural"/>
    <n v="-7.9307999999999996"/>
    <n v="-78.502700000000004"/>
    <n v="30"/>
    <s v="SATELITAL"/>
    <s v="Norte"/>
    <x v="3"/>
    <n v="30"/>
    <n v="5"/>
    <n v="5"/>
    <n v="0.83333333333333337"/>
    <n v="5.833333333333333"/>
    <x v="0"/>
    <x v="1"/>
    <x v="1"/>
    <m/>
  </r>
  <r>
    <n v="972"/>
    <n v="565"/>
    <n v="262761"/>
    <s v="80255"/>
    <s v="LA LIBERTAD"/>
    <s v="OTUZCO"/>
    <s v="MACHE"/>
    <s v="MACHE"/>
    <s v="CALLE LA SOLEDAD 304"/>
    <s v="Rural"/>
    <n v="-8.0318780000000007"/>
    <n v="-78.536181999999997"/>
    <n v="30"/>
    <s v="SATELITAL"/>
    <s v="Norte"/>
    <x v="3"/>
    <n v="30"/>
    <n v="5"/>
    <n v="5"/>
    <n v="0.83333333333333337"/>
    <n v="5.833333333333333"/>
    <x v="0"/>
    <x v="1"/>
    <x v="1"/>
    <m/>
  </r>
  <r>
    <n v="973"/>
    <n v="566"/>
    <n v="261257"/>
    <s v="80233"/>
    <s v="LA LIBERTAD"/>
    <s v="OTUZCO"/>
    <s v="OTUZCO"/>
    <s v="ALLACDAY"/>
    <s v="ALLACDAY S/N"/>
    <s v="Rural"/>
    <n v="-7.9293420000000001"/>
    <n v="-78.528319999999994"/>
    <n v="30"/>
    <s v="SATELITAL"/>
    <s v="Norte"/>
    <x v="3"/>
    <n v="30"/>
    <n v="5"/>
    <n v="5"/>
    <n v="0.83333333333333337"/>
    <n v="5.833333333333333"/>
    <x v="0"/>
    <x v="1"/>
    <x v="1"/>
    <m/>
  </r>
  <r>
    <n v="974"/>
    <n v="567"/>
    <n v="261064"/>
    <s v="80241 VICENTE LUIS VERA MIRANDA"/>
    <s v="LA LIBERTAD"/>
    <s v="OTUZCO"/>
    <s v="OTUZCO"/>
    <s v="SAMNE"/>
    <s v="SINGUIRUAL - SAMNE PARTE ALTA S/N"/>
    <s v="Rural"/>
    <n v="-7.9914199999999997"/>
    <n v="-78.681683000000007"/>
    <n v="30"/>
    <s v="SATELITAL"/>
    <s v="Norte"/>
    <x v="3"/>
    <n v="30"/>
    <n v="5"/>
    <n v="5"/>
    <n v="0.83333333333333337"/>
    <n v="5.833333333333333"/>
    <x v="0"/>
    <x v="1"/>
    <x v="1"/>
    <m/>
  </r>
  <r>
    <n v="975"/>
    <n v="568"/>
    <n v="263082"/>
    <s v="80343"/>
    <s v="LA LIBERTAD"/>
    <s v="OTUZCO"/>
    <s v="SALPO"/>
    <s v="COGON"/>
    <s v="COGON S/N"/>
    <s v="Rural"/>
    <n v="-8.0125200000000003"/>
    <n v="-78.608655999999996"/>
    <n v="30"/>
    <s v="SATELITAL"/>
    <s v="Norte"/>
    <x v="3"/>
    <n v="30"/>
    <n v="5"/>
    <n v="5"/>
    <n v="0.83333333333333337"/>
    <n v="5.833333333333333"/>
    <x v="0"/>
    <x v="1"/>
    <x v="1"/>
    <m/>
  </r>
  <r>
    <n v="976"/>
    <n v="569"/>
    <n v="263510"/>
    <s v="82046 JESUS ES MI GUIA"/>
    <s v="LA LIBERTAD"/>
    <s v="OTUZCO"/>
    <s v="SINSICAP"/>
    <s v="CALLUNCHAS"/>
    <s v="CALLUNCHAS"/>
    <s v="Rural"/>
    <n v="-7.8038999999999996"/>
    <n v="-78.714699999999993"/>
    <n v="30"/>
    <s v="SATELITAL"/>
    <s v="Norte"/>
    <x v="3"/>
    <n v="30"/>
    <n v="5"/>
    <n v="5"/>
    <n v="0.83333333333333337"/>
    <n v="5.833333333333333"/>
    <x v="0"/>
    <x v="1"/>
    <x v="1"/>
    <m/>
  </r>
  <r>
    <n v="977"/>
    <n v="570"/>
    <n v="263464"/>
    <s v="81644"/>
    <s v="LA LIBERTAD"/>
    <s v="OTUZCO"/>
    <s v="SINSICAP"/>
    <s v="CHUITE"/>
    <s v="CHUITE S/N"/>
    <s v="Rural"/>
    <n v="-7.8232999999999997"/>
    <n v="-78.707999999999998"/>
    <n v="30"/>
    <s v="SATELITAL"/>
    <s v="Norte"/>
    <x v="3"/>
    <n v="30"/>
    <n v="5"/>
    <n v="5"/>
    <n v="0.83333333333333337"/>
    <n v="5.833333333333333"/>
    <x v="0"/>
    <x v="1"/>
    <x v="1"/>
    <m/>
  </r>
  <r>
    <n v="978"/>
    <n v="571"/>
    <n v="263459"/>
    <s v="81629 CESAR A. VALLEJO MENDOZA"/>
    <s v="LA LIBERTAD"/>
    <s v="OTUZCO"/>
    <s v="SINSICAP"/>
    <s v="CUCHANGA"/>
    <s v="CUCHANGA"/>
    <s v="Rural"/>
    <n v="-7.8116000000000003"/>
    <n v="-78.728399999999993"/>
    <n v="30"/>
    <s v="SATELITAL"/>
    <s v="Norte"/>
    <x v="3"/>
    <n v="30"/>
    <n v="5"/>
    <n v="5"/>
    <n v="0.83333333333333337"/>
    <n v="5.833333333333333"/>
    <x v="0"/>
    <x v="1"/>
    <x v="1"/>
    <m/>
  </r>
  <r>
    <n v="979"/>
    <n v="572"/>
    <n v="263402"/>
    <s v="80271 PEDRO OSWALDO CERNA VALDIVIEZO"/>
    <s v="LA LIBERTAD"/>
    <s v="OTUZCO"/>
    <s v="SINSICAP"/>
    <s v="SINSICAP"/>
    <s v="PASAJE JOSE BALTA 225"/>
    <s v="Rural"/>
    <n v="-7.8514999999999997"/>
    <n v="-78.754900000000006"/>
    <n v="30"/>
    <s v="SATELITAL"/>
    <s v="Norte"/>
    <x v="3"/>
    <n v="30"/>
    <n v="5"/>
    <n v="5"/>
    <n v="0.83333333333333337"/>
    <n v="5.833333333333333"/>
    <x v="0"/>
    <x v="1"/>
    <x v="1"/>
    <m/>
  </r>
  <r>
    <n v="980"/>
    <n v="573"/>
    <n v="659040"/>
    <s v="82088"/>
    <s v="LA LIBERTAD"/>
    <s v="OTUZCO"/>
    <s v="SINSICAP"/>
    <s v="SINSICAP"/>
    <s v="CALUARA"/>
    <s v="Rural"/>
    <n v="-7.8552400000000002"/>
    <n v="-78.724220000000003"/>
    <n v="30"/>
    <s v="SATELITAL"/>
    <s v="Norte"/>
    <x v="3"/>
    <n v="30"/>
    <n v="5"/>
    <n v="5"/>
    <n v="0.83333333333333337"/>
    <n v="5.833333333333333"/>
    <x v="0"/>
    <x v="1"/>
    <x v="1"/>
    <m/>
  </r>
  <r>
    <n v="981"/>
    <n v="574"/>
    <n v="264312"/>
    <s v="82085"/>
    <s v="LA LIBERTAD"/>
    <s v="OTUZCO"/>
    <s v="USQUIL"/>
    <s v="ALFONSO UGARTE"/>
    <s v="AVENIDA ALFONSO UGARTE"/>
    <s v="Rural"/>
    <n v="-7.8783599999999998"/>
    <n v="-78.400694000000001"/>
    <n v="30"/>
    <s v="SATELITAL"/>
    <s v="Norte"/>
    <x v="3"/>
    <n v="30"/>
    <n v="5"/>
    <n v="5"/>
    <n v="0.83333333333333337"/>
    <n v="5.833333333333333"/>
    <x v="0"/>
    <x v="1"/>
    <x v="1"/>
    <m/>
  </r>
  <r>
    <n v="982"/>
    <n v="575"/>
    <n v="665357"/>
    <s v="82134"/>
    <s v="LA LIBERTAD"/>
    <s v="OTUZCO"/>
    <s v="USQUIL"/>
    <s v="CESAR VALLEJO"/>
    <s v="CALLE CESAR VALLEJO S/N"/>
    <s v="Rural"/>
    <n v="-7.8611899999999997"/>
    <n v="-78.437468999999993"/>
    <n v="30"/>
    <s v="SATELITAL"/>
    <s v="Norte"/>
    <x v="3"/>
    <n v="30"/>
    <n v="5"/>
    <n v="5"/>
    <n v="0.83333333333333337"/>
    <n v="5.833333333333333"/>
    <x v="0"/>
    <x v="1"/>
    <x v="1"/>
    <m/>
  </r>
  <r>
    <n v="983"/>
    <n v="576"/>
    <n v="264147"/>
    <s v="81633"/>
    <s v="LA LIBERTAD"/>
    <s v="OTUZCO"/>
    <s v="USQUIL"/>
    <s v="LOS ANDES"/>
    <s v="AVENIDA LOS ANDES"/>
    <s v="Rural"/>
    <n v="-7.9267200000000004"/>
    <n v="-78.372774000000007"/>
    <n v="30"/>
    <s v="SATELITAL"/>
    <s v="Norte"/>
    <x v="3"/>
    <n v="30"/>
    <n v="5"/>
    <n v="5"/>
    <n v="0.83333333333333337"/>
    <n v="5.833333333333333"/>
    <x v="0"/>
    <x v="1"/>
    <x v="1"/>
    <m/>
  </r>
  <r>
    <n v="984"/>
    <n v="577"/>
    <n v="263930"/>
    <s v="80708"/>
    <s v="LA LIBERTAD"/>
    <s v="OTUZCO"/>
    <s v="USQUIL"/>
    <s v="MIGUEL GRAU"/>
    <s v="MIGUEL GRAU S/N"/>
    <s v="Rural"/>
    <n v="-7.8547630000000002"/>
    <n v="-78.449279000000004"/>
    <n v="30"/>
    <s v="SATELITAL"/>
    <s v="Norte"/>
    <x v="3"/>
    <n v="30"/>
    <n v="5"/>
    <n v="5"/>
    <n v="0.83333333333333337"/>
    <n v="5.833333333333333"/>
    <x v="0"/>
    <x v="1"/>
    <x v="1"/>
    <m/>
  </r>
  <r>
    <n v="985"/>
    <n v="578"/>
    <n v="263949"/>
    <s v="80709 JAVIER HERAUD PEREZ"/>
    <s v="LA LIBERTAD"/>
    <s v="OTUZCO"/>
    <s v="USQUIL"/>
    <s v="MONCHACAP"/>
    <s v="MONCHACAP"/>
    <s v="Rural"/>
    <n v="-7.8691459999999998"/>
    <n v="-78.469773000000004"/>
    <n v="30"/>
    <s v="SATELITAL"/>
    <s v="Norte"/>
    <x v="3"/>
    <n v="30"/>
    <n v="5"/>
    <n v="5"/>
    <n v="0.83333333333333337"/>
    <n v="5.833333333333333"/>
    <x v="0"/>
    <x v="1"/>
    <x v="1"/>
    <m/>
  </r>
  <r>
    <n v="986"/>
    <n v="579"/>
    <n v="263831"/>
    <s v="80366"/>
    <s v="LA LIBERTAD"/>
    <s v="OTUZCO"/>
    <s v="USQUIL"/>
    <s v="RAYAMBALL"/>
    <s v="RAYAMBAL S/N"/>
    <s v="Rural"/>
    <n v="-7.878978"/>
    <n v="-78.340868"/>
    <n v="30"/>
    <s v="SATELITAL"/>
    <s v="Norte"/>
    <x v="3"/>
    <n v="30"/>
    <n v="5"/>
    <n v="5"/>
    <n v="0.83333333333333337"/>
    <n v="5.833333333333333"/>
    <x v="0"/>
    <x v="1"/>
    <x v="1"/>
    <m/>
  </r>
  <r>
    <n v="987"/>
    <n v="580"/>
    <n v="263727"/>
    <s v="80280"/>
    <s v="LA LIBERTAD"/>
    <s v="OTUZCO"/>
    <s v="USQUIL"/>
    <s v="SAHUACHIQUE"/>
    <s v="SAHUACHIQUE"/>
    <s v="Rural"/>
    <n v="-7.8481389999999998"/>
    <n v="-78.440021999999999"/>
    <n v="30"/>
    <s v="SATELITAL"/>
    <s v="Norte"/>
    <x v="3"/>
    <n v="30"/>
    <n v="5"/>
    <n v="5"/>
    <n v="0.83333333333333337"/>
    <n v="5.833333333333333"/>
    <x v="0"/>
    <x v="1"/>
    <x v="1"/>
    <m/>
  </r>
  <r>
    <n v="988"/>
    <n v="581"/>
    <n v="264307"/>
    <s v="82084"/>
    <s v="LA LIBERTAD"/>
    <s v="OTUZCO"/>
    <s v="USQUIL"/>
    <s v="SAN LUIS"/>
    <s v="SAN LUIS"/>
    <s v="Rural"/>
    <n v="-7.8649199999999997"/>
    <n v="-78.455420000000004"/>
    <n v="30"/>
    <s v="SATELITAL"/>
    <s v="Norte"/>
    <x v="3"/>
    <n v="30"/>
    <n v="5"/>
    <n v="5"/>
    <n v="0.83333333333333337"/>
    <n v="5.833333333333333"/>
    <x v="0"/>
    <x v="1"/>
    <x v="1"/>
    <m/>
  </r>
  <r>
    <n v="989"/>
    <n v="582"/>
    <n v="263652"/>
    <s v="80272 TEOFILO BENITES GIL"/>
    <s v="LA LIBERTAD"/>
    <s v="OTUZCO"/>
    <s v="USQUIL"/>
    <s v="USQUIL"/>
    <s v="CALLE TIERRA AZUL"/>
    <s v="Rural"/>
    <n v="-7.8172920000000001"/>
    <n v="-78.419245000000004"/>
    <n v="30"/>
    <s v="SATELITAL"/>
    <s v="Norte"/>
    <x v="3"/>
    <n v="30"/>
    <n v="5"/>
    <n v="5"/>
    <n v="0.83333333333333337"/>
    <n v="5.833333333333333"/>
    <x v="0"/>
    <x v="1"/>
    <x v="1"/>
    <m/>
  </r>
  <r>
    <n v="990"/>
    <n v="583"/>
    <n v="263591"/>
    <s v="80004"/>
    <s v="LA LIBERTAD"/>
    <s v="OTUZCO"/>
    <s v="USQUIL"/>
    <s v="ZULLANDAS"/>
    <s v="ZULLANDAS"/>
    <s v="Rural"/>
    <n v="-7.8999649999999999"/>
    <n v="-78.361532999999994"/>
    <n v="30"/>
    <s v="SATELITAL"/>
    <s v="Norte"/>
    <x v="3"/>
    <n v="30"/>
    <n v="5"/>
    <n v="5"/>
    <n v="0.83333333333333337"/>
    <n v="5.833333333333333"/>
    <x v="0"/>
    <x v="1"/>
    <x v="1"/>
    <m/>
  </r>
  <r>
    <n v="991"/>
    <n v="584"/>
    <n v="264977"/>
    <s v="81789 SAN CARLOS"/>
    <s v="LA LIBERTAD"/>
    <s v="PACASMAYO"/>
    <s v="GUADALUPE"/>
    <s v="CHAFAN GRANDE"/>
    <s v="CARRETERA CAJAMARCA KM. 11.5"/>
    <s v="Rural"/>
    <n v="-7.3140999999999998"/>
    <n v="-79.379400000000004"/>
    <n v="30"/>
    <s v="SATELITAL"/>
    <s v="Norte"/>
    <x v="3"/>
    <n v="30"/>
    <n v="5"/>
    <n v="5"/>
    <n v="0.83333333333333337"/>
    <n v="5.833333333333333"/>
    <x v="0"/>
    <x v="0"/>
    <x v="0"/>
    <m/>
  </r>
  <r>
    <n v="992"/>
    <n v="585"/>
    <n v="264901"/>
    <s v="81565 BENJAMIN H. KAUFFMAN"/>
    <s v="LA LIBERTAD"/>
    <s v="PACASMAYO"/>
    <s v="GUADALUPE"/>
    <s v="FACLO GRANDE"/>
    <s v="JIRON SEGUNDO MUÑOZ ZAMORA S/N"/>
    <s v="Rural"/>
    <n v="-7.3131000000000004"/>
    <n v="-79.512500000000003"/>
    <n v="30"/>
    <s v="SATELITAL"/>
    <s v="Norte"/>
    <x v="3"/>
    <n v="30"/>
    <n v="5"/>
    <n v="5"/>
    <n v="0.83333333333333337"/>
    <n v="5.833333333333333"/>
    <x v="0"/>
    <x v="0"/>
    <x v="0"/>
    <m/>
  </r>
  <r>
    <n v="993"/>
    <n v="586"/>
    <n v="548622"/>
    <s v="67 JESUS NAZARENO"/>
    <s v="LA LIBERTAD"/>
    <s v="PACASMAYO"/>
    <s v="GUADALUPE"/>
    <s v="GUADALUPE"/>
    <s v="CALLE FRANCISCO BOLOGNESI MZ G LOTE 1 Y 2"/>
    <s v="Urbana"/>
    <n v="-7.23874"/>
    <n v="-79.471260000000001"/>
    <n v="30"/>
    <s v="SATELITAL"/>
    <s v="Norte"/>
    <x v="3"/>
    <n v="30"/>
    <n v="5"/>
    <n v="5"/>
    <n v="0.83333333333333337"/>
    <n v="5.833333333333333"/>
    <x v="0"/>
    <x v="0"/>
    <x v="0"/>
    <m/>
  </r>
  <r>
    <n v="994"/>
    <n v="587"/>
    <n v="264915"/>
    <s v="81566"/>
    <s v="LA LIBERTAD"/>
    <s v="PACASMAYO"/>
    <s v="GUADALUPE"/>
    <s v="LA CALERA"/>
    <s v="AVENIDA JUAN VELASCO ALVARADO S/N"/>
    <s v="Rural"/>
    <n v="-7.2767799999999996"/>
    <n v="-79.453829999999996"/>
    <n v="30"/>
    <s v="SATELITAL"/>
    <s v="Norte"/>
    <x v="3"/>
    <n v="30"/>
    <n v="5"/>
    <n v="5"/>
    <n v="0.83333333333333337"/>
    <n v="5.833333333333333"/>
    <x v="0"/>
    <x v="0"/>
    <x v="0"/>
    <m/>
  </r>
  <r>
    <n v="995"/>
    <n v="588"/>
    <n v="264821"/>
    <s v="80397 HNOS ALBUJAR Y MANUEL GUARNIZ"/>
    <s v="LA LIBERTAD"/>
    <s v="PACASMAYO"/>
    <s v="GUADALUPE"/>
    <s v="SAN AGUSTIN"/>
    <s v="JIRON PROLONGACION UNION S/N"/>
    <s v="Urbana"/>
    <n v="-7.2386100000000004"/>
    <n v="-79.469189999999998"/>
    <n v="30"/>
    <s v="SATELITAL"/>
    <s v="Norte"/>
    <x v="3"/>
    <n v="30"/>
    <n v="5"/>
    <n v="5"/>
    <n v="0.83333333333333337"/>
    <n v="5.833333333333333"/>
    <x v="0"/>
    <x v="0"/>
    <x v="0"/>
    <m/>
  </r>
  <r>
    <n v="996"/>
    <n v="589"/>
    <n v="265038"/>
    <s v="89 ALBUJAR Y GUARNIZ"/>
    <s v="LA LIBERTAD"/>
    <s v="PACASMAYO"/>
    <s v="GUADALUPE"/>
    <s v="SAN AGUSTIN"/>
    <s v="AVENIDA INDOAMERICA 681"/>
    <s v="Urbana"/>
    <n v="-7.2370000000000001"/>
    <n v="-79.471999999999994"/>
    <n v="30"/>
    <s v="SATELITAL"/>
    <s v="Norte"/>
    <x v="3"/>
    <n v="30"/>
    <n v="5"/>
    <n v="5"/>
    <n v="0.83333333333333337"/>
    <n v="5.833333333333333"/>
    <x v="0"/>
    <x v="0"/>
    <x v="0"/>
    <m/>
  </r>
  <r>
    <n v="997"/>
    <n v="590"/>
    <n v="264944"/>
    <s v="81705"/>
    <s v="LA LIBERTAD"/>
    <s v="PACASMAYO"/>
    <s v="GUADALUPE"/>
    <s v="SEMAN"/>
    <s v="AVENIDA NUESTRA SEÑORA DE FATIMA S/N"/>
    <s v="Rural"/>
    <n v="-7.2145149999999996"/>
    <n v="-79.469556999999995"/>
    <n v="30"/>
    <s v="SATELITAL"/>
    <s v="Norte"/>
    <x v="3"/>
    <n v="30"/>
    <n v="5"/>
    <n v="5"/>
    <n v="0.83333333333333337"/>
    <n v="5.833333333333333"/>
    <x v="0"/>
    <x v="0"/>
    <x v="0"/>
    <m/>
  </r>
  <r>
    <n v="998"/>
    <n v="591"/>
    <n v="265222"/>
    <s v="81658"/>
    <s v="LA LIBERTAD"/>
    <s v="PACASMAYO"/>
    <s v="JEQUETEPEQUE"/>
    <s v="HUASCAR"/>
    <s v="AVENIDA DANIEL ALCIDES CARRION S/N"/>
    <s v="Rural"/>
    <n v="-7.3409269999999998"/>
    <n v="-79.516442999999995"/>
    <n v="30"/>
    <s v="SATELITAL"/>
    <s v="Norte"/>
    <x v="3"/>
    <n v="30"/>
    <n v="5"/>
    <n v="5"/>
    <n v="0.83333333333333337"/>
    <n v="5.833333333333333"/>
    <x v="0"/>
    <x v="0"/>
    <x v="0"/>
    <m/>
  </r>
  <r>
    <n v="999"/>
    <n v="592"/>
    <n v="265887"/>
    <s v="81570 SUSANA CORREA PALACIOS"/>
    <s v="LA LIBERTAD"/>
    <s v="PACASMAYO"/>
    <s v="SAN JOSE"/>
    <s v="CULTAMBO"/>
    <s v="AVENIDA JERUSALEN S/N"/>
    <s v="Rural"/>
    <n v="-7.3326000000000002"/>
    <n v="-79.429100000000005"/>
    <n v="30"/>
    <s v="SATELITAL"/>
    <s v="Norte"/>
    <x v="3"/>
    <n v="30"/>
    <n v="5"/>
    <n v="5"/>
    <n v="0.83333333333333337"/>
    <n v="5.833333333333333"/>
    <x v="0"/>
    <x v="0"/>
    <x v="0"/>
    <m/>
  </r>
  <r>
    <n v="1000"/>
    <n v="593"/>
    <n v="265948"/>
    <s v="EDGARDO MIGUEL ALARCON VERA"/>
    <s v="LA LIBERTAD"/>
    <s v="PACASMAYO"/>
    <s v="SAN JOSE"/>
    <s v="CULTAMBO"/>
    <s v="CALLE NUEVA JERUSALEN S/N"/>
    <s v="Rural"/>
    <n v="-7.3327900000000001"/>
    <n v="-79.429742000000005"/>
    <n v="30"/>
    <s v="SATELITAL"/>
    <s v="Norte"/>
    <x v="3"/>
    <n v="30"/>
    <n v="5"/>
    <n v="5"/>
    <n v="0.83333333333333337"/>
    <n v="5.833333333333333"/>
    <x v="0"/>
    <x v="0"/>
    <x v="0"/>
    <m/>
  </r>
  <r>
    <n v="1001"/>
    <n v="594"/>
    <n v="265905"/>
    <s v="81572 MICAELA BASTIDAS"/>
    <s v="LA LIBERTAD"/>
    <s v="PACASMAYO"/>
    <s v="SAN JOSE"/>
    <s v="NUEVA ESPERANZA"/>
    <s v="AVENIDA PROGRESO S/N"/>
    <s v="Rural"/>
    <n v="-7.3370620000000004"/>
    <n v="-79.399552"/>
    <n v="30"/>
    <s v="SATELITAL"/>
    <s v="Norte"/>
    <x v="3"/>
    <n v="30"/>
    <n v="5"/>
    <n v="5"/>
    <n v="0.83333333333333337"/>
    <n v="5.833333333333333"/>
    <x v="0"/>
    <x v="0"/>
    <x v="0"/>
    <m/>
  </r>
  <r>
    <n v="1002"/>
    <n v="595"/>
    <n v="265953"/>
    <s v="80669"/>
    <s v="LA LIBERTAD"/>
    <s v="PACASMAYO"/>
    <s v="SAN JOSE"/>
    <s v="PORTADA DE LA SIERRA"/>
    <s v="AVENIDA VIRGILIO PURIZAGA S/N"/>
    <s v="Rural"/>
    <n v="-7.3385999999999996"/>
    <n v="-79.386300000000006"/>
    <n v="30"/>
    <s v="SATELITAL"/>
    <s v="Norte"/>
    <x v="3"/>
    <n v="30"/>
    <n v="5"/>
    <n v="5"/>
    <n v="0.83333333333333337"/>
    <n v="5.833333333333333"/>
    <x v="0"/>
    <x v="0"/>
    <x v="0"/>
    <m/>
  </r>
  <r>
    <n v="1003"/>
    <n v="596"/>
    <n v="265830"/>
    <s v="80668 RAQUEL ABANTO CERDAN"/>
    <s v="LA LIBERTAD"/>
    <s v="PACASMAYO"/>
    <s v="SAN JOSE"/>
    <s v="SAN JOSE"/>
    <s v="AVENIDA MIGUEL GRAU 536"/>
    <s v="Urbana"/>
    <n v="-7.3491"/>
    <n v="-79.446899999999999"/>
    <n v="30"/>
    <s v="SATELITAL"/>
    <s v="Norte"/>
    <x v="3"/>
    <n v="30"/>
    <n v="5"/>
    <n v="5"/>
    <n v="0.83333333333333337"/>
    <n v="5.833333333333333"/>
    <x v="0"/>
    <x v="0"/>
    <x v="0"/>
    <m/>
  </r>
  <r>
    <n v="1004"/>
    <n v="597"/>
    <n v="264449"/>
    <s v="80378 VIRGEN DE FATIMA"/>
    <s v="LA LIBERTAD"/>
    <s v="PACASMAYO"/>
    <s v="SAN JOSE"/>
    <s v="SANTONTE"/>
    <s v="AVENIDA NELIDA LIZARZABURU DIAZ S/N"/>
    <s v="Rural"/>
    <n v="-7.3785999999999996"/>
    <n v="-79.435400000000001"/>
    <n v="30"/>
    <s v="SATELITAL"/>
    <s v="Norte"/>
    <x v="3"/>
    <n v="30"/>
    <n v="5"/>
    <n v="5"/>
    <n v="0.83333333333333337"/>
    <n v="5.833333333333333"/>
    <x v="0"/>
    <x v="0"/>
    <x v="0"/>
    <m/>
  </r>
  <r>
    <n v="1005"/>
    <n v="598"/>
    <n v="265892"/>
    <s v="81571"/>
    <s v="LA LIBERTAD"/>
    <s v="PACASMAYO"/>
    <s v="SAN JOSE"/>
    <s v="TECAPA"/>
    <s v="CALLE 21 DE ENERO 125"/>
    <s v="Rural"/>
    <n v="-7.3583999999999996"/>
    <n v="-79.421300000000002"/>
    <n v="30"/>
    <s v="SATELITAL"/>
    <s v="Norte"/>
    <x v="3"/>
    <n v="30"/>
    <n v="5"/>
    <n v="5"/>
    <n v="0.83333333333333337"/>
    <n v="5.833333333333333"/>
    <x v="0"/>
    <x v="0"/>
    <x v="0"/>
    <m/>
  </r>
  <r>
    <n v="1006"/>
    <n v="599"/>
    <n v="667484"/>
    <s v="TECAPA"/>
    <s v="LA LIBERTAD"/>
    <s v="PACASMAYO"/>
    <s v="SAN JOSE"/>
    <s v="TECAPA"/>
    <s v="AVENIDA 21 DE ENERO 75"/>
    <s v="Rural"/>
    <n v="-7.3586999999999998"/>
    <n v="-79.4221"/>
    <n v="30"/>
    <s v="SATELITAL"/>
    <s v="Norte"/>
    <x v="3"/>
    <n v="30"/>
    <n v="5"/>
    <n v="5"/>
    <n v="0.83333333333333337"/>
    <n v="5.833333333333333"/>
    <x v="0"/>
    <x v="0"/>
    <x v="0"/>
    <m/>
  </r>
  <r>
    <n v="1007"/>
    <n v="600"/>
    <n v="266740"/>
    <s v="80816"/>
    <s v="LA LIBERTAD"/>
    <s v="PATAZ"/>
    <s v="CHILLIA"/>
    <s v="LLUCHUBAMBA"/>
    <s v="LLUCHUCBAMBA"/>
    <s v="Rural"/>
    <n v="-8.1318560000000009"/>
    <n v="-77.579014000000001"/>
    <n v="30"/>
    <s v="SATELITAL"/>
    <s v="Norte"/>
    <x v="3"/>
    <n v="30"/>
    <n v="5"/>
    <n v="5"/>
    <n v="0.83333333333333337"/>
    <n v="5.833333333333333"/>
    <x v="0"/>
    <x v="1"/>
    <x v="1"/>
    <m/>
  </r>
  <r>
    <n v="1008"/>
    <n v="601"/>
    <n v="266919"/>
    <s v="80442 CESAR ABRAHAM VALLEJO MENDOZA"/>
    <s v="LA LIBERTAD"/>
    <s v="PATAZ"/>
    <s v="HUANCASPATA"/>
    <s v="LIBERTAD"/>
    <s v="CARRETERA A LIBERTAD S/N"/>
    <s v="Rural"/>
    <n v="-8.4876000000000005"/>
    <n v="-77.317099999999996"/>
    <n v="30"/>
    <s v="SATELITAL"/>
    <s v="Norte"/>
    <x v="3"/>
    <n v="30"/>
    <n v="5"/>
    <n v="5"/>
    <n v="0.83333333333333337"/>
    <n v="5.833333333333333"/>
    <x v="0"/>
    <x v="1"/>
    <x v="1"/>
    <m/>
  </r>
  <r>
    <n v="1009"/>
    <n v="602"/>
    <n v="266108"/>
    <s v="80466 RICARDO PALMA"/>
    <s v="LA LIBERTAD"/>
    <s v="PATAZ"/>
    <s v="TAYABAMBA"/>
    <s v="HUARICHACA"/>
    <s v="MARGEN DERECHA RIO CAJAS"/>
    <s v="Rural"/>
    <n v="-8.3260369999999995"/>
    <n v="-77.225853000000001"/>
    <n v="30"/>
    <s v="SATELITAL"/>
    <s v="Norte"/>
    <x v="3"/>
    <n v="30"/>
    <n v="5"/>
    <n v="5"/>
    <n v="0.83333333333333337"/>
    <n v="5.833333333333333"/>
    <x v="0"/>
    <x v="1"/>
    <x v="1"/>
    <m/>
  </r>
  <r>
    <n v="1010"/>
    <n v="603"/>
    <n v="268386"/>
    <s v="80736"/>
    <s v="LA LIBERTAD"/>
    <s v="PATAZ"/>
    <s v="URPAY"/>
    <s v="MACANIA"/>
    <s v="MACANIA - (FRENTE CAMPO DEPORTIVO)"/>
    <s v="Rural"/>
    <n v="-8.3432999999999993"/>
    <n v="-77.401200000000003"/>
    <n v="30"/>
    <s v="SATELITAL"/>
    <s v="Norte"/>
    <x v="3"/>
    <n v="30"/>
    <n v="5"/>
    <n v="5"/>
    <n v="0.83333333333333337"/>
    <n v="5.833333333333333"/>
    <x v="0"/>
    <x v="1"/>
    <x v="1"/>
    <m/>
  </r>
  <r>
    <n v="1011"/>
    <n v="604"/>
    <n v="270087"/>
    <s v="80967"/>
    <s v="LA LIBERTAD"/>
    <s v="SANCHEZ CARRION"/>
    <s v="CURGOS"/>
    <s v="CORRAL COLORADO"/>
    <s v="CORRAL COLORADO"/>
    <s v="Rural"/>
    <n v="-7.8433780000000004"/>
    <n v="-77.939908000000003"/>
    <n v="30"/>
    <s v="SATELITAL"/>
    <s v="Norte"/>
    <x v="3"/>
    <n v="30"/>
    <n v="5"/>
    <n v="5"/>
    <n v="0.83333333333333337"/>
    <n v="5.833333333333333"/>
    <x v="0"/>
    <x v="1"/>
    <x v="1"/>
    <m/>
  </r>
  <r>
    <n v="1012"/>
    <n v="605"/>
    <n v="270068"/>
    <s v="80263"/>
    <s v="LA LIBERTAD"/>
    <s v="SANCHEZ CARRION"/>
    <s v="CURGOS"/>
    <s v="QUEROBAL"/>
    <s v="QUEROBAL"/>
    <s v="Rural"/>
    <n v="-7.8362800000000004"/>
    <n v="-77.937927999999999"/>
    <n v="30"/>
    <s v="SATELITAL"/>
    <s v="Norte"/>
    <x v="3"/>
    <n v="30"/>
    <n v="5"/>
    <n v="5"/>
    <n v="0.83333333333333337"/>
    <n v="5.833333333333333"/>
    <x v="0"/>
    <x v="1"/>
    <x v="1"/>
    <m/>
  </r>
  <r>
    <n v="1013"/>
    <n v="606"/>
    <n v="268683"/>
    <s v="80133"/>
    <s v="LA LIBERTAD"/>
    <s v="SANCHEZ CARRION"/>
    <s v="HUAMACHUCO"/>
    <s v="CHOQUIZONGILLO"/>
    <s v="CHOQUIZONGUILLO S/N"/>
    <s v="Rural"/>
    <n v="-7.8373999999999997"/>
    <n v="-78.090100000000007"/>
    <n v="30"/>
    <s v="SATELITAL"/>
    <s v="Norte"/>
    <x v="3"/>
    <n v="30"/>
    <n v="5"/>
    <n v="5"/>
    <n v="0.83333333333333337"/>
    <n v="5.833333333333333"/>
    <x v="0"/>
    <x v="1"/>
    <x v="1"/>
    <m/>
  </r>
  <r>
    <n v="1014"/>
    <n v="607"/>
    <n v="268961"/>
    <s v="80925"/>
    <s v="LA LIBERTAD"/>
    <s v="SANCHEZ CARRION"/>
    <s v="HUAMACHUCO"/>
    <s v="EL CAPULI"/>
    <s v="EL CAPULI"/>
    <s v="Rural"/>
    <n v="-7.758286"/>
    <n v="-78.005779000000004"/>
    <n v="30"/>
    <s v="SATELITAL"/>
    <s v="Norte"/>
    <x v="3"/>
    <n v="30"/>
    <n v="5"/>
    <n v="5"/>
    <n v="0.83333333333333337"/>
    <n v="5.833333333333333"/>
    <x v="0"/>
    <x v="1"/>
    <x v="1"/>
    <m/>
  </r>
  <r>
    <n v="1015"/>
    <n v="608"/>
    <n v="268843"/>
    <s v="80163"/>
    <s v="LA LIBERTAD"/>
    <s v="SANCHEZ CARRION"/>
    <s v="HUAMACHUCO"/>
    <s v="LA ARENA"/>
    <s v="LA ARENA"/>
    <s v="Rural"/>
    <n v="-7.8884420000000004"/>
    <n v="-78.118668"/>
    <n v="30"/>
    <s v="SATELITAL"/>
    <s v="Norte"/>
    <x v="3"/>
    <n v="30"/>
    <n v="5"/>
    <n v="5"/>
    <n v="0.83333333333333337"/>
    <n v="5.833333333333333"/>
    <x v="0"/>
    <x v="1"/>
    <x v="1"/>
    <m/>
  </r>
  <r>
    <n v="1016"/>
    <n v="609"/>
    <n v="268782"/>
    <s v="80157"/>
    <s v="LA LIBERTAD"/>
    <s v="SANCHEZ CARRION"/>
    <s v="HUAMACHUCO"/>
    <s v="LA CONGA"/>
    <s v="LA CONGA"/>
    <s v="Rural"/>
    <n v="-7.7444829999999998"/>
    <n v="-77.992286000000007"/>
    <n v="30"/>
    <s v="SATELITAL"/>
    <s v="Norte"/>
    <x v="3"/>
    <n v="30"/>
    <n v="5"/>
    <n v="5"/>
    <n v="0.83333333333333337"/>
    <n v="5.833333333333333"/>
    <x v="0"/>
    <x v="1"/>
    <x v="1"/>
    <m/>
  </r>
  <r>
    <n v="1017"/>
    <n v="610"/>
    <n v="363977"/>
    <s v="80152"/>
    <s v="LA LIBERTAD"/>
    <s v="SANCHEZ CARRION"/>
    <s v="HUAMACHUCO"/>
    <s v="MARCOCHUGO"/>
    <s v="MARCOCHUGO"/>
    <s v="Rural"/>
    <n v="-7.7575000000000003"/>
    <n v="-78.016109999999998"/>
    <n v="30"/>
    <s v="SATELITAL"/>
    <s v="Norte"/>
    <x v="3"/>
    <n v="30"/>
    <n v="5"/>
    <n v="5"/>
    <n v="0.83333333333333337"/>
    <n v="5.833333333333333"/>
    <x v="0"/>
    <x v="1"/>
    <x v="1"/>
    <m/>
  </r>
  <r>
    <n v="1018"/>
    <n v="611"/>
    <n v="268800"/>
    <s v="80159"/>
    <s v="LA LIBERTAD"/>
    <s v="SANCHEZ CARRION"/>
    <s v="HUAMACHUCO"/>
    <s v="SAUSACOCHA"/>
    <s v="SAUSACOCHA"/>
    <s v="Rural"/>
    <n v="-7.803267"/>
    <n v="-77.984993000000003"/>
    <n v="30"/>
    <s v="SATELITAL"/>
    <s v="Norte"/>
    <x v="3"/>
    <n v="30"/>
    <n v="5"/>
    <n v="5"/>
    <n v="0.83333333333333337"/>
    <n v="5.833333333333333"/>
    <x v="0"/>
    <x v="1"/>
    <x v="1"/>
    <m/>
  </r>
  <r>
    <n v="1019"/>
    <n v="612"/>
    <n v="268701"/>
    <s v="80135"/>
    <s v="LA LIBERTAD"/>
    <s v="SANCHEZ CARRION"/>
    <s v="HUAMACHUCO"/>
    <s v="URPAY"/>
    <s v="URPAY S/N"/>
    <s v="Rural"/>
    <n v="-7.7901939999999996"/>
    <n v="-78.095438000000001"/>
    <n v="30"/>
    <s v="SATELITAL"/>
    <s v="Norte"/>
    <x v="3"/>
    <n v="30"/>
    <n v="5"/>
    <n v="5"/>
    <n v="0.83333333333333337"/>
    <n v="5.833333333333333"/>
    <x v="0"/>
    <x v="1"/>
    <x v="1"/>
    <m/>
  </r>
  <r>
    <n v="1020"/>
    <n v="613"/>
    <n v="270346"/>
    <s v="80893 NUESTRA SEÑORA DE LA CANDELARIA"/>
    <s v="LA LIBERTAD"/>
    <s v="SANCHEZ CARRION"/>
    <s v="MARCABAL"/>
    <s v="CHOROBAMBA"/>
    <s v="CHOROBAMBA"/>
    <s v="Rural"/>
    <n v="-7.7320599999999997"/>
    <n v="-78.043660000000003"/>
    <n v="30"/>
    <s v="SATELITAL"/>
    <s v="Norte"/>
    <x v="3"/>
    <n v="30"/>
    <n v="5"/>
    <n v="5"/>
    <n v="0.83333333333333337"/>
    <n v="5.833333333333333"/>
    <x v="0"/>
    <x v="1"/>
    <x v="1"/>
    <m/>
  </r>
  <r>
    <n v="1021"/>
    <n v="614"/>
    <n v="270228"/>
    <s v="80198"/>
    <s v="LA LIBERTAD"/>
    <s v="SANCHEZ CARRION"/>
    <s v="MARCABAL"/>
    <s v="HABAS HORCO"/>
    <s v="HABAS HORCO"/>
    <s v="Rural"/>
    <n v="-7.7140620000000002"/>
    <n v="-78.016784999999999"/>
    <n v="30"/>
    <s v="SATELITAL"/>
    <s v="Norte"/>
    <x v="3"/>
    <n v="30"/>
    <n v="5"/>
    <n v="5"/>
    <n v="0.83333333333333337"/>
    <n v="5.833333333333333"/>
    <x v="0"/>
    <x v="1"/>
    <x v="1"/>
    <m/>
  </r>
  <r>
    <n v="1022"/>
    <n v="615"/>
    <n v="270167"/>
    <s v="80143 TORIBIO RODRIGUEZ DE MENDOZA"/>
    <s v="LA LIBERTAD"/>
    <s v="SANCHEZ CARRION"/>
    <s v="MARCABAL"/>
    <s v="MARCABAL"/>
    <s v="CALLE DAMIAN NICOLAO S/N"/>
    <s v="Rural"/>
    <n v="-7.7060370000000002"/>
    <n v="-78.033371000000002"/>
    <n v="30"/>
    <s v="SATELITAL"/>
    <s v="Norte"/>
    <x v="3"/>
    <n v="30"/>
    <n v="5"/>
    <n v="5"/>
    <n v="0.83333333333333337"/>
    <n v="5.833333333333333"/>
    <x v="0"/>
    <x v="1"/>
    <x v="1"/>
    <m/>
  </r>
  <r>
    <n v="1023"/>
    <n v="616"/>
    <n v="270214"/>
    <s v="80197"/>
    <s v="LA LIBERTAD"/>
    <s v="SANCHEZ CARRION"/>
    <s v="MARCABAL"/>
    <s v="SAN MIGUEL"/>
    <s v="SAN MIGUEL"/>
    <s v="Rural"/>
    <n v="-7.6983990000000002"/>
    <n v="-78.019704000000004"/>
    <n v="30"/>
    <s v="SATELITAL"/>
    <s v="Norte"/>
    <x v="3"/>
    <n v="30"/>
    <n v="5"/>
    <n v="5"/>
    <n v="0.83333333333333337"/>
    <n v="5.833333333333333"/>
    <x v="0"/>
    <x v="1"/>
    <x v="1"/>
    <m/>
  </r>
  <r>
    <n v="1024"/>
    <n v="617"/>
    <n v="270394"/>
    <s v="80955"/>
    <s v="LA LIBERTAD"/>
    <s v="SANCHEZ CARRION"/>
    <s v="MARCABAL"/>
    <s v="SHAYAPUAYCO"/>
    <s v="SHAYAPUAICO"/>
    <s v="Rural"/>
    <n v="-7.7318220000000002"/>
    <n v="-77.968664000000004"/>
    <n v="30"/>
    <s v="SATELITAL"/>
    <s v="Norte"/>
    <x v="3"/>
    <n v="30"/>
    <n v="5"/>
    <n v="5"/>
    <n v="0.83333333333333337"/>
    <n v="5.833333333333333"/>
    <x v="0"/>
    <x v="1"/>
    <x v="1"/>
    <m/>
  </r>
  <r>
    <n v="1025"/>
    <n v="618"/>
    <n v="270327"/>
    <s v="80849"/>
    <s v="LA LIBERTAD"/>
    <s v="SANCHEZ CARRION"/>
    <s v="MARCABAL"/>
    <s v="TAYANGA"/>
    <s v="TAYANGA"/>
    <s v="Rural"/>
    <n v="-7.7123290000000004"/>
    <n v="-77.987641999999994"/>
    <n v="30"/>
    <s v="SATELITAL"/>
    <s v="Norte"/>
    <x v="3"/>
    <n v="30"/>
    <n v="5"/>
    <n v="5"/>
    <n v="0.83333333333333337"/>
    <n v="5.833333333333333"/>
    <x v="0"/>
    <x v="1"/>
    <x v="1"/>
    <m/>
  </r>
  <r>
    <n v="1026"/>
    <n v="619"/>
    <n v="270520"/>
    <s v="80203"/>
    <s v="LA LIBERTAD"/>
    <s v="SANCHEZ CARRION"/>
    <s v="SANAGORAN"/>
    <s v="CARACMACA"/>
    <s v="CARACMACA"/>
    <s v="Rural"/>
    <n v="-7.8185659999999997"/>
    <n v="-78.159715000000006"/>
    <n v="30"/>
    <s v="SATELITAL"/>
    <s v="Norte"/>
    <x v="3"/>
    <n v="30"/>
    <n v="5"/>
    <n v="5"/>
    <n v="0.83333333333333337"/>
    <n v="5.833333333333333"/>
    <x v="0"/>
    <x v="1"/>
    <x v="1"/>
    <m/>
  </r>
  <r>
    <n v="1027"/>
    <n v="620"/>
    <n v="272411"/>
    <s v="80535 SAN MARTIN DE PORRES"/>
    <s v="LA LIBERTAD"/>
    <s v="SANTIAGO DE CHUCO"/>
    <s v="CACHICADAN"/>
    <s v="CACHICADAN"/>
    <s v="JIRON RAYMONDI 240"/>
    <s v="Urbana"/>
    <n v="-8.0954979999999992"/>
    <n v="-78.152550000000005"/>
    <n v="30"/>
    <s v="SATELITAL"/>
    <s v="Norte"/>
    <x v="3"/>
    <n v="30"/>
    <n v="5"/>
    <n v="5"/>
    <n v="0.83333333333333337"/>
    <n v="5.833333333333333"/>
    <x v="0"/>
    <x v="1"/>
    <x v="1"/>
    <m/>
  </r>
  <r>
    <n v="1028"/>
    <n v="621"/>
    <n v="272519"/>
    <s v="ANDRES AVELINO CACERES"/>
    <s v="LA LIBERTAD"/>
    <s v="SANTIAGO DE CHUCO"/>
    <s v="CACHICADAN"/>
    <s v="CACHICADAN"/>
    <s v="JIRON RAYMONDI 245"/>
    <s v="Urbana"/>
    <n v="-8.0953029999999995"/>
    <n v="-78.152038000000005"/>
    <n v="30"/>
    <s v="SATELITAL"/>
    <s v="Norte"/>
    <x v="3"/>
    <n v="30"/>
    <n v="5"/>
    <n v="5"/>
    <n v="0.83333333333333337"/>
    <n v="5.833333333333333"/>
    <x v="0"/>
    <x v="1"/>
    <x v="1"/>
    <m/>
  </r>
  <r>
    <n v="1029"/>
    <n v="622"/>
    <n v="272661"/>
    <s v="80542 JORGE BASADRE GROHMANN"/>
    <s v="LA LIBERTAD"/>
    <s v="SANTIAGO DE CHUCO"/>
    <s v="MOLLEPATA"/>
    <s v="LA YEGUADA"/>
    <s v="EL MIRADOR - QUEBRADA PALOGON"/>
    <s v="Rural"/>
    <n v="-8.1727670000000003"/>
    <n v="-77.956532999999993"/>
    <n v="30"/>
    <s v="SATELITAL"/>
    <s v="Norte"/>
    <x v="3"/>
    <n v="30"/>
    <n v="5"/>
    <n v="5"/>
    <n v="0.83333333333333337"/>
    <n v="5.833333333333333"/>
    <x v="0"/>
    <x v="1"/>
    <x v="1"/>
    <m/>
  </r>
  <r>
    <n v="1030"/>
    <n v="623"/>
    <n v="273000"/>
    <s v="JOSE SANTOS CHOCANO"/>
    <s v="LA LIBERTAD"/>
    <s v="SANTIAGO DE CHUCO"/>
    <s v="QUIRUVILCA"/>
    <s v="SHOREY"/>
    <s v="SHOREY"/>
    <s v="Rural"/>
    <n v="-8.0127330000000008"/>
    <n v="-78.331881999999993"/>
    <n v="30"/>
    <s v="SATELITAL"/>
    <s v="Norte"/>
    <x v="3"/>
    <n v="30"/>
    <n v="5"/>
    <n v="5"/>
    <n v="0.83333333333333337"/>
    <n v="5.833333333333333"/>
    <x v="0"/>
    <x v="1"/>
    <x v="1"/>
    <m/>
  </r>
  <r>
    <n v="1031"/>
    <n v="624"/>
    <n v="272915"/>
    <s v="80904"/>
    <s v="LA LIBERTAD"/>
    <s v="SANTIAGO DE CHUCO"/>
    <s v="QUIRUVILCA"/>
    <s v="SHOREY CHICO"/>
    <s v="SHOREY CHICO"/>
    <s v="Rural"/>
    <n v="-8.0165400000000009"/>
    <n v="-78.335696999999996"/>
    <n v="30"/>
    <s v="SATELITAL"/>
    <s v="Norte"/>
    <x v="3"/>
    <n v="30"/>
    <n v="5"/>
    <n v="5"/>
    <n v="0.83333333333333337"/>
    <n v="5.833333333333333"/>
    <x v="0"/>
    <x v="1"/>
    <x v="1"/>
    <m/>
  </r>
  <r>
    <n v="1032"/>
    <n v="625"/>
    <n v="271483"/>
    <s v="80526"/>
    <s v="LA LIBERTAD"/>
    <s v="SANTIAGO DE CHUCO"/>
    <s v="SANTIAGO DE CHUCO"/>
    <s v="CONRA"/>
    <s v="CONRA"/>
    <s v="Rural"/>
    <n v="-8.1651000000000007"/>
    <n v="-78.195272000000003"/>
    <n v="30"/>
    <s v="SATELITAL"/>
    <s v="Norte"/>
    <x v="3"/>
    <n v="30"/>
    <n v="5"/>
    <n v="5"/>
    <n v="0.83333333333333337"/>
    <n v="5.833333333333333"/>
    <x v="0"/>
    <x v="1"/>
    <x v="1"/>
    <m/>
  </r>
  <r>
    <n v="1033"/>
    <n v="626"/>
    <n v="253460"/>
    <s v="80079 MIGUEL GRAU"/>
    <s v="LA LIBERTAD"/>
    <s v="TRUJILLO"/>
    <s v="HUANCHACO"/>
    <s v="HUANCHACO"/>
    <s v="AVENIDA SANTISIMA CRUZ S/N MZ O LOTE 25 ETAPA II"/>
    <s v="Urbana"/>
    <n v="-8.1054999999999993"/>
    <n v="-79.099500000000006"/>
    <n v="30"/>
    <s v="SATELITAL"/>
    <s v="Norte"/>
    <x v="3"/>
    <n v="30"/>
    <n v="5"/>
    <n v="5"/>
    <n v="0.83333333333333337"/>
    <n v="5.833333333333333"/>
    <x v="0"/>
    <x v="1"/>
    <x v="1"/>
    <m/>
  </r>
  <r>
    <n v="1034"/>
    <n v="627"/>
    <n v="253511"/>
    <s v="81758 TELMO HOYLE DE LOS RIOS"/>
    <s v="LA LIBERTAD"/>
    <s v="TRUJILLO"/>
    <s v="HUANCHACO"/>
    <s v="HUANCHACO"/>
    <s v="AVENIDA TAHUANTISUYO S/N MZ A LOTE 36"/>
    <s v="Urbana"/>
    <n v="-8.0684000000000005"/>
    <n v="-79.075950000000006"/>
    <n v="30"/>
    <s v="SATELITAL"/>
    <s v="Norte"/>
    <x v="3"/>
    <n v="30"/>
    <n v="5"/>
    <n v="5"/>
    <n v="0.83333333333333337"/>
    <n v="5.833333333333333"/>
    <x v="0"/>
    <x v="1"/>
    <x v="1"/>
    <m/>
  </r>
  <r>
    <n v="1035"/>
    <n v="628"/>
    <n v="253525"/>
    <s v="81764 LA CANTERA"/>
    <s v="LA LIBERTAD"/>
    <s v="TRUJILLO"/>
    <s v="HUANCHACO"/>
    <s v="HUANCHACO"/>
    <s v="CALLE SIN NOMBRE S/N MZ Ñ-14 LOTE 1"/>
    <s v="Urbana"/>
    <n v="-8.0526400000000002"/>
    <n v="-79.074510000000004"/>
    <n v="30"/>
    <s v="SATELITAL"/>
    <s v="Norte"/>
    <x v="3"/>
    <n v="30"/>
    <n v="5"/>
    <n v="5"/>
    <n v="0.83333333333333337"/>
    <n v="5.833333333333333"/>
    <x v="0"/>
    <x v="1"/>
    <x v="1"/>
    <m/>
  </r>
  <r>
    <n v="1036"/>
    <n v="629"/>
    <n v="254676"/>
    <s v="81604 JOSE WATANABE VARAS"/>
    <s v="LA LIBERTAD"/>
    <s v="TRUJILLO"/>
    <s v="LAREDO"/>
    <s v="JESUS MARIA"/>
    <s v="JESUS MARIA S/N"/>
    <s v="Rural"/>
    <n v="-8.04115"/>
    <n v="-78.838931000000002"/>
    <n v="30"/>
    <s v="SATELITAL"/>
    <s v="Norte"/>
    <x v="3"/>
    <n v="30"/>
    <n v="5"/>
    <n v="5"/>
    <n v="0.83333333333333337"/>
    <n v="5.833333333333333"/>
    <x v="0"/>
    <x v="1"/>
    <x v="1"/>
    <m/>
  </r>
  <r>
    <n v="1037"/>
    <n v="630"/>
    <n v="254619"/>
    <s v="80694 JESUS EL GRAN MAESTRO"/>
    <s v="LA LIBERTAD"/>
    <s v="TRUJILLO"/>
    <s v="LAREDO"/>
    <s v="MENOCUCHO"/>
    <s v="CARRETERA INTERIOR KM 26"/>
    <s v="Rural"/>
    <n v="-8.0230999999999995"/>
    <n v="-78.838200000000001"/>
    <n v="30"/>
    <s v="SATELITAL"/>
    <s v="Norte"/>
    <x v="3"/>
    <n v="30"/>
    <n v="5"/>
    <n v="5"/>
    <n v="0.83333333333333337"/>
    <n v="5.833333333333333"/>
    <x v="0"/>
    <x v="1"/>
    <x v="1"/>
    <m/>
  </r>
  <r>
    <n v="1038"/>
    <n v="631"/>
    <n v="275283"/>
    <s v="80638"/>
    <s v="LA LIBERTAD"/>
    <s v="VIRU"/>
    <s v="CHAO"/>
    <s v="EL PORVENIR"/>
    <s v="EL PORVENIR"/>
    <s v="Rural"/>
    <n v="-8.4893999999999998"/>
    <n v="-78.610600000000005"/>
    <n v="30"/>
    <s v="SATELITAL"/>
    <s v="Norte"/>
    <x v="3"/>
    <n v="30"/>
    <n v="5"/>
    <n v="5"/>
    <n v="0.83333333333333337"/>
    <n v="5.833333333333333"/>
    <x v="0"/>
    <x v="1"/>
    <x v="1"/>
    <m/>
  </r>
  <r>
    <n v="1039"/>
    <n v="632"/>
    <n v="275344"/>
    <s v="81750 CESAR VALLEJO MENDOZA"/>
    <s v="LA LIBERTAD"/>
    <s v="VIRU"/>
    <s v="CHAO"/>
    <s v="EL ROSARIO"/>
    <s v="EL ROSARIO S/N"/>
    <s v="Rural"/>
    <n v="-8.5790000000000006"/>
    <n v="-78.699399999999997"/>
    <n v="30"/>
    <s v="SATELITAL"/>
    <s v="Norte"/>
    <x v="3"/>
    <n v="30"/>
    <n v="5"/>
    <n v="5"/>
    <n v="0.83333333333333337"/>
    <n v="5.833333333333333"/>
    <x v="0"/>
    <x v="1"/>
    <x v="1"/>
    <m/>
  </r>
  <r>
    <n v="1040"/>
    <n v="633"/>
    <n v="223784"/>
    <s v="80832"/>
    <s v="LA LIBERTAD"/>
    <s v="VIRU"/>
    <s v="CHAO"/>
    <s v="LARAMIE"/>
    <s v="CARRETERA LARAMIE"/>
    <s v="Rural"/>
    <n v="-8.6021999999999998"/>
    <n v="-78.721599999999995"/>
    <n v="30"/>
    <s v="SATELITAL"/>
    <s v="Norte"/>
    <x v="3"/>
    <n v="30"/>
    <n v="5"/>
    <n v="5"/>
    <n v="0.83333333333333337"/>
    <n v="5.833333333333333"/>
    <x v="0"/>
    <x v="1"/>
    <x v="1"/>
    <m/>
  </r>
  <r>
    <n v="1041"/>
    <n v="634"/>
    <n v="275320"/>
    <s v="80875"/>
    <s v="LA LIBERTAD"/>
    <s v="VIRU"/>
    <s v="CHAO"/>
    <s v="MONTE GRANDE"/>
    <s v="MONTE GRANDE"/>
    <s v="Rural"/>
    <n v="-8.4778000000000002"/>
    <n v="-78.584400000000002"/>
    <n v="30"/>
    <s v="SATELITAL"/>
    <s v="Norte"/>
    <x v="3"/>
    <n v="30"/>
    <n v="5"/>
    <n v="5"/>
    <n v="0.83333333333333337"/>
    <n v="5.833333333333333"/>
    <x v="0"/>
    <x v="1"/>
    <x v="1"/>
    <m/>
  </r>
  <r>
    <n v="1042"/>
    <n v="635"/>
    <n v="275377"/>
    <s v="81772"/>
    <s v="LA LIBERTAD"/>
    <s v="VIRU"/>
    <s v="CHAO"/>
    <s v="SAN CARLOS"/>
    <s v="SAN CARLOS"/>
    <s v="Rural"/>
    <n v="-8.5096000000000007"/>
    <n v="-78.631500000000003"/>
    <n v="30"/>
    <s v="SATELITAL"/>
    <s v="Norte"/>
    <x v="3"/>
    <n v="30"/>
    <n v="5"/>
    <n v="5"/>
    <n v="0.83333333333333337"/>
    <n v="5.833333333333333"/>
    <x v="0"/>
    <x v="1"/>
    <x v="1"/>
    <m/>
  </r>
  <r>
    <n v="1043"/>
    <n v="636"/>
    <n v="274981"/>
    <s v="80757 LA CALERA"/>
    <s v="LA LIBERTAD"/>
    <s v="VIRU"/>
    <s v="VIRU"/>
    <s v="MAYASGO"/>
    <s v="MAYASGO"/>
    <s v="Rural"/>
    <n v="-8.2771340000000002"/>
    <n v="-78.733182999999997"/>
    <n v="30"/>
    <s v="SATELITAL"/>
    <s v="Norte"/>
    <x v="3"/>
    <n v="30"/>
    <n v="5"/>
    <n v="5"/>
    <n v="0.83333333333333337"/>
    <n v="5.833333333333333"/>
    <x v="0"/>
    <x v="1"/>
    <x v="1"/>
    <m/>
  </r>
  <r>
    <n v="1044"/>
    <n v="637"/>
    <n v="275018"/>
    <s v="81590"/>
    <s v="LA LIBERTAD"/>
    <s v="VIRU"/>
    <s v="VIRU"/>
    <s v="SAN ILDEFONSO"/>
    <s v="SAN IDELFONSO"/>
    <s v="Rural"/>
    <n v="-8.4013000000000009"/>
    <n v="-78.779899999999998"/>
    <n v="30"/>
    <s v="SATELITAL"/>
    <s v="Norte"/>
    <x v="3"/>
    <n v="30"/>
    <n v="5"/>
    <n v="5"/>
    <n v="0.83333333333333337"/>
    <n v="5.833333333333333"/>
    <x v="0"/>
    <x v="1"/>
    <x v="1"/>
    <m/>
  </r>
  <r>
    <n v="1045"/>
    <n v="638"/>
    <n v="274877"/>
    <s v="80075"/>
    <s v="LA LIBERTAD"/>
    <s v="VIRU"/>
    <s v="VIRU"/>
    <s v="SANTA ELENA"/>
    <s v="CARRETERA SANTA ELENA S/N"/>
    <s v="Rural"/>
    <n v="-8.4275369999999992"/>
    <n v="-78.835759999999993"/>
    <n v="30"/>
    <s v="SATELITAL"/>
    <s v="Norte"/>
    <x v="3"/>
    <n v="30"/>
    <n v="5"/>
    <n v="5"/>
    <n v="0.83333333333333337"/>
    <n v="5.833333333333333"/>
    <x v="0"/>
    <x v="1"/>
    <x v="1"/>
    <m/>
  </r>
  <r>
    <n v="1046"/>
    <n v="639"/>
    <n v="274924"/>
    <s v="1724 || 80634"/>
    <s v="LA LIBERTAD"/>
    <s v="VIRU"/>
    <s v="VIRU"/>
    <s v="ZARAQUE"/>
    <s v="ZARAQUE"/>
    <s v="Rural"/>
    <n v="-8.3877000000000006"/>
    <n v="-78.725099999999998"/>
    <n v="30"/>
    <s v="SATELITAL"/>
    <s v="Norte"/>
    <x v="3"/>
    <n v="30"/>
    <n v="5"/>
    <n v="5"/>
    <n v="0.83333333333333337"/>
    <n v="5.833333333333333"/>
    <x v="0"/>
    <x v="1"/>
    <x v="1"/>
    <m/>
  </r>
  <r>
    <n v="1047"/>
    <n v="640"/>
    <n v="281934"/>
    <s v="10068"/>
    <s v="LAMBAYEQUE"/>
    <s v="FERREÑAFE"/>
    <s v="CAÑARIS"/>
    <s v="HUACAPAMPA"/>
    <s v="HUACAPAMPA"/>
    <s v="Rural"/>
    <n v="-6.1036700000000002"/>
    <n v="-79.179091"/>
    <n v="30"/>
    <s v="SATELITAL"/>
    <s v="Norte"/>
    <x v="3"/>
    <n v="30"/>
    <n v="5"/>
    <n v="5"/>
    <n v="0.83333333333333337"/>
    <n v="5.833333333333333"/>
    <x v="0"/>
    <x v="0"/>
    <x v="0"/>
    <m/>
  </r>
  <r>
    <n v="1048"/>
    <n v="641"/>
    <n v="282212"/>
    <s v="10776 JUAN VELASCO ALVARADO"/>
    <s v="LAMBAYEQUE"/>
    <s v="FERREÑAFE"/>
    <s v="CAÑARIS"/>
    <s v="HUAYABAMBA"/>
    <s v="CARRETERA HUAYABAMBA"/>
    <s v="Rural"/>
    <n v="-6.0550449999999998"/>
    <n v="-79.399919999999995"/>
    <n v="30"/>
    <s v="SATELITAL"/>
    <s v="Norte"/>
    <x v="3"/>
    <n v="30"/>
    <n v="5"/>
    <n v="5"/>
    <n v="0.83333333333333337"/>
    <n v="5.833333333333333"/>
    <x v="0"/>
    <x v="0"/>
    <x v="0"/>
    <m/>
  </r>
  <r>
    <n v="1049"/>
    <n v="642"/>
    <n v="282250"/>
    <s v="10876"/>
    <s v="LAMBAYEQUE"/>
    <s v="FERREÑAFE"/>
    <s v="CAÑARIS"/>
    <s v="TOTORAS PAMPA VERDE"/>
    <s v="CARRETERA TOTORAS - PAMPAVERDE"/>
    <s v="Rural"/>
    <n v="-6.0934419999999996"/>
    <n v="-79.396315999999999"/>
    <n v="30"/>
    <s v="SATELITAL"/>
    <s v="Norte"/>
    <x v="3"/>
    <n v="30"/>
    <n v="5"/>
    <n v="5"/>
    <n v="0.83333333333333337"/>
    <n v="5.833333333333333"/>
    <x v="0"/>
    <x v="0"/>
    <x v="0"/>
    <m/>
  </r>
  <r>
    <n v="1050"/>
    <n v="643"/>
    <n v="284372"/>
    <s v="VICTOR MONTERO KOSSUTH"/>
    <s v="LAMBAYEQUE"/>
    <s v="LAMBAYEQUE"/>
    <s v="JAYANCA"/>
    <s v="LA VIÑA"/>
    <s v="CALLE ENRIQUE BRUNING 205"/>
    <s v="Rural"/>
    <n v="-6.3724119999999997"/>
    <n v="-79.765007999999995"/>
    <n v="30"/>
    <s v="SATELITAL"/>
    <s v="Norte"/>
    <x v="3"/>
    <n v="30"/>
    <n v="5"/>
    <n v="5"/>
    <n v="0.83333333333333337"/>
    <n v="5.833333333333333"/>
    <x v="0"/>
    <x v="0"/>
    <x v="0"/>
    <m/>
  </r>
  <r>
    <n v="1051"/>
    <n v="644"/>
    <n v="284452"/>
    <s v="10132 JESUS DIVINO MAESTRO"/>
    <s v="LAMBAYEQUE"/>
    <s v="LAMBAYEQUE"/>
    <s v="MOCHUMI"/>
    <s v="MOCHUMI"/>
    <s v="AVENIDA FEDERICO VILLARREAL 135"/>
    <s v="Urbana"/>
    <n v="-6.5487000000000002"/>
    <n v="-79.864000000000004"/>
    <n v="30"/>
    <s v="SATELITAL"/>
    <s v="Norte"/>
    <x v="3"/>
    <n v="30"/>
    <n v="5"/>
    <n v="5"/>
    <n v="0.83333333333333337"/>
    <n v="5.833333333333333"/>
    <x v="0"/>
    <x v="0"/>
    <x v="0"/>
    <m/>
  </r>
  <r>
    <n v="1052"/>
    <n v="645"/>
    <n v="284678"/>
    <s v="11210"/>
    <s v="LAMBAYEQUE"/>
    <s v="LAMBAYEQUE"/>
    <s v="MOCHUMI"/>
    <s v="PUNTO UNO"/>
    <s v="PUNTO UNO"/>
    <s v="Rural"/>
    <n v="-6.5719820000000002"/>
    <n v="-79.871504000000002"/>
    <n v="30"/>
    <s v="SATELITAL"/>
    <s v="Norte"/>
    <x v="3"/>
    <n v="30"/>
    <n v="5"/>
    <n v="5"/>
    <n v="0.83333333333333337"/>
    <n v="5.833333333333333"/>
    <x v="0"/>
    <x v="0"/>
    <x v="0"/>
    <m/>
  </r>
  <r>
    <n v="1053"/>
    <n v="646"/>
    <n v="284777"/>
    <s v="10163 JORGE BASADRE GROHMANN"/>
    <s v="LAMBAYEQUE"/>
    <s v="LAMBAYEQUE"/>
    <s v="MORROPE"/>
    <s v="LAGUNAS"/>
    <s v="LAGUNAS"/>
    <s v="Urbana"/>
    <n v="-6.5223000000000004"/>
    <n v="-79.945300000000003"/>
    <n v="30"/>
    <s v="SATELITAL"/>
    <s v="Norte"/>
    <x v="3"/>
    <n v="30"/>
    <n v="5"/>
    <n v="5"/>
    <n v="0.83333333333333337"/>
    <n v="5.833333333333333"/>
    <x v="0"/>
    <x v="0"/>
    <x v="0"/>
    <m/>
  </r>
  <r>
    <n v="1054"/>
    <n v="647"/>
    <n v="285263"/>
    <s v="10142 SAN JULIAN"/>
    <s v="LAMBAYEQUE"/>
    <s v="LAMBAYEQUE"/>
    <s v="MOTUPE"/>
    <s v="MOTUPE"/>
    <s v="CARRETERA PANAMERICANA NORTE 350"/>
    <s v="Urbana"/>
    <n v="-6.1494989999999996"/>
    <n v="-79.713273999999998"/>
    <n v="30"/>
    <s v="SATELITAL"/>
    <s v="Norte"/>
    <x v="3"/>
    <n v="30"/>
    <n v="5"/>
    <n v="5"/>
    <n v="0.83333333333333337"/>
    <n v="5.833333333333333"/>
    <x v="0"/>
    <x v="0"/>
    <x v="0"/>
    <m/>
  </r>
  <r>
    <n v="1055"/>
    <n v="648"/>
    <n v="285885"/>
    <s v="10194"/>
    <s v="LAMBAYEQUE"/>
    <s v="LAMBAYEQUE"/>
    <s v="OLMOS"/>
    <s v="FILOQUE CHICO"/>
    <s v="FILOQUE"/>
    <s v="Rural"/>
    <n v="-5.9489999999999998"/>
    <n v="-79.761799999999994"/>
    <n v="30"/>
    <s v="SATELITAL"/>
    <s v="Norte"/>
    <x v="3"/>
    <n v="30"/>
    <n v="5"/>
    <n v="5"/>
    <n v="0.83333333333333337"/>
    <n v="5.833333333333333"/>
    <x v="0"/>
    <x v="0"/>
    <x v="0"/>
    <m/>
  </r>
  <r>
    <n v="1056"/>
    <n v="649"/>
    <n v="706273"/>
    <s v="11608 SEÑOR CAUTIVO DE AYABACA"/>
    <s v="LAMBAYEQUE"/>
    <s v="LAMBAYEQUE"/>
    <s v="OLMOS"/>
    <s v="LOS SANCHEZ"/>
    <s v="ANEXO LOS SANCHEZ"/>
    <s v="Rural"/>
    <n v="-5.9619949999999999"/>
    <n v="-80.278118000000006"/>
    <n v="30"/>
    <s v="SATELITAL"/>
    <s v="Norte"/>
    <x v="3"/>
    <n v="30"/>
    <n v="5"/>
    <n v="5"/>
    <n v="0.83333333333333337"/>
    <n v="5.833333333333333"/>
    <x v="0"/>
    <x v="0"/>
    <x v="0"/>
    <m/>
  </r>
  <r>
    <n v="1057"/>
    <n v="650"/>
    <n v="9468"/>
    <s v="11583"/>
    <s v="LAMBAYEQUE"/>
    <s v="LAMBAYEQUE"/>
    <s v="OLMOS"/>
    <s v="MI SALVADOR"/>
    <s v="MI SALVADOR S/N"/>
    <s v="Rural"/>
    <n v="-5.9184580000000002"/>
    <n v="-80.185233999999994"/>
    <n v="30"/>
    <s v="SATELITAL"/>
    <s v="Norte"/>
    <x v="3"/>
    <n v="30"/>
    <n v="5"/>
    <n v="5"/>
    <n v="0.83333333333333337"/>
    <n v="5.833333333333333"/>
    <x v="0"/>
    <x v="0"/>
    <x v="0"/>
    <m/>
  </r>
  <r>
    <n v="1058"/>
    <n v="651"/>
    <n v="286762"/>
    <s v="10204"/>
    <s v="LAMBAYEQUE"/>
    <s v="LAMBAYEQUE"/>
    <s v="PACORA"/>
    <s v="HUACA RIVERA"/>
    <s v="HUACA RIVERA"/>
    <s v="Rural"/>
    <n v="-6.4502059999999997"/>
    <n v="-79.825348000000005"/>
    <n v="30"/>
    <s v="SATELITAL"/>
    <s v="Norte"/>
    <x v="3"/>
    <n v="30"/>
    <n v="5"/>
    <n v="5"/>
    <n v="0.83333333333333337"/>
    <n v="5.833333333333333"/>
    <x v="0"/>
    <x v="0"/>
    <x v="0"/>
    <m/>
  </r>
  <r>
    <n v="1059"/>
    <n v="652"/>
    <n v="286875"/>
    <s v="11139"/>
    <s v="LAMBAYEQUE"/>
    <s v="LAMBAYEQUE"/>
    <s v="PACORA"/>
    <s v="LOS BANCOS"/>
    <s v="LOS BANCES"/>
    <s v="Rural"/>
    <n v="-6.4325539999999997"/>
    <n v="-79.871837999999997"/>
    <n v="30"/>
    <s v="SATELITAL"/>
    <s v="Norte"/>
    <x v="3"/>
    <n v="30"/>
    <n v="5"/>
    <n v="5"/>
    <n v="0.83333333333333337"/>
    <n v="5.833333333333333"/>
    <x v="0"/>
    <x v="0"/>
    <x v="0"/>
    <m/>
  </r>
  <r>
    <n v="1060"/>
    <n v="653"/>
    <n v="285475"/>
    <s v="11040 VALENTIN DEMETRIO PANIAGUA CORAZAO"/>
    <s v="LAMBAYEQUE"/>
    <s v="LAMBAYEQUE"/>
    <s v="SALAS"/>
    <s v="LAGUNA HUANAMA"/>
    <s v="LAGUNAS HUANAMA"/>
    <s v="Rural"/>
    <n v="-6.0352329999999998"/>
    <n v="-79.480823000000001"/>
    <n v="30"/>
    <s v="SATELITAL"/>
    <s v="Norte"/>
    <x v="3"/>
    <n v="30"/>
    <n v="5"/>
    <n v="5"/>
    <n v="0.83333333333333337"/>
    <n v="5.833333333333333"/>
    <x v="0"/>
    <x v="0"/>
    <x v="0"/>
    <m/>
  </r>
  <r>
    <n v="1061"/>
    <n v="654"/>
    <n v="287101"/>
    <s v="10219"/>
    <s v="LAMBAYEQUE"/>
    <s v="LAMBAYEQUE"/>
    <s v="SALAS"/>
    <s v="MIRAFLORES"/>
    <s v="MIRAFLORES"/>
    <s v="Rural"/>
    <n v="-6.1763950000000003"/>
    <n v="-79.515225999999998"/>
    <n v="30"/>
    <s v="SATELITAL"/>
    <s v="Norte"/>
    <x v="3"/>
    <n v="30"/>
    <n v="5"/>
    <n v="5"/>
    <n v="0.83333333333333337"/>
    <n v="5.833333333333333"/>
    <x v="0"/>
    <x v="0"/>
    <x v="0"/>
    <m/>
  </r>
  <r>
    <n v="1062"/>
    <n v="655"/>
    <n v="518564"/>
    <s v="SAN PEDRO"/>
    <s v="LAMBAYEQUE"/>
    <s v="LAMBAYEQUE"/>
    <s v="SAN JOSE"/>
    <s v="SAN JOSE"/>
    <s v="CARRETERA A SAN JOSE KM 10"/>
    <s v="Urbana"/>
    <n v="-6.7672720000000002"/>
    <n v="-79.961374000000006"/>
    <n v="30"/>
    <s v="SATELITAL"/>
    <s v="Norte"/>
    <x v="3"/>
    <n v="30"/>
    <n v="5"/>
    <n v="5"/>
    <n v="0.83333333333333337"/>
    <n v="5.833333333333333"/>
    <x v="0"/>
    <x v="0"/>
    <x v="0"/>
    <m/>
  </r>
  <r>
    <n v="1063"/>
    <n v="656"/>
    <n v="417485"/>
    <s v="14149 NUESTRA SEÑORA DEL PILAR"/>
    <s v="PIURA"/>
    <s v="AYABACA"/>
    <s v="AYABACA"/>
    <s v="AYABACA"/>
    <s v="CALLE BOLIVAR 100"/>
    <s v="Urbana"/>
    <n v="-4.6352039999999999"/>
    <n v="-79.715185000000005"/>
    <n v="30"/>
    <s v="SATELITAL"/>
    <s v="Norte"/>
    <x v="3"/>
    <n v="30"/>
    <n v="5"/>
    <n v="5"/>
    <n v="0.83333333333333337"/>
    <n v="5.833333333333333"/>
    <x v="0"/>
    <x v="2"/>
    <x v="2"/>
    <m/>
  </r>
  <r>
    <n v="1064"/>
    <n v="657"/>
    <n v="417683"/>
    <s v="AYABACA"/>
    <s v="PIURA"/>
    <s v="AYABACA"/>
    <s v="AYABACA"/>
    <s v="AYABACA"/>
    <s v="CARRETERA EX QUINTA RIOS S/N"/>
    <s v="Urbana"/>
    <n v="-4.6434829999999998"/>
    <n v="-79.714718000000005"/>
    <n v="30"/>
    <s v="SATELITAL"/>
    <s v="Norte"/>
    <x v="3"/>
    <n v="30"/>
    <n v="5"/>
    <n v="5"/>
    <n v="0.83333333333333337"/>
    <n v="5.833333333333333"/>
    <x v="0"/>
    <x v="2"/>
    <x v="2"/>
    <m/>
  </r>
  <r>
    <n v="1065"/>
    <n v="658"/>
    <n v="418277"/>
    <s v="15019 HILDEBRANDO CASTRO POZO"/>
    <s v="PIURA"/>
    <s v="AYABACA"/>
    <s v="AYABACA"/>
    <s v="AYABACA"/>
    <s v="MANUEL FRANCISCO RENTERIA"/>
    <s v="Urbana"/>
    <n v="-4.6362050000000004"/>
    <n v="-79.715320000000006"/>
    <n v="30"/>
    <s v="SATELITAL"/>
    <s v="Norte"/>
    <x v="3"/>
    <n v="30"/>
    <n v="5"/>
    <n v="5"/>
    <n v="0.83333333333333337"/>
    <n v="5.833333333333333"/>
    <x v="0"/>
    <x v="2"/>
    <x v="2"/>
    <m/>
  </r>
  <r>
    <n v="1066"/>
    <n v="659"/>
    <n v="418970"/>
    <s v="SEÑOR CAUTIVO"/>
    <s v="PIURA"/>
    <s v="AYABACA"/>
    <s v="AYABACA"/>
    <s v="AYABACA"/>
    <s v="CALLE LEONCIO PRADO S/N"/>
    <s v="Urbana"/>
    <n v="-4.6374779999999998"/>
    <n v="-79.714460000000003"/>
    <n v="30"/>
    <s v="SATELITAL"/>
    <s v="Norte"/>
    <x v="3"/>
    <n v="30"/>
    <n v="5"/>
    <n v="5"/>
    <n v="0.83333333333333337"/>
    <n v="5.833333333333333"/>
    <x v="0"/>
    <x v="2"/>
    <x v="2"/>
    <m/>
  </r>
  <r>
    <n v="1067"/>
    <n v="660"/>
    <n v="780362"/>
    <s v="CALVAS DE SAMANGA"/>
    <s v="PIURA"/>
    <s v="AYABACA"/>
    <s v="AYABACA"/>
    <s v="CALVAS DE SAMANGA"/>
    <s v="CALVAS DE SAMANGA"/>
    <s v="Rural"/>
    <n v="-4.5541140000000002"/>
    <n v="-79.523846000000006"/>
    <n v="30"/>
    <s v="SATELITAL"/>
    <s v="Norte"/>
    <x v="3"/>
    <n v="30"/>
    <n v="5"/>
    <n v="5"/>
    <n v="0.83333333333333337"/>
    <n v="5.833333333333333"/>
    <x v="0"/>
    <x v="2"/>
    <x v="2"/>
    <m/>
  </r>
  <r>
    <n v="1068"/>
    <n v="661"/>
    <n v="418550"/>
    <s v="15136 || REMBERTO DE JESUS PARDO OCHOA"/>
    <s v="PIURA"/>
    <s v="AYABACA"/>
    <s v="AYABACA"/>
    <s v="ESPINDOLA"/>
    <s v="ESPINDOLA"/>
    <s v="Rural"/>
    <n v="-4.6491400000000001"/>
    <n v="-79.47784"/>
    <n v="30"/>
    <s v="SATELITAL"/>
    <s v="Norte"/>
    <x v="3"/>
    <n v="30"/>
    <n v="5"/>
    <n v="5"/>
    <n v="0.83333333333333337"/>
    <n v="5.833333333333333"/>
    <x v="0"/>
    <x v="2"/>
    <x v="2"/>
    <m/>
  </r>
  <r>
    <n v="1069"/>
    <n v="662"/>
    <n v="418866"/>
    <s v="20633 VIRGEN DEL CISNE"/>
    <s v="PIURA"/>
    <s v="AYABACA"/>
    <s v="AYABACA"/>
    <s v="LLANOS DE ARAGOTO"/>
    <s v="LLANOS DE ARAGOTO"/>
    <s v="Rural"/>
    <n v="-4.5779949999999996"/>
    <n v="-79.635203000000004"/>
    <n v="30"/>
    <s v="SATELITAL"/>
    <s v="Norte"/>
    <x v="3"/>
    <n v="30"/>
    <n v="5"/>
    <n v="5"/>
    <n v="0.83333333333333337"/>
    <n v="5.833333333333333"/>
    <x v="0"/>
    <x v="2"/>
    <x v="2"/>
    <m/>
  </r>
  <r>
    <n v="1070"/>
    <n v="663"/>
    <n v="418994"/>
    <s v="JOSE CARLOS MARIATEGUI"/>
    <s v="PIURA"/>
    <s v="AYABACA"/>
    <s v="AYABACA"/>
    <s v="PAMPAS DE SOCCHABAMBA"/>
    <s v="SOCCHABAMBA"/>
    <s v="Rural"/>
    <n v="-4.6036729999999997"/>
    <n v="-79.665906000000007"/>
    <n v="30"/>
    <s v="SATELITAL"/>
    <s v="Norte"/>
    <x v="3"/>
    <n v="30"/>
    <n v="5"/>
    <n v="5"/>
    <n v="0.83333333333333337"/>
    <n v="5.833333333333333"/>
    <x v="0"/>
    <x v="2"/>
    <x v="2"/>
    <m/>
  </r>
  <r>
    <n v="1071"/>
    <n v="664"/>
    <n v="417466"/>
    <s v="IGNACIA DEL CARMEN POZO ARIAS"/>
    <s v="PIURA"/>
    <s v="AYABACA"/>
    <s v="AYABACA"/>
    <s v="SAMANGUILLA"/>
    <s v="SAMANGUILLA"/>
    <s v="Rural"/>
    <n v="-4.6262439999999998"/>
    <n v="-79.529910000000001"/>
    <n v="30"/>
    <s v="SATELITAL"/>
    <s v="Norte"/>
    <x v="3"/>
    <n v="30"/>
    <n v="5"/>
    <n v="5"/>
    <n v="0.83333333333333337"/>
    <n v="5.833333333333333"/>
    <x v="0"/>
    <x v="2"/>
    <x v="2"/>
    <m/>
  </r>
  <r>
    <n v="1072"/>
    <n v="665"/>
    <n v="417584"/>
    <s v="NUESTRA SEÑORA DEL CARMEN"/>
    <s v="PIURA"/>
    <s v="AYABACA"/>
    <s v="AYABACA"/>
    <s v="TACALPO"/>
    <s v="TACALPO"/>
    <s v="Rural"/>
    <n v="-4.6544499999999998"/>
    <n v="-79.606080000000006"/>
    <n v="30"/>
    <s v="SATELITAL"/>
    <s v="Norte"/>
    <x v="3"/>
    <n v="30"/>
    <n v="5"/>
    <n v="5"/>
    <n v="0.83333333333333337"/>
    <n v="5.833333333333333"/>
    <x v="0"/>
    <x v="2"/>
    <x v="2"/>
    <m/>
  </r>
  <r>
    <n v="1073"/>
    <n v="666"/>
    <n v="417857"/>
    <s v="14206"/>
    <s v="PIURA"/>
    <s v="AYABACA"/>
    <s v="AYABACA"/>
    <s v="YANCHALA"/>
    <s v="YANCHALA"/>
    <s v="Rural"/>
    <n v="-4.6485640000000004"/>
    <n v="-79.594117999999995"/>
    <n v="30"/>
    <s v="SATELITAL"/>
    <s v="Norte"/>
    <x v="3"/>
    <n v="30"/>
    <n v="5"/>
    <n v="5"/>
    <n v="0.83333333333333337"/>
    <n v="5.833333333333333"/>
    <x v="0"/>
    <x v="2"/>
    <x v="2"/>
    <m/>
  </r>
  <r>
    <n v="1074"/>
    <n v="667"/>
    <n v="419413"/>
    <s v="14334"/>
    <s v="PIURA"/>
    <s v="AYABACA"/>
    <s v="FRIAS"/>
    <s v="LAS PIRCAS"/>
    <s v="PIRCAS"/>
    <s v="Rural"/>
    <n v="-4.9772999999999996"/>
    <n v="-79.821899999999999"/>
    <n v="30"/>
    <s v="SATELITAL"/>
    <s v="Norte"/>
    <x v="3"/>
    <n v="30"/>
    <n v="5"/>
    <n v="5"/>
    <n v="0.83333333333333337"/>
    <n v="5.833333333333333"/>
    <x v="0"/>
    <x v="0"/>
    <x v="0"/>
    <m/>
  </r>
  <r>
    <n v="1075"/>
    <n v="668"/>
    <n v="773427"/>
    <s v="MISQUIZ"/>
    <s v="PIURA"/>
    <s v="AYABACA"/>
    <s v="FRIAS"/>
    <s v="MISQUIZ"/>
    <s v="MISQUIZ"/>
    <s v="Rural"/>
    <n v="-4.9870000000000001"/>
    <n v="-79.994200000000006"/>
    <n v="30"/>
    <s v="SATELITAL"/>
    <s v="Norte"/>
    <x v="3"/>
    <n v="30"/>
    <n v="5"/>
    <n v="5"/>
    <n v="0.83333333333333337"/>
    <n v="5.833333333333333"/>
    <x v="0"/>
    <x v="2"/>
    <x v="2"/>
    <m/>
  </r>
  <r>
    <n v="1076"/>
    <n v="669"/>
    <n v="419762"/>
    <s v="15306"/>
    <s v="PIURA"/>
    <s v="AYABACA"/>
    <s v="FRIAS"/>
    <s v="PECHUQUIZ"/>
    <s v="PECHUQUIZ"/>
    <s v="Rural"/>
    <n v="-4.9283000000000001"/>
    <n v="-79.818899999999999"/>
    <n v="30"/>
    <s v="SATELITAL"/>
    <s v="Norte"/>
    <x v="3"/>
    <n v="30"/>
    <n v="5"/>
    <n v="5"/>
    <n v="0.83333333333333337"/>
    <n v="5.833333333333333"/>
    <x v="0"/>
    <x v="2"/>
    <x v="2"/>
    <m/>
  </r>
  <r>
    <n v="1077"/>
    <n v="670"/>
    <n v="420143"/>
    <s v="14345"/>
    <s v="PIURA"/>
    <s v="AYABACA"/>
    <s v="FRIAS"/>
    <s v="RIO SECO ALTO"/>
    <s v="RIO SECO ALTO"/>
    <s v="Rural"/>
    <n v="-4.9972060000000003"/>
    <n v="-80.126255999999998"/>
    <n v="30"/>
    <s v="SATELITAL"/>
    <s v="Norte"/>
    <x v="3"/>
    <n v="30"/>
    <n v="5"/>
    <n v="5"/>
    <n v="0.83333333333333337"/>
    <n v="5.833333333333333"/>
    <x v="0"/>
    <x v="2"/>
    <x v="2"/>
    <m/>
  </r>
  <r>
    <n v="1078"/>
    <n v="671"/>
    <n v="420044"/>
    <s v="JUAN VELASCO ALVARADO"/>
    <s v="PIURA"/>
    <s v="AYABACA"/>
    <s v="FRIAS"/>
    <s v="SAN JORGE"/>
    <s v="SAN JORGE"/>
    <s v="Rural"/>
    <n v="-4.9977999999999998"/>
    <n v="-79.959699999999998"/>
    <n v="30"/>
    <s v="SATELITAL"/>
    <s v="Norte"/>
    <x v="3"/>
    <n v="30"/>
    <n v="5"/>
    <n v="5"/>
    <n v="0.83333333333333337"/>
    <n v="5.833333333333333"/>
    <x v="0"/>
    <x v="2"/>
    <x v="2"/>
    <m/>
  </r>
  <r>
    <n v="1079"/>
    <n v="672"/>
    <n v="419516"/>
    <s v="AMAUTA"/>
    <s v="PIURA"/>
    <s v="AYABACA"/>
    <s v="FRIAS"/>
    <s v="SILAHUA"/>
    <s v="CARRETERA SILAHUA"/>
    <s v="Rural"/>
    <n v="-4.9294000000000002"/>
    <n v="-80.022000000000006"/>
    <n v="30"/>
    <s v="SATELITAL"/>
    <s v="Norte"/>
    <x v="3"/>
    <n v="30"/>
    <n v="5"/>
    <n v="5"/>
    <n v="0.83333333333333337"/>
    <n v="5.833333333333333"/>
    <x v="0"/>
    <x v="2"/>
    <x v="2"/>
    <m/>
  </r>
  <r>
    <n v="1080"/>
    <n v="673"/>
    <n v="420529"/>
    <s v="14360"/>
    <s v="PIURA"/>
    <s v="AYABACA"/>
    <s v="LAGUNAS"/>
    <s v="YERBAS BUENAS"/>
    <s v="YERBAS BUENAS"/>
    <s v="Rural"/>
    <n v="-4.8003"/>
    <n v="-79.816800000000001"/>
    <n v="30"/>
    <s v="SATELITAL"/>
    <s v="Norte"/>
    <x v="3"/>
    <n v="30"/>
    <n v="5"/>
    <n v="5"/>
    <n v="0.83333333333333337"/>
    <n v="5.833333333333333"/>
    <x v="0"/>
    <x v="2"/>
    <x v="2"/>
    <m/>
  </r>
  <r>
    <n v="1081"/>
    <n v="674"/>
    <n v="420954"/>
    <s v="14258"/>
    <s v="PIURA"/>
    <s v="AYABACA"/>
    <s v="MONTERO"/>
    <s v="LOMA SICACATE"/>
    <s v="LOMA DE SICACATE"/>
    <s v="Rural"/>
    <n v="-4.6477040000000001"/>
    <n v="-79.816722999999996"/>
    <n v="30"/>
    <s v="SATELITAL"/>
    <s v="Norte"/>
    <x v="3"/>
    <n v="30"/>
    <n v="5"/>
    <n v="5"/>
    <n v="0.83333333333333337"/>
    <n v="5.833333333333333"/>
    <x v="0"/>
    <x v="2"/>
    <x v="2"/>
    <m/>
  </r>
  <r>
    <n v="1082"/>
    <n v="675"/>
    <n v="421185"/>
    <s v="ERNESTO MERINO RIVERA"/>
    <s v="PIURA"/>
    <s v="AYABACA"/>
    <s v="MONTERO"/>
    <s v="MONTERO"/>
    <s v="MONTERO"/>
    <s v="Rural"/>
    <n v="-4.6327999999999996"/>
    <n v="-79.826599999999999"/>
    <n v="30"/>
    <s v="SATELITAL"/>
    <s v="Norte"/>
    <x v="3"/>
    <n v="30"/>
    <n v="5"/>
    <n v="5"/>
    <n v="0.83333333333333337"/>
    <n v="5.833333333333333"/>
    <x v="0"/>
    <x v="2"/>
    <x v="2"/>
    <m/>
  </r>
  <r>
    <n v="1083"/>
    <n v="676"/>
    <n v="421345"/>
    <s v="14373"/>
    <s v="PIURA"/>
    <s v="AYABACA"/>
    <s v="PACAIPAMPA"/>
    <s v="CUMBICUS ALTO"/>
    <s v="CUMBICUS ALTO"/>
    <s v="Rural"/>
    <n v="-5.0161769999999999"/>
    <n v="-79.626908999999998"/>
    <n v="30"/>
    <s v="SATELITAL"/>
    <s v="Norte"/>
    <x v="3"/>
    <n v="30"/>
    <n v="5"/>
    <n v="5"/>
    <n v="0.83333333333333337"/>
    <n v="5.833333333333333"/>
    <x v="0"/>
    <x v="0"/>
    <x v="0"/>
    <m/>
  </r>
  <r>
    <n v="1084"/>
    <n v="677"/>
    <n v="422175"/>
    <s v="SAN VICENTE"/>
    <s v="PIURA"/>
    <s v="AYABACA"/>
    <s v="PACAIPAMPA"/>
    <s v="CURILCAS"/>
    <s v="CURILCAS S/N"/>
    <s v="Rural"/>
    <n v="-4.9332539999999998"/>
    <n v="-79.584018"/>
    <n v="30"/>
    <s v="SATELITAL"/>
    <s v="Norte"/>
    <x v="3"/>
    <n v="30"/>
    <n v="5"/>
    <n v="5"/>
    <n v="0.83333333333333337"/>
    <n v="5.833333333333333"/>
    <x v="0"/>
    <x v="0"/>
    <x v="0"/>
    <m/>
  </r>
  <r>
    <n v="1085"/>
    <n v="678"/>
    <n v="422180"/>
    <s v="NANGAY"/>
    <s v="PIURA"/>
    <s v="AYABACA"/>
    <s v="PACAIPAMPA"/>
    <s v="NANGAY DE MATALACAS"/>
    <s v="NANGAY DE MATALACAS"/>
    <s v="Rural"/>
    <n v="-4.8714829999999996"/>
    <n v="-79.760329999999996"/>
    <n v="30"/>
    <s v="SATELITAL"/>
    <s v="Norte"/>
    <x v="3"/>
    <n v="30"/>
    <n v="5"/>
    <n v="5"/>
    <n v="0.83333333333333337"/>
    <n v="5.833333333333333"/>
    <x v="0"/>
    <x v="2"/>
    <x v="2"/>
    <m/>
  </r>
  <r>
    <n v="1086"/>
    <n v="679"/>
    <n v="422199"/>
    <s v="JORGE BASADRE"/>
    <s v="PIURA"/>
    <s v="AYABACA"/>
    <s v="PACAIPAMPA"/>
    <s v="PACAIPAMPA"/>
    <s v="PROGRESO"/>
    <s v="Rural"/>
    <n v="-4.9949050000000002"/>
    <n v="-79.667648999999997"/>
    <n v="30"/>
    <s v="SATELITAL"/>
    <s v="Norte"/>
    <x v="3"/>
    <n v="30"/>
    <n v="5"/>
    <n v="5"/>
    <n v="0.83333333333333337"/>
    <n v="5.833333333333333"/>
    <x v="0"/>
    <x v="0"/>
    <x v="0"/>
    <m/>
  </r>
  <r>
    <n v="1087"/>
    <n v="680"/>
    <n v="421741"/>
    <s v="15141"/>
    <s v="PIURA"/>
    <s v="AYABACA"/>
    <s v="PACAIPAMPA"/>
    <s v="TOJAS"/>
    <s v="TOJAS"/>
    <s v="Rural"/>
    <n v="-4.9740060000000001"/>
    <n v="-79.706255999999996"/>
    <n v="30"/>
    <s v="SATELITAL"/>
    <s v="Norte"/>
    <x v="3"/>
    <n v="30"/>
    <n v="5"/>
    <n v="5"/>
    <n v="0.83333333333333337"/>
    <n v="5.833333333333333"/>
    <x v="0"/>
    <x v="0"/>
    <x v="0"/>
    <m/>
  </r>
  <r>
    <n v="1088"/>
    <n v="681"/>
    <n v="421717"/>
    <s v="15138"/>
    <s v="PIURA"/>
    <s v="AYABACA"/>
    <s v="PACAIPAMPA"/>
    <s v="VILCAS"/>
    <s v="VILCAS"/>
    <s v="Rural"/>
    <n v="-4.9479649999999999"/>
    <n v="-79.611063999999999"/>
    <n v="30"/>
    <s v="SATELITAL"/>
    <s v="Norte"/>
    <x v="3"/>
    <n v="30"/>
    <n v="5"/>
    <n v="5"/>
    <n v="0.83333333333333337"/>
    <n v="5.833333333333333"/>
    <x v="0"/>
    <x v="0"/>
    <x v="0"/>
    <m/>
  </r>
  <r>
    <n v="1089"/>
    <n v="682"/>
    <n v="422627"/>
    <s v="VIRGEN DEL ROSARIO"/>
    <s v="PIURA"/>
    <s v="AYABACA"/>
    <s v="SAPILLICA"/>
    <s v="PILLO"/>
    <s v="PILLO"/>
    <s v="Rural"/>
    <n v="-4.7363569999999999"/>
    <n v="-79.912321000000006"/>
    <n v="30"/>
    <s v="SATELITAL"/>
    <s v="Norte"/>
    <x v="3"/>
    <n v="30"/>
    <n v="5"/>
    <n v="5"/>
    <n v="0.83333333333333337"/>
    <n v="5.833333333333333"/>
    <x v="0"/>
    <x v="2"/>
    <x v="2"/>
    <m/>
  </r>
  <r>
    <n v="1090"/>
    <n v="683"/>
    <n v="422986"/>
    <s v="SAPILLICA"/>
    <s v="PIURA"/>
    <s v="AYABACA"/>
    <s v="SAPILLICA"/>
    <s v="SAPILLICA"/>
    <s v="SAPILLICA"/>
    <s v="Rural"/>
    <n v="-4.7777000000000003"/>
    <n v="-79.982900000000001"/>
    <n v="30"/>
    <s v="SATELITAL"/>
    <s v="Norte"/>
    <x v="3"/>
    <n v="30"/>
    <n v="5"/>
    <n v="5"/>
    <n v="0.83333333333333337"/>
    <n v="5.833333333333333"/>
    <x v="0"/>
    <x v="2"/>
    <x v="2"/>
    <m/>
  </r>
  <r>
    <n v="1091"/>
    <n v="684"/>
    <n v="422712"/>
    <s v="14404"/>
    <s v="PIURA"/>
    <s v="AYABACA"/>
    <s v="SAPILLICA"/>
    <s v="SESTEADERO"/>
    <s v="SESTEADERO"/>
    <s v="Rural"/>
    <n v="-4.7721010000000001"/>
    <n v="-80.007750000000001"/>
    <n v="30"/>
    <s v="SATELITAL"/>
    <s v="Norte"/>
    <x v="3"/>
    <n v="30"/>
    <n v="5"/>
    <n v="5"/>
    <n v="0.83333333333333337"/>
    <n v="5.833333333333333"/>
    <x v="0"/>
    <x v="2"/>
    <x v="2"/>
    <m/>
  </r>
  <r>
    <n v="1092"/>
    <n v="685"/>
    <n v="425471"/>
    <s v="14466 CESAR TRELLES LARA"/>
    <s v="PIURA"/>
    <s v="HUANCABAMBA"/>
    <s v="EL CARMEN DE LA FRONTERA"/>
    <s v="ROSARIOS BAJO"/>
    <s v="ROSARIOS BAJOS"/>
    <s v="Rural"/>
    <n v="-4.9611000000000001"/>
    <n v="-79.326099999999997"/>
    <n v="30"/>
    <s v="SATELITAL"/>
    <s v="Norte"/>
    <x v="3"/>
    <n v="30"/>
    <n v="5"/>
    <n v="5"/>
    <n v="0.83333333333333337"/>
    <n v="5.833333333333333"/>
    <x v="0"/>
    <x v="0"/>
    <x v="0"/>
    <m/>
  </r>
  <r>
    <n v="1093"/>
    <n v="686"/>
    <n v="426437"/>
    <s v="LUIS ALBERTO SANCHEZ || 14585 LUIS ALBERTO SANCHEZ"/>
    <s v="PIURA"/>
    <s v="HUANCABAMBA"/>
    <s v="HUARMACA"/>
    <s v="CALLANCAS"/>
    <s v="CALLANCAS"/>
    <s v="Rural"/>
    <n v="-5.7133989999999999"/>
    <n v="-79.575806999999998"/>
    <n v="30"/>
    <s v="SATELITAL"/>
    <s v="Norte"/>
    <x v="3"/>
    <n v="30"/>
    <n v="5"/>
    <n v="5"/>
    <n v="0.83333333333333337"/>
    <n v="5.833333333333333"/>
    <x v="0"/>
    <x v="0"/>
    <x v="0"/>
    <m/>
  </r>
  <r>
    <n v="1094"/>
    <n v="687"/>
    <n v="427597"/>
    <s v="AREAS TECNICAS"/>
    <s v="PIURA"/>
    <s v="HUANCABAMBA"/>
    <s v="HUARMACA"/>
    <s v="CONGOÑA"/>
    <s v="CONGOÑA"/>
    <s v="Rural"/>
    <n v="-5.6817039999999999"/>
    <n v="-79.553085999999993"/>
    <n v="30"/>
    <s v="SATELITAL"/>
    <s v="Norte"/>
    <x v="3"/>
    <n v="30"/>
    <n v="5"/>
    <n v="5"/>
    <n v="0.83333333333333337"/>
    <n v="5.833333333333333"/>
    <x v="0"/>
    <x v="0"/>
    <x v="0"/>
    <m/>
  </r>
  <r>
    <n v="1095"/>
    <n v="688"/>
    <n v="426692"/>
    <s v="ALEJANDRO SANCHEZ ARTEAGA"/>
    <s v="PIURA"/>
    <s v="HUANCABAMBA"/>
    <s v="HUARMACA"/>
    <s v="HIGUERON PAMPA"/>
    <s v="HIGUERON PAMPA"/>
    <s v="Rural"/>
    <n v="-5.6936660000000003"/>
    <n v="-79.542872000000003"/>
    <n v="30"/>
    <s v="SATELITAL"/>
    <s v="Norte"/>
    <x v="3"/>
    <n v="30"/>
    <n v="5"/>
    <n v="5"/>
    <n v="0.83333333333333337"/>
    <n v="5.833333333333333"/>
    <x v="0"/>
    <x v="0"/>
    <x v="0"/>
    <m/>
  </r>
  <r>
    <n v="1096"/>
    <n v="689"/>
    <n v="426593"/>
    <s v="MARIO VARGAS LLOSA"/>
    <s v="PIURA"/>
    <s v="HUANCABAMBA"/>
    <s v="HUARMACA"/>
    <s v="HUALAPAMPA ALTO"/>
    <s v="HUALAPAMPA ALTO"/>
    <s v="Rural"/>
    <n v="-5.7630359999999996"/>
    <n v="-79.464247"/>
    <n v="30"/>
    <s v="SATELITAL"/>
    <s v="Norte"/>
    <x v="3"/>
    <n v="30"/>
    <n v="5"/>
    <n v="5"/>
    <n v="0.83333333333333337"/>
    <n v="5.833333333333333"/>
    <x v="0"/>
    <x v="0"/>
    <x v="0"/>
    <m/>
  </r>
  <r>
    <n v="1097"/>
    <n v="690"/>
    <n v="427644"/>
    <s v="NUESTRA SEÑORA DEL CARMEN"/>
    <s v="PIURA"/>
    <s v="HUANCABAMBA"/>
    <s v="HUARMACA"/>
    <s v="RODEOPAMPA"/>
    <s v="RODEOPAMPA"/>
    <s v="Rural"/>
    <n v="-5.5675860000000004"/>
    <n v="-79.433269999999993"/>
    <n v="30"/>
    <s v="SATELITAL"/>
    <s v="Norte"/>
    <x v="3"/>
    <n v="30"/>
    <n v="5"/>
    <n v="5"/>
    <n v="0.83333333333333337"/>
    <n v="5.833333333333333"/>
    <x v="0"/>
    <x v="0"/>
    <x v="0"/>
    <m/>
  </r>
  <r>
    <n v="1098"/>
    <n v="691"/>
    <n v="426319"/>
    <s v="ALMIRANTE MIGUEL GRAU"/>
    <s v="PIURA"/>
    <s v="HUANCABAMBA"/>
    <s v="HUARMACA"/>
    <s v="ROSAS"/>
    <s v="ROSAS"/>
    <s v="Rural"/>
    <n v="-5.5395430000000001"/>
    <n v="-79.506651000000005"/>
    <n v="30"/>
    <s v="SATELITAL"/>
    <s v="Norte"/>
    <x v="3"/>
    <n v="30"/>
    <n v="5"/>
    <n v="5"/>
    <n v="0.83333333333333337"/>
    <n v="5.833333333333333"/>
    <x v="0"/>
    <x v="0"/>
    <x v="0"/>
    <m/>
  </r>
  <r>
    <n v="1099"/>
    <n v="692"/>
    <n v="426300"/>
    <s v="14569"/>
    <s v="PIURA"/>
    <s v="HUANCABAMBA"/>
    <s v="HUARMACA"/>
    <s v="RUMICHACA"/>
    <s v="RUMICHACA"/>
    <s v="Rural"/>
    <n v="-5.5986130000000003"/>
    <n v="-79.531385"/>
    <n v="30"/>
    <s v="SATELITAL"/>
    <s v="Norte"/>
    <x v="3"/>
    <n v="30"/>
    <n v="5"/>
    <n v="5"/>
    <n v="0.83333333333333337"/>
    <n v="5.833333333333333"/>
    <x v="0"/>
    <x v="0"/>
    <x v="0"/>
    <m/>
  </r>
  <r>
    <n v="1100"/>
    <n v="693"/>
    <n v="427639"/>
    <s v="SAN ISIDRO"/>
    <s v="PIURA"/>
    <s v="HUANCABAMBA"/>
    <s v="HUARMACA"/>
    <s v="SAN ISIDRO"/>
    <s v="SAN ISIDRO"/>
    <s v="Rural"/>
    <n v="-5.7020299999999997"/>
    <n v="-79.457076000000001"/>
    <n v="30"/>
    <s v="SATELITAL"/>
    <s v="Norte"/>
    <x v="3"/>
    <n v="30"/>
    <n v="5"/>
    <n v="5"/>
    <n v="0.83333333333333337"/>
    <n v="5.833333333333333"/>
    <x v="0"/>
    <x v="0"/>
    <x v="0"/>
    <m/>
  </r>
  <r>
    <n v="1101"/>
    <n v="694"/>
    <n v="426362"/>
    <s v="14578"/>
    <s v="PIURA"/>
    <s v="HUANCABAMBA"/>
    <s v="HUARMACA"/>
    <s v="SANTA TERESA"/>
    <s v="SANTA TERESA"/>
    <s v="Rural"/>
    <n v="-5.6654429999999998"/>
    <n v="-79.524669000000003"/>
    <n v="30"/>
    <s v="SATELITAL"/>
    <s v="Norte"/>
    <x v="3"/>
    <n v="30"/>
    <n v="5"/>
    <n v="5"/>
    <n v="0.83333333333333337"/>
    <n v="5.833333333333333"/>
    <x v="0"/>
    <x v="0"/>
    <x v="0"/>
    <m/>
  </r>
  <r>
    <n v="1102"/>
    <n v="695"/>
    <n v="426343"/>
    <s v="SAN MIGUEL ARCANGEL"/>
    <s v="PIURA"/>
    <s v="HUANCABAMBA"/>
    <s v="HUARMACA"/>
    <s v="SUCCHA"/>
    <s v="SUCCHA"/>
    <s v="Rural"/>
    <n v="-5.5867490000000002"/>
    <n v="-79.416768000000005"/>
    <n v="30"/>
    <s v="SATELITAL"/>
    <s v="Norte"/>
    <x v="3"/>
    <n v="30"/>
    <n v="5"/>
    <n v="5"/>
    <n v="0.83333333333333337"/>
    <n v="5.833333333333333"/>
    <x v="0"/>
    <x v="0"/>
    <x v="0"/>
    <m/>
  </r>
  <r>
    <n v="1103"/>
    <n v="696"/>
    <n v="766667"/>
    <s v="SAGRADO CORAZON DE JESUS"/>
    <s v="PIURA"/>
    <s v="HUANCABAMBA"/>
    <s v="HUARMACA"/>
    <s v="TOCTO"/>
    <s v="EL TOCTO"/>
    <s v="Rural"/>
    <n v="-5.7955310000000004"/>
    <n v="-79.696545999999998"/>
    <n v="30"/>
    <s v="SATELITAL"/>
    <s v="Norte"/>
    <x v="3"/>
    <n v="30"/>
    <n v="5"/>
    <n v="5"/>
    <n v="0.83333333333333337"/>
    <n v="5.833333333333333"/>
    <x v="0"/>
    <x v="0"/>
    <x v="0"/>
    <m/>
  </r>
  <r>
    <n v="1104"/>
    <n v="697"/>
    <n v="426215"/>
    <s v="JUAN PABLO II"/>
    <s v="PIURA"/>
    <s v="HUANCABAMBA"/>
    <s v="HUARMACA"/>
    <s v="TOLINGAS"/>
    <s v="TOLINGAS"/>
    <s v="Rural"/>
    <n v="-5.531161"/>
    <n v="-79.535331999999997"/>
    <n v="30"/>
    <s v="SATELITAL"/>
    <s v="Norte"/>
    <x v="3"/>
    <n v="30"/>
    <n v="5"/>
    <n v="5"/>
    <n v="0.83333333333333337"/>
    <n v="5.833333333333333"/>
    <x v="0"/>
    <x v="0"/>
    <x v="0"/>
    <m/>
  </r>
  <r>
    <n v="1105"/>
    <n v="698"/>
    <n v="426178"/>
    <s v="SEÑOR CAUTIVO"/>
    <s v="PIURA"/>
    <s v="HUANCABAMBA"/>
    <s v="HUARMACA"/>
    <s v="TUNAS"/>
    <s v="TUNAS"/>
    <s v="Rural"/>
    <n v="-5.4976909999999997"/>
    <n v="-79.546293000000006"/>
    <n v="30"/>
    <s v="SATELITAL"/>
    <s v="Norte"/>
    <x v="3"/>
    <n v="30"/>
    <n v="5"/>
    <n v="5"/>
    <n v="0.83333333333333337"/>
    <n v="5.833333333333333"/>
    <x v="0"/>
    <x v="0"/>
    <x v="0"/>
    <m/>
  </r>
  <r>
    <n v="1106"/>
    <n v="699"/>
    <n v="428083"/>
    <s v="COMPLEJO EDUCATIVO TEC AGROPECUARIO NESTOR MARTOS GARRIDO"/>
    <s v="PIURA"/>
    <s v="HUANCABAMBA"/>
    <s v="LALAQUIZ"/>
    <s v="EL PAPAYO"/>
    <s v="EL PAPAYO"/>
    <s v="Rural"/>
    <n v="-5.2045260000000004"/>
    <n v="-79.651217000000003"/>
    <n v="30"/>
    <s v="SATELITAL"/>
    <s v="Norte"/>
    <x v="3"/>
    <n v="30"/>
    <n v="5"/>
    <n v="5"/>
    <n v="0.83333333333333337"/>
    <n v="5.833333333333333"/>
    <x v="0"/>
    <x v="0"/>
    <x v="0"/>
    <m/>
  </r>
  <r>
    <n v="1107"/>
    <n v="700"/>
    <n v="774926"/>
    <s v="VICTOR RAUL HAYA DE LA TORRE"/>
    <s v="PIURA"/>
    <s v="HUANCABAMBA"/>
    <s v="LALAQUIZ"/>
    <s v="LA LAGUNA"/>
    <s v="LA LAGUNA S/N"/>
    <s v="Rural"/>
    <n v="-5.1961719999999998"/>
    <n v="-79.648274000000001"/>
    <n v="30"/>
    <s v="SATELITAL"/>
    <s v="Norte"/>
    <x v="3"/>
    <n v="30"/>
    <n v="5"/>
    <n v="5"/>
    <n v="0.83333333333333337"/>
    <n v="5.833333333333333"/>
    <x v="0"/>
    <x v="0"/>
    <x v="0"/>
    <m/>
  </r>
  <r>
    <n v="1108"/>
    <n v="701"/>
    <n v="428554"/>
    <s v="JOSE ANTONIO ENCINAS"/>
    <s v="PIURA"/>
    <s v="HUANCABAMBA"/>
    <s v="SAN MIGUEL DE EL FAIQUE"/>
    <s v="EL HIGUERON"/>
    <s v="EL HIGUERON S/N"/>
    <s v="Rural"/>
    <n v="-5.4561999999999999"/>
    <n v="-79.603589999999997"/>
    <n v="30"/>
    <s v="SATELITAL"/>
    <s v="Norte"/>
    <x v="3"/>
    <n v="30"/>
    <n v="5"/>
    <n v="5"/>
    <n v="0.83333333333333337"/>
    <n v="5.833333333333333"/>
    <x v="0"/>
    <x v="0"/>
    <x v="0"/>
    <m/>
  </r>
  <r>
    <n v="1109"/>
    <n v="702"/>
    <n v="428200"/>
    <s v="VIRGEN DEL ROSARIO"/>
    <s v="PIURA"/>
    <s v="HUANCABAMBA"/>
    <s v="SAN MIGUEL DE EL FAIQUE"/>
    <s v="LA CAPILLA"/>
    <s v="LA CAPILLA"/>
    <s v="Rural"/>
    <n v="-5.4431900000000004"/>
    <n v="-79.600520000000003"/>
    <n v="30"/>
    <s v="SATELITAL"/>
    <s v="Norte"/>
    <x v="3"/>
    <n v="30"/>
    <n v="5"/>
    <n v="5"/>
    <n v="0.83333333333333337"/>
    <n v="5.833333333333333"/>
    <x v="0"/>
    <x v="0"/>
    <x v="0"/>
    <m/>
  </r>
  <r>
    <n v="1110"/>
    <n v="703"/>
    <n v="430731"/>
    <s v="15023"/>
    <s v="PIURA"/>
    <s v="MORROPON"/>
    <s v="BUENOS AIRES"/>
    <s v="BUENOS AIRES"/>
    <s v="JIRON BOLIVAR S/N"/>
    <s v="Urbana"/>
    <n v="-5.2650180000000004"/>
    <n v="-79.963800000000006"/>
    <n v="30"/>
    <s v="SATELITAL"/>
    <s v="Norte"/>
    <x v="3"/>
    <n v="30"/>
    <n v="5"/>
    <n v="5"/>
    <n v="0.83333333333333337"/>
    <n v="5.833333333333333"/>
    <x v="0"/>
    <x v="0"/>
    <x v="0"/>
    <m/>
  </r>
  <r>
    <n v="1111"/>
    <n v="704"/>
    <n v="430788"/>
    <s v="CIRO ALEGRIA"/>
    <s v="PIURA"/>
    <s v="MORROPON"/>
    <s v="BUENOS AIRES"/>
    <s v="BUENOS AIRES"/>
    <s v="JIRON RASPIGLIOSI S/N"/>
    <s v="Urbana"/>
    <n v="-5.266019"/>
    <n v="-79.969763"/>
    <n v="30"/>
    <s v="SATELITAL"/>
    <s v="Norte"/>
    <x v="3"/>
    <n v="30"/>
    <n v="5"/>
    <n v="5"/>
    <n v="0.83333333333333337"/>
    <n v="5.833333333333333"/>
    <x v="0"/>
    <x v="0"/>
    <x v="0"/>
    <m/>
  </r>
  <r>
    <n v="1112"/>
    <n v="705"/>
    <n v="430806"/>
    <s v="JOSE CARLOS MARIATEGUI"/>
    <s v="PIURA"/>
    <s v="MORROPON"/>
    <s v="BUENOS AIRES"/>
    <s v="EL INGENIO"/>
    <s v="EL INGENIO"/>
    <s v="Rural"/>
    <n v="-5.2084900000000003"/>
    <n v="-79.945640999999995"/>
    <n v="30"/>
    <s v="SATELITAL"/>
    <s v="Norte"/>
    <x v="3"/>
    <n v="30"/>
    <n v="5"/>
    <n v="5"/>
    <n v="0.83333333333333337"/>
    <n v="5.833333333333333"/>
    <x v="0"/>
    <x v="0"/>
    <x v="0"/>
    <m/>
  </r>
  <r>
    <n v="1113"/>
    <n v="706"/>
    <n v="431311"/>
    <s v="SANTA ROSA"/>
    <s v="PIURA"/>
    <s v="MORROPON"/>
    <s v="CHALACO"/>
    <s v="EL NARANJO"/>
    <s v="EL NARANJO S/N"/>
    <s v="Rural"/>
    <n v="-5.0739369999999999"/>
    <n v="-79.781454999999994"/>
    <n v="30"/>
    <s v="SATELITAL"/>
    <s v="Norte"/>
    <x v="3"/>
    <n v="30"/>
    <n v="5"/>
    <n v="5"/>
    <n v="0.83333333333333337"/>
    <n v="5.833333333333333"/>
    <x v="0"/>
    <x v="0"/>
    <x v="0"/>
    <m/>
  </r>
  <r>
    <n v="1114"/>
    <n v="707"/>
    <n v="431250"/>
    <s v="15441"/>
    <s v="PIURA"/>
    <s v="MORROPON"/>
    <s v="CHALACO"/>
    <s v="EL YUMBE"/>
    <s v="EL YUMBE"/>
    <s v="Rural"/>
    <n v="-5.0282799999999996"/>
    <n v="-79.754810000000006"/>
    <n v="30"/>
    <s v="SATELITAL"/>
    <s v="Norte"/>
    <x v="3"/>
    <n v="30"/>
    <n v="5"/>
    <n v="5"/>
    <n v="0.83333333333333337"/>
    <n v="5.833333333333333"/>
    <x v="0"/>
    <x v="0"/>
    <x v="0"/>
    <m/>
  </r>
  <r>
    <n v="1115"/>
    <n v="708"/>
    <n v="431231"/>
    <s v="15385"/>
    <s v="PIURA"/>
    <s v="MORROPON"/>
    <s v="CHALACO"/>
    <s v="LA RAMADA DE MALACHE"/>
    <s v="LA RAMDA DE MALACHE S/N"/>
    <s v="Rural"/>
    <n v="-4.9804009999999996"/>
    <n v="-79.772724999999994"/>
    <n v="30"/>
    <s v="SATELITAL"/>
    <s v="Norte"/>
    <x v="3"/>
    <n v="30"/>
    <n v="5"/>
    <n v="5"/>
    <n v="0.83333333333333337"/>
    <n v="5.833333333333333"/>
    <x v="0"/>
    <x v="0"/>
    <x v="0"/>
    <m/>
  </r>
  <r>
    <n v="1116"/>
    <n v="709"/>
    <n v="429983"/>
    <s v="15225"/>
    <s v="PIURA"/>
    <s v="MORROPON"/>
    <s v="CHULUCANAS"/>
    <s v="BELEN"/>
    <s v="BELEN"/>
    <s v="Rural"/>
    <n v="-5.0305"/>
    <n v="-80.162400000000005"/>
    <n v="30"/>
    <s v="SATELITAL"/>
    <s v="Norte"/>
    <x v="3"/>
    <n v="30"/>
    <n v="5"/>
    <n v="5"/>
    <n v="0.83333333333333337"/>
    <n v="5.833333333333333"/>
    <x v="0"/>
    <x v="2"/>
    <x v="2"/>
    <m/>
  </r>
  <r>
    <n v="1117"/>
    <n v="710"/>
    <n v="430043"/>
    <s v="SAN JOSE OBRERO"/>
    <s v="PIURA"/>
    <s v="MORROPON"/>
    <s v="CHULUCANAS"/>
    <s v="KM 41 CC JOSE IGNACIO TAVARA PASAPERA"/>
    <s v="CARRETERA EX- PANAMERICANA NORTE KM 41"/>
    <s v="Rural"/>
    <n v="-5.1497999999999999"/>
    <n v="-80.264300000000006"/>
    <n v="30"/>
    <s v="SATELITAL"/>
    <s v="Norte"/>
    <x v="3"/>
    <n v="30"/>
    <n v="5"/>
    <n v="5"/>
    <n v="0.83333333333333337"/>
    <n v="5.833333333333333"/>
    <x v="0"/>
    <x v="0"/>
    <x v="0"/>
    <m/>
  </r>
  <r>
    <n v="1118"/>
    <n v="711"/>
    <n v="430104"/>
    <s v="15423"/>
    <s v="PIURA"/>
    <s v="MORROPON"/>
    <s v="CHULUCANAS"/>
    <s v="RIO SECO BAJO"/>
    <s v="RIO SECO BAJO"/>
    <s v="Rural"/>
    <n v="-5.018338"/>
    <n v="-80.147703000000007"/>
    <n v="30"/>
    <s v="SATELITAL"/>
    <s v="Norte"/>
    <x v="3"/>
    <n v="30"/>
    <n v="5"/>
    <n v="5"/>
    <n v="0.83333333333333337"/>
    <n v="5.833333333333333"/>
    <x v="0"/>
    <x v="2"/>
    <x v="2"/>
    <m/>
  </r>
  <r>
    <n v="1119"/>
    <n v="712"/>
    <n v="430199"/>
    <s v="20054"/>
    <s v="PIURA"/>
    <s v="MORROPON"/>
    <s v="CHULUCANAS"/>
    <s v="SANTA CRUZ KM 48"/>
    <s v="CARRETERA EX- PANAMERICANA NORTE KM 48"/>
    <s v="Rural"/>
    <n v="-5.1647999999999996"/>
    <n v="-80.210700000000003"/>
    <n v="30"/>
    <s v="SATELITAL"/>
    <s v="Norte"/>
    <x v="3"/>
    <n v="30"/>
    <n v="5"/>
    <n v="5"/>
    <n v="0.83333333333333337"/>
    <n v="5.833333333333333"/>
    <x v="0"/>
    <x v="0"/>
    <x v="0"/>
    <m/>
  </r>
  <r>
    <n v="1120"/>
    <n v="713"/>
    <n v="429817"/>
    <s v="JESUS DIVINO MAESTRO"/>
    <s v="PIURA"/>
    <s v="MORROPON"/>
    <s v="CHULUCANAS"/>
    <s v="VICUS"/>
    <s v="CALLE PRINCIPAL S/N"/>
    <s v="Rural"/>
    <n v="-5.1692280000000004"/>
    <n v="-80.143388000000002"/>
    <n v="30"/>
    <s v="SATELITAL"/>
    <s v="Norte"/>
    <x v="3"/>
    <n v="30"/>
    <n v="5"/>
    <n v="5"/>
    <n v="0.83333333333333337"/>
    <n v="5.833333333333333"/>
    <x v="0"/>
    <x v="0"/>
    <x v="0"/>
    <m/>
  </r>
  <r>
    <n v="1121"/>
    <n v="714"/>
    <n v="430255"/>
    <s v="VICUS"/>
    <s v="PIURA"/>
    <s v="MORROPON"/>
    <s v="CHULUCANAS"/>
    <s v="VICUS"/>
    <s v="VICUS"/>
    <s v="Rural"/>
    <n v="-5.1639499999999998"/>
    <n v="-80.140630000000002"/>
    <n v="30"/>
    <s v="SATELITAL"/>
    <s v="Norte"/>
    <x v="3"/>
    <n v="30"/>
    <n v="5"/>
    <n v="5"/>
    <n v="0.83333333333333337"/>
    <n v="5.833333333333333"/>
    <x v="0"/>
    <x v="0"/>
    <x v="0"/>
    <m/>
  </r>
  <r>
    <n v="1122"/>
    <n v="715"/>
    <n v="429681"/>
    <s v="14619"/>
    <s v="PIURA"/>
    <s v="MORROPON"/>
    <s v="CHULUCANAS"/>
    <s v="YAPATERA"/>
    <s v="CARRETERA YAPATERA"/>
    <s v="Urbana"/>
    <n v="-5.0590099999999998"/>
    <n v="-80.136439999999993"/>
    <n v="30"/>
    <s v="SATELITAL"/>
    <s v="Norte"/>
    <x v="3"/>
    <n v="30"/>
    <n v="5"/>
    <n v="5"/>
    <n v="0.83333333333333337"/>
    <n v="5.833333333333333"/>
    <x v="0"/>
    <x v="2"/>
    <x v="2"/>
    <m/>
  </r>
  <r>
    <n v="1123"/>
    <n v="716"/>
    <n v="430321"/>
    <s v="JOSE PINTADO BERRU"/>
    <s v="PIURA"/>
    <s v="MORROPON"/>
    <s v="CHULUCANAS"/>
    <s v="YAPATERA"/>
    <s v="YAPATERA"/>
    <s v="Urbana"/>
    <n v="-5.0660600000000002"/>
    <n v="-80.140929999999997"/>
    <n v="30"/>
    <s v="SATELITAL"/>
    <s v="Norte"/>
    <x v="3"/>
    <n v="30"/>
    <n v="5"/>
    <n v="5"/>
    <n v="0.83333333333333337"/>
    <n v="5.833333333333333"/>
    <x v="0"/>
    <x v="2"/>
    <x v="2"/>
    <m/>
  </r>
  <r>
    <n v="1124"/>
    <n v="717"/>
    <n v="431561"/>
    <s v="15167"/>
    <s v="PIURA"/>
    <s v="MORROPON"/>
    <s v="LA MATANZA"/>
    <s v="CRUZ VERDE"/>
    <s v="CRUZ VERDE"/>
    <s v="Rural"/>
    <n v="-5.1875970000000002"/>
    <n v="-80.098489000000001"/>
    <n v="30"/>
    <s v="SATELITAL"/>
    <s v="Norte"/>
    <x v="3"/>
    <n v="30"/>
    <n v="5"/>
    <n v="5"/>
    <n v="0.83333333333333337"/>
    <n v="5.833333333333333"/>
    <x v="0"/>
    <x v="0"/>
    <x v="0"/>
    <m/>
  </r>
  <r>
    <n v="1125"/>
    <n v="718"/>
    <n v="431580"/>
    <s v="15257"/>
    <s v="PIURA"/>
    <s v="MORROPON"/>
    <s v="LA MATANZA"/>
    <s v="KM. 65"/>
    <s v="CARRETERA KM. 65"/>
    <s v="Rural"/>
    <n v="-5.2421660000000001"/>
    <n v="-80.113033000000001"/>
    <n v="30"/>
    <s v="SATELITAL"/>
    <s v="Norte"/>
    <x v="3"/>
    <n v="30"/>
    <n v="5"/>
    <n v="5"/>
    <n v="0.83333333333333337"/>
    <n v="5.833333333333333"/>
    <x v="0"/>
    <x v="0"/>
    <x v="0"/>
    <m/>
  </r>
  <r>
    <n v="1126"/>
    <n v="719"/>
    <n v="431764"/>
    <s v="CESAR VALLEJO"/>
    <s v="PIURA"/>
    <s v="MORROPON"/>
    <s v="LA MATANZA"/>
    <s v="LA BOCANA"/>
    <s v="LA BOCANA"/>
    <s v="Rural"/>
    <n v="-5.1638000000000002"/>
    <n v="-80.085102000000006"/>
    <n v="30"/>
    <s v="SATELITAL"/>
    <s v="Norte"/>
    <x v="3"/>
    <n v="30"/>
    <n v="5"/>
    <n v="5"/>
    <n v="0.83333333333333337"/>
    <n v="5.833333333333333"/>
    <x v="0"/>
    <x v="0"/>
    <x v="0"/>
    <m/>
  </r>
  <r>
    <n v="1127"/>
    <n v="720"/>
    <n v="431486"/>
    <s v="14643 SANTA ROSA DE LIMA"/>
    <s v="PIURA"/>
    <s v="MORROPON"/>
    <s v="LA MATANZA"/>
    <s v="LA MATANZA"/>
    <s v="AVENIDA MATANZA"/>
    <s v="Urbana"/>
    <n v="-5.2154590000000001"/>
    <n v="-80.092997999999994"/>
    <n v="30"/>
    <s v="SATELITAL"/>
    <s v="Norte"/>
    <x v="3"/>
    <n v="30"/>
    <n v="5"/>
    <n v="5"/>
    <n v="0.83333333333333337"/>
    <n v="5.833333333333333"/>
    <x v="0"/>
    <x v="0"/>
    <x v="0"/>
    <m/>
  </r>
  <r>
    <n v="1128"/>
    <n v="721"/>
    <n v="431523"/>
    <s v="14988 MARIA PARADO DE BELLIDO"/>
    <s v="PIURA"/>
    <s v="MORROPON"/>
    <s v="LA MATANZA"/>
    <s v="LA MATANZA"/>
    <s v="CALLE SAN MARTIN"/>
    <s v="Urbana"/>
    <n v="-5.2118900000000004"/>
    <n v="-80.091999999999999"/>
    <n v="30"/>
    <s v="SATELITAL"/>
    <s v="Norte"/>
    <x v="3"/>
    <n v="30"/>
    <n v="5"/>
    <n v="5"/>
    <n v="0.83333333333333337"/>
    <n v="5.833333333333333"/>
    <x v="0"/>
    <x v="0"/>
    <x v="0"/>
    <m/>
  </r>
  <r>
    <n v="1129"/>
    <n v="722"/>
    <n v="431759"/>
    <s v="SAN AGUSTIN"/>
    <s v="PIURA"/>
    <s v="MORROPON"/>
    <s v="LA MATANZA"/>
    <s v="LA MATANZA"/>
    <s v="AVENIDA FAUSTINO SANCHEZ CARRION S/N"/>
    <s v="Urbana"/>
    <n v="-5.2159700000000004"/>
    <n v="-80.089699999999993"/>
    <n v="30"/>
    <s v="SATELITAL"/>
    <s v="Norte"/>
    <x v="3"/>
    <n v="30"/>
    <n v="5"/>
    <n v="5"/>
    <n v="0.83333333333333337"/>
    <n v="5.833333333333333"/>
    <x v="0"/>
    <x v="0"/>
    <x v="0"/>
    <m/>
  </r>
  <r>
    <n v="1130"/>
    <n v="723"/>
    <n v="431472"/>
    <s v="14629"/>
    <s v="PIURA"/>
    <s v="MORROPON"/>
    <s v="LA MATANZA"/>
    <s v="PIURA LA VIEJA"/>
    <s v="CALLE PRINCIPAL"/>
    <s v="Rural"/>
    <n v="-5.1522769999999998"/>
    <n v="-80.076291999999995"/>
    <n v="30"/>
    <s v="SATELITAL"/>
    <s v="Norte"/>
    <x v="3"/>
    <n v="30"/>
    <n v="5"/>
    <n v="5"/>
    <n v="0.83333333333333337"/>
    <n v="5.833333333333333"/>
    <x v="0"/>
    <x v="0"/>
    <x v="0"/>
    <m/>
  </r>
  <r>
    <n v="1131"/>
    <n v="724"/>
    <n v="431702"/>
    <s v="20179"/>
    <s v="PIURA"/>
    <s v="MORROPON"/>
    <s v="LA MATANZA"/>
    <s v="SANTA ROSA"/>
    <s v="KM 62 SANTA ROSA"/>
    <s v="Rural"/>
    <n v="-5.2271080000000003"/>
    <n v="-80.120811000000003"/>
    <n v="30"/>
    <s v="SATELITAL"/>
    <s v="Norte"/>
    <x v="3"/>
    <n v="30"/>
    <n v="5"/>
    <n v="5"/>
    <n v="0.83333333333333337"/>
    <n v="5.833333333333333"/>
    <x v="0"/>
    <x v="0"/>
    <x v="0"/>
    <m/>
  </r>
  <r>
    <n v="1132"/>
    <n v="725"/>
    <n v="431797"/>
    <s v="15265"/>
    <s v="PIURA"/>
    <s v="MORROPON"/>
    <s v="LA MATANZA"/>
    <s v="TALANQUERA"/>
    <s v="CARRETERA TALANQUERA"/>
    <s v="Rural"/>
    <n v="-5.1727990000000004"/>
    <n v="-80.067800000000005"/>
    <n v="30"/>
    <s v="SATELITAL"/>
    <s v="Norte"/>
    <x v="3"/>
    <n v="30"/>
    <n v="5"/>
    <n v="5"/>
    <n v="0.83333333333333337"/>
    <n v="5.833333333333333"/>
    <x v="0"/>
    <x v="0"/>
    <x v="0"/>
    <m/>
  </r>
  <r>
    <n v="1133"/>
    <n v="726"/>
    <n v="431716"/>
    <s v="20200"/>
    <s v="PIURA"/>
    <s v="MORROPON"/>
    <s v="LA MATANZA"/>
    <s v="TIERRAS DURAS ALTO"/>
    <s v="TIERRAS DURAS"/>
    <s v="Rural"/>
    <n v="-5.2065999999999999"/>
    <n v="-80.106200000000001"/>
    <n v="30"/>
    <s v="SATELITAL"/>
    <s v="Norte"/>
    <x v="3"/>
    <n v="30"/>
    <n v="5"/>
    <n v="5"/>
    <n v="0.83333333333333337"/>
    <n v="5.833333333333333"/>
    <x v="0"/>
    <x v="0"/>
    <x v="0"/>
    <m/>
  </r>
  <r>
    <n v="1134"/>
    <n v="727"/>
    <n v="431504"/>
    <s v="14709"/>
    <s v="PIURA"/>
    <s v="MORROPON"/>
    <s v="LA MATANZA"/>
    <s v="TIERRAS DURAS BAJO"/>
    <s v="TIERRAS DURAS BAJAS"/>
    <s v="Rural"/>
    <n v="-5.2004999999999999"/>
    <n v="-80.107699999999994"/>
    <n v="30"/>
    <s v="SATELITAL"/>
    <s v="Norte"/>
    <x v="3"/>
    <n v="30"/>
    <n v="5"/>
    <n v="5"/>
    <n v="0.83333333333333337"/>
    <n v="5.833333333333333"/>
    <x v="0"/>
    <x v="0"/>
    <x v="0"/>
    <m/>
  </r>
  <r>
    <n v="1135"/>
    <n v="728"/>
    <n v="431575"/>
    <s v="15223 SANTIAGO ANTUNEZ DE MAYOLO GOMERO"/>
    <s v="PIURA"/>
    <s v="MORROPON"/>
    <s v="LA MATANZA"/>
    <s v="TIERRAS DURAS EL VIRREY"/>
    <s v="TIERRAS DURAS EL VIRREY"/>
    <s v="Rural"/>
    <n v="-5.4737020000000003"/>
    <n v="-79.991370000000003"/>
    <n v="30"/>
    <s v="SATELITAL"/>
    <s v="Norte"/>
    <x v="3"/>
    <n v="30"/>
    <n v="5"/>
    <n v="5"/>
    <n v="0.83333333333333337"/>
    <n v="5.833333333333333"/>
    <x v="0"/>
    <x v="0"/>
    <x v="0"/>
    <m/>
  </r>
  <r>
    <n v="1136"/>
    <n v="729"/>
    <n v="432056"/>
    <s v="CARLOS AUGUSTO SALAVERRY"/>
    <s v="PIURA"/>
    <s v="MORROPON"/>
    <s v="MORROPON"/>
    <s v="LA HUAQUILLA"/>
    <s v="JIRON JAVIER PRADO 100"/>
    <s v="Rural"/>
    <n v="-5.2043799999999996"/>
    <n v="-80.0047"/>
    <n v="30"/>
    <s v="SATELITAL"/>
    <s v="Norte"/>
    <x v="3"/>
    <n v="30"/>
    <n v="5"/>
    <n v="5"/>
    <n v="0.83333333333333337"/>
    <n v="5.833333333333333"/>
    <x v="0"/>
    <x v="0"/>
    <x v="0"/>
    <m/>
  </r>
  <r>
    <n v="1137"/>
    <n v="730"/>
    <n v="431896"/>
    <s v="14646"/>
    <s v="PIURA"/>
    <s v="MORROPON"/>
    <s v="MORROPON"/>
    <s v="MORROPON"/>
    <s v="CALLE LIMA 924"/>
    <s v="Urbana"/>
    <n v="-5.1858529999999998"/>
    <n v="-79.970071000000004"/>
    <n v="30"/>
    <s v="SATELITAL"/>
    <s v="Norte"/>
    <x v="3"/>
    <n v="30"/>
    <n v="5"/>
    <n v="5"/>
    <n v="0.83333333333333337"/>
    <n v="5.833333333333333"/>
    <x v="0"/>
    <x v="0"/>
    <x v="0"/>
    <m/>
  </r>
  <r>
    <n v="1138"/>
    <n v="731"/>
    <n v="431900"/>
    <s v="EFREN ESTELA ARAMBULO SEMINARIO"/>
    <s v="PIURA"/>
    <s v="MORROPON"/>
    <s v="MORROPON"/>
    <s v="MORROPON"/>
    <s v="CALLE COMERCIO S/N"/>
    <s v="Urbana"/>
    <n v="-5.1869389999999997"/>
    <n v="-79.973498000000006"/>
    <n v="30"/>
    <s v="SATELITAL"/>
    <s v="Norte"/>
    <x v="3"/>
    <n v="30"/>
    <n v="5"/>
    <n v="5"/>
    <n v="0.83333333333333337"/>
    <n v="5.833333333333333"/>
    <x v="0"/>
    <x v="0"/>
    <x v="0"/>
    <m/>
  </r>
  <r>
    <n v="1139"/>
    <n v="732"/>
    <n v="431981"/>
    <s v="15435 DIEGO FERRE"/>
    <s v="PIURA"/>
    <s v="MORROPON"/>
    <s v="MORROPON"/>
    <s v="ZAPOTAL"/>
    <s v="ZAPOTAL S/N"/>
    <s v="Rural"/>
    <n v="-5.1765169999999996"/>
    <n v="-79.982601000000003"/>
    <n v="30"/>
    <s v="SATELITAL"/>
    <s v="Norte"/>
    <x v="3"/>
    <n v="30"/>
    <n v="5"/>
    <n v="5"/>
    <n v="0.83333333333333337"/>
    <n v="5.833333333333333"/>
    <x v="0"/>
    <x v="0"/>
    <x v="0"/>
    <m/>
  </r>
  <r>
    <n v="1140"/>
    <n v="733"/>
    <n v="433273"/>
    <s v="JOSE ANTONIO ENCINAS"/>
    <s v="PIURA"/>
    <s v="MORROPON"/>
    <s v="SANTO DOMINGO"/>
    <s v="JACANACAS"/>
    <s v="JACANACAS S/N"/>
    <s v="Rural"/>
    <n v="-5.0882440000000004"/>
    <n v="-79.921028000000007"/>
    <n v="30"/>
    <s v="SATELITAL"/>
    <s v="Norte"/>
    <x v="3"/>
    <n v="30"/>
    <n v="5"/>
    <n v="5"/>
    <n v="0.83333333333333337"/>
    <n v="5.833333333333333"/>
    <x v="0"/>
    <x v="0"/>
    <x v="0"/>
    <m/>
  </r>
  <r>
    <n v="1141"/>
    <n v="734"/>
    <n v="433150"/>
    <s v="JOSE SANTOS LOPEZ BERRU"/>
    <s v="PIURA"/>
    <s v="MORROPON"/>
    <s v="SANTO DOMINGO"/>
    <s v="SIMIRIS"/>
    <s v="SIMIRIS S/N"/>
    <s v="Rural"/>
    <n v="-5.0366369999999998"/>
    <n v="-79.921127999999996"/>
    <n v="30"/>
    <s v="SATELITAL"/>
    <s v="Norte"/>
    <x v="3"/>
    <n v="30"/>
    <n v="5"/>
    <n v="5"/>
    <n v="0.83333333333333337"/>
    <n v="5.833333333333333"/>
    <x v="0"/>
    <x v="0"/>
    <x v="0"/>
    <m/>
  </r>
  <r>
    <n v="1142"/>
    <n v="735"/>
    <n v="433918"/>
    <s v="SAN JUAN BAUTISTA"/>
    <s v="PIURA"/>
    <s v="MORROPON"/>
    <s v="YAMANGO"/>
    <s v="CHOCO"/>
    <s v="CHOCO"/>
    <s v="Rural"/>
    <n v="-5.1178889999999999"/>
    <n v="-79.672853000000003"/>
    <n v="30"/>
    <s v="SATELITAL"/>
    <s v="Norte"/>
    <x v="3"/>
    <n v="30"/>
    <n v="5"/>
    <n v="5"/>
    <n v="0.83333333333333337"/>
    <n v="5.833333333333333"/>
    <x v="0"/>
    <x v="0"/>
    <x v="0"/>
    <m/>
  </r>
  <r>
    <n v="1143"/>
    <n v="736"/>
    <n v="433602"/>
    <s v="15170"/>
    <s v="PIURA"/>
    <s v="MORROPON"/>
    <s v="YAMANGO"/>
    <s v="COCA"/>
    <s v="COCA S/N"/>
    <s v="Rural"/>
    <n v="-5.1905669999999997"/>
    <n v="-79.837446999999997"/>
    <n v="30"/>
    <s v="SATELITAL"/>
    <s v="Norte"/>
    <x v="3"/>
    <n v="30"/>
    <n v="5"/>
    <n v="5"/>
    <n v="0.83333333333333337"/>
    <n v="5.833333333333333"/>
    <x v="0"/>
    <x v="0"/>
    <x v="0"/>
    <m/>
  </r>
  <r>
    <n v="1144"/>
    <n v="737"/>
    <n v="433881"/>
    <s v="LIBERTADOR SIMON BOLIVAR"/>
    <s v="PIURA"/>
    <s v="MORROPON"/>
    <s v="YAMANGO"/>
    <s v="PISCAN"/>
    <s v="PISCAN S/N"/>
    <s v="Rural"/>
    <n v="-5.2075519999999997"/>
    <n v="-79.806865999999999"/>
    <n v="30"/>
    <s v="SATELITAL"/>
    <s v="Norte"/>
    <x v="3"/>
    <n v="30"/>
    <n v="5"/>
    <n v="5"/>
    <n v="0.83333333333333337"/>
    <n v="5.833333333333333"/>
    <x v="0"/>
    <x v="0"/>
    <x v="0"/>
    <m/>
  </r>
  <r>
    <n v="1145"/>
    <n v="738"/>
    <n v="434362"/>
    <s v="14749"/>
    <s v="PIURA"/>
    <s v="PAITA"/>
    <s v="AMOTAPE"/>
    <s v="EL TAMBO"/>
    <s v="CALLE SIMON RODRIGUEZ S/N"/>
    <s v="Rural"/>
    <n v="-4.8875729999999997"/>
    <n v="-81.003707000000006"/>
    <n v="30"/>
    <s v="SATELITAL"/>
    <s v="Norte"/>
    <x v="3"/>
    <n v="30"/>
    <n v="5"/>
    <n v="5"/>
    <n v="0.83333333333333337"/>
    <n v="5.833333333333333"/>
    <x v="0"/>
    <x v="2"/>
    <x v="2"/>
    <m/>
  </r>
  <r>
    <n v="1146"/>
    <n v="739"/>
    <n v="434550"/>
    <s v="20802 APOSTOL SANTIAGO"/>
    <s v="PIURA"/>
    <s v="PAITA"/>
    <s v="COLAN"/>
    <s v="NUEVO PARAISO"/>
    <s v="AVENIDA LIBERTAD S/N"/>
    <s v="Rural"/>
    <n v="-5.0061739999999997"/>
    <n v="-81.048400999999998"/>
    <n v="30"/>
    <s v="SATELITAL"/>
    <s v="Norte"/>
    <x v="3"/>
    <n v="30"/>
    <n v="5"/>
    <n v="5"/>
    <n v="0.83333333333333337"/>
    <n v="5.833333333333333"/>
    <x v="0"/>
    <x v="2"/>
    <x v="2"/>
    <m/>
  </r>
  <r>
    <n v="1147"/>
    <n v="740"/>
    <n v="434475"/>
    <s v="14753 MARIA LEONOR FIESTAS DE VARGAS"/>
    <s v="PIURA"/>
    <s v="PAITA"/>
    <s v="COLAN"/>
    <s v="PUEBLO NUEVO"/>
    <s v="JIRON MARAVILLA 504"/>
    <s v="Urbana"/>
    <n v="-4.907953"/>
    <n v="-81.055470999999997"/>
    <n v="30"/>
    <s v="SATELITAL"/>
    <s v="Norte"/>
    <x v="3"/>
    <n v="30"/>
    <n v="5"/>
    <n v="5"/>
    <n v="0.83333333333333337"/>
    <n v="5.833333333333333"/>
    <x v="0"/>
    <x v="2"/>
    <x v="2"/>
    <m/>
  </r>
  <r>
    <n v="1148"/>
    <n v="741"/>
    <n v="434480"/>
    <s v="14754 JUANA ROSA LAZO TALLEDO"/>
    <s v="PIURA"/>
    <s v="PAITA"/>
    <s v="COLAN"/>
    <s v="PUEBLO NUEVO"/>
    <s v="JIRON SAN MARTIN 1100 SECTOR LA CAPILLA"/>
    <s v="Urbana"/>
    <n v="-4.9081609999999998"/>
    <n v="-81.058963000000006"/>
    <n v="30"/>
    <s v="SATELITAL"/>
    <s v="Norte"/>
    <x v="3"/>
    <n v="30"/>
    <n v="5"/>
    <n v="5"/>
    <n v="0.83333333333333337"/>
    <n v="5.833333333333333"/>
    <x v="0"/>
    <x v="2"/>
    <x v="2"/>
    <m/>
  </r>
  <r>
    <n v="1149"/>
    <n v="742"/>
    <n v="434630"/>
    <s v="MANUEL PIO DE ZUÑIGA Y RAMIREZ"/>
    <s v="PIURA"/>
    <s v="PAITA"/>
    <s v="LA HUACA"/>
    <s v="LA HUACA"/>
    <s v="CALLE LA CRUZ S/N"/>
    <s v="Urbana"/>
    <n v="-4.9116340000000003"/>
    <n v="-80.956146000000004"/>
    <n v="30"/>
    <s v="SATELITAL"/>
    <s v="Norte"/>
    <x v="3"/>
    <n v="30"/>
    <n v="5"/>
    <n v="5"/>
    <n v="0.83333333333333337"/>
    <n v="5.833333333333333"/>
    <x v="0"/>
    <x v="2"/>
    <x v="2"/>
    <m/>
  </r>
  <r>
    <n v="1150"/>
    <n v="743"/>
    <n v="434654"/>
    <s v="14762 LUCIANO CASTILLO COLONNA"/>
    <s v="PIURA"/>
    <s v="PAITA"/>
    <s v="LA HUACA"/>
    <s v="MIRAFLORES"/>
    <s v="MIRAFLORES"/>
    <s v="Urbana"/>
    <n v="-4.916652"/>
    <n v="-80.876548999999997"/>
    <n v="30"/>
    <s v="SATELITAL"/>
    <s v="Norte"/>
    <x v="3"/>
    <n v="30"/>
    <n v="5"/>
    <n v="5"/>
    <n v="0.83333333333333337"/>
    <n v="5.833333333333333"/>
    <x v="0"/>
    <x v="2"/>
    <x v="2"/>
    <m/>
  </r>
  <r>
    <n v="1151"/>
    <n v="744"/>
    <n v="434041"/>
    <s v="14740 NUESTRA SEÑORA DE LOURDES"/>
    <s v="PIURA"/>
    <s v="PAITA"/>
    <s v="PAITA"/>
    <s v="PAITA"/>
    <s v="JIRON JORGE CHAVEZ 542"/>
    <s v="Urbana"/>
    <n v="-5.0856579999999996"/>
    <n v="-81.110478999999998"/>
    <n v="30"/>
    <s v="SATELITAL"/>
    <s v="Norte"/>
    <x v="3"/>
    <n v="30"/>
    <n v="5"/>
    <n v="5"/>
    <n v="0.83333333333333337"/>
    <n v="5.833333333333333"/>
    <x v="0"/>
    <x v="2"/>
    <x v="2"/>
    <s v="ANTENA 1.2M + 3W"/>
  </r>
  <r>
    <n v="1152"/>
    <n v="745"/>
    <n v="434164"/>
    <s v="CAPITAN DE NAVIO JUAN NOEL LASTRA"/>
    <s v="PIURA"/>
    <s v="PAITA"/>
    <s v="PAITA"/>
    <s v="PAITA"/>
    <s v="VILLA NAVAL S/N"/>
    <s v="Urbana"/>
    <n v="-5.0831929999999996"/>
    <n v="-81.121915999999999"/>
    <n v="30"/>
    <s v="SATELITAL"/>
    <s v="Norte"/>
    <x v="3"/>
    <n v="30"/>
    <n v="5"/>
    <n v="5"/>
    <n v="0.83333333333333337"/>
    <n v="5.833333333333333"/>
    <x v="0"/>
    <x v="2"/>
    <x v="2"/>
    <s v="ANTENA 1.2M + 3W"/>
  </r>
  <r>
    <n v="1153"/>
    <n v="746"/>
    <n v="412906"/>
    <s v="FE Y ALEGRIA 15"/>
    <s v="PIURA"/>
    <s v="PIURA"/>
    <s v="CASTILLA"/>
    <s v="CASTILLA"/>
    <s v="CALLE E S/N"/>
    <s v="Urbana"/>
    <n v="-5.2272860000000003"/>
    <n v="-80.611530000000002"/>
    <n v="30"/>
    <s v="SATELITAL"/>
    <s v="Norte"/>
    <x v="3"/>
    <n v="30"/>
    <n v="5"/>
    <n v="5"/>
    <n v="0.83333333333333337"/>
    <n v="5.833333333333333"/>
    <x v="0"/>
    <x v="2"/>
    <x v="2"/>
    <m/>
  </r>
  <r>
    <n v="1154"/>
    <n v="747"/>
    <n v="413557"/>
    <s v="20458"/>
    <s v="PIURA"/>
    <s v="PIURA"/>
    <s v="CATACAOS"/>
    <s v="BUENOS AIRES"/>
    <s v="BUENOS AIRES LA LEGUA"/>
    <s v="Urbana"/>
    <n v="-5.2198159999999998"/>
    <n v="-80.653450000000007"/>
    <n v="30"/>
    <s v="SATELITAL"/>
    <s v="Norte"/>
    <x v="3"/>
    <n v="30"/>
    <n v="5"/>
    <n v="5"/>
    <n v="0.83333333333333337"/>
    <n v="5.833333333333333"/>
    <x v="0"/>
    <x v="2"/>
    <x v="2"/>
    <m/>
  </r>
  <r>
    <n v="1155"/>
    <n v="748"/>
    <n v="413312"/>
    <s v="14031"/>
    <s v="PIURA"/>
    <s v="PIURA"/>
    <s v="CATACAOS"/>
    <s v="CATACAOS"/>
    <s v="AVENIDA LOS PINOS S/N"/>
    <s v="Urbana"/>
    <n v="-5.2441300000000002"/>
    <n v="-80.649839999999998"/>
    <n v="30"/>
    <s v="SATELITAL"/>
    <s v="Norte"/>
    <x v="3"/>
    <n v="30"/>
    <n v="5"/>
    <n v="5"/>
    <n v="0.83333333333333337"/>
    <n v="5.833333333333333"/>
    <x v="0"/>
    <x v="2"/>
    <x v="2"/>
    <m/>
  </r>
  <r>
    <n v="1156"/>
    <n v="749"/>
    <n v="413369"/>
    <s v="14038"/>
    <s v="PIURA"/>
    <s v="PIURA"/>
    <s v="CATACAOS"/>
    <s v="CATACAOS"/>
    <s v="AVENIDA PRINCIPAL HNOS. TIMANA ZAPATA S/N"/>
    <s v="Urbana"/>
    <n v="-5.2366000000000001"/>
    <n v="-80.660809999999998"/>
    <n v="30"/>
    <s v="SATELITAL"/>
    <s v="Norte"/>
    <x v="3"/>
    <n v="30"/>
    <n v="5"/>
    <n v="5"/>
    <n v="0.83333333333333337"/>
    <n v="5.833333333333333"/>
    <x v="0"/>
    <x v="2"/>
    <x v="2"/>
    <m/>
  </r>
  <r>
    <n v="1157"/>
    <n v="750"/>
    <n v="413388"/>
    <s v="14041"/>
    <s v="PIURA"/>
    <s v="PIURA"/>
    <s v="CATACAOS"/>
    <s v="CATACAOS"/>
    <s v="CALLE COMERCIO S/N"/>
    <s v="Urbana"/>
    <n v="-5.2912100000000004"/>
    <n v="-80.687460000000002"/>
    <n v="30"/>
    <s v="SATELITAL"/>
    <s v="Norte"/>
    <x v="3"/>
    <n v="30"/>
    <n v="5"/>
    <n v="5"/>
    <n v="0.83333333333333337"/>
    <n v="5.833333333333333"/>
    <x v="0"/>
    <x v="0"/>
    <x v="0"/>
    <m/>
  </r>
  <r>
    <n v="1158"/>
    <n v="751"/>
    <n v="413473"/>
    <s v="15143"/>
    <s v="PIURA"/>
    <s v="PIURA"/>
    <s v="CATACAOS"/>
    <s v="CATACAOS"/>
    <s v="CARRETERA PEDREGAL CHICO"/>
    <s v="Urbana"/>
    <n v="-5.3002599999999997"/>
    <n v="-80.692689999999999"/>
    <n v="30"/>
    <s v="SATELITAL"/>
    <s v="Norte"/>
    <x v="3"/>
    <n v="30"/>
    <n v="5"/>
    <n v="5"/>
    <n v="0.83333333333333337"/>
    <n v="5.833333333333333"/>
    <x v="0"/>
    <x v="0"/>
    <x v="0"/>
    <m/>
  </r>
  <r>
    <n v="1159"/>
    <n v="752"/>
    <n v="413492"/>
    <s v="15324"/>
    <s v="PIURA"/>
    <s v="PIURA"/>
    <s v="CATACAOS"/>
    <s v="CATACAOS"/>
    <s v="LA PIEDRA"/>
    <s v="Urbana"/>
    <n v="-5.2557999999999998"/>
    <n v="-80.706699999999998"/>
    <n v="30"/>
    <s v="SATELITAL"/>
    <s v="Norte"/>
    <x v="3"/>
    <n v="30"/>
    <n v="5"/>
    <n v="5"/>
    <n v="0.83333333333333337"/>
    <n v="5.833333333333333"/>
    <x v="0"/>
    <x v="2"/>
    <x v="2"/>
    <m/>
  </r>
  <r>
    <n v="1160"/>
    <n v="753"/>
    <n v="413524"/>
    <s v="20111"/>
    <s v="PIURA"/>
    <s v="PIURA"/>
    <s v="CATACAOS"/>
    <s v="CATACAOS"/>
    <s v="CALLE COMERCIO 2385"/>
    <s v="Urbana"/>
    <n v="-5.2834700000000003"/>
    <n v="-80.689850000000007"/>
    <n v="30"/>
    <s v="SATELITAL"/>
    <s v="Norte"/>
    <x v="3"/>
    <n v="30"/>
    <n v="5"/>
    <n v="5"/>
    <n v="0.83333333333333337"/>
    <n v="5.833333333333333"/>
    <x v="0"/>
    <x v="0"/>
    <x v="0"/>
    <m/>
  </r>
  <r>
    <n v="1161"/>
    <n v="754"/>
    <n v="413604"/>
    <s v="GENARO MARTINEZ SILVA"/>
    <s v="PIURA"/>
    <s v="PIURA"/>
    <s v="CATACAOS"/>
    <s v="CATACAOS"/>
    <s v="CALLE TERRESTRE 01"/>
    <s v="Urbana"/>
    <n v="-5.3082500000000001"/>
    <n v="-80.689750000000004"/>
    <n v="30"/>
    <s v="SATELITAL"/>
    <s v="Norte"/>
    <x v="3"/>
    <n v="30"/>
    <n v="5"/>
    <n v="5"/>
    <n v="0.83333333333333337"/>
    <n v="5.833333333333333"/>
    <x v="0"/>
    <x v="0"/>
    <x v="0"/>
    <m/>
  </r>
  <r>
    <n v="1162"/>
    <n v="755"/>
    <n v="413487"/>
    <s v="FRAY MARTIN DE PORRES"/>
    <s v="PIURA"/>
    <s v="PIURA"/>
    <s v="CATACAOS"/>
    <s v="MONTE SULLON"/>
    <s v="CALLE COMERCIO 2084"/>
    <s v="Urbana"/>
    <n v="-5.2677199999999997"/>
    <n v="-80.677070000000001"/>
    <n v="30"/>
    <s v="SATELITAL"/>
    <s v="Norte"/>
    <x v="3"/>
    <n v="30"/>
    <n v="5"/>
    <n v="5"/>
    <n v="0.83333333333333337"/>
    <n v="5.833333333333333"/>
    <x v="0"/>
    <x v="2"/>
    <x v="2"/>
    <m/>
  </r>
  <r>
    <n v="1163"/>
    <n v="756"/>
    <n v="413883"/>
    <s v="14055"/>
    <s v="PIURA"/>
    <s v="PIURA"/>
    <s v="CURA MORI"/>
    <s v="CHATO CHICO"/>
    <s v="CARRETERA 12 DE OCTUBRE"/>
    <s v="Rural"/>
    <n v="-5.3685"/>
    <n v="-80.6678"/>
    <n v="30"/>
    <s v="SATELITAL"/>
    <s v="Norte"/>
    <x v="3"/>
    <n v="30"/>
    <n v="5"/>
    <n v="5"/>
    <n v="0.83333333333333337"/>
    <n v="5.833333333333333"/>
    <x v="0"/>
    <x v="0"/>
    <x v="0"/>
    <m/>
  </r>
  <r>
    <n v="1164"/>
    <n v="757"/>
    <n v="765903"/>
    <s v="20469"/>
    <s v="PIURA"/>
    <s v="PIURA"/>
    <s v="CURA MORI"/>
    <s v="CIUDAD NOE"/>
    <s v="CIUDAD NOE MZ I"/>
    <s v="Urbana"/>
    <n v="-5.3665000000000003"/>
    <n v="-80.611500000000007"/>
    <n v="30"/>
    <s v="SATELITAL"/>
    <s v="Norte"/>
    <x v="3"/>
    <n v="30"/>
    <n v="5"/>
    <n v="5"/>
    <n v="0.83333333333333337"/>
    <n v="5.833333333333333"/>
    <x v="0"/>
    <x v="0"/>
    <x v="0"/>
    <m/>
  </r>
  <r>
    <n v="1165"/>
    <n v="758"/>
    <n v="841233"/>
    <s v="20878"/>
    <s v="PIURA"/>
    <s v="PIURA"/>
    <s v="CURA MORI"/>
    <s v="NUEVO SANTA ROSA"/>
    <s v="CARRETERA A NUEVO SANTA ROSA KM. 980 AA.HH."/>
    <s v="Rural"/>
    <n v="-5.3348500000000003"/>
    <n v="-80.605810000000005"/>
    <n v="30"/>
    <s v="SATELITAL"/>
    <s v="Norte"/>
    <x v="3"/>
    <n v="30"/>
    <n v="5"/>
    <n v="5"/>
    <n v="0.83333333333333337"/>
    <n v="5.833333333333333"/>
    <x v="0"/>
    <x v="0"/>
    <x v="0"/>
    <m/>
  </r>
  <r>
    <n v="1166"/>
    <n v="759"/>
    <n v="414463"/>
    <s v="RICARDO PALMA"/>
    <s v="PIURA"/>
    <s v="PIURA"/>
    <s v="LA ARENA"/>
    <s v="CASAGRANDE"/>
    <s v="CASAGRANDE"/>
    <s v="Urbana"/>
    <n v="-5.3222050000000003"/>
    <n v="-80.753230000000002"/>
    <n v="30"/>
    <s v="SATELITAL"/>
    <s v="Norte"/>
    <x v="3"/>
    <n v="30"/>
    <n v="5"/>
    <n v="5"/>
    <n v="0.83333333333333337"/>
    <n v="5.833333333333333"/>
    <x v="0"/>
    <x v="0"/>
    <x v="0"/>
    <m/>
  </r>
  <r>
    <n v="1167"/>
    <n v="760"/>
    <n v="414302"/>
    <s v="14127 DORA JACINTA ZAPATA DE ZEGARRA"/>
    <s v="PIURA"/>
    <s v="PIURA"/>
    <s v="LA ARENA"/>
    <s v="RIO VIEJO NORTE"/>
    <s v="RIO VIEJO NORTE"/>
    <s v="Urbana"/>
    <n v="-5.3198340000000002"/>
    <n v="-80.728427999999994"/>
    <n v="30"/>
    <s v="SATELITAL"/>
    <s v="Norte"/>
    <x v="3"/>
    <n v="30"/>
    <n v="5"/>
    <n v="5"/>
    <n v="0.83333333333333337"/>
    <n v="5.833333333333333"/>
    <x v="0"/>
    <x v="0"/>
    <x v="0"/>
    <m/>
  </r>
  <r>
    <n v="1168"/>
    <n v="761"/>
    <n v="415132"/>
    <s v="MANUEL ODRIA AMORETTI"/>
    <s v="PIURA"/>
    <s v="PIURA"/>
    <s v="LAS LOMAS"/>
    <s v="CHIPILLICO"/>
    <s v="CHIPILLICO"/>
    <s v="Rural"/>
    <n v="-4.7205000000000004"/>
    <n v="-80.132400000000004"/>
    <n v="30"/>
    <s v="SATELITAL"/>
    <s v="Norte"/>
    <x v="3"/>
    <n v="30"/>
    <n v="5"/>
    <n v="5"/>
    <n v="0.83333333333333337"/>
    <n v="5.833333333333333"/>
    <x v="0"/>
    <x v="2"/>
    <x v="2"/>
    <m/>
  </r>
  <r>
    <n v="1169"/>
    <n v="762"/>
    <n v="415354"/>
    <s v="15447"/>
    <s v="PIURA"/>
    <s v="PIURA"/>
    <s v="LAS LOMAS"/>
    <s v="FRANCISCO BOLOGNESI ALTO YUSCAY"/>
    <s v="FRANCISCO BOLOGNESI ALTO YUSCAY"/>
    <s v="Rural"/>
    <n v="-4.6936"/>
    <n v="-80.244"/>
    <n v="30"/>
    <s v="SATELITAL"/>
    <s v="Norte"/>
    <x v="3"/>
    <n v="30"/>
    <n v="5"/>
    <n v="5"/>
    <n v="0.83333333333333337"/>
    <n v="5.833333333333333"/>
    <x v="0"/>
    <x v="2"/>
    <x v="2"/>
    <m/>
  </r>
  <r>
    <n v="1170"/>
    <n v="763"/>
    <n v="415486"/>
    <s v="INA 96 || LAS LOMAS"/>
    <s v="PIURA"/>
    <s v="PIURA"/>
    <s v="LAS LOMAS"/>
    <s v="JUAN VELASCO ALVARADO"/>
    <s v="JUAN VELASCO ALVARADO S/N"/>
    <s v="Urbana"/>
    <n v="-4.6612"/>
    <n v="-80.243700000000004"/>
    <n v="30"/>
    <s v="SATELITAL"/>
    <s v="Norte"/>
    <x v="3"/>
    <n v="30"/>
    <n v="5"/>
    <n v="5"/>
    <n v="0.83333333333333337"/>
    <n v="5.833333333333333"/>
    <x v="0"/>
    <x v="2"/>
    <x v="2"/>
    <m/>
  </r>
  <r>
    <n v="1171"/>
    <n v="764"/>
    <n v="415392"/>
    <s v="20075 NUESTRA SEÑORA DE GUADALUPE"/>
    <s v="PIURA"/>
    <s v="PIURA"/>
    <s v="LAS LOMAS"/>
    <s v="MIRAFLORES"/>
    <s v="CALLE LOS CLAVELES S/N"/>
    <s v="Urbana"/>
    <n v="-4.6562999999999999"/>
    <n v="-80.235500000000002"/>
    <n v="30"/>
    <s v="SATELITAL"/>
    <s v="Norte"/>
    <x v="3"/>
    <n v="30"/>
    <n v="5"/>
    <n v="5"/>
    <n v="0.83333333333333337"/>
    <n v="5.833333333333333"/>
    <x v="0"/>
    <x v="2"/>
    <x v="2"/>
    <m/>
  </r>
  <r>
    <n v="1172"/>
    <n v="765"/>
    <n v="410380"/>
    <s v="14103 || CPED - 14103"/>
    <s v="PIURA"/>
    <s v="PIURA"/>
    <s v="PIURA"/>
    <s v="PIURA"/>
    <s v="CARRETERA EJIDOS DEL NORTE"/>
    <s v="Urbana"/>
    <n v="-5.1580700000000004"/>
    <n v="-80.620919999999998"/>
    <n v="30"/>
    <s v="SATELITAL"/>
    <s v="Norte"/>
    <x v="3"/>
    <n v="30"/>
    <n v="5"/>
    <n v="5"/>
    <n v="0.83333333333333337"/>
    <n v="5.833333333333333"/>
    <x v="0"/>
    <x v="2"/>
    <x v="2"/>
    <m/>
  </r>
  <r>
    <n v="1173"/>
    <n v="766"/>
    <n v="416481"/>
    <s v="15195"/>
    <s v="PIURA"/>
    <s v="PIURA"/>
    <s v="TAMBO GRANDE"/>
    <s v="CP2 COLERA"/>
    <s v="COLERA MZ C-P LOTE 2"/>
    <s v="Rural"/>
    <n v="-4.8910999999999998"/>
    <n v="-80.3386"/>
    <n v="30"/>
    <s v="SATELITAL"/>
    <s v="Norte"/>
    <x v="3"/>
    <n v="30"/>
    <n v="5"/>
    <n v="5"/>
    <n v="0.83333333333333337"/>
    <n v="5.833333333333333"/>
    <x v="0"/>
    <x v="2"/>
    <x v="2"/>
    <m/>
  </r>
  <r>
    <n v="1174"/>
    <n v="767"/>
    <n v="564297"/>
    <s v="20817"/>
    <s v="PIURA"/>
    <s v="PIURA"/>
    <s v="TAMBO GRANDE"/>
    <s v="EL SALTO"/>
    <s v="CASERIO EL SALTO"/>
    <s v="Rural"/>
    <n v="-4.9214000000000002"/>
    <n v="-80.504400000000004"/>
    <n v="30"/>
    <s v="SATELITAL"/>
    <s v="Norte"/>
    <x v="3"/>
    <n v="30"/>
    <n v="5"/>
    <n v="5"/>
    <n v="0.83333333333333337"/>
    <n v="5.833333333333333"/>
    <x v="0"/>
    <x v="2"/>
    <x v="2"/>
    <m/>
  </r>
  <r>
    <n v="1175"/>
    <n v="768"/>
    <n v="416117"/>
    <s v="14146"/>
    <s v="PIURA"/>
    <s v="PIURA"/>
    <s v="TAMBO GRANDE"/>
    <s v="LA PEÑITA"/>
    <s v="LA PEÑITA"/>
    <s v="Urbana"/>
    <n v="-4.9432999999999998"/>
    <n v="-80.5261"/>
    <n v="30"/>
    <s v="SATELITAL"/>
    <s v="Norte"/>
    <x v="3"/>
    <n v="30"/>
    <n v="5"/>
    <n v="5"/>
    <n v="0.83333333333333337"/>
    <n v="5.833333333333333"/>
    <x v="0"/>
    <x v="2"/>
    <x v="2"/>
    <m/>
  </r>
  <r>
    <n v="1176"/>
    <n v="769"/>
    <n v="416396"/>
    <s v="15116"/>
    <s v="PIURA"/>
    <s v="PIURA"/>
    <s v="TAMBO GRANDE"/>
    <s v="LA RITA"/>
    <s v="LA RITA"/>
    <s v="Urbana"/>
    <n v="-5.0096280000000002"/>
    <n v="-80.305375999999995"/>
    <n v="30"/>
    <s v="SATELITAL"/>
    <s v="Norte"/>
    <x v="3"/>
    <n v="30"/>
    <n v="5"/>
    <n v="5"/>
    <n v="0.83333333333333337"/>
    <n v="5.833333333333333"/>
    <x v="0"/>
    <x v="2"/>
    <x v="2"/>
    <m/>
  </r>
  <r>
    <n v="1177"/>
    <n v="770"/>
    <n v="416631"/>
    <s v="15338"/>
    <s v="PIURA"/>
    <s v="PIURA"/>
    <s v="TAMBO GRANDE"/>
    <s v="SAN CARLOS"/>
    <s v="SAN CARLOS"/>
    <s v="Rural"/>
    <n v="-4.9532999999999996"/>
    <n v="-80.549000000000007"/>
    <n v="30"/>
    <s v="SATELITAL"/>
    <s v="Norte"/>
    <x v="3"/>
    <n v="30"/>
    <n v="5"/>
    <n v="5"/>
    <n v="0.83333333333333337"/>
    <n v="5.833333333333333"/>
    <x v="0"/>
    <x v="2"/>
    <x v="2"/>
    <m/>
  </r>
  <r>
    <n v="1178"/>
    <n v="771"/>
    <n v="416872"/>
    <s v="20082"/>
    <s v="PIURA"/>
    <s v="PIURA"/>
    <s v="TAMBO GRANDE"/>
    <s v="SAN EDUARDO"/>
    <s v="CARRETERA SAN EDUARDO S/N"/>
    <s v="Rural"/>
    <n v="-4.8963999999999999"/>
    <n v="-80.353200000000001"/>
    <n v="30"/>
    <s v="SATELITAL"/>
    <s v="Norte"/>
    <x v="3"/>
    <n v="30"/>
    <n v="5"/>
    <n v="5"/>
    <n v="0.83333333333333337"/>
    <n v="5.833333333333333"/>
    <x v="0"/>
    <x v="2"/>
    <x v="2"/>
    <m/>
  </r>
  <r>
    <n v="1179"/>
    <n v="772"/>
    <n v="416754"/>
    <s v="15434 JESUS DE NAZARET || 15434 JESUS DE NAZARETH"/>
    <s v="PIURA"/>
    <s v="PIURA"/>
    <s v="TAMBO GRANDE"/>
    <s v="SAN MARTIN CP-3 HUALTACO I"/>
    <s v="CENTRO POBLADO SAN MARTIN"/>
    <s v="Rural"/>
    <n v="-4.8417310000000002"/>
    <n v="-80.343090000000004"/>
    <n v="30"/>
    <s v="SATELITAL"/>
    <s v="Norte"/>
    <x v="3"/>
    <n v="30"/>
    <n v="5"/>
    <n v="5"/>
    <n v="0.83333333333333337"/>
    <n v="5.833333333333333"/>
    <x v="0"/>
    <x v="2"/>
    <x v="2"/>
    <m/>
  </r>
  <r>
    <n v="1180"/>
    <n v="773"/>
    <n v="416419"/>
    <s v="15158"/>
    <s v="PIURA"/>
    <s v="PIURA"/>
    <s v="TAMBO GRANDE"/>
    <s v="SANTA PAULA"/>
    <s v="SANTA PAULA"/>
    <s v="Rural"/>
    <n v="-4.9493999999999998"/>
    <n v="-80.538200000000003"/>
    <n v="30"/>
    <s v="SATELITAL"/>
    <s v="Norte"/>
    <x v="3"/>
    <n v="30"/>
    <n v="5"/>
    <n v="5"/>
    <n v="0.83333333333333337"/>
    <n v="5.833333333333333"/>
    <x v="0"/>
    <x v="2"/>
    <x v="2"/>
    <m/>
  </r>
  <r>
    <n v="1181"/>
    <n v="774"/>
    <n v="416056"/>
    <s v="14140 NUESTRA SEÑORA DE FATIMA"/>
    <s v="PIURA"/>
    <s v="PIURA"/>
    <s v="TAMBO GRANDE"/>
    <s v="TAMBOGRANDE"/>
    <s v="AVENIDA 9 DE NOVIEMBRE S/N"/>
    <s v="Urbana"/>
    <n v="-4.9295200000000001"/>
    <n v="-80.345759999999999"/>
    <n v="30"/>
    <s v="SATELITAL"/>
    <s v="Norte"/>
    <x v="3"/>
    <n v="30"/>
    <n v="5"/>
    <n v="5"/>
    <n v="0.83333333333333337"/>
    <n v="5.833333333333333"/>
    <x v="0"/>
    <x v="2"/>
    <x v="2"/>
    <m/>
  </r>
  <r>
    <n v="1182"/>
    <n v="775"/>
    <n v="440297"/>
    <s v="NUESTRA SEÑORA DE LAS MERCEDES"/>
    <s v="PIURA"/>
    <s v="SECHURA"/>
    <s v="BELLAVISTA DE LA UNION"/>
    <s v="BELLAVISTA"/>
    <s v="JIRON ELOY RIOFRIO S/N"/>
    <s v="Rural"/>
    <n v="-5.4404969999999997"/>
    <n v="-80.754994999999994"/>
    <n v="30"/>
    <s v="SATELITAL"/>
    <s v="Norte"/>
    <x v="3"/>
    <n v="30"/>
    <n v="5"/>
    <n v="5"/>
    <n v="0.83333333333333337"/>
    <n v="5.833333333333333"/>
    <x v="0"/>
    <x v="0"/>
    <x v="0"/>
    <m/>
  </r>
  <r>
    <n v="1183"/>
    <n v="776"/>
    <n v="440481"/>
    <s v="14024"/>
    <s v="PIURA"/>
    <s v="SECHURA"/>
    <s v="BERNAL"/>
    <s v="CHEPITO"/>
    <s v="CHEPITO"/>
    <s v="Urbana"/>
    <n v="-5.4735699999999996"/>
    <n v="-80.753013999999993"/>
    <n v="30"/>
    <s v="SATELITAL"/>
    <s v="Norte"/>
    <x v="3"/>
    <n v="30"/>
    <n v="5"/>
    <n v="5"/>
    <n v="0.83333333333333337"/>
    <n v="5.833333333333333"/>
    <x v="0"/>
    <x v="0"/>
    <x v="0"/>
    <m/>
  </r>
  <r>
    <n v="1184"/>
    <n v="777"/>
    <n v="440508"/>
    <s v="14027"/>
    <s v="PIURA"/>
    <s v="SECHURA"/>
    <s v="BERNAL"/>
    <s v="CORONADO"/>
    <s v="CORONADO"/>
    <s v="Rural"/>
    <n v="-5.4691289999999997"/>
    <n v="-80.733254000000002"/>
    <n v="30"/>
    <s v="SATELITAL"/>
    <s v="Norte"/>
    <x v="3"/>
    <n v="30"/>
    <n v="5"/>
    <n v="5"/>
    <n v="0.83333333333333337"/>
    <n v="5.833333333333333"/>
    <x v="0"/>
    <x v="0"/>
    <x v="0"/>
    <m/>
  </r>
  <r>
    <n v="1185"/>
    <n v="778"/>
    <n v="440909"/>
    <s v="BALTAZAR RAMOS JUAREZ"/>
    <s v="PIURA"/>
    <s v="SECHURA"/>
    <s v="RINCONADA LLICUAR"/>
    <s v="DOS PUEBLOS"/>
    <s v="AVENIDA PERU S/N"/>
    <s v="Urbana"/>
    <n v="-5.4619679999999997"/>
    <n v="-80.763769999999994"/>
    <n v="30"/>
    <s v="SATELITAL"/>
    <s v="Norte"/>
    <x v="3"/>
    <n v="30"/>
    <n v="5"/>
    <n v="5"/>
    <n v="0.83333333333333337"/>
    <n v="5.833333333333333"/>
    <x v="0"/>
    <x v="0"/>
    <x v="0"/>
    <m/>
  </r>
  <r>
    <n v="1186"/>
    <n v="779"/>
    <n v="440891"/>
    <s v="14073"/>
    <s v="PIURA"/>
    <s v="SECHURA"/>
    <s v="RINCONADA LLICUAR"/>
    <s v="LLICUAR"/>
    <s v="AVENIDA PROGRESO 101"/>
    <s v="Rural"/>
    <n v="-5.4690899999999996"/>
    <n v="-80.770294000000007"/>
    <n v="30"/>
    <s v="SATELITAL"/>
    <s v="Norte"/>
    <x v="3"/>
    <n v="30"/>
    <n v="5"/>
    <n v="5"/>
    <n v="0.83333333333333337"/>
    <n v="5.833333333333333"/>
    <x v="0"/>
    <x v="0"/>
    <x v="0"/>
    <m/>
  </r>
  <r>
    <n v="1187"/>
    <n v="780"/>
    <n v="440037"/>
    <s v="14083 MARIA VICTORIA RUMICHE FIESTAS DE MARTINEZ"/>
    <s v="PIURA"/>
    <s v="SECHURA"/>
    <s v="SECHURA"/>
    <s v="LA BOCANA/PARACHIQUE"/>
    <s v="CALLE ALFONSO UGARTE S/N"/>
    <s v="Urbana"/>
    <n v="-5.7646199999999999"/>
    <n v="-80.85266"/>
    <n v="30"/>
    <s v="SATELITAL"/>
    <s v="Norte"/>
    <x v="3"/>
    <n v="30"/>
    <n v="5"/>
    <n v="5"/>
    <n v="0.83333333333333337"/>
    <n v="5.833333333333333"/>
    <x v="0"/>
    <x v="0"/>
    <x v="0"/>
    <m/>
  </r>
  <r>
    <n v="1188"/>
    <n v="781"/>
    <n v="861141"/>
    <s v="SAN PEDRO"/>
    <s v="PIURA"/>
    <s v="SECHURA"/>
    <s v="SECHURA"/>
    <s v="LA BOCANA/PARACHIQUE"/>
    <s v="CARRETERA SECHURA - BAYOVAR KM. 65"/>
    <s v="Urbana"/>
    <n v="-5.7756499999999997"/>
    <n v="-80.845500000000001"/>
    <n v="30"/>
    <s v="SATELITAL"/>
    <s v="Norte"/>
    <x v="3"/>
    <n v="30"/>
    <n v="5"/>
    <n v="5"/>
    <n v="0.83333333333333337"/>
    <n v="5.833333333333333"/>
    <x v="0"/>
    <x v="0"/>
    <x v="0"/>
    <m/>
  </r>
  <r>
    <n v="1189"/>
    <n v="782"/>
    <n v="440122"/>
    <s v="15319"/>
    <s v="PIURA"/>
    <s v="SECHURA"/>
    <s v="SECHURA"/>
    <s v="NUEVO BAZAN"/>
    <s v="NUEVO BAZAN"/>
    <s v="Urbana"/>
    <n v="-5.5695600000000001"/>
    <n v="-80.81371"/>
    <n v="30"/>
    <s v="SATELITAL"/>
    <s v="Norte"/>
    <x v="3"/>
    <n v="30"/>
    <n v="5"/>
    <n v="5"/>
    <n v="0.83333333333333337"/>
    <n v="5.833333333333333"/>
    <x v="0"/>
    <x v="0"/>
    <x v="0"/>
    <m/>
  </r>
  <r>
    <n v="1190"/>
    <n v="783"/>
    <n v="440023"/>
    <s v="14080"/>
    <s v="PIURA"/>
    <s v="SECHURA"/>
    <s v="SECHURA"/>
    <s v="NUEVO CHULLIYACHI"/>
    <s v="AVENIDA JOSE MANUEL FIESTAS LLENQUE S/N"/>
    <s v="Urbana"/>
    <n v="-5.5695240000000004"/>
    <n v="-80.822018999999997"/>
    <n v="30"/>
    <s v="SATELITAL"/>
    <s v="Norte"/>
    <x v="3"/>
    <n v="30"/>
    <n v="5"/>
    <n v="5"/>
    <n v="0.83333333333333337"/>
    <n v="5.833333333333333"/>
    <x v="0"/>
    <x v="0"/>
    <x v="0"/>
    <m/>
  </r>
  <r>
    <n v="1191"/>
    <n v="784"/>
    <n v="440117"/>
    <s v="15318"/>
    <s v="PIURA"/>
    <s v="SECHURA"/>
    <s v="SECHURA"/>
    <s v="NUEVO PARACHIQUE"/>
    <s v="NUEVO PARACHIQUE"/>
    <s v="Urbana"/>
    <n v="-5.762124"/>
    <n v="-80.853391000000002"/>
    <n v="30"/>
    <s v="SATELITAL"/>
    <s v="Norte"/>
    <x v="3"/>
    <n v="30"/>
    <n v="5"/>
    <n v="5"/>
    <n v="0.83333333333333337"/>
    <n v="5.833333333333333"/>
    <x v="0"/>
    <x v="0"/>
    <x v="0"/>
    <m/>
  </r>
  <r>
    <n v="1192"/>
    <n v="785"/>
    <n v="440160"/>
    <s v="20208"/>
    <s v="PIURA"/>
    <s v="SECHURA"/>
    <s v="SECHURA"/>
    <s v="PUERTO RICO / BAYOVAR"/>
    <s v="PUERTO RICO/BAYOVAR"/>
    <s v="Rural"/>
    <n v="-5.8241959999999997"/>
    <n v="-81.035360999999995"/>
    <n v="30"/>
    <s v="SATELITAL"/>
    <s v="Norte"/>
    <x v="3"/>
    <n v="30"/>
    <n v="5"/>
    <n v="5"/>
    <n v="0.83333333333333337"/>
    <n v="5.833333333333333"/>
    <x v="0"/>
    <x v="0"/>
    <x v="0"/>
    <s v="ANTENA 1.2M + 3W"/>
  </r>
  <r>
    <n v="1193"/>
    <n v="786"/>
    <n v="440805"/>
    <s v="14091 MANUEL PURIZACA CHUNGA"/>
    <s v="PIURA"/>
    <s v="SECHURA"/>
    <s v="VICE"/>
    <s v="CHALACO"/>
    <s v="CHALACO"/>
    <s v="Rural"/>
    <n v="-5.4070819999999999"/>
    <n v="-80.761960999999999"/>
    <n v="30"/>
    <s v="SATELITAL"/>
    <s v="Norte"/>
    <x v="3"/>
    <n v="30"/>
    <n v="5"/>
    <n v="5"/>
    <n v="0.83333333333333337"/>
    <n v="5.833333333333333"/>
    <x v="0"/>
    <x v="0"/>
    <x v="0"/>
    <m/>
  </r>
  <r>
    <n v="1194"/>
    <n v="787"/>
    <n v="819656"/>
    <s v="14093 ABRAHAM RUIZ NUNURA"/>
    <s v="PIURA"/>
    <s v="SECHURA"/>
    <s v="VICE"/>
    <s v="LETIRA"/>
    <s v="CALLE BOLOGNESI S/N"/>
    <s v="Urbana"/>
    <n v="-5.436013"/>
    <n v="-80.807783000000001"/>
    <n v="30"/>
    <s v="SATELITAL"/>
    <s v="Norte"/>
    <x v="3"/>
    <n v="30"/>
    <n v="5"/>
    <n v="5"/>
    <n v="0.83333333333333337"/>
    <n v="5.833333333333333"/>
    <x v="0"/>
    <x v="0"/>
    <x v="0"/>
    <m/>
  </r>
  <r>
    <n v="1195"/>
    <n v="788"/>
    <n v="440829"/>
    <s v="14095"/>
    <s v="PIURA"/>
    <s v="SECHURA"/>
    <s v="VICE"/>
    <s v="SANCHEZ"/>
    <s v="JIRON SIMON BOLIVAR 217"/>
    <s v="Rural"/>
    <n v="-5.4429689999999997"/>
    <n v="-80.775547000000003"/>
    <n v="30"/>
    <s v="SATELITAL"/>
    <s v="Norte"/>
    <x v="3"/>
    <n v="30"/>
    <n v="5"/>
    <n v="5"/>
    <n v="0.83333333333333337"/>
    <n v="5.833333333333333"/>
    <x v="0"/>
    <x v="0"/>
    <x v="0"/>
    <m/>
  </r>
  <r>
    <n v="1196"/>
    <n v="789"/>
    <n v="436530"/>
    <s v="20509"/>
    <s v="PIURA"/>
    <s v="SULLANA"/>
    <s v="IGNACIO ESCUDERO"/>
    <s v="SAN JOSE"/>
    <s v="SAN JOSE"/>
    <s v="Rural"/>
    <n v="-4.8472590000000002"/>
    <n v="-80.912969000000004"/>
    <n v="30"/>
    <s v="SATELITAL"/>
    <s v="Norte"/>
    <x v="3"/>
    <n v="30"/>
    <n v="5"/>
    <n v="5"/>
    <n v="0.83333333333333337"/>
    <n v="5.833333333333333"/>
    <x v="0"/>
    <x v="2"/>
    <x v="2"/>
    <m/>
  </r>
  <r>
    <n v="1197"/>
    <n v="790"/>
    <n v="437011"/>
    <s v="14826"/>
    <s v="PIURA"/>
    <s v="SULLANA"/>
    <s v="LANCONES"/>
    <s v="EL SALTO"/>
    <s v="QUEBRADA EL SALTO"/>
    <s v="Rural"/>
    <n v="-4.2170389999999998"/>
    <n v="-80.323048"/>
    <n v="30"/>
    <s v="SATELITAL"/>
    <s v="Norte"/>
    <x v="3"/>
    <n v="30"/>
    <n v="5"/>
    <n v="5"/>
    <n v="0.83333333333333337"/>
    <n v="5.833333333333333"/>
    <x v="0"/>
    <x v="2"/>
    <x v="2"/>
    <m/>
  </r>
  <r>
    <n v="1198"/>
    <n v="791"/>
    <n v="437271"/>
    <s v="15286"/>
    <s v="PIURA"/>
    <s v="SULLANA"/>
    <s v="LANCONES"/>
    <s v="HUASIMAL DE LOS ENCUENTROS"/>
    <s v="HUASIMAL DE LOS ENCUENTROS"/>
    <s v="Rural"/>
    <n v="-4.3603379999999996"/>
    <n v="-80.493831"/>
    <n v="30"/>
    <s v="SATELITAL"/>
    <s v="Norte"/>
    <x v="3"/>
    <n v="30"/>
    <n v="5"/>
    <n v="5"/>
    <n v="0.83333333333333337"/>
    <n v="5.833333333333333"/>
    <x v="0"/>
    <x v="2"/>
    <x v="2"/>
    <m/>
  </r>
  <r>
    <n v="1199"/>
    <n v="792"/>
    <n v="437394"/>
    <s v="20521"/>
    <s v="PIURA"/>
    <s v="SULLANA"/>
    <s v="LANCONES"/>
    <s v="LA PEÑA"/>
    <s v="LA PEÑA"/>
    <s v="Rural"/>
    <n v="-4.570843"/>
    <n v="-80.575078000000005"/>
    <n v="30"/>
    <s v="SATELITAL"/>
    <s v="Norte"/>
    <x v="3"/>
    <n v="30"/>
    <n v="5"/>
    <n v="5"/>
    <n v="0.83333333333333337"/>
    <n v="5.833333333333333"/>
    <x v="0"/>
    <x v="2"/>
    <x v="2"/>
    <m/>
  </r>
  <r>
    <n v="1200"/>
    <n v="793"/>
    <n v="437025"/>
    <s v="14827 FRANCISCO GARCIA CALDERON"/>
    <s v="PIURA"/>
    <s v="SULLANA"/>
    <s v="LANCONES"/>
    <s v="LACAS"/>
    <s v="LACAS"/>
    <s v="Rural"/>
    <n v="-4.4769399999999999"/>
    <n v="-80.227234999999993"/>
    <n v="30"/>
    <s v="SATELITAL"/>
    <s v="Norte"/>
    <x v="3"/>
    <n v="30"/>
    <n v="5"/>
    <n v="5"/>
    <n v="0.83333333333333337"/>
    <n v="5.833333333333333"/>
    <x v="0"/>
    <x v="2"/>
    <x v="2"/>
    <m/>
  </r>
  <r>
    <n v="1201"/>
    <n v="794"/>
    <n v="437426"/>
    <s v="JUAN JOSE FARFAN"/>
    <s v="PIURA"/>
    <s v="SULLANA"/>
    <s v="LANCONES"/>
    <s v="LANCONES"/>
    <s v="CALLE SAN JUAN S/N"/>
    <s v="Rural"/>
    <n v="-4.6401599999999998"/>
    <n v="-80.549599999999998"/>
    <n v="30"/>
    <s v="SATELITAL"/>
    <s v="Norte"/>
    <x v="3"/>
    <n v="30"/>
    <n v="5"/>
    <n v="5"/>
    <n v="0.83333333333333337"/>
    <n v="5.833333333333333"/>
    <x v="0"/>
    <x v="2"/>
    <x v="2"/>
    <m/>
  </r>
  <r>
    <n v="1202"/>
    <n v="795"/>
    <n v="436832"/>
    <s v="14805"/>
    <s v="PIURA"/>
    <s v="SULLANA"/>
    <s v="LANCONES"/>
    <s v="MURCIELAGOS"/>
    <s v="MURCIELAGOS"/>
    <s v="Rural"/>
    <n v="-4.4387189999999999"/>
    <n v="-80.569309000000004"/>
    <n v="30"/>
    <s v="SATELITAL"/>
    <s v="Norte"/>
    <x v="3"/>
    <n v="30"/>
    <n v="5"/>
    <n v="5"/>
    <n v="0.83333333333333337"/>
    <n v="5.833333333333333"/>
    <x v="0"/>
    <x v="2"/>
    <x v="2"/>
    <m/>
  </r>
  <r>
    <n v="1203"/>
    <n v="796"/>
    <n v="437285"/>
    <s v="15288 CARLOS CUETO FERNANDINI"/>
    <s v="PIURA"/>
    <s v="SULLANA"/>
    <s v="LANCONES"/>
    <s v="PUEBLO NUEVO DE ROMERO"/>
    <s v="PUEBLO NVO. DE ROMERO"/>
    <s v="Rural"/>
    <n v="-4.4443609999999998"/>
    <n v="-80.263966999999994"/>
    <n v="30"/>
    <s v="SATELITAL"/>
    <s v="Norte"/>
    <x v="3"/>
    <n v="30"/>
    <n v="5"/>
    <n v="5"/>
    <n v="0.83333333333333337"/>
    <n v="5.833333333333333"/>
    <x v="0"/>
    <x v="2"/>
    <x v="2"/>
    <m/>
  </r>
  <r>
    <n v="1204"/>
    <n v="797"/>
    <n v="437638"/>
    <s v="SANTA TERESA DE CALCUTA"/>
    <s v="PIURA"/>
    <s v="SULLANA"/>
    <s v="MARCAVELICA"/>
    <s v="EL PENCO"/>
    <s v="EL PENCO"/>
    <s v="Rural"/>
    <n v="-4.5020939999999996"/>
    <n v="-80.690713000000002"/>
    <n v="30"/>
    <s v="SATELITAL"/>
    <s v="Norte"/>
    <x v="3"/>
    <n v="30"/>
    <n v="5"/>
    <n v="5"/>
    <n v="0.83333333333333337"/>
    <n v="5.833333333333333"/>
    <x v="0"/>
    <x v="2"/>
    <x v="2"/>
    <m/>
  </r>
  <r>
    <n v="1205"/>
    <n v="798"/>
    <n v="437676"/>
    <s v="20507"/>
    <s v="PIURA"/>
    <s v="SULLANA"/>
    <s v="MARCAVELICA"/>
    <s v="LA GOLONDRINA"/>
    <s v="CARRETERA PANAMERICANA NORTE S/N"/>
    <s v="Urbana"/>
    <n v="-4.8512459999999997"/>
    <n v="-80.782015000000001"/>
    <n v="30"/>
    <s v="SATELITAL"/>
    <s v="Norte"/>
    <x v="3"/>
    <n v="30"/>
    <n v="5"/>
    <n v="5"/>
    <n v="0.83333333333333337"/>
    <n v="5.833333333333333"/>
    <x v="0"/>
    <x v="2"/>
    <x v="2"/>
    <m/>
  </r>
  <r>
    <n v="1206"/>
    <n v="799"/>
    <n v="437520"/>
    <s v="FRANCISCO BOLOGNESI"/>
    <s v="PIURA"/>
    <s v="SULLANA"/>
    <s v="MARCAVELICA"/>
    <s v="LA NORIA"/>
    <s v="LA NORIA"/>
    <s v="Rural"/>
    <n v="-4.7897489999999996"/>
    <n v="-80.745442999999995"/>
    <n v="30"/>
    <s v="SATELITAL"/>
    <s v="Norte"/>
    <x v="3"/>
    <n v="30"/>
    <n v="5"/>
    <n v="5"/>
    <n v="0.83333333333333337"/>
    <n v="5.833333333333333"/>
    <x v="0"/>
    <x v="2"/>
    <x v="2"/>
    <m/>
  </r>
  <r>
    <n v="1207"/>
    <n v="800"/>
    <n v="437501"/>
    <s v="SAN MIGUEL DE TANGARARA"/>
    <s v="PIURA"/>
    <s v="SULLANA"/>
    <s v="MARCAVELICA"/>
    <s v="SAN MIGUEL DE TANGARARA"/>
    <s v="TANGARARA"/>
    <s v="Rural"/>
    <n v="-4.887283"/>
    <n v="-80.825778"/>
    <n v="30"/>
    <s v="SATELITAL"/>
    <s v="Norte"/>
    <x v="3"/>
    <n v="30"/>
    <n v="5"/>
    <n v="5"/>
    <n v="0.83333333333333337"/>
    <n v="5.833333333333333"/>
    <x v="0"/>
    <x v="2"/>
    <x v="2"/>
    <m/>
  </r>
  <r>
    <n v="1208"/>
    <n v="801"/>
    <n v="437624"/>
    <s v="14854 JOSE SANTOS CHOCANO"/>
    <s v="PIURA"/>
    <s v="SULLANA"/>
    <s v="MARCAVELICA"/>
    <s v="VISTA FLORIDA"/>
    <s v="VISTA FLORIDA"/>
    <s v="Rural"/>
    <n v="-4.8788609999999997"/>
    <n v="-80.739476999999994"/>
    <n v="30"/>
    <s v="SATELITAL"/>
    <s v="Norte"/>
    <x v="3"/>
    <n v="30"/>
    <n v="5"/>
    <n v="5"/>
    <n v="0.83333333333333337"/>
    <n v="5.833333333333333"/>
    <x v="0"/>
    <x v="2"/>
    <x v="2"/>
    <m/>
  </r>
  <r>
    <n v="1209"/>
    <n v="802"/>
    <n v="437775"/>
    <s v="14858"/>
    <s v="PIURA"/>
    <s v="SULLANA"/>
    <s v="MIGUEL CHECA"/>
    <s v="JIBITO"/>
    <s v="SANTA JULIA"/>
    <s v="Urbana"/>
    <n v="-4.9043020000000004"/>
    <n v="-80.748142999999999"/>
    <n v="30"/>
    <s v="SATELITAL"/>
    <s v="Norte"/>
    <x v="3"/>
    <n v="30"/>
    <n v="5"/>
    <n v="5"/>
    <n v="0.83333333333333337"/>
    <n v="5.833333333333333"/>
    <x v="0"/>
    <x v="2"/>
    <x v="2"/>
    <m/>
  </r>
  <r>
    <n v="1210"/>
    <n v="803"/>
    <n v="438119"/>
    <s v="20513 MILAGROSA VIRGEN DEL CARMEN"/>
    <s v="PIURA"/>
    <s v="SULLANA"/>
    <s v="QUERECOTILLO"/>
    <s v="HUALTACAL"/>
    <s v="HUALTACAL"/>
    <s v="Rural"/>
    <n v="-4.8040079999999996"/>
    <n v="-80.647425999999996"/>
    <n v="30"/>
    <s v="SATELITAL"/>
    <s v="Norte"/>
    <x v="3"/>
    <n v="30"/>
    <n v="5"/>
    <n v="5"/>
    <n v="0.83333333333333337"/>
    <n v="5.833333333333333"/>
    <x v="0"/>
    <x v="2"/>
    <x v="2"/>
    <m/>
  </r>
  <r>
    <n v="1211"/>
    <n v="804"/>
    <n v="438176"/>
    <s v="MARIA LUISA SEMINARIO CAMPOS"/>
    <s v="PIURA"/>
    <s v="SULLANA"/>
    <s v="QUERECOTILLO"/>
    <s v="LA MARGARITA"/>
    <s v="LA MARGARITA"/>
    <s v="Rural"/>
    <n v="-4.8071820000000001"/>
    <n v="-80.637477000000004"/>
    <n v="30"/>
    <s v="SATELITAL"/>
    <s v="Norte"/>
    <x v="3"/>
    <n v="30"/>
    <n v="5"/>
    <n v="5"/>
    <n v="0.83333333333333337"/>
    <n v="5.833333333333333"/>
    <x v="0"/>
    <x v="2"/>
    <x v="2"/>
    <m/>
  </r>
  <r>
    <n v="1212"/>
    <n v="805"/>
    <n v="438162"/>
    <s v="SAN FRANCISCO DE CHOCAN"/>
    <s v="PIURA"/>
    <s v="SULLANA"/>
    <s v="QUERECOTILLO"/>
    <s v="SAN FRANCISCO"/>
    <s v="SAN FRANCISCO"/>
    <s v="Rural"/>
    <n v="-4.7414680000000002"/>
    <n v="-80.580213000000001"/>
    <n v="30"/>
    <s v="SATELITAL"/>
    <s v="Norte"/>
    <x v="3"/>
    <n v="30"/>
    <n v="5"/>
    <n v="5"/>
    <n v="0.83333333333333337"/>
    <n v="5.833333333333333"/>
    <x v="0"/>
    <x v="2"/>
    <x v="2"/>
    <m/>
  </r>
  <r>
    <n v="1213"/>
    <n v="806"/>
    <n v="438261"/>
    <s v="SAN BENITO DE PALERMO"/>
    <s v="PIURA"/>
    <s v="SULLANA"/>
    <s v="SALITRAL"/>
    <s v="MIRAFLORES"/>
    <s v="MIRAFLORES"/>
    <s v="Rural"/>
    <n v="-4.8412160000000002"/>
    <n v="-80.690898000000004"/>
    <n v="30"/>
    <s v="SATELITAL"/>
    <s v="Norte"/>
    <x v="3"/>
    <n v="30"/>
    <n v="5"/>
    <n v="5"/>
    <n v="0.83333333333333337"/>
    <n v="5.833333333333333"/>
    <x v="0"/>
    <x v="2"/>
    <x v="2"/>
    <m/>
  </r>
  <r>
    <n v="1214"/>
    <n v="807"/>
    <n v="435564"/>
    <s v="15079"/>
    <s v="PIURA"/>
    <s v="SULLANA"/>
    <s v="SULLANA"/>
    <s v="SULLANA"/>
    <s v="VILLA MARIA"/>
    <s v="Urbana"/>
    <n v="-4.9279999999999999"/>
    <n v="-80.662599999999998"/>
    <n v="30"/>
    <s v="SATELITAL"/>
    <s v="Norte"/>
    <x v="3"/>
    <n v="30"/>
    <n v="5"/>
    <n v="5"/>
    <n v="0.83333333333333337"/>
    <n v="5.833333333333333"/>
    <x v="0"/>
    <x v="2"/>
    <x v="2"/>
    <m/>
  </r>
  <r>
    <n v="1215"/>
    <n v="808"/>
    <n v="438317"/>
    <s v="CAPITAN FAP JOSE EMILIO VELARDE VARGAS"/>
    <s v="PIURA"/>
    <s v="TALARA"/>
    <s v="PARIÑAS"/>
    <s v="TALARA"/>
    <s v="AVENIDA JOSE QUIÑONES S/N MZ C"/>
    <s v="Urbana"/>
    <n v="-4.5798899999999998"/>
    <n v="-81.260980000000004"/>
    <n v="30"/>
    <s v="SATELITAL"/>
    <s v="Norte"/>
    <x v="3"/>
    <n v="30"/>
    <n v="5"/>
    <n v="5"/>
    <n v="0.83333333333333337"/>
    <n v="5.833333333333333"/>
    <x v="0"/>
    <x v="2"/>
    <x v="2"/>
    <m/>
  </r>
  <r>
    <n v="1216"/>
    <n v="809"/>
    <n v="492045"/>
    <s v="065 JOSE OLAYA BALANDRA"/>
    <s v="TUMBES"/>
    <s v="CONTRALMIRANTE VILLAR"/>
    <s v="CANOAS DE PUNTA SAL"/>
    <s v="CANCAS"/>
    <s v="SEÑOR DE LOS MILAGROS"/>
    <s v="Urbana"/>
    <n v="-3.9478"/>
    <n v="-80.937799999999996"/>
    <n v="30"/>
    <s v="SATELITAL"/>
    <s v="Norte"/>
    <x v="3"/>
    <n v="30"/>
    <n v="5"/>
    <n v="5"/>
    <n v="0.83333333333333337"/>
    <n v="5.833333333333333"/>
    <x v="0"/>
    <x v="2"/>
    <x v="2"/>
    <m/>
  </r>
  <r>
    <n v="1217"/>
    <n v="810"/>
    <n v="492173"/>
    <s v="SAN PEDRO"/>
    <s v="TUMBES"/>
    <s v="CONTRALMIRANTE VILLAR"/>
    <s v="CANOAS DE PUNTA SAL"/>
    <s v="CANCAS"/>
    <s v="SEÑOR DE LOS MILAGROS"/>
    <s v="Urbana"/>
    <n v="-3.9456129999999998"/>
    <n v="-80.937372999999994"/>
    <n v="30"/>
    <s v="SATELITAL"/>
    <s v="Norte"/>
    <x v="3"/>
    <n v="30"/>
    <n v="5"/>
    <n v="5"/>
    <n v="0.83333333333333337"/>
    <n v="5.833333333333333"/>
    <x v="0"/>
    <x v="2"/>
    <x v="2"/>
    <m/>
  </r>
  <r>
    <n v="1218"/>
    <n v="811"/>
    <n v="492125"/>
    <s v="085"/>
    <s v="TUMBES"/>
    <s v="CONTRALMIRANTE VILLAR"/>
    <s v="CANOAS DE PUNTA SAL"/>
    <s v="FERNANDEZ"/>
    <s v="SAN MIGUEL"/>
    <s v="Rural"/>
    <n v="-4.1868999999999996"/>
    <n v="-80.860500000000002"/>
    <n v="30"/>
    <s v="SATELITAL"/>
    <s v="Norte"/>
    <x v="3"/>
    <n v="30"/>
    <n v="5"/>
    <n v="5"/>
    <n v="0.83333333333333337"/>
    <n v="5.833333333333333"/>
    <x v="0"/>
    <x v="2"/>
    <x v="2"/>
    <m/>
  </r>
  <r>
    <n v="1219"/>
    <n v="812"/>
    <n v="492031"/>
    <s v="064"/>
    <s v="TUMBES"/>
    <s v="CONTRALMIRANTE VILLAR"/>
    <s v="CANOAS DE PUNTA SAL"/>
    <s v="PAJARITOS"/>
    <s v="PAJARITOS"/>
    <s v="Rural"/>
    <n v="-4.0571000000000002"/>
    <n v="-80.896799999999999"/>
    <n v="30"/>
    <s v="SATELITAL"/>
    <s v="Norte"/>
    <x v="3"/>
    <n v="30"/>
    <n v="5"/>
    <n v="5"/>
    <n v="0.83333333333333337"/>
    <n v="5.833333333333333"/>
    <x v="0"/>
    <x v="2"/>
    <x v="2"/>
    <m/>
  </r>
  <r>
    <n v="1220"/>
    <n v="813"/>
    <n v="492489"/>
    <s v="CIRO ALEGRIA BAZAN"/>
    <s v="TUMBES"/>
    <s v="CONTRALMIRANTE VILLAR"/>
    <s v="CASITAS"/>
    <s v="CAÑAVERAL"/>
    <s v="CAÑAVERAL"/>
    <s v="Rural"/>
    <n v="-3.9390999999999998"/>
    <n v="-80.652100000000004"/>
    <n v="30"/>
    <s v="SATELITAL"/>
    <s v="Norte"/>
    <x v="3"/>
    <n v="30"/>
    <n v="5"/>
    <n v="5"/>
    <n v="0.83333333333333337"/>
    <n v="5.833333333333333"/>
    <x v="0"/>
    <x v="2"/>
    <x v="2"/>
    <m/>
  </r>
  <r>
    <n v="1221"/>
    <n v="814"/>
    <n v="491630"/>
    <s v="045 JORGE ONIAS DIOS SILVA"/>
    <s v="TUMBES"/>
    <s v="TUMBES"/>
    <s v="CORRALES"/>
    <s v="CRISTALES"/>
    <s v="CALLE LAS LOMAS MZ 25 LOTE 1"/>
    <s v="Urbana"/>
    <n v="-3.6327690000000001"/>
    <n v="-80.463167999999996"/>
    <n v="30"/>
    <s v="SATELITAL"/>
    <s v="Norte"/>
    <x v="3"/>
    <n v="30"/>
    <n v="5"/>
    <n v="5"/>
    <n v="0.83333333333333337"/>
    <n v="5.833333333333333"/>
    <x v="0"/>
    <x v="2"/>
    <x v="2"/>
    <m/>
  </r>
  <r>
    <n v="1222"/>
    <n v="815"/>
    <n v="490942"/>
    <s v="021 WILFREDO A. RICARDI CARRASCO"/>
    <s v="TUMBES"/>
    <s v="TUMBES"/>
    <s v="CORRALES"/>
    <s v="MALVAL"/>
    <s v="MALVAL S/N"/>
    <s v="Urbana"/>
    <n v="-3.6240000000000001"/>
    <n v="-80.467699999999994"/>
    <n v="30"/>
    <s v="SATELITAL"/>
    <s v="Norte"/>
    <x v="3"/>
    <n v="30"/>
    <n v="5"/>
    <n v="5"/>
    <n v="0.83333333333333337"/>
    <n v="5.833333333333333"/>
    <x v="0"/>
    <x v="2"/>
    <x v="2"/>
    <m/>
  </r>
  <r>
    <n v="1223"/>
    <n v="816"/>
    <n v="491324"/>
    <s v="035 HORACIO ZEVALLOS GAMEZ"/>
    <s v="TUMBES"/>
    <s v="TUMBES"/>
    <s v="PAMPAS DE HOSPITAL"/>
    <s v="CABUYAL"/>
    <s v="CABUYAL S/N"/>
    <s v="Rural"/>
    <n v="-3.716634"/>
    <n v="-80.440628000000004"/>
    <n v="30"/>
    <s v="SATELITAL"/>
    <s v="Norte"/>
    <x v="3"/>
    <n v="30"/>
    <n v="5"/>
    <n v="5"/>
    <n v="0.83333333333333337"/>
    <n v="5.833333333333333"/>
    <x v="0"/>
    <x v="2"/>
    <x v="2"/>
    <m/>
  </r>
  <r>
    <n v="1224"/>
    <n v="817"/>
    <n v="491376"/>
    <s v="040"/>
    <s v="TUMBES"/>
    <s v="TUMBES"/>
    <s v="PAMPAS DE HOSPITAL"/>
    <s v="EL LIMON"/>
    <s v="EL LIMON S/N"/>
    <s v="Rural"/>
    <n v="-3.7263999999999999"/>
    <n v="-80.442599999999999"/>
    <n v="30"/>
    <s v="SATELITAL"/>
    <s v="Norte"/>
    <x v="3"/>
    <n v="30"/>
    <n v="5"/>
    <n v="5"/>
    <n v="0.83333333333333337"/>
    <n v="5.833333333333333"/>
    <x v="0"/>
    <x v="2"/>
    <x v="2"/>
    <m/>
  </r>
  <r>
    <n v="1225"/>
    <n v="818"/>
    <n v="491277"/>
    <s v="CPED - 004 || 004"/>
    <s v="TUMBES"/>
    <s v="TUMBES"/>
    <s v="PAMPAS DE HOSPITAL"/>
    <s v="EL RODEO"/>
    <s v="EL RODEO S/N"/>
    <s v="Rural"/>
    <n v="-3.7273999999999998"/>
    <n v="-80.427800000000005"/>
    <n v="30"/>
    <s v="SATELITAL"/>
    <s v="Norte"/>
    <x v="3"/>
    <n v="30"/>
    <n v="5"/>
    <n v="5"/>
    <n v="0.83333333333333337"/>
    <n v="5.833333333333333"/>
    <x v="0"/>
    <x v="2"/>
    <x v="2"/>
    <m/>
  </r>
  <r>
    <n v="1226"/>
    <n v="819"/>
    <n v="491362"/>
    <s v="039 OLIMPIA A. BOYER CORONADO DE VASQUEZ"/>
    <s v="TUMBES"/>
    <s v="TUMBES"/>
    <s v="PAMPAS DE HOSPITAL"/>
    <s v="SANTA MARIA"/>
    <s v="CARRETERA SANTA MARIA KM 14"/>
    <s v="Rural"/>
    <n v="-3.6825540000000001"/>
    <n v="-80.434700000000007"/>
    <n v="30"/>
    <s v="SATELITAL"/>
    <s v="Norte"/>
    <x v="3"/>
    <n v="30"/>
    <n v="5"/>
    <n v="5"/>
    <n v="0.83333333333333337"/>
    <n v="5.833333333333333"/>
    <x v="0"/>
    <x v="2"/>
    <x v="2"/>
    <m/>
  </r>
  <r>
    <n v="1227"/>
    <n v="820"/>
    <n v="491668"/>
    <s v="048 SANTA ROSA DE LIMA"/>
    <s v="TUMBES"/>
    <s v="TUMBES"/>
    <s v="SAN JACINTO"/>
    <s v="LA PEÑA"/>
    <s v="LA PEÑA S/N"/>
    <s v="Rural"/>
    <n v="-3.6682000000000001"/>
    <n v="-80.449700000000007"/>
    <n v="30"/>
    <s v="SATELITAL"/>
    <s v="Norte"/>
    <x v="3"/>
    <n v="30"/>
    <n v="5"/>
    <n v="5"/>
    <n v="0.83333333333333337"/>
    <n v="5.833333333333333"/>
    <x v="0"/>
    <x v="2"/>
    <x v="2"/>
    <m/>
  </r>
  <r>
    <n v="1228"/>
    <n v="821"/>
    <n v="491687"/>
    <s v="121 SARITA COLONIA ZAMBRANO"/>
    <s v="TUMBES"/>
    <s v="TUMBES"/>
    <s v="SAN JACINTO"/>
    <s v="PECHICHAL"/>
    <s v="CARRETERA TUMBES - SAN JACINTO KM 35"/>
    <s v="Urbana"/>
    <n v="-3.6355930000000001"/>
    <n v="-80.458314999999999"/>
    <n v="30"/>
    <s v="SATELITAL"/>
    <s v="Norte"/>
    <x v="3"/>
    <n v="30"/>
    <n v="5"/>
    <n v="5"/>
    <n v="0.83333333333333337"/>
    <n v="5.833333333333333"/>
    <x v="0"/>
    <x v="2"/>
    <x v="2"/>
    <m/>
  </r>
  <r>
    <n v="1229"/>
    <n v="822"/>
    <n v="492998"/>
    <s v="104 INMACULADA CONCEPCION"/>
    <s v="TUMBES"/>
    <s v="ZARUMILLA"/>
    <s v="PAPAYAL"/>
    <s v="PAPAYAL"/>
    <s v="CALLE RAMON CASTILLA S/N"/>
    <s v="Rural"/>
    <n v="-3.5684999999999998"/>
    <n v="-80.235500000000002"/>
    <n v="30"/>
    <s v="SATELITAL"/>
    <s v="Norte"/>
    <x v="3"/>
    <n v="30"/>
    <n v="5"/>
    <n v="5"/>
    <n v="0.83333333333333337"/>
    <n v="5.833333333333333"/>
    <x v="0"/>
    <x v="2"/>
    <x v="2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">
  <r>
    <x v="0"/>
    <x v="0"/>
    <x v="0"/>
    <x v="0"/>
    <s v="HT2010"/>
    <s v="HT2010 Consumer Broadband Satellite Router, Ka Band only"/>
    <n v="1204"/>
    <s v="Unit"/>
    <n v="0"/>
    <s v="NRC"/>
    <n v="115.2"/>
    <n v="115.2"/>
    <n v="138700.80000000002"/>
    <n v="80.64"/>
    <n v="97090.559999999998"/>
    <n v="0.30000000000000016"/>
    <s v="HNS"/>
    <n v="6.4000000000000012"/>
    <n v="4.4800000000000004"/>
    <n v="1.0971428571428572"/>
    <n v="0.7679999999999999"/>
    <n v="0"/>
    <n v="0"/>
    <m/>
  </r>
  <r>
    <x v="0"/>
    <x v="0"/>
    <x v="0"/>
    <x v="1"/>
    <s v="ANTENA 90CM"/>
    <s v="90cm Ka-Band Saturated Antenna (Single IFL) 1pk"/>
    <n v="1204"/>
    <s v="Unit"/>
    <n v="0"/>
    <s v="NRC"/>
    <n v="107.31428571428573"/>
    <n v="107.31428571428573"/>
    <n v="129206.40000000002"/>
    <n v="75.12"/>
    <n v="90444.48000000001"/>
    <n v="0.30000000000000004"/>
    <s v="HNS"/>
    <n v="5.9619047619047629"/>
    <n v="4.1733333333333338"/>
    <n v="1.0220408163265307"/>
    <n v="0.71542857142857141"/>
    <n v="0"/>
    <n v="0"/>
    <m/>
  </r>
  <r>
    <x v="0"/>
    <x v="0"/>
    <x v="0"/>
    <x v="2"/>
    <s v="HB220-L"/>
    <s v="3W Multi-mode radio, Ka-Band, RHCP (Linear)"/>
    <n v="1204"/>
    <s v="Unit"/>
    <n v="0"/>
    <s v="NRC"/>
    <n v="151.07142857142858"/>
    <n v="151.07142857142858"/>
    <n v="181890.00000000003"/>
    <n v="105.75"/>
    <n v="127323"/>
    <n v="0.30000000000000016"/>
    <s v="HDP"/>
    <n v="8.3928571428571441"/>
    <n v="5.875"/>
    <n v="1.4387755102040818"/>
    <n v="1.0071428571428571"/>
    <n v="0"/>
    <n v="0"/>
    <m/>
  </r>
  <r>
    <x v="0"/>
    <x v="0"/>
    <x v="0"/>
    <x v="3"/>
    <s v="TRIMAST-MOUNT"/>
    <s v="Assy, Trimast, Jonsa, 1-pack, Painted"/>
    <n v="1204"/>
    <s v="Unit"/>
    <n v="0"/>
    <s v="NRC"/>
    <n v="19.914285714285715"/>
    <n v="19.914285714285715"/>
    <n v="23976.799999999999"/>
    <n v="13.94"/>
    <n v="16783.759999999998"/>
    <n v="0.30000000000000004"/>
    <s v="HDP"/>
    <n v="1.1063492063492064"/>
    <n v="0.77444444444444438"/>
    <n v="0.18965986394557821"/>
    <n v="0.13276190476190475"/>
    <n v="0"/>
    <n v="0"/>
    <m/>
  </r>
  <r>
    <x v="0"/>
    <x v="0"/>
    <x v="1"/>
    <x v="0"/>
    <s v="HT2010"/>
    <s v="HT2010 Consumer Broadband Satellite Router, Ka Band only"/>
    <n v="37"/>
    <s v="Unit"/>
    <n v="0"/>
    <s v="NRC"/>
    <n v="115.2"/>
    <n v="115.2"/>
    <n v="4262.4000000000005"/>
    <n v="80.64"/>
    <n v="2983.68"/>
    <n v="0.30000000000000016"/>
    <s v="HDP"/>
    <n v="0.19667774086378739"/>
    <n v="0.13767441860465116"/>
    <n v="3.3716184148077838E-2"/>
    <n v="2.3601328903654482E-2"/>
    <n v="0"/>
    <n v="0"/>
    <m/>
  </r>
  <r>
    <x v="0"/>
    <x v="0"/>
    <x v="1"/>
    <x v="1"/>
    <s v="ANTENA 90CM"/>
    <s v="90cm Ka-Band Saturated Antenna (Single IFL) 1pk"/>
    <n v="37"/>
    <s v="Unit"/>
    <n v="0"/>
    <s v="NRC"/>
    <n v="107.31428571428573"/>
    <n v="107.31428571428573"/>
    <n v="3970.6285714285718"/>
    <n v="75.12"/>
    <n v="2779.44"/>
    <n v="0.30000000000000004"/>
    <s v="HNS"/>
    <n v="0.18321468122132575"/>
    <n v="0.12825027685492801"/>
    <n v="3.1408231066512984E-2"/>
    <n v="2.1985761746559088E-2"/>
    <n v="0"/>
    <n v="0"/>
    <m/>
  </r>
  <r>
    <x v="0"/>
    <x v="0"/>
    <x v="1"/>
    <x v="2"/>
    <s v="HB220-L"/>
    <s v="3W Multi-mode radio, Ka-Band, RHCP (Linear)"/>
    <n v="37"/>
    <s v="Unit"/>
    <n v="0"/>
    <s v="NRC"/>
    <n v="151.07142857142858"/>
    <n v="151.07142857142858"/>
    <n v="5589.6428571428578"/>
    <n v="105.75"/>
    <n v="3912.75"/>
    <n v="0.30000000000000004"/>
    <s v="HNS"/>
    <n v="0.25792002847650691"/>
    <n v="0.18054401993355482"/>
    <n v="4.4214862024544034E-2"/>
    <n v="3.0950403417180822E-2"/>
    <n v="0"/>
    <n v="0"/>
    <m/>
  </r>
  <r>
    <x v="0"/>
    <x v="0"/>
    <x v="1"/>
    <x v="3"/>
    <s v="TRIMAST-MOUNT"/>
    <s v="Assy, Trimast, Jonsa, 1-pack, Painted"/>
    <n v="37"/>
    <s v="Unit"/>
    <n v="0"/>
    <s v="NRC"/>
    <n v="19.914285714285715"/>
    <n v="19.914285714285715"/>
    <n v="736.82857142857142"/>
    <n v="13.94"/>
    <n v="515.78"/>
    <n v="0.30000000000000004"/>
    <s v="HDP"/>
    <n v="3.3999103517375943E-2"/>
    <n v="2.3799372462163158E-2"/>
    <n v="5.8284177458358755E-3"/>
    <n v="4.0798924220851124E-3"/>
    <n v="0"/>
    <n v="0"/>
    <m/>
  </r>
  <r>
    <x v="1"/>
    <x v="1"/>
    <x v="2"/>
    <x v="4"/>
    <s v="HUGHES"/>
    <s v="Managed Capacity Ka Band -1204 sitios"/>
    <n v="7023.3333333333294"/>
    <s v="Unit"/>
    <n v="0"/>
    <s v="MRC"/>
    <n v="65"/>
    <n v="65"/>
    <n v="8217299.9999999953"/>
    <n v="40"/>
    <n v="5056799.9999999972"/>
    <n v="0.38461538461538458"/>
    <s v="HNS"/>
    <n v="379.16666666666646"/>
    <n v="233.33333333333317"/>
    <n v="64.999999999999957"/>
    <n v="39.999999999999972"/>
    <n v="0"/>
    <n v="379.16666666666646"/>
    <m/>
  </r>
  <r>
    <x v="1"/>
    <x v="1"/>
    <x v="3"/>
    <x v="4"/>
    <s v="HUGHES"/>
    <s v="Web Filtering"/>
    <n v="1204"/>
    <s v="Unit"/>
    <n v="0"/>
    <s v="NRC"/>
    <n v="12"/>
    <n v="12"/>
    <n v="260064"/>
    <n v="9"/>
    <n v="195048"/>
    <n v="0.25"/>
    <s v="HDP"/>
    <n v="12"/>
    <n v="9"/>
    <n v="2.0571428571428569"/>
    <n v="1.5428571428571427"/>
    <n v="0"/>
    <n v="12"/>
    <m/>
  </r>
  <r>
    <x v="1"/>
    <x v="2"/>
    <x v="4"/>
    <x v="5"/>
    <s v="COGENT"/>
    <s v="International Link - Dallas - Lima"/>
    <n v="7023.3333333333294"/>
    <s v="Unit"/>
    <n v="0"/>
    <s v="NRC"/>
    <n v="6.666666666666667"/>
    <n v="6.666666666666667"/>
    <n v="842799.99999999953"/>
    <n v="5"/>
    <n v="632099.99999999965"/>
    <n v="0.25"/>
    <s v="HNS"/>
    <n v="38.888888888888872"/>
    <n v="29.166666666666647"/>
    <n v="6.6666666666666625"/>
    <n v="4.9999999999999964"/>
    <n v="0"/>
    <n v="38.888888888888872"/>
    <m/>
  </r>
  <r>
    <x v="1"/>
    <x v="1"/>
    <x v="5"/>
    <x v="4"/>
    <s v="HUGHES"/>
    <s v="Network Operations"/>
    <n v="1204"/>
    <s v="Unit"/>
    <n v="0"/>
    <s v="NRC"/>
    <n v="12.813333333333333"/>
    <n v="12.813333333333333"/>
    <n v="277690.56"/>
    <n v="9.61"/>
    <n v="208267.91999999998"/>
    <n v="0.25"/>
    <s v="HNS"/>
    <n v="12.813333333333333"/>
    <n v="9.61"/>
    <n v="2.1965714285714286"/>
    <n v="1.647428571428571"/>
    <n v="0"/>
    <n v="12.813333333333333"/>
    <m/>
  </r>
  <r>
    <x v="1"/>
    <x v="1"/>
    <x v="6"/>
    <x v="4"/>
    <s v="HUGHES"/>
    <s v="Internet Service"/>
    <n v="7023.3333333333294"/>
    <s v="Unit"/>
    <n v="0"/>
    <s v="NRC"/>
    <n v="4.6933333333333334"/>
    <n v="4.6933333333333334"/>
    <n v="593331.19999999972"/>
    <n v="3.52"/>
    <n v="444998.39999999973"/>
    <n v="0.25000000000000011"/>
    <s v="HNS"/>
    <n v="27.377777777777766"/>
    <n v="20.533333333333321"/>
    <n v="4.6933333333333307"/>
    <n v="3.5199999999999978"/>
    <n v="0"/>
    <n v="27.377777777777766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">
  <r>
    <s v="CAPEX"/>
    <s v="Hughes Equipment"/>
    <x v="0"/>
    <s v="1505216-0332"/>
    <s v="HT2010"/>
    <x v="0"/>
    <x v="0"/>
    <s v="Unit"/>
    <n v="0"/>
    <x v="0"/>
    <n v="115.2"/>
    <n v="115.2"/>
    <n v="138700.80000000002"/>
    <n v="80.64"/>
    <n v="97090.559999999998"/>
    <n v="0.30000000000000016"/>
    <s v="HNS"/>
    <n v="6.4000000000000012"/>
    <n v="4.4800000000000004"/>
    <n v="1.0971428571428572"/>
    <n v="0.7679999999999999"/>
    <n v="0"/>
    <n v="0"/>
    <m/>
  </r>
  <r>
    <s v="CAPEX"/>
    <s v="Hughes Equipment"/>
    <x v="0"/>
    <s v="1506560-0021+1506561-0021"/>
    <s v="ANTENA 90CM"/>
    <x v="1"/>
    <x v="0"/>
    <s v="Unit"/>
    <n v="0"/>
    <x v="0"/>
    <n v="107.31428571428573"/>
    <n v="107.31428571428573"/>
    <n v="129206.40000000002"/>
    <n v="75.12"/>
    <n v="90444.48000000001"/>
    <n v="0.30000000000000004"/>
    <s v="HNS"/>
    <n v="5.9619047619047629"/>
    <n v="4.1733333333333338"/>
    <n v="1.0220408163265307"/>
    <n v="0.71542857142857141"/>
    <n v="0"/>
    <n v="0"/>
    <m/>
  </r>
  <r>
    <s v="CAPEX"/>
    <s v="Hughes Equipment"/>
    <x v="0"/>
    <s v="1506689-1004"/>
    <s v="HB220-L"/>
    <x v="2"/>
    <x v="0"/>
    <s v="Unit"/>
    <n v="0"/>
    <x v="0"/>
    <n v="151.07142857142858"/>
    <n v="151.07142857142858"/>
    <n v="181890.00000000003"/>
    <n v="105.75"/>
    <n v="127323"/>
    <n v="0.30000000000000016"/>
    <s v="HNS"/>
    <n v="8.3928571428571441"/>
    <n v="5.875"/>
    <n v="1.4387755102040818"/>
    <n v="1.0071428571428571"/>
    <n v="0"/>
    <n v="0"/>
    <m/>
  </r>
  <r>
    <s v="CAPEX"/>
    <s v="Hughes Equipment"/>
    <x v="0"/>
    <s v="1503931-0004"/>
    <s v="TRIMAST-MOUNT"/>
    <x v="3"/>
    <x v="0"/>
    <s v="Unit"/>
    <n v="0"/>
    <x v="0"/>
    <n v="19.914285714285715"/>
    <n v="19.914285714285715"/>
    <n v="23976.799999999999"/>
    <n v="13.94"/>
    <n v="16783.759999999998"/>
    <n v="0.30000000000000004"/>
    <s v="HNS"/>
    <n v="1.1063492063492064"/>
    <n v="0.77444444444444438"/>
    <n v="0.18965986394557821"/>
    <n v="0.13276190476190475"/>
    <n v="0"/>
    <n v="0"/>
    <m/>
  </r>
  <r>
    <s v="CAPEX"/>
    <s v="Hughes Equipment"/>
    <x v="1"/>
    <s v="1505216-0332"/>
    <s v="HT2010"/>
    <x v="0"/>
    <x v="1"/>
    <s v="Unit"/>
    <n v="0"/>
    <x v="0"/>
    <n v="115.2"/>
    <n v="115.2"/>
    <n v="4262.4000000000005"/>
    <n v="80.64"/>
    <n v="2983.68"/>
    <n v="0.30000000000000016"/>
    <s v="HNS"/>
    <n v="0.19667774086378739"/>
    <n v="0.13767441860465116"/>
    <n v="3.3716184148077838E-2"/>
    <n v="2.3601328903654482E-2"/>
    <n v="0"/>
    <n v="0"/>
    <m/>
  </r>
  <r>
    <s v="CAPEX"/>
    <s v="Hughes Equipment"/>
    <x v="1"/>
    <s v="1506560-0021+1506561-0021"/>
    <s v="ANTENA 90CM"/>
    <x v="1"/>
    <x v="1"/>
    <s v="Unit"/>
    <n v="0"/>
    <x v="0"/>
    <n v="107.31428571428573"/>
    <n v="107.31428571428573"/>
    <n v="3970.6285714285718"/>
    <n v="75.12"/>
    <n v="2779.44"/>
    <n v="0.30000000000000004"/>
    <s v="HNS"/>
    <n v="0.18321468122132575"/>
    <n v="0.12825027685492801"/>
    <n v="3.1408231066512984E-2"/>
    <n v="2.1985761746559088E-2"/>
    <n v="0"/>
    <n v="0"/>
    <m/>
  </r>
  <r>
    <s v="CAPEX"/>
    <s v="Hughes Equipment"/>
    <x v="1"/>
    <s v="1506689-1004"/>
    <s v="HB220-L"/>
    <x v="2"/>
    <x v="1"/>
    <s v="Unit"/>
    <n v="0"/>
    <x v="0"/>
    <n v="151.07142857142858"/>
    <n v="151.07142857142858"/>
    <n v="5589.6428571428578"/>
    <n v="105.75"/>
    <n v="3912.75"/>
    <n v="0.30000000000000004"/>
    <s v="HNS"/>
    <n v="0.25792002847650691"/>
    <n v="0.18054401993355482"/>
    <n v="4.4214862024544034E-2"/>
    <n v="3.0950403417180822E-2"/>
    <n v="0"/>
    <n v="0"/>
    <m/>
  </r>
  <r>
    <s v="CAPEX"/>
    <s v="Hughes Equipment"/>
    <x v="1"/>
    <s v="1503931-0004"/>
    <s v="TRIMAST-MOUNT"/>
    <x v="3"/>
    <x v="1"/>
    <s v="Unit"/>
    <n v="0"/>
    <x v="0"/>
    <n v="19.914285714285715"/>
    <n v="19.914285714285715"/>
    <n v="736.82857142857142"/>
    <n v="13.94"/>
    <n v="515.78"/>
    <n v="0.30000000000000004"/>
    <s v="HNS"/>
    <n v="3.3999103517375943E-2"/>
    <n v="2.3799372462163158E-2"/>
    <n v="5.8284177458358755E-3"/>
    <n v="4.0798924220851124E-3"/>
    <n v="0"/>
    <n v="0"/>
    <m/>
  </r>
  <r>
    <s v="OPEX"/>
    <s v="Hughes Services"/>
    <x v="2"/>
    <s v="HUGHES"/>
    <s v="HUGHES"/>
    <x v="4"/>
    <x v="2"/>
    <s v="Unit"/>
    <n v="0"/>
    <x v="1"/>
    <n v="65"/>
    <n v="65"/>
    <n v="8217299.9999999953"/>
    <n v="40"/>
    <n v="5056799.9999999972"/>
    <n v="0.38461538461538458"/>
    <s v="HNS"/>
    <n v="379.16666666666646"/>
    <n v="233.33333333333317"/>
    <n v="64.999999999999957"/>
    <n v="39.999999999999972"/>
    <n v="0"/>
    <n v="379.16666666666646"/>
    <m/>
  </r>
  <r>
    <s v="OPEX"/>
    <s v="Hughes Services"/>
    <x v="3"/>
    <s v="HUGHES"/>
    <s v="HUGHES"/>
    <x v="5"/>
    <x v="0"/>
    <s v="Unit"/>
    <n v="0"/>
    <x v="1"/>
    <n v="15"/>
    <n v="15"/>
    <n v="325080"/>
    <n v="9"/>
    <n v="195048"/>
    <n v="0.4"/>
    <s v="HNS"/>
    <n v="15"/>
    <n v="9"/>
    <n v="2.5714285714285712"/>
    <n v="1.5428571428571427"/>
    <n v="0"/>
    <n v="15"/>
    <m/>
  </r>
  <r>
    <s v="OPEX"/>
    <s v="3rd Party Services"/>
    <x v="4"/>
    <s v="COGENT"/>
    <s v="COGENT"/>
    <x v="6"/>
    <x v="2"/>
    <s v="Unit"/>
    <n v="0"/>
    <x v="1"/>
    <n v="6.666666666666667"/>
    <n v="6.666666666666667"/>
    <n v="842799.99999999953"/>
    <n v="5"/>
    <n v="632099.99999999965"/>
    <n v="0.25"/>
    <s v="HNS"/>
    <n v="38.888888888888872"/>
    <n v="29.166666666666647"/>
    <n v="6.6666666666666625"/>
    <n v="4.9999999999999964"/>
    <n v="0"/>
    <n v="38.888888888888872"/>
    <m/>
  </r>
  <r>
    <s v="OPEX"/>
    <s v="Hughes Services"/>
    <x v="5"/>
    <s v="HUGHES"/>
    <s v="HUGHES"/>
    <x v="7"/>
    <x v="0"/>
    <s v="Unit"/>
    <n v="0"/>
    <x v="1"/>
    <n v="12.813333333333333"/>
    <n v="12.813333333333333"/>
    <n v="277690.56"/>
    <n v="9.61"/>
    <n v="208267.91999999998"/>
    <n v="0.25"/>
    <s v="HNS"/>
    <n v="12.813333333333333"/>
    <n v="9.61"/>
    <n v="2.1965714285714286"/>
    <n v="1.647428571428571"/>
    <n v="0"/>
    <n v="12.813333333333333"/>
    <m/>
  </r>
  <r>
    <s v="OPEX"/>
    <s v="Hughes Services"/>
    <x v="6"/>
    <s v="HUGHES"/>
    <s v="HUGHES"/>
    <x v="8"/>
    <x v="2"/>
    <s v="Unit"/>
    <n v="0"/>
    <x v="1"/>
    <n v="4.6933333333333334"/>
    <n v="4.6933333333333334"/>
    <n v="593331.19999999972"/>
    <n v="3.52"/>
    <n v="444998.39999999973"/>
    <n v="0.25000000000000011"/>
    <s v="HNS"/>
    <n v="27.377777777777766"/>
    <n v="20.533333333333321"/>
    <n v="4.6933333333333307"/>
    <n v="3.5199999999999978"/>
    <n v="0"/>
    <n v="27.377777777777766"/>
    <m/>
  </r>
  <r>
    <s v="CAPEX"/>
    <s v="Hughes Equipment"/>
    <x v="7"/>
    <s v="1508787-0001"/>
    <s v="KIT, AAA, HDX, FIXED, HL1100W,CP"/>
    <x v="9"/>
    <x v="3"/>
    <s v="Unit"/>
    <n v="0"/>
    <x v="0"/>
    <n v="3426.5453932584269"/>
    <n v="3426.5453932584269"/>
    <n v="85663.634831460673"/>
    <n v="3049.6253999999999"/>
    <n v="76240.634999999995"/>
    <n v="0.1100000000000001"/>
    <s v="HNS"/>
    <n v="3.952733242500031"/>
    <n v="3.5179325858250277"/>
    <n v="0.67761141300000527"/>
    <n v="0.60307415757000471"/>
    <n v="0"/>
    <n v="0"/>
    <m/>
  </r>
  <r>
    <s v="CAPEX"/>
    <s v="Hughes Equipment"/>
    <x v="7"/>
    <s v="1508440-0001"/>
    <s v="KIT, MAST ADAPTER SHORT, AAA UT HDX"/>
    <x v="10"/>
    <x v="3"/>
    <s v="Unit"/>
    <n v="0"/>
    <x v="0"/>
    <n v="95.465393258426957"/>
    <n v="95.465393258426957"/>
    <n v="2386.6348314606739"/>
    <n v="84.964199999999991"/>
    <n v="2124.1049999999996"/>
    <n v="0.1100000000000001"/>
    <s v="HNS"/>
    <n v="0.11012526907810419"/>
    <n v="9.8011489479512715E-2"/>
    <n v="1.8878617556246431E-2"/>
    <n v="1.6801969625059324E-2"/>
    <n v="0"/>
    <n v="0"/>
    <m/>
  </r>
  <r>
    <s v="OPEX"/>
    <s v="Hughes Services"/>
    <x v="6"/>
    <s v="HUGHES"/>
    <s v="HUGHES"/>
    <x v="11"/>
    <x v="3"/>
    <s v="Unit"/>
    <n v="0"/>
    <x v="1"/>
    <n v="294"/>
    <n v="294"/>
    <n v="132300"/>
    <n v="250"/>
    <n v="112500"/>
    <n v="0.14965986394557829"/>
    <s v="HNS"/>
    <n v="6.1046511627906979"/>
    <n v="5.191029900332226"/>
    <n v="1.0465116279069766"/>
    <n v="0.88989084005695296"/>
    <n v="0"/>
    <n v="6.1046511627906979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711D40-89D9-4408-A979-99CBD308B739}" name="PivotTable1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8" indent="0" showHeaders="0" outline="1" outlineData="1" multipleFieldFilters="0">
  <location ref="B12:J25" firstHeaderRow="0" firstDataRow="1" firstDataCol="1"/>
  <pivotFields count="30">
    <pivotField axis="axisRow" showAll="0">
      <items count="3"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multipleItemSelectionAllowed="1" showAll="0">
      <items count="7">
        <item m="1" x="5"/>
        <item x="2"/>
        <item h="1" m="1" x="4"/>
        <item x="1"/>
        <item x="0"/>
        <item m="1" x="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multipleItemSelectionAllowed="1" showAll="0">
      <items count="45">
        <item m="1" x="10"/>
        <item m="1" x="33"/>
        <item m="1" x="28"/>
        <item m="1" x="27"/>
        <item m="1" x="29"/>
        <item m="1" x="36"/>
        <item m="1" x="7"/>
        <item m="1" x="34"/>
        <item m="1" x="35"/>
        <item m="1" x="25"/>
        <item m="1" x="38"/>
        <item m="1" x="32"/>
        <item m="1" x="30"/>
        <item m="1" x="40"/>
        <item m="1" x="43"/>
        <item m="1" x="41"/>
        <item x="0"/>
        <item m="1" x="31"/>
        <item m="1" x="37"/>
        <item m="1" x="39"/>
        <item x="2"/>
        <item m="1" x="26"/>
        <item m="1" x="42"/>
        <item x="1"/>
        <item m="1" x="21"/>
        <item m="1" x="22"/>
        <item m="1" x="24"/>
        <item m="1" x="11"/>
        <item x="3"/>
        <item m="1" x="12"/>
        <item m="1" x="13"/>
        <item m="1" x="14"/>
        <item m="1" x="15"/>
        <item m="1" x="16"/>
        <item m="1" x="17"/>
        <item m="1" x="18"/>
        <item m="1" x="19"/>
        <item m="1" x="23"/>
        <item m="1" x="8"/>
        <item m="1" x="9"/>
        <item m="1" x="20"/>
        <item x="4"/>
        <item x="5"/>
        <item x="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items count="7">
        <item x="3"/>
        <item x="0"/>
        <item x="1"/>
        <item x="2"/>
        <item x="5"/>
        <item x="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3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9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0"/>
    <field x="1"/>
    <field x="2"/>
  </rowFields>
  <rowItems count="13">
    <i>
      <x/>
    </i>
    <i r="1">
      <x v="4"/>
    </i>
    <i r="2">
      <x v="16"/>
    </i>
    <i r="2">
      <x v="23"/>
    </i>
    <i>
      <x v="1"/>
    </i>
    <i r="1">
      <x v="1"/>
    </i>
    <i r="2">
      <x v="41"/>
    </i>
    <i r="1">
      <x v="3"/>
    </i>
    <i r="2">
      <x v="20"/>
    </i>
    <i r="2">
      <x v="28"/>
    </i>
    <i r="2">
      <x v="42"/>
    </i>
    <i r="2">
      <x v="43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Disct. Ext. Price" fld="27" baseField="0" baseItem="0" numFmtId="174"/>
    <dataField name="Ext. Cost." fld="25" baseField="0" baseItem="0" numFmtId="174"/>
    <dataField name="% of Project" fld="26" showDataAs="percentOfTotal" baseField="0" baseItem="0" numFmtId="10"/>
    <dataField name="Monthly Price / Site" fld="17" baseField="2" baseItem="16" numFmtId="175"/>
    <dataField name="Monthly Cost / Site" fld="18" baseField="0" baseItem="0" numFmtId="175"/>
    <dataField name="Monthly Price / Mbps" fld="19" baseField="2" baseItem="4" numFmtId="175"/>
    <dataField name="Monthly Cost / Mbps" fld="20" baseField="2" baseItem="4" numFmtId="175"/>
    <dataField name="Margin" fld="29" baseField="1" baseItem="3" numFmtId="169"/>
  </dataFields>
  <formats count="10">
    <format dxfId="291">
      <pivotArea outline="0" collapsedLevelsAreSubtotals="1" fieldPosition="0"/>
    </format>
    <format dxfId="290">
      <pivotArea outline="0" fieldPosition="0">
        <references count="1">
          <reference field="4294967294" count="1">
            <x v="2"/>
          </reference>
        </references>
      </pivotArea>
    </format>
    <format dxfId="289">
      <pivotArea outline="0" fieldPosition="0">
        <references count="1">
          <reference field="4294967294" count="1">
            <x v="0"/>
          </reference>
        </references>
      </pivotArea>
    </format>
    <format dxfId="288">
      <pivotArea outline="0" fieldPosition="0">
        <references count="1">
          <reference field="4294967294" count="1">
            <x v="1"/>
          </reference>
        </references>
      </pivotArea>
    </format>
    <format dxfId="287">
      <pivotArea dataOnly="0" labelOnly="1" outline="0" fieldPosition="0">
        <references count="1">
          <reference field="4294967294" count="4">
            <x v="0"/>
            <x v="1"/>
            <x v="2"/>
            <x v="4"/>
          </reference>
        </references>
      </pivotArea>
    </format>
    <format dxfId="286">
      <pivotArea outline="0" fieldPosition="0">
        <references count="1">
          <reference field="4294967294" count="1">
            <x v="6"/>
          </reference>
        </references>
      </pivotArea>
    </format>
    <format dxfId="285">
      <pivotArea outline="0" fieldPosition="0">
        <references count="1">
          <reference field="4294967294" count="1">
            <x v="4"/>
          </reference>
        </references>
      </pivotArea>
    </format>
    <format dxfId="284">
      <pivotArea outline="0" fieldPosition="0">
        <references count="1">
          <reference field="4294967294" count="1">
            <x v="3"/>
          </reference>
        </references>
      </pivotArea>
    </format>
    <format dxfId="283">
      <pivotArea outline="0" fieldPosition="0">
        <references count="1">
          <reference field="4294967294" count="1">
            <x v="5"/>
          </reference>
        </references>
      </pivotArea>
    </format>
    <format dxfId="282">
      <pivotArea outline="0" fieldPosition="0">
        <references count="1">
          <reference field="4294967294" count="1">
            <x v="7"/>
          </reference>
        </references>
      </pivotArea>
    </format>
  </formats>
  <pivotTableStyleInfo name="PivotStyleDark12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45BE08-F98D-484F-8493-BACB736BA7BF}" name="PivotTable6" cacheId="9" applyNumberFormats="0" applyBorderFormats="0" applyFontFormats="0" applyPatternFormats="0" applyAlignmentFormats="0" applyWidthHeightFormats="1" dataCaption="Values" updatedVersion="7" minRefreshableVersion="3" useAutoFormatting="1" itemPrintTitles="1" createdVersion="8" indent="0" compact="0" compactData="0" multipleFieldFilters="0">
  <location ref="C14:C15" firstHeaderRow="1" firstDataRow="1" firstDataCol="0" rowPageCount="1" colPageCount="1"/>
  <pivotFields count="24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3" outline="0" showAll="0"/>
    <pivotField compact="0" outline="0" showAll="0"/>
    <pivotField compact="0" numFmtId="9" outline="0" showAll="0"/>
    <pivotField axis="axisPage" compact="0" outline="0" showAll="0">
      <items count="5">
        <item x="1"/>
        <item m="1" x="2"/>
        <item x="0"/>
        <item m="1" x="3"/>
        <item t="default"/>
      </items>
    </pivotField>
    <pivotField compact="0" numFmtId="165" outline="0" showAll="0"/>
    <pivotField compact="0" numFmtId="165" outline="0" showAll="0"/>
    <pivotField compact="0" numFmtId="165" outline="0" showAll="0"/>
    <pivotField compact="0" numFmtId="165" outline="0" showAll="0"/>
    <pivotField compact="0" numFmtId="165" outline="0" showAll="0"/>
    <pivotField compact="0" outline="0" showAll="0"/>
    <pivotField compact="0" outline="0" showAll="0"/>
    <pivotField compact="0" numFmtId="165" outline="0" showAll="0"/>
    <pivotField compact="0" numFmtId="165" outline="0" showAll="0"/>
    <pivotField compact="0" numFmtId="165" outline="0" showAll="0"/>
    <pivotField compact="0" numFmtId="165" outline="0" showAll="0"/>
    <pivotField compact="0" numFmtId="164" outline="0" showAll="0"/>
    <pivotField dataField="1" compact="0" numFmtId="164" outline="0" showAll="0"/>
    <pivotField compact="0" outline="0" showAll="0"/>
  </pivotFields>
  <rowItems count="1">
    <i/>
  </rowItems>
  <colItems count="1">
    <i/>
  </colItems>
  <pageFields count="1">
    <pageField fld="9" item="0" hier="-1"/>
  </pageFields>
  <dataFields count="1">
    <dataField name="  Monthly Price per Site" fld="22" baseField="0" baseItem="1478900880" numFmtId="175"/>
  </dataFields>
  <formats count="28">
    <format dxfId="168">
      <pivotArea dataOnly="0" labelOnly="1" outline="0" fieldPosition="0">
        <references count="1">
          <reference field="9" count="1">
            <x v="0"/>
          </reference>
        </references>
      </pivotArea>
    </format>
    <format dxfId="167">
      <pivotArea type="all" dataOnly="0" outline="0" fieldPosition="0"/>
    </format>
    <format dxfId="166">
      <pivotArea outline="0" collapsedLevelsAreSubtotals="1" fieldPosition="0"/>
    </format>
    <format dxfId="165">
      <pivotArea dataOnly="0" labelOnly="1" outline="0" axis="axisValues" fieldPosition="0"/>
    </format>
    <format dxfId="164">
      <pivotArea dataOnly="0" labelOnly="1" outline="0" axis="axisValues" fieldPosition="0"/>
    </format>
    <format dxfId="163">
      <pivotArea type="all" dataOnly="0" outline="0" fieldPosition="0"/>
    </format>
    <format dxfId="162">
      <pivotArea outline="0" collapsedLevelsAreSubtotals="1" fieldPosition="0"/>
    </format>
    <format dxfId="161">
      <pivotArea dataOnly="0" labelOnly="1" outline="0" axis="axisValues" fieldPosition="0"/>
    </format>
    <format dxfId="160">
      <pivotArea type="all" dataOnly="0" outline="0" fieldPosition="0"/>
    </format>
    <format dxfId="159">
      <pivotArea outline="0" collapsedLevelsAreSubtotals="1" fieldPosition="0"/>
    </format>
    <format dxfId="158">
      <pivotArea dataOnly="0" labelOnly="1" outline="0" axis="axisValues" fieldPosition="0"/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dataOnly="0" labelOnly="1" outline="0" axis="axisValues" fieldPosition="0"/>
    </format>
    <format dxfId="154">
      <pivotArea type="all" dataOnly="0" outline="0" fieldPosition="0"/>
    </format>
    <format dxfId="153">
      <pivotArea outline="0" collapsedLevelsAreSubtotals="1" fieldPosition="0"/>
    </format>
    <format dxfId="152">
      <pivotArea dataOnly="0" labelOnly="1" outline="0" axis="axisValues" fieldPosition="0"/>
    </format>
    <format dxfId="151">
      <pivotArea type="all" dataOnly="0" outline="0" fieldPosition="0"/>
    </format>
    <format dxfId="150">
      <pivotArea outline="0" collapsedLevelsAreSubtotals="1" fieldPosition="0"/>
    </format>
    <format dxfId="149">
      <pivotArea dataOnly="0" labelOnly="1" outline="0" axis="axisValues" fieldPosition="0"/>
    </format>
    <format dxfId="148">
      <pivotArea type="all" dataOnly="0" outline="0" fieldPosition="0"/>
    </format>
    <format dxfId="147">
      <pivotArea outline="0" collapsedLevelsAreSubtotals="1" fieldPosition="0"/>
    </format>
    <format dxfId="146">
      <pivotArea field="9" type="button" dataOnly="0" labelOnly="1" outline="0" axis="axisPage" fieldPosition="0"/>
    </format>
    <format dxfId="145">
      <pivotArea dataOnly="0" labelOnly="1" outline="0" axis="axisValues" fieldPosition="0"/>
    </format>
    <format dxfId="144">
      <pivotArea type="all" dataOnly="0" outline="0" fieldPosition="0"/>
    </format>
    <format dxfId="143">
      <pivotArea outline="0" collapsedLevelsAreSubtotals="1" fieldPosition="0"/>
    </format>
    <format dxfId="142">
      <pivotArea field="9" type="button" dataOnly="0" labelOnly="1" outline="0" axis="axisPage" fieldPosition="0"/>
    </format>
    <format dxfId="141">
      <pivotArea dataOnly="0" labelOnly="1" outline="0" axis="axisValues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1325A3-4489-4711-B738-6A80A74E621D}" name="PivotTable2" cacheId="9" applyNumberFormats="0" applyBorderFormats="0" applyFontFormats="0" applyPatternFormats="0" applyAlignmentFormats="0" applyWidthHeightFormats="1" dataCaption="Values" updatedVersion="7" minRefreshableVersion="3" showDrill="0" useAutoFormatting="1" itemPrintTitles="1" mergeItem="1" createdVersion="8" indent="0" compact="0" outline="1" outlineData="1" compactData="0" rowHeaderCaption="Item">
  <location ref="A20:F34" firstHeaderRow="0" firstDataRow="1" firstDataCol="2" rowPageCount="1" colPageCount="1"/>
  <pivotFields count="24">
    <pivotField compact="0" showAll="0"/>
    <pivotField compact="0" showAll="0" defaultSubtotal="0"/>
    <pivotField axis="axisRow" showAll="0" includeNewItemsInFilter="1">
      <items count="43">
        <item m="1" x="20"/>
        <item m="1" x="15"/>
        <item m="1" x="17"/>
        <item m="1" x="31"/>
        <item m="1" x="21"/>
        <item x="2"/>
        <item m="1" x="25"/>
        <item m="1" x="38"/>
        <item m="1" x="40"/>
        <item x="0"/>
        <item m="1" x="37"/>
        <item m="1" x="9"/>
        <item m="1" x="11"/>
        <item x="1"/>
        <item m="1" x="8"/>
        <item m="1" x="35"/>
        <item m="1" x="36"/>
        <item m="1" x="33"/>
        <item x="3"/>
        <item m="1" x="27"/>
        <item m="1" x="28"/>
        <item m="1" x="19"/>
        <item m="1" x="30"/>
        <item m="1" x="16"/>
        <item m="1" x="23"/>
        <item m="1" x="18"/>
        <item m="1" x="13"/>
        <item m="1" x="10"/>
        <item m="1" x="26"/>
        <item m="1" x="24"/>
        <item m="1" x="12"/>
        <item m="1" x="41"/>
        <item m="1" x="14"/>
        <item m="1" x="32"/>
        <item m="1" x="34"/>
        <item m="1" x="29"/>
        <item m="1" x="39"/>
        <item m="1" x="22"/>
        <item x="4"/>
        <item x="5"/>
        <item x="6"/>
        <item x="7"/>
        <item t="default"/>
      </items>
    </pivotField>
    <pivotField compact="0" showAll="0" defaultSubtotal="0"/>
    <pivotField compact="0" showAll="0" defaultSubtotal="0"/>
    <pivotField axis="axisRow" outline="0" showAll="0" defaultSubtotal="0">
      <items count="109">
        <item m="1" x="74"/>
        <item m="1" x="72"/>
        <item m="1" x="50"/>
        <item m="1" x="52"/>
        <item m="1" x="64"/>
        <item m="1" x="86"/>
        <item m="1" x="63"/>
        <item m="1" x="38"/>
        <item m="1" x="97"/>
        <item m="1" x="68"/>
        <item m="1" x="89"/>
        <item m="1" x="17"/>
        <item m="1" x="45"/>
        <item m="1" x="58"/>
        <item m="1" x="80"/>
        <item m="1" x="39"/>
        <item m="1" x="19"/>
        <item m="1" x="101"/>
        <item m="1" x="71"/>
        <item m="1" x="78"/>
        <item m="1" x="88"/>
        <item m="1" x="95"/>
        <item m="1" x="98"/>
        <item m="1" x="108"/>
        <item x="0"/>
        <item m="1" x="46"/>
        <item m="1" x="99"/>
        <item m="1" x="37"/>
        <item m="1" x="107"/>
        <item m="1" x="91"/>
        <item m="1" x="48"/>
        <item m="1" x="93"/>
        <item m="1" x="104"/>
        <item m="1" x="49"/>
        <item m="1" x="84"/>
        <item m="1" x="83"/>
        <item m="1" x="18"/>
        <item m="1" x="27"/>
        <item m="1" x="32"/>
        <item m="1" x="28"/>
        <item m="1" x="85"/>
        <item m="1" x="40"/>
        <item m="1" x="25"/>
        <item m="1" x="14"/>
        <item m="1" x="20"/>
        <item m="1" x="75"/>
        <item m="1" x="102"/>
        <item m="1" x="16"/>
        <item m="1" x="65"/>
        <item m="1" x="47"/>
        <item m="1" x="87"/>
        <item m="1" x="77"/>
        <item m="1" x="43"/>
        <item m="1" x="12"/>
        <item m="1" x="29"/>
        <item m="1" x="59"/>
        <item m="1" x="24"/>
        <item m="1" x="22"/>
        <item m="1" x="76"/>
        <item m="1" x="62"/>
        <item m="1" x="41"/>
        <item m="1" x="13"/>
        <item m="1" x="69"/>
        <item m="1" x="23"/>
        <item m="1" x="100"/>
        <item m="1" x="82"/>
        <item m="1" x="51"/>
        <item m="1" x="33"/>
        <item x="5"/>
        <item m="1" x="57"/>
        <item m="1" x="56"/>
        <item m="1" x="55"/>
        <item m="1" x="94"/>
        <item m="1" x="92"/>
        <item m="1" x="105"/>
        <item m="1" x="103"/>
        <item m="1" x="106"/>
        <item m="1" x="90"/>
        <item m="1" x="66"/>
        <item m="1" x="54"/>
        <item m="1" x="21"/>
        <item x="2"/>
        <item m="1" x="60"/>
        <item x="3"/>
        <item m="1" x="30"/>
        <item m="1" x="96"/>
        <item m="1" x="61"/>
        <item m="1" x="34"/>
        <item m="1" x="67"/>
        <item m="1" x="44"/>
        <item m="1" x="53"/>
        <item m="1" x="15"/>
        <item m="1" x="26"/>
        <item m="1" x="73"/>
        <item m="1" x="42"/>
        <item m="1" x="35"/>
        <item m="1" x="31"/>
        <item m="1" x="81"/>
        <item m="1" x="79"/>
        <item m="1" x="36"/>
        <item m="1" x="70"/>
        <item x="1"/>
        <item x="4"/>
        <item x="6"/>
        <item x="7"/>
        <item x="8"/>
        <item x="9"/>
        <item x="10"/>
        <item x="11"/>
      </items>
    </pivotField>
    <pivotField axis="axisRow" compact="0" numFmtId="3" showAll="0" defaultSubtotal="0">
      <items count="49">
        <item m="1" x="4"/>
        <item m="1" x="30"/>
        <item m="1" x="15"/>
        <item m="1" x="31"/>
        <item m="1" x="46"/>
        <item m="1" x="16"/>
        <item m="1" x="32"/>
        <item m="1" x="13"/>
        <item m="1" x="23"/>
        <item m="1" x="45"/>
        <item m="1" x="29"/>
        <item m="1" x="8"/>
        <item m="1" x="20"/>
        <item m="1" x="42"/>
        <item m="1" x="18"/>
        <item m="1" x="21"/>
        <item m="1" x="43"/>
        <item m="1" x="6"/>
        <item m="1" x="27"/>
        <item m="1" x="44"/>
        <item m="1" x="35"/>
        <item m="1" x="11"/>
        <item m="1" x="22"/>
        <item m="1" x="33"/>
        <item m="1" x="24"/>
        <item m="1" x="34"/>
        <item m="1" x="12"/>
        <item m="1" x="10"/>
        <item m="1" x="41"/>
        <item m="1" x="47"/>
        <item m="1" x="17"/>
        <item m="1" x="9"/>
        <item m="1" x="48"/>
        <item m="1" x="26"/>
        <item m="1" x="39"/>
        <item m="1" x="25"/>
        <item m="1" x="38"/>
        <item m="1" x="19"/>
        <item m="1" x="5"/>
        <item m="1" x="14"/>
        <item m="1" x="7"/>
        <item m="1" x="40"/>
        <item m="1" x="36"/>
        <item m="1" x="37"/>
        <item x="0"/>
        <item x="1"/>
        <item x="2"/>
        <item m="1" x="28"/>
        <item x="3"/>
      </items>
    </pivotField>
    <pivotField compact="0" showAll="0" defaultSubtotal="0"/>
    <pivotField dataField="1" compact="0" numFmtId="9" showAll="0" defaultSubtotal="0"/>
    <pivotField axis="axisPage" compact="0" multipleItemSelectionAllowed="1" showAll="0" defaultSubtotal="0">
      <items count="4">
        <item h="1" m="1" x="2"/>
        <item h="1" m="1" x="3"/>
        <item x="0"/>
        <item h="1" x="1"/>
      </items>
    </pivotField>
    <pivotField dataField="1" compact="0" numFmtId="165" showAll="0" defaultSubtotal="0"/>
    <pivotField dataField="1" compact="0" numFmtId="165" showAll="0" defaultSubtotal="0"/>
    <pivotField dataField="1" compact="0" numFmtId="165" showAll="0" defaultSubtotal="0"/>
    <pivotField compact="0" numFmtId="165" showAll="0" defaultSubtotal="0"/>
    <pivotField compact="0" numFmtId="165" showAll="0" defaultSubtotal="0"/>
    <pivotField compact="0" showAll="0" defaultSubtotal="0"/>
    <pivotField compact="0" showAll="0" defaultSubtotal="0"/>
    <pivotField compact="0" numFmtId="165" showAll="0" defaultSubtotal="0"/>
    <pivotField compact="0" numFmtId="165" showAll="0" defaultSubtotal="0"/>
    <pivotField compact="0" numFmtId="165" showAll="0" defaultSubtotal="0"/>
    <pivotField compact="0" numFmtId="165" showAll="0" defaultSubtotal="0"/>
    <pivotField compact="0" numFmtId="164" showAll="0" defaultSubtotal="0"/>
    <pivotField compact="0" numFmtId="164" showAll="0" defaultSubtotal="0"/>
    <pivotField compact="0" showAll="0" defaultSubtotal="0"/>
  </pivotFields>
  <rowFields count="3">
    <field x="2"/>
    <field x="5"/>
    <field x="6"/>
  </rowFields>
  <rowItems count="14">
    <i>
      <x v="9"/>
    </i>
    <i r="1">
      <x v="24"/>
      <x v="44"/>
    </i>
    <i r="1">
      <x v="81"/>
      <x v="44"/>
    </i>
    <i r="1">
      <x v="83"/>
      <x v="44"/>
    </i>
    <i r="1">
      <x v="101"/>
      <x v="44"/>
    </i>
    <i>
      <x v="13"/>
    </i>
    <i r="1">
      <x v="24"/>
      <x v="45"/>
    </i>
    <i r="1">
      <x v="81"/>
      <x v="45"/>
    </i>
    <i r="1">
      <x v="83"/>
      <x v="45"/>
    </i>
    <i r="1">
      <x v="101"/>
      <x v="45"/>
    </i>
    <i>
      <x v="41"/>
    </i>
    <i r="1">
      <x v="106"/>
      <x v="48"/>
    </i>
    <i r="1">
      <x v="107"/>
      <x v="48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9" hier="-1"/>
  </pageFields>
  <dataFields count="4">
    <dataField name=" Unit Price" fld="10" baseField="6" baseItem="17" numFmtId="175"/>
    <dataField name=" Discount" fld="8" subtotal="average" baseField="2" baseItem="4" numFmtId="9"/>
    <dataField name=" Unit Disc. Price" fld="11" baseField="6" baseItem="1" numFmtId="175"/>
    <dataField name=" Ext. Disc. Price" fld="12" baseField="6" baseItem="1" numFmtId="175"/>
  </dataFields>
  <formats count="113">
    <format dxfId="281">
      <pivotArea outline="0" fieldPosition="0">
        <references count="1">
          <reference field="4294967294" count="1">
            <x v="0"/>
          </reference>
        </references>
      </pivotArea>
    </format>
    <format dxfId="280">
      <pivotArea outline="0" fieldPosition="0">
        <references count="1">
          <reference field="4294967294" count="1">
            <x v="1"/>
          </reference>
        </references>
      </pivotArea>
    </format>
    <format dxfId="279">
      <pivotArea dataOnly="0" labelOnly="1" fieldPosition="0">
        <references count="1">
          <reference field="5" count="0"/>
        </references>
      </pivotArea>
    </format>
    <format dxfId="278">
      <pivotArea dataOnly="0" labelOnly="1" outline="0" fieldPosition="0">
        <references count="2">
          <reference field="2" count="1" selected="0">
            <x v="4"/>
          </reference>
          <reference field="6" count="1">
            <x v="1"/>
          </reference>
        </references>
      </pivotArea>
    </format>
    <format dxfId="277">
      <pivotArea dataOnly="0" labelOnly="1" outline="0" fieldPosition="0">
        <references count="2">
          <reference field="2" count="1" selected="0">
            <x v="4"/>
          </reference>
          <reference field="6" count="1">
            <x v="2"/>
          </reference>
        </references>
      </pivotArea>
    </format>
    <format dxfId="276">
      <pivotArea dataOnly="0" labelOnly="1" outline="0" fieldPosition="0">
        <references count="2">
          <reference field="2" count="1" selected="0">
            <x v="4"/>
          </reference>
          <reference field="6" count="1">
            <x v="8"/>
          </reference>
        </references>
      </pivotArea>
    </format>
    <format dxfId="275">
      <pivotArea dataOnly="0" labelOnly="1" outline="0" fieldPosition="0">
        <references count="2">
          <reference field="2" count="1" selected="0">
            <x v="4"/>
          </reference>
          <reference field="6" count="1">
            <x v="11"/>
          </reference>
        </references>
      </pivotArea>
    </format>
    <format dxfId="274">
      <pivotArea dataOnly="0" labelOnly="1" outline="0" fieldPosition="0">
        <references count="2">
          <reference field="2" count="1" selected="0">
            <x v="4"/>
          </reference>
          <reference field="6" count="1">
            <x v="17"/>
          </reference>
        </references>
      </pivotArea>
    </format>
    <format dxfId="273">
      <pivotArea dataOnly="0" labelOnly="1" outline="0" fieldPosition="0">
        <references count="2">
          <reference field="2" count="1" selected="0">
            <x v="4"/>
          </reference>
          <reference field="6" count="1">
            <x v="19"/>
          </reference>
        </references>
      </pivotArea>
    </format>
    <format dxfId="272">
      <pivotArea dataOnly="0" labelOnly="1" outline="0" fieldPosition="0">
        <references count="2">
          <reference field="2" count="1" selected="0">
            <x v="6"/>
          </reference>
          <reference field="6" count="1">
            <x v="1"/>
          </reference>
        </references>
      </pivotArea>
    </format>
    <format dxfId="271">
      <pivotArea dataOnly="0" labelOnly="1" outline="0" fieldPosition="0">
        <references count="3">
          <reference field="2" count="1" selected="0">
            <x v="4"/>
          </reference>
          <reference field="5" count="2">
            <x v="29"/>
            <x v="48"/>
          </reference>
          <reference field="6" count="1" selected="0">
            <x v="1"/>
          </reference>
        </references>
      </pivotArea>
    </format>
    <format dxfId="270">
      <pivotArea dataOnly="0" labelOnly="1" outline="0" fieldPosition="0">
        <references count="3">
          <reference field="2" count="1" selected="0">
            <x v="4"/>
          </reference>
          <reference field="5" count="1">
            <x v="30"/>
          </reference>
          <reference field="6" count="1" selected="0">
            <x v="2"/>
          </reference>
        </references>
      </pivotArea>
    </format>
    <format dxfId="269">
      <pivotArea dataOnly="0" labelOnly="1" outline="0" fieldPosition="0">
        <references count="3">
          <reference field="2" count="1" selected="0">
            <x v="4"/>
          </reference>
          <reference field="5" count="1">
            <x v="15"/>
          </reference>
          <reference field="6" count="1" selected="0">
            <x v="8"/>
          </reference>
        </references>
      </pivotArea>
    </format>
    <format dxfId="268">
      <pivotArea dataOnly="0" labelOnly="1" outline="0" fieldPosition="0">
        <references count="3">
          <reference field="2" count="1" selected="0">
            <x v="4"/>
          </reference>
          <reference field="5" count="1">
            <x v="36"/>
          </reference>
          <reference field="6" count="1" selected="0">
            <x v="11"/>
          </reference>
        </references>
      </pivotArea>
    </format>
    <format dxfId="267">
      <pivotArea dataOnly="0" labelOnly="1" outline="0" fieldPosition="0">
        <references count="3">
          <reference field="2" count="1" selected="0">
            <x v="4"/>
          </reference>
          <reference field="5" count="1">
            <x v="26"/>
          </reference>
          <reference field="6" count="1" selected="0">
            <x v="17"/>
          </reference>
        </references>
      </pivotArea>
    </format>
    <format dxfId="266">
      <pivotArea dataOnly="0" labelOnly="1" outline="0" fieldPosition="0">
        <references count="3">
          <reference field="2" count="1" selected="0">
            <x v="4"/>
          </reference>
          <reference field="5" count="1">
            <x v="31"/>
          </reference>
          <reference field="6" count="1" selected="0">
            <x v="19"/>
          </reference>
        </references>
      </pivotArea>
    </format>
    <format dxfId="265">
      <pivotArea dataOnly="0" labelOnly="1" outline="0" fieldPosition="0">
        <references count="3">
          <reference field="2" count="1" selected="0">
            <x v="6"/>
          </reference>
          <reference field="5" count="1">
            <x v="39"/>
          </reference>
          <reference field="6" count="1" selected="0">
            <x v="1"/>
          </reference>
        </references>
      </pivotArea>
    </format>
    <format dxfId="264">
      <pivotArea field="5" type="button" dataOnly="0" labelOnly="1" outline="0" axis="axisRow" fieldPosition="1"/>
    </format>
    <format dxfId="263">
      <pivotArea field="6" type="button" dataOnly="0" labelOnly="1" outline="0" axis="axisRow" fieldPosition="2"/>
    </format>
    <format dxfId="262">
      <pivotArea dataOnly="0" labelOnly="1" outline="0" fieldPosition="0">
        <references count="1">
          <reference field="2" count="1">
            <x v="4"/>
          </reference>
        </references>
      </pivotArea>
    </format>
    <format dxfId="261">
      <pivotArea dataOnly="0" labelOnly="1" outline="0" fieldPosition="0">
        <references count="1">
          <reference field="2" count="1">
            <x v="6"/>
          </reference>
        </references>
      </pivotArea>
    </format>
    <format dxfId="260">
      <pivotArea dataOnly="0" labelOnly="1" grandRow="1" outline="0" fieldPosition="0"/>
    </format>
    <format dxfId="259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258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257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256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255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254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253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252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251">
      <pivotArea outline="0" fieldPosition="0">
        <references count="1">
          <reference field="4294967294" count="1" selected="0">
            <x v="1"/>
          </reference>
        </references>
      </pivotArea>
    </format>
    <format dxfId="25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49">
      <pivotArea type="all" dataOnly="0" outline="0" fieldPosition="0"/>
    </format>
    <format dxfId="248">
      <pivotArea outline="0" collapsedLevelsAreSubtotals="1" fieldPosition="0"/>
    </format>
    <format dxfId="247">
      <pivotArea field="2" type="button" dataOnly="0" labelOnly="1" outline="0" axis="axisRow" fieldPosition="0"/>
    </format>
    <format dxfId="246">
      <pivotArea field="5" type="button" dataOnly="0" labelOnly="1" outline="0" axis="axisRow" fieldPosition="1"/>
    </format>
    <format dxfId="245">
      <pivotArea field="6" type="button" dataOnly="0" labelOnly="1" outline="0" axis="axisRow" fieldPosition="2"/>
    </format>
    <format dxfId="244">
      <pivotArea dataOnly="0" labelOnly="1" outline="0" fieldPosition="0">
        <references count="1">
          <reference field="2" count="2">
            <x v="4"/>
            <x v="6"/>
          </reference>
        </references>
      </pivotArea>
    </format>
    <format dxfId="243">
      <pivotArea dataOnly="0" labelOnly="1" grandRow="1" outline="0" fieldPosition="0"/>
    </format>
    <format dxfId="242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241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240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239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238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237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236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235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234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233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23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31">
      <pivotArea dataOnly="0" labelOnly="1" fieldPosition="0">
        <references count="1">
          <reference field="2" count="1">
            <x v="4"/>
          </reference>
        </references>
      </pivotArea>
    </format>
    <format dxfId="230">
      <pivotArea dataOnly="0" labelOnly="1" fieldPosition="0">
        <references count="1">
          <reference field="2" count="1">
            <x v="6"/>
          </reference>
        </references>
      </pivotArea>
    </format>
    <format dxfId="229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228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227">
      <pivotArea type="all" dataOnly="0" outline="0" fieldPosition="0"/>
    </format>
    <format dxfId="226">
      <pivotArea field="2" type="button" dataOnly="0" labelOnly="1" outline="0" axis="axisRow" fieldPosition="0"/>
    </format>
    <format dxfId="225">
      <pivotArea field="6" type="button" dataOnly="0" labelOnly="1" outline="0" axis="axisRow" fieldPosition="2"/>
    </format>
    <format dxfId="224">
      <pivotArea dataOnly="0" labelOnly="1" fieldPosition="0">
        <references count="1">
          <reference field="2" count="2">
            <x v="4"/>
            <x v="6"/>
          </reference>
        </references>
      </pivotArea>
    </format>
    <format dxfId="223">
      <pivotArea dataOnly="0" labelOnly="1" grandRow="1" outline="0" fieldPosition="0"/>
    </format>
    <format dxfId="222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221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220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219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218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217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216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215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214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213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21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11">
      <pivotArea field="9" type="button" dataOnly="0" labelOnly="1" outline="0" axis="axisPage" fieldPosition="0"/>
    </format>
    <format dxfId="210">
      <pivotArea field="2" type="button" dataOnly="0" labelOnly="1" outline="0" axis="axisRow" fieldPosition="0"/>
    </format>
    <format dxfId="209">
      <pivotArea dataOnly="0" labelOnly="1" fieldPosition="0">
        <references count="1">
          <reference field="2" count="1">
            <x v="4"/>
          </reference>
        </references>
      </pivotArea>
    </format>
    <format dxfId="208">
      <pivotArea dataOnly="0" labelOnly="1" fieldPosition="0">
        <references count="1">
          <reference field="2" count="1">
            <x v="6"/>
          </reference>
        </references>
      </pivotArea>
    </format>
    <format dxfId="207">
      <pivotArea dataOnly="0" labelOnly="1" grandRow="1" outline="0" fieldPosition="0"/>
    </format>
    <format dxfId="206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205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204">
      <pivotArea outline="0" fieldPosition="0">
        <references count="1">
          <reference field="4294967294" count="1" selected="0">
            <x v="0"/>
          </reference>
        </references>
      </pivotArea>
    </format>
    <format dxfId="203">
      <pivotArea field="2" type="button" dataOnly="0" labelOnly="1" outline="0" axis="axisRow" fieldPosition="0"/>
    </format>
    <format dxfId="202">
      <pivotArea field="6" type="button" dataOnly="0" labelOnly="1" outline="0" axis="axisRow" fieldPosition="2"/>
    </format>
    <format dxfId="201">
      <pivotArea dataOnly="0" labelOnly="1" fieldPosition="0">
        <references count="1">
          <reference field="2" count="2">
            <x v="4"/>
            <x v="6"/>
          </reference>
        </references>
      </pivotArea>
    </format>
    <format dxfId="200">
      <pivotArea dataOnly="0" labelOnly="1" grandRow="1" outline="0" fieldPosition="0"/>
    </format>
    <format dxfId="199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198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197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196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195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194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193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192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191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190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1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88">
      <pivotArea outline="0" fieldPosition="0">
        <references count="1">
          <reference field="4294967294" count="1" selected="0">
            <x v="0"/>
          </reference>
        </references>
      </pivotArea>
    </format>
    <format dxfId="18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86">
      <pivotArea type="all" dataOnly="0" outline="0" fieldPosition="0"/>
    </format>
    <format dxfId="185">
      <pivotArea outline="0" collapsedLevelsAreSubtotals="1" fieldPosition="0"/>
    </format>
    <format dxfId="184">
      <pivotArea field="2" type="button" dataOnly="0" labelOnly="1" outline="0" axis="axisRow" fieldPosition="0"/>
    </format>
    <format dxfId="183">
      <pivotArea field="6" type="button" dataOnly="0" labelOnly="1" outline="0" axis="axisRow" fieldPosition="2"/>
    </format>
    <format dxfId="182">
      <pivotArea dataOnly="0" labelOnly="1" fieldPosition="0">
        <references count="1">
          <reference field="2" count="2">
            <x v="4"/>
            <x v="6"/>
          </reference>
        </references>
      </pivotArea>
    </format>
    <format dxfId="181">
      <pivotArea dataOnly="0" labelOnly="1" grandRow="1" outline="0" fieldPosition="0"/>
    </format>
    <format dxfId="180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179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178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177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176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175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174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173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172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171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17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69">
      <pivotArea dataOnly="0" labelOnly="1" outline="0" fieldPosition="0">
        <references count="1">
          <reference field="9" count="0"/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30108F-D230-4CB6-9DB8-D798E3763ED3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A3:H15" firstHeaderRow="1" firstDataRow="2" firstDataCol="1" rowPageCount="1" colPageCount="1"/>
  <pivotFields count="2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9" showAll="0"/>
    <pivotField numFmtId="179" showAll="0"/>
    <pivotField showAll="0"/>
    <pivotField showAll="0"/>
    <pivotField showAll="0"/>
    <pivotField showAll="0"/>
    <pivotField showAll="0"/>
    <pivotField showAll="0"/>
    <pivotField showAll="0"/>
    <pivotField numFmtId="2" showAll="0"/>
    <pivotField numFmtId="2" showAll="0"/>
    <pivotField axis="axisPage" showAll="0">
      <items count="3">
        <item x="1"/>
        <item x="0"/>
        <item t="default"/>
      </items>
    </pivotField>
    <pivotField axis="axisRow" showAll="0">
      <items count="11">
        <item x="3"/>
        <item x="2"/>
        <item x="0"/>
        <item x="1"/>
        <item x="5"/>
        <item x="6"/>
        <item x="4"/>
        <item x="7"/>
        <item x="8"/>
        <item x="9"/>
        <item t="default"/>
      </items>
    </pivotField>
    <pivotField axis="axisCol" showAll="0">
      <items count="7">
        <item x="5"/>
        <item x="2"/>
        <item x="0"/>
        <item x="3"/>
        <item x="1"/>
        <item x="4"/>
        <item t="default"/>
      </items>
    </pivotField>
    <pivotField showAll="0"/>
  </pivotFields>
  <rowFields count="1">
    <field x="2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3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pageFields count="1">
    <pageField fld="21" hier="-1"/>
  </pageFields>
  <dataFields count="1">
    <dataField name="Cuenta de HUGHES ID" fld="0" subtotal="count" baseField="2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78FD37-C53B-4CEA-9B37-9A33FABE158E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A49:G55" firstHeaderRow="1" firstDataRow="2" firstDataCol="1" rowPageCount="1" colPageCount="1"/>
  <pivotFields count="2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9" showAll="0"/>
    <pivotField numFmtId="179"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numFmtId="2" showAll="0"/>
    <pivotField numFmtId="2" showAll="0"/>
    <pivotField axis="axisPage" showAll="0">
      <items count="3">
        <item x="1"/>
        <item x="0"/>
        <item t="default"/>
      </items>
    </pivotField>
    <pivotField showAll="0"/>
    <pivotField axis="axisCol" showAll="0">
      <items count="7">
        <item x="5"/>
        <item x="2"/>
        <item x="0"/>
        <item x="3"/>
        <item x="1"/>
        <item x="4"/>
        <item t="default"/>
      </items>
    </pivotField>
    <pivotField showAll="0"/>
  </pivotFields>
  <rowFields count="1">
    <field x="15"/>
  </rowFields>
  <rowItems count="5">
    <i>
      <x/>
    </i>
    <i>
      <x v="1"/>
    </i>
    <i>
      <x v="2"/>
    </i>
    <i>
      <x v="3"/>
    </i>
    <i t="grand">
      <x/>
    </i>
  </rowItems>
  <colFields count="1">
    <field x="23"/>
  </colFields>
  <colItems count="6">
    <i>
      <x/>
    </i>
    <i>
      <x v="1"/>
    </i>
    <i>
      <x v="2"/>
    </i>
    <i>
      <x v="4"/>
    </i>
    <i>
      <x v="5"/>
    </i>
    <i t="grand">
      <x/>
    </i>
  </colItems>
  <pageFields count="1">
    <pageField fld="21" item="1" hier="-1"/>
  </pageFields>
  <dataFields count="1">
    <dataField name="Cuenta de HUGHES ID" fld="0" subtotal="count" baseField="15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7E31C7-DC53-43B0-88AA-FBB294DDA55F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A36:G42" firstHeaderRow="1" firstDataRow="2" firstDataCol="1" rowPageCount="1" colPageCount="1"/>
  <pivotFields count="2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9" showAll="0"/>
    <pivotField numFmtId="179"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numFmtId="2" showAll="0"/>
    <pivotField dataField="1" numFmtId="2" showAll="0"/>
    <pivotField axis="axisPage" showAll="0">
      <items count="3">
        <item x="1"/>
        <item x="0"/>
        <item t="default"/>
      </items>
    </pivotField>
    <pivotField showAll="0"/>
    <pivotField axis="axisCol" showAll="0">
      <items count="7">
        <item x="5"/>
        <item x="2"/>
        <item x="0"/>
        <item x="3"/>
        <item x="1"/>
        <item x="4"/>
        <item t="default"/>
      </items>
    </pivotField>
    <pivotField showAll="0"/>
  </pivotFields>
  <rowFields count="1">
    <field x="15"/>
  </rowFields>
  <rowItems count="5">
    <i>
      <x/>
    </i>
    <i>
      <x v="1"/>
    </i>
    <i>
      <x v="2"/>
    </i>
    <i>
      <x v="3"/>
    </i>
    <i t="grand">
      <x/>
    </i>
  </rowItems>
  <colFields count="1">
    <field x="23"/>
  </colFields>
  <colItems count="6">
    <i>
      <x/>
    </i>
    <i>
      <x v="1"/>
    </i>
    <i>
      <x v="2"/>
    </i>
    <i>
      <x v="4"/>
    </i>
    <i>
      <x v="5"/>
    </i>
    <i t="grand">
      <x/>
    </i>
  </colItems>
  <pageFields count="1">
    <pageField fld="21" item="1" hier="-1"/>
  </pageFields>
  <dataFields count="1">
    <dataField name="Suma de TOTAL CAPACITY" fld="20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363792-68FF-4379-AA59-2DB42DA95B7C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A23:H29" firstHeaderRow="1" firstDataRow="2" firstDataCol="1" rowPageCount="1" colPageCount="1"/>
  <pivotFields count="2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9" showAll="0"/>
    <pivotField numFmtId="179"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numFmtId="2" showAll="0"/>
    <pivotField numFmtId="2" showAll="0"/>
    <pivotField axis="axisPage" showAll="0">
      <items count="3">
        <item x="1"/>
        <item x="0"/>
        <item t="default"/>
      </items>
    </pivotField>
    <pivotField showAll="0"/>
    <pivotField axis="axisCol" showAll="0">
      <items count="7">
        <item x="5"/>
        <item x="2"/>
        <item x="0"/>
        <item x="3"/>
        <item x="1"/>
        <item x="4"/>
        <item t="default"/>
      </items>
    </pivotField>
    <pivotField showAll="0"/>
  </pivotFields>
  <rowFields count="1">
    <field x="15"/>
  </rowFields>
  <rowItems count="5">
    <i>
      <x/>
    </i>
    <i>
      <x v="1"/>
    </i>
    <i>
      <x v="2"/>
    </i>
    <i>
      <x v="3"/>
    </i>
    <i t="grand">
      <x/>
    </i>
  </rowItems>
  <colFields count="1">
    <field x="23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pageFields count="1">
    <pageField fld="21" hier="-1"/>
  </pageFields>
  <dataFields count="1">
    <dataField name="Cuenta de HUGHES ID" fld="0" subtotal="count" baseField="2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171ABB-8E3D-4D70-9D05-96F8A27AD49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2:G11" firstHeaderRow="1" firstDataRow="2" firstDataCol="1"/>
  <pivotFields count="6">
    <pivotField dataField="1" showAll="0"/>
    <pivotField showAll="0"/>
    <pivotField showAll="0"/>
    <pivotField showAll="0"/>
    <pivotField axis="axisRow" showAll="0">
      <items count="9">
        <item h="1" x="6"/>
        <item x="0"/>
        <item x="1"/>
        <item x="7"/>
        <item x="2"/>
        <item x="3"/>
        <item x="4"/>
        <item x="5"/>
        <item t="default"/>
      </items>
    </pivotField>
    <pivotField axis="axisCol" showAll="0">
      <items count="6">
        <item x="0"/>
        <item x="1"/>
        <item h="1" x="3"/>
        <item x="4"/>
        <item x="2"/>
        <item t="default"/>
      </items>
    </pivotField>
  </pivotFields>
  <rowFields count="1">
    <field x="4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5"/>
  </colFields>
  <colItems count="5">
    <i>
      <x/>
    </i>
    <i>
      <x v="1"/>
    </i>
    <i>
      <x v="3"/>
    </i>
    <i>
      <x v="4"/>
    </i>
    <i t="grand">
      <x/>
    </i>
  </colItems>
  <dataFields count="1">
    <dataField name="Count of Hughes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F88BB1-1A65-4D09-91A4-15FB90B41729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3:D16" firstHeaderRow="1" firstDataRow="2" firstDataCol="1"/>
  <pivotFields count="6">
    <pivotField dataField="1" showAll="0"/>
    <pivotField showAll="0"/>
    <pivotField showAll="0"/>
    <pivotField showAll="0"/>
    <pivotField axis="axisRow" showAll="0">
      <items count="9">
        <item x="6"/>
        <item h="1" x="0"/>
        <item h="1" x="1"/>
        <item h="1" x="7"/>
        <item h="1" x="2"/>
        <item h="1" x="3"/>
        <item h="1" x="4"/>
        <item h="1" x="5"/>
        <item t="default"/>
      </items>
    </pivotField>
    <pivotField axis="axisCol" showAll="0">
      <items count="6">
        <item h="1" x="0"/>
        <item h="1" x="1"/>
        <item x="3"/>
        <item h="1" x="4"/>
        <item h="1" x="2"/>
        <item t="default"/>
      </items>
    </pivotField>
  </pivotFields>
  <rowFields count="1">
    <field x="4"/>
  </rowFields>
  <rowItems count="2">
    <i>
      <x/>
    </i>
    <i t="grand">
      <x/>
    </i>
  </rowItems>
  <colFields count="1">
    <field x="5"/>
  </colFields>
  <colItems count="2">
    <i>
      <x v="2"/>
    </i>
    <i t="grand">
      <x/>
    </i>
  </colItems>
  <dataFields count="1">
    <dataField name="Count of Hughes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linkedentity">
      <keyFlags>
        <key name="%cvi">
          <flag name="ShowInCardView" value="0"/>
          <flag name="ShowInDotNotation" value="0"/>
          <flag name="ShowInAutoComplete" value="0"/>
          <flag name="ExcludeFromCalcComparison" value="1"/>
        </key>
      </keyFlags>
    </type>
    <type name="_linkedentitycore">
      <keyFlags>
        <key name="%EntityServiceId">
          <flag name="ShowInCardView" value="0"/>
          <flag name="ShowInDotNotation" value="0"/>
          <flag name="ShowInAutoComplete" value="0"/>
        </key>
        <key name="%EntitySubDomainId">
          <flag name="ShowInCardView" value="0"/>
          <flag name="ShowInDotNotation" value="0"/>
          <flag name="ShowInAutoComplete" value="0"/>
        </key>
        <key name="%EntityCulture">
          <flag name="ShowInCardView" value="0"/>
          <flag name="ShowInDotNotation" value="0"/>
          <flag name="ShowInAutoComplete" value="0"/>
        </key>
        <key name="%EntityId">
          <flag name="ShowInCardView" value="0"/>
          <flag name="ShowInDotNotation" value="0"/>
          <flag name="ShowInAutoComplete" value="0"/>
        </key>
        <key name="%IsRefreshable">
          <flag name="ShowInCardView" value="0"/>
          <flag name="ShowInAutoComplete" value="0"/>
          <flag name="ExcludeFromCalcComparison" value="1"/>
        </key>
        <key name="%ProviderInfo">
          <flag name="ShowInCardView" value="0"/>
          <flag name="ShowInDotNotation" value="0"/>
          <flag name="ShowInAutoComplete" value="0"/>
        </key>
        <key name="%DataProviderExternalLinkLogo">
          <flag name="ShowInCardView" value="0"/>
          <flag name="ShowInDotNotation" value="0"/>
          <flag name="ShowInAutoComplete" value="0"/>
        </key>
        <key name="%DataProviderExternalLink">
          <flag name="ShowInCardView" value="0"/>
          <flag name="ShowInDotNotation" value="0"/>
          <flag name="ShowInAutoComplete" value="0"/>
        </key>
        <key name="%OutdatedReason">
          <flag name="ShowInCardView" value="0"/>
          <flag name="ShowInDotNotation" value="0"/>
          <flag name="ShowInAutoComplete" value="0"/>
          <flag name="ExcludeFromCalcComparison" value="1"/>
        </key>
      </keyFlags>
    </type>
  </types>
</rvTypesInfo>
</file>

<file path=xl/richData/rdrichvalue.xml><?xml version="1.0" encoding="utf-8"?>
<rvData xmlns="http://schemas.microsoft.com/office/spreadsheetml/2017/richdata" count="2">
  <rv s="0">
    <v>en-US</v>
    <v>avyrnm</v>
    <v>268435456</v>
    <v>1</v>
    <v>Powered by Refinitiv</v>
    <v>0</v>
    <v>USD/PEN</v>
    <v>2</v>
    <v>3</v>
    <v>Finance</v>
    <v>4</v>
    <v>3.8513000000000002</v>
    <v>3.61</v>
    <v>-1.7000000000000001E-2</v>
    <v>-4.6080000000000001E-3</v>
    <v>PEN</v>
    <v>USD</v>
    <v>3.6890000000000001</v>
    <v>Currency Pair</v>
    <v>45771.755740740744</v>
    <v>3.6720000000000002</v>
    <v>US Dollar/Peruvian Sol FX Spot Rate</v>
    <v>3.6852999999999998</v>
    <v>3.6890000000000001</v>
    <v>3.6720000000000002</v>
    <v>USDPEN</v>
    <v>USD/PEN</v>
  </rv>
  <rv s="1">
    <v>0</v>
  </rv>
</rvData>
</file>

<file path=xl/richData/rdrichvaluestructure.xml><?xml version="1.0" encoding="utf-8"?>
<rvStructures xmlns="http://schemas.microsoft.com/office/spreadsheetml/2017/richdata" count="2">
  <s t="_linkedentitycore">
    <k n="%EntityCulture" t="s"/>
    <k n="%EntityId" t="s"/>
    <k n="%EntityServiceId"/>
    <k n="%IsRefreshable" t="b"/>
    <k n="%ProviderInfo" t="s"/>
    <k n="_Display" t="spb"/>
    <k n="_DisplayString" t="s"/>
    <k n="_Flags" t="spb"/>
    <k n="_Format" t="spb"/>
    <k n="_Icon" t="s"/>
    <k n="_SubLabel" t="spb"/>
    <k n="52 week high"/>
    <k n="52 week low"/>
    <k n="Change"/>
    <k n="Change (%)"/>
    <k n="Currency" t="s"/>
    <k n="From currency" t="s"/>
    <k n="High"/>
    <k n="Instrument type" t="s"/>
    <k n="Last trade time"/>
    <k n="Low"/>
    <k n="Name" t="s"/>
    <k n="Open"/>
    <k n="Previous close"/>
    <k n="Price"/>
    <k n="Ticker symbol" t="s"/>
    <k n="UniqueName" t="s"/>
  </s>
  <s t="_linkedentity">
    <k n="%cvi" t="r"/>
  </s>
</rvStructures>
</file>

<file path=xl/richData/rdsupportingpropertybag.xml><?xml version="1.0" encoding="utf-8"?>
<supportingPropertyBags xmlns="http://schemas.microsoft.com/office/spreadsheetml/2017/richdata2">
  <spbArrays count="1">
    <a count="27">
      <v t="s">%EntityServiceId</v>
      <v t="s">_Format</v>
      <v t="s">%IsRefreshable</v>
      <v t="s">%EntityCulture</v>
      <v t="s">%EntityId</v>
      <v t="s">_Icon</v>
      <v t="s">_Display</v>
      <v t="s">Name</v>
      <v t="s">Price</v>
      <v t="s">_SubLabel</v>
      <v t="s">Last trade time</v>
      <v t="s">Ticker symbol</v>
      <v t="s">Change</v>
      <v t="s">Change (%)</v>
      <v t="s">Currency</v>
      <v t="s">From currency</v>
      <v t="s">Previous close</v>
      <v t="s">Open</v>
      <v t="s">High</v>
      <v t="s">Low</v>
      <v t="s">52 week high</v>
      <v t="s">52 week low</v>
      <v t="s">Instrument type</v>
      <v t="s">_Flags</v>
      <v t="s">UniqueName</v>
      <v t="s">_DisplayString</v>
      <v t="s">%ProviderInfo</v>
    </a>
  </spbArrays>
  <spbData count="5">
    <spb s="0">
      <v>0</v>
      <v>Name</v>
    </spb>
    <spb s="1">
      <v>0</v>
      <v>0</v>
      <v>0</v>
    </spb>
    <spb s="2">
      <v>1</v>
      <v>1</v>
    </spb>
    <spb s="3">
      <v>1</v>
      <v>1</v>
      <v>2</v>
      <v>1</v>
      <v>1</v>
      <v>1</v>
      <v>3</v>
      <v>1</v>
      <v>1</v>
      <v>1</v>
      <v>4</v>
      <v>5</v>
    </spb>
    <spb s="4">
      <v>GMT</v>
    </spb>
  </spbData>
</supportingPropertyBags>
</file>

<file path=xl/richData/rdsupportingpropertybagstructure.xml><?xml version="1.0" encoding="utf-8"?>
<spbStructures xmlns="http://schemas.microsoft.com/office/spreadsheetml/2017/richdata2" count="5">
  <s>
    <k n="^Order" t="spba"/>
    <k n="TitleProperty" t="s"/>
  </s>
  <s>
    <k n="ShowInCardView" t="b"/>
    <k n="ShowInDotNotation" t="b"/>
    <k n="ShowInAutoComplete" t="b"/>
  </s>
  <s>
    <k n="UniqueName" t="spb"/>
    <k n="`%ProviderInfo" t="spb"/>
  </s>
  <s>
    <k n="Low" t="i"/>
    <k n="High" t="i"/>
    <k n="Name" t="i"/>
    <k n="Open" t="i"/>
    <k n="Price" t="i"/>
    <k n="Change" t="i"/>
    <k n="Change (%)" t="i"/>
    <k n="52 week low" t="i"/>
    <k n="52 week high" t="i"/>
    <k n="Previous close" t="i"/>
    <k n="Last trade time" t="i"/>
    <k n="`%EntityServiceId" t="i"/>
  </s>
  <s>
    <k n="Last trade ti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4">
    <x:dxf>
      <x:numFmt numFmtId="0" formatCode="General"/>
    </x:dxf>
    <x:dxf>
      <x:numFmt numFmtId="14" formatCode="0.00%"/>
    </x:dxf>
    <x:dxf>
      <x:numFmt numFmtId="27" formatCode="d/mm/yyyy\ hh:mm"/>
    </x:dxf>
    <x:dxf>
      <x:numFmt numFmtId="2" formatCode="0.00"/>
    </x:dxf>
  </dxfs>
  <richProperties>
    <rPr n="NumberFormat" t="s"/>
    <rPr n="IsTitleField" t="b"/>
  </richProperties>
  <richStyles>
    <rSty dxfid="0">
      <rpv i="0">_-[$S/-es-PE] * #,##0.00_-;-[$S/-es-PE] * #,##0.00_-;_-[$S/-es-PE] * "-"??_-;_-@_-</rpv>
    </rSty>
    <rSty>
      <rpv i="1">1</rpv>
    </rSty>
    <rSty dxfid="1"/>
    <rSty dxfid="2"/>
    <rSty dxfid="3">
      <rpv i="0">0.00</rpv>
    </rSty>
  </richStyles>
</richStyleShee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B25167-0865-4499-940C-1EE867D43FA6}" name="Table1" displayName="Table1" ref="A24:X40" totalsRowShown="0" headerRowDxfId="317" dataDxfId="316">
  <autoFilter ref="A24:X40" xr:uid="{D9B25167-0865-4499-940C-1EE867D43FA6}"/>
  <tableColumns count="24">
    <tableColumn id="1" xr3:uid="{2705889D-3DA4-4EF4-AB9F-467FA890FC67}" name="Type" dataDxfId="315"/>
    <tableColumn id="2" xr3:uid="{00932E24-F67B-4DD1-9399-836F67A1E73D}" name="Category" dataDxfId="314"/>
    <tableColumn id="3" xr3:uid="{F7171380-87A8-40CC-B230-54FF8BA2BE4F}" name="Subcategory" dataDxfId="313"/>
    <tableColumn id="4" xr3:uid="{C898460D-CAF5-448B-BE85-63E8C69FFD95}" name="Manufacturer Part #" dataDxfId="312"/>
    <tableColumn id="5" xr3:uid="{6AA1ED7A-E035-4821-8ADA-58E9012A0693}" name="Product Code" dataDxfId="311"/>
    <tableColumn id="6" xr3:uid="{91634C05-5A2D-41B9-8CD5-E97640E5B31B}" name="Description" dataDxfId="310"/>
    <tableColumn id="7" xr3:uid="{B7B03007-F4B4-4DAF-8CEE-9B88FA537198}" name="Qty" dataDxfId="309"/>
    <tableColumn id="22" xr3:uid="{51F86B8B-8351-43D4-966D-311CF2E16BBB}" name="Unit of Measure" dataDxfId="308"/>
    <tableColumn id="15" xr3:uid="{E1CA72ED-5BCD-4144-98A2-BC6838ECD1C7}" name="Discount" dataDxfId="307" dataCellStyle="Porcentaje"/>
    <tableColumn id="23" xr3:uid="{AD2B6EF2-B7B1-4460-BE07-AD9904439E9E}" name="Finance?" dataDxfId="306"/>
    <tableColumn id="26" xr3:uid="{3B98063B-191A-4791-8E64-2144DB8F34EA}" name="Unit Price" dataDxfId="305"/>
    <tableColumn id="17" xr3:uid="{27E6A421-6000-4452-AF4D-83F495028D7E}" name="Unit Disc. Price" dataDxfId="304">
      <calculatedColumnFormula>Table1[[#This Row],[Unit Price]]*(1-Table1[[#This Row],[Discount]])</calculatedColumnFormula>
    </tableColumn>
    <tableColumn id="16" xr3:uid="{B7A3CEFA-F34C-4092-8D55-23699B6A9A8E}" name="Ext. Disc. Price" dataDxfId="303">
      <calculatedColumnFormula>IF(Table1[[#This Row],[Type]]="OPEX",$C$19,1)*Table1[[#This Row],[Unit Disc. Price]]*Table1[[#This Row],[Qty]]</calculatedColumnFormula>
    </tableColumn>
    <tableColumn id="10" xr3:uid="{766035EE-1916-4F09-8438-D90E209CEE7E}" name="Unit Cost" dataDxfId="302"/>
    <tableColumn id="11" xr3:uid="{19884C30-8875-49CB-8A2C-EDAF8A2C9194}" name="Ext. Cost" dataDxfId="301">
      <calculatedColumnFormula>IF(Table1[[#This Row],[Type]]="OPEX",$C$19,1)*Table1[[#This Row],[Unit Cost]]*Table1[[#This Row],[Qty]]</calculatedColumnFormula>
    </tableColumn>
    <tableColumn id="12" xr3:uid="{6AA2A8A2-E226-4832-B835-ED90DC56AD6E}" name="Profit Margin" dataDxfId="300">
      <calculatedColumnFormula>1-(Table1[[#This Row],[Ext. Cost]]/Table1[[#This Row],[Ext. Disc. Price]])</calculatedColumnFormula>
    </tableColumn>
    <tableColumn id="13" xr3:uid="{31864868-80A5-4593-A4E9-B9691234E225}" name="Owner" dataDxfId="299"/>
    <tableColumn id="20" xr3:uid="{A0380E78-4D2A-45B7-A283-DF984590C586}" name="Monthly Price per Site" dataDxfId="298">
      <calculatedColumnFormula>Table1[[#This Row],[Ext. Disc. Price]]/$C$7/$C$19</calculatedColumnFormula>
    </tableColumn>
    <tableColumn id="18" xr3:uid="{B043EF5D-2240-45CD-A20F-015B5C358597}" name="Monthly Cost per Site" dataDxfId="297">
      <calculatedColumnFormula>Table1[[#This Row],[Ext. Cost]]/$C$7/$C$19</calculatedColumnFormula>
    </tableColumn>
    <tableColumn id="21" xr3:uid="{D8C5B6B1-FF26-4725-B8A7-2E547E9F502B}" name="Monthly Price per Mbps" dataDxfId="296">
      <calculatedColumnFormula>Table1[[#This Row],[Ext. Disc. Price]]/$C$13/$C$19</calculatedColumnFormula>
    </tableColumn>
    <tableColumn id="19" xr3:uid="{B2D752C1-EB9D-44EA-93B5-CCFE6EE9791B}" name="Monthly Cost per Mbps" dataDxfId="295">
      <calculatedColumnFormula>Table1[[#This Row],[Ext. Cost]]/$C$13/$C$19</calculatedColumnFormula>
    </tableColumn>
    <tableColumn id="24" xr3:uid="{197CE91D-4277-4A6D-A3BC-A3CDA0CD2F17}" name="Financed CAPEX" dataDxfId="294">
      <calculatedColumnFormula>IF(AND(Table1[[#This Row],[Type]]="CAPEX",Table1[[#This Row],[Finance?]]="MRC"),PMT($C$21/12,$C$19,-Table1[[#This Row],[Ext. Disc. Price]]),0)</calculatedColumnFormula>
    </tableColumn>
    <tableColumn id="25" xr3:uid="{C11FB01A-CE3F-4A75-A217-03973DFEF1A0}" name="Financed Monthly Price per Site" dataDxfId="293">
      <calculatedColumnFormula>IF(AND(Table1[[#This Row],[Type]]="CAPEX",Table1[[#This Row],[Finance?]]="MRC"),PMT($C$21/12,$C$19,-Table1[[#This Row],[Ext. Disc. Price]])/$C$7,IF(Table1[[#This Row],[Type]]="OPEX",Table1[[#This Row],[Ext. Disc. Price]]/$C$7/$C$19,0))</calculatedColumnFormula>
    </tableColumn>
    <tableColumn id="14" xr3:uid="{9BB5BBD1-6235-4439-9FB0-77F21C2AE234}" name="Notes" dataDxfId="29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7" dT="2023-07-19T15:47:09.79" personId="{770C1132-3992-4262-9B0F-7860D492C0F8}" id="{9308ADC0-CA01-47E7-9BBC-E18A736C7F26}">
    <text>Added $3M for Call Center</text>
  </threadedComment>
  <threadedComment ref="I15" dT="2023-07-19T16:36:21.87" personId="{770C1132-3992-4262-9B0F-7860D492C0F8}" id="{F36818F9-0A6F-4D87-AA61-572D711CBBD1}">
    <text>6 Kbps</text>
  </threadedComment>
  <threadedComment ref="I16" dT="2023-07-19T16:36:21.87" personId="{770C1132-3992-4262-9B0F-7860D492C0F8}" id="{2C1F3146-8DC4-4721-80A7-05FDD5C47BD8}">
    <text>6 Kbps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pivotTable" Target="../pivotTables/pivot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8E6D9-AA25-400F-A8E8-45A3389E9ADC}">
  <sheetPr>
    <tabColor rgb="FF92D050"/>
  </sheetPr>
  <dimension ref="B2:F6"/>
  <sheetViews>
    <sheetView workbookViewId="0">
      <selection activeCell="E7" sqref="E7"/>
    </sheetView>
  </sheetViews>
  <sheetFormatPr baseColWidth="10" defaultColWidth="8.85546875" defaultRowHeight="15" x14ac:dyDescent="0.25"/>
  <cols>
    <col min="2" max="2" width="7.85546875" bestFit="1" customWidth="1"/>
    <col min="3" max="3" width="17.42578125" bestFit="1" customWidth="1"/>
    <col min="4" max="4" width="72.42578125" bestFit="1" customWidth="1"/>
    <col min="5" max="5" width="9.7109375" bestFit="1" customWidth="1"/>
    <col min="6" max="6" width="156.42578125" bestFit="1" customWidth="1"/>
  </cols>
  <sheetData>
    <row r="2" spans="2:6" x14ac:dyDescent="0.25">
      <c r="B2" t="s">
        <v>319</v>
      </c>
      <c r="C2" t="s">
        <v>320</v>
      </c>
      <c r="D2" t="s">
        <v>321</v>
      </c>
      <c r="E2" t="s">
        <v>322</v>
      </c>
      <c r="F2" t="s">
        <v>324</v>
      </c>
    </row>
    <row r="3" spans="2:6" x14ac:dyDescent="0.25">
      <c r="B3" s="404">
        <v>1</v>
      </c>
      <c r="C3" s="116" t="s">
        <v>654</v>
      </c>
      <c r="D3" s="116" t="s">
        <v>323</v>
      </c>
      <c r="E3" s="288">
        <v>45309</v>
      </c>
      <c r="F3" s="116"/>
    </row>
    <row r="4" spans="2:6" x14ac:dyDescent="0.25">
      <c r="B4" s="404">
        <v>1.1000000000000001</v>
      </c>
      <c r="C4" s="116" t="s">
        <v>604</v>
      </c>
      <c r="D4" t="s">
        <v>605</v>
      </c>
      <c r="E4" s="288">
        <v>45336</v>
      </c>
    </row>
    <row r="5" spans="2:6" x14ac:dyDescent="0.25">
      <c r="B5" s="404">
        <v>1.2</v>
      </c>
      <c r="C5" s="116" t="s">
        <v>654</v>
      </c>
      <c r="D5" t="s">
        <v>652</v>
      </c>
      <c r="E5" s="295">
        <v>45337</v>
      </c>
      <c r="F5" s="402" t="s">
        <v>653</v>
      </c>
    </row>
    <row r="6" spans="2:6" x14ac:dyDescent="0.25">
      <c r="B6" s="403">
        <v>1.3</v>
      </c>
      <c r="C6" s="116" t="s">
        <v>654</v>
      </c>
      <c r="D6" t="s">
        <v>655</v>
      </c>
      <c r="E6" s="295">
        <v>45353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4A450-E6AD-461C-BEC3-19D84149130E}">
  <sheetPr>
    <tabColor rgb="FF92D050"/>
  </sheetPr>
  <dimension ref="A1:R192"/>
  <sheetViews>
    <sheetView topLeftCell="A17" zoomScale="90" zoomScaleNormal="90" workbookViewId="0">
      <selection activeCell="A61" sqref="A61:E61"/>
    </sheetView>
  </sheetViews>
  <sheetFormatPr baseColWidth="10" defaultColWidth="11.5703125" defaultRowHeight="12" outlineLevelRow="3" x14ac:dyDescent="0.2"/>
  <cols>
    <col min="1" max="2" width="11.28515625" style="4" customWidth="1"/>
    <col min="3" max="3" width="35" style="4" bestFit="1" customWidth="1"/>
    <col min="4" max="4" width="12" style="4" customWidth="1"/>
    <col min="5" max="5" width="39.140625" style="71" customWidth="1"/>
    <col min="6" max="6" width="7" style="3" bestFit="1" customWidth="1"/>
    <col min="7" max="7" width="17.5703125" style="48" customWidth="1"/>
    <col min="8" max="8" width="21.140625" style="48" customWidth="1"/>
    <col min="9" max="10" width="16.28515625" style="48" customWidth="1"/>
    <col min="11" max="11" width="21.5703125" style="48" customWidth="1"/>
    <col min="12" max="12" width="26.5703125" style="48" customWidth="1"/>
    <col min="13" max="13" width="11.5703125" style="48"/>
    <col min="14" max="14" width="17.85546875" style="4" bestFit="1" customWidth="1"/>
    <col min="15" max="16" width="15.85546875" style="4" bestFit="1" customWidth="1"/>
    <col min="17" max="17" width="11.5703125" style="4" customWidth="1"/>
    <col min="18" max="16384" width="11.5703125" style="4"/>
  </cols>
  <sheetData>
    <row r="1" spans="1:13" ht="23.25" x14ac:dyDescent="0.2">
      <c r="A1" s="168" t="s">
        <v>157</v>
      </c>
      <c r="B1" s="168"/>
      <c r="C1" s="168"/>
      <c r="D1" s="168"/>
      <c r="E1" s="168"/>
      <c r="F1" s="168"/>
      <c r="G1" s="156"/>
      <c r="H1" s="156"/>
      <c r="I1" s="156"/>
      <c r="J1" s="156"/>
      <c r="K1" s="156"/>
      <c r="L1" s="156"/>
    </row>
    <row r="4" spans="1:13" ht="15" x14ac:dyDescent="0.25">
      <c r="A4" s="259"/>
      <c r="B4" s="259"/>
      <c r="C4" s="169" t="s">
        <v>90</v>
      </c>
      <c r="D4" s="169"/>
      <c r="G4" s="116"/>
      <c r="H4" s="109" t="s">
        <v>74</v>
      </c>
      <c r="I4" s="109" t="s">
        <v>73</v>
      </c>
      <c r="J4" s="109" t="s">
        <v>145</v>
      </c>
      <c r="L4" s="48" t="s">
        <v>212</v>
      </c>
      <c r="M4" s="134" t="e">
        <f>#REF!+#REF!+#REF!+#REF!+#REF!+#REF!+#REF!+#REF!+#REF!</f>
        <v>#REF!</v>
      </c>
    </row>
    <row r="5" spans="1:13" ht="15" x14ac:dyDescent="0.25">
      <c r="A5" s="259"/>
      <c r="B5" s="259"/>
      <c r="C5" s="50" t="s">
        <v>91</v>
      </c>
      <c r="D5" s="51" t="e">
        <f>#REF!+#REF!</f>
        <v>#REF!</v>
      </c>
      <c r="G5" s="217" t="s">
        <v>0</v>
      </c>
      <c r="H5" s="110" t="e">
        <f>SUMIF(A23:A132,"CAPEX",H23:H132)</f>
        <v>#REF!</v>
      </c>
      <c r="I5" s="110" t="e">
        <f>SUMIF(A23:A132,"CAPEX",J23:J132)</f>
        <v>#REF!</v>
      </c>
      <c r="J5" s="111" t="e">
        <f>1-(I5/H5)</f>
        <v>#REF!</v>
      </c>
      <c r="L5" s="48" t="s">
        <v>213</v>
      </c>
      <c r="M5" s="134" t="e">
        <f>#REF!-J84</f>
        <v>#REF!</v>
      </c>
    </row>
    <row r="6" spans="1:13" ht="24" x14ac:dyDescent="0.25">
      <c r="A6" s="259"/>
      <c r="B6" s="259"/>
      <c r="C6" s="50" t="s">
        <v>92</v>
      </c>
      <c r="D6" s="52" t="e">
        <f>#REF!+#REF!</f>
        <v>#REF!</v>
      </c>
      <c r="G6" s="217" t="s">
        <v>1</v>
      </c>
      <c r="H6" s="110" t="e">
        <f>SUMIF(A23:A132,"OPEX",H23:H132)</f>
        <v>#REF!</v>
      </c>
      <c r="I6" s="110" t="e">
        <f>SUMIF(A23:A132,"OPEX",J23:J132)</f>
        <v>#REF!</v>
      </c>
      <c r="J6" s="111" t="e">
        <f>1-(I6/H6)</f>
        <v>#REF!</v>
      </c>
      <c r="L6" s="41" t="s">
        <v>11</v>
      </c>
      <c r="M6" s="134" t="e">
        <f>J84</f>
        <v>#REF!</v>
      </c>
    </row>
    <row r="7" spans="1:13" ht="15" x14ac:dyDescent="0.25">
      <c r="A7" s="259"/>
      <c r="B7" s="259"/>
      <c r="C7" s="50" t="s">
        <v>93</v>
      </c>
      <c r="D7" s="53" t="e">
        <f>D5+D6</f>
        <v>#REF!</v>
      </c>
      <c r="G7" s="116"/>
      <c r="H7" s="112" t="e">
        <f>SUM(H5:H6)</f>
        <v>#REF!</v>
      </c>
      <c r="I7" s="112" t="e">
        <f>SUM(I5:I6)</f>
        <v>#REF!</v>
      </c>
      <c r="J7" s="113" t="e">
        <f>1-(I7/H7)</f>
        <v>#REF!</v>
      </c>
      <c r="L7" s="48" t="s">
        <v>214</v>
      </c>
      <c r="M7" s="134" t="e">
        <f>#REF!</f>
        <v>#REF!</v>
      </c>
    </row>
    <row r="8" spans="1:13" x14ac:dyDescent="0.2">
      <c r="A8" s="259"/>
      <c r="B8" s="259"/>
      <c r="C8" s="50" t="s">
        <v>98</v>
      </c>
      <c r="D8" s="57">
        <v>0.05</v>
      </c>
      <c r="L8" s="48" t="s">
        <v>218</v>
      </c>
      <c r="M8" s="134" t="e">
        <f>#REF!</f>
        <v>#REF!</v>
      </c>
    </row>
    <row r="9" spans="1:13" x14ac:dyDescent="0.2">
      <c r="A9" s="259"/>
      <c r="B9" s="259"/>
      <c r="C9" s="50" t="s">
        <v>99</v>
      </c>
      <c r="D9" s="54"/>
      <c r="L9" s="48" t="s">
        <v>18</v>
      </c>
      <c r="M9" s="134" t="e">
        <f>#REF!</f>
        <v>#REF!</v>
      </c>
    </row>
    <row r="10" spans="1:13" x14ac:dyDescent="0.2">
      <c r="A10" s="259"/>
      <c r="B10" s="259"/>
      <c r="C10" s="50" t="s">
        <v>94</v>
      </c>
      <c r="D10" s="51" t="e">
        <f>D5*2.5</f>
        <v>#REF!</v>
      </c>
      <c r="L10" s="48" t="s">
        <v>8</v>
      </c>
      <c r="M10" s="134" t="e">
        <f>#REF!</f>
        <v>#REF!</v>
      </c>
    </row>
    <row r="11" spans="1:13" x14ac:dyDescent="0.2">
      <c r="A11" s="259"/>
      <c r="B11" s="259"/>
      <c r="C11" s="50" t="s">
        <v>100</v>
      </c>
      <c r="D11" s="51" t="e">
        <f>D6*2.5</f>
        <v>#REF!</v>
      </c>
    </row>
    <row r="12" spans="1:13" ht="15" x14ac:dyDescent="0.2">
      <c r="A12" s="259"/>
      <c r="B12" s="259"/>
      <c r="C12" s="50" t="s">
        <v>101</v>
      </c>
      <c r="D12" s="51" t="e">
        <f>D10+D11</f>
        <v>#REF!</v>
      </c>
      <c r="H12" s="109" t="s">
        <v>158</v>
      </c>
      <c r="I12" s="109" t="s">
        <v>159</v>
      </c>
      <c r="J12" s="109" t="s">
        <v>145</v>
      </c>
    </row>
    <row r="13" spans="1:13" ht="15" x14ac:dyDescent="0.2">
      <c r="A13" s="259"/>
      <c r="B13" s="259"/>
      <c r="C13" s="50" t="s">
        <v>95</v>
      </c>
      <c r="D13" s="56" t="e">
        <f>D12/D7</f>
        <v>#REF!</v>
      </c>
      <c r="H13" s="110" t="e">
        <f>H7/D7/D18</f>
        <v>#REF!</v>
      </c>
      <c r="I13" s="110" t="e">
        <f>I7/D7/D18</f>
        <v>#REF!</v>
      </c>
      <c r="J13" s="111" t="e">
        <f>1-(I13/H13)</f>
        <v>#REF!</v>
      </c>
    </row>
    <row r="14" spans="1:13" x14ac:dyDescent="0.2">
      <c r="A14" s="259"/>
      <c r="B14" s="259"/>
      <c r="C14" s="50" t="s">
        <v>103</v>
      </c>
      <c r="D14" s="55">
        <v>3.8</v>
      </c>
    </row>
    <row r="15" spans="1:13" x14ac:dyDescent="0.2">
      <c r="A15" s="259"/>
      <c r="B15" s="259"/>
      <c r="C15" s="50" t="s">
        <v>96</v>
      </c>
      <c r="D15" s="56">
        <f>G26+G27+G28+G32</f>
        <v>745.41428571428582</v>
      </c>
    </row>
    <row r="16" spans="1:13" x14ac:dyDescent="0.2">
      <c r="A16" s="259"/>
      <c r="B16" s="259"/>
      <c r="C16" s="50" t="s">
        <v>102</v>
      </c>
      <c r="D16" s="51">
        <v>125</v>
      </c>
    </row>
    <row r="17" spans="1:13" x14ac:dyDescent="0.2">
      <c r="A17" s="259"/>
      <c r="B17" s="259"/>
      <c r="C17" s="50" t="s">
        <v>97</v>
      </c>
      <c r="D17" s="51">
        <v>52</v>
      </c>
    </row>
    <row r="18" spans="1:13" x14ac:dyDescent="0.2">
      <c r="A18" s="259"/>
      <c r="B18" s="259"/>
      <c r="C18" s="50" t="s">
        <v>104</v>
      </c>
      <c r="D18" s="51">
        <v>24</v>
      </c>
    </row>
    <row r="19" spans="1:13" x14ac:dyDescent="0.2">
      <c r="A19" s="259"/>
      <c r="B19" s="259"/>
      <c r="C19" s="50" t="s">
        <v>16</v>
      </c>
      <c r="D19" s="57">
        <v>0.01</v>
      </c>
    </row>
    <row r="20" spans="1:13" x14ac:dyDescent="0.2">
      <c r="A20" s="260"/>
      <c r="B20" s="260"/>
      <c r="C20" s="50" t="s">
        <v>14</v>
      </c>
      <c r="D20" s="51">
        <f>4950/D14</f>
        <v>1302.6315789473686</v>
      </c>
    </row>
    <row r="22" spans="1:13" s="170" customFormat="1" ht="15.75" x14ac:dyDescent="0.25">
      <c r="A22" s="449" t="s">
        <v>0</v>
      </c>
      <c r="B22" s="449"/>
      <c r="C22" s="449"/>
      <c r="D22" s="449"/>
      <c r="E22" s="449"/>
      <c r="F22" s="449"/>
      <c r="G22" s="449"/>
      <c r="H22" s="449"/>
      <c r="I22" s="449"/>
      <c r="J22" s="449"/>
      <c r="K22" s="449"/>
      <c r="L22" s="449"/>
      <c r="M22" s="449"/>
    </row>
    <row r="23" spans="1:13" s="171" customFormat="1" ht="15" customHeight="1" outlineLevel="1" x14ac:dyDescent="0.25">
      <c r="A23" s="445" t="s">
        <v>250</v>
      </c>
      <c r="B23" s="445"/>
      <c r="C23" s="445"/>
      <c r="D23" s="445"/>
      <c r="E23" s="445"/>
      <c r="F23" s="198"/>
      <c r="G23" s="197"/>
      <c r="H23" s="197"/>
      <c r="I23" s="197"/>
      <c r="J23" s="197"/>
      <c r="K23" s="197"/>
      <c r="L23" s="197"/>
      <c r="M23" s="198"/>
    </row>
    <row r="24" spans="1:13" s="171" customFormat="1" ht="12.75" outlineLevel="2" x14ac:dyDescent="0.2">
      <c r="A24" s="183" t="s">
        <v>5</v>
      </c>
      <c r="B24" s="183"/>
      <c r="C24" s="183" t="s">
        <v>105</v>
      </c>
      <c r="D24" s="183" t="s">
        <v>106</v>
      </c>
      <c r="E24" s="184" t="s">
        <v>68</v>
      </c>
      <c r="F24" s="185" t="s">
        <v>69</v>
      </c>
      <c r="G24" s="183" t="s">
        <v>108</v>
      </c>
      <c r="H24" s="183" t="s">
        <v>109</v>
      </c>
      <c r="I24" s="183" t="s">
        <v>110</v>
      </c>
      <c r="J24" s="183" t="s">
        <v>111</v>
      </c>
      <c r="K24" s="183" t="s">
        <v>13</v>
      </c>
      <c r="L24" s="183" t="s">
        <v>194</v>
      </c>
      <c r="M24" s="183" t="s">
        <v>279</v>
      </c>
    </row>
    <row r="25" spans="1:13" s="171" customFormat="1" ht="15" customHeight="1" outlineLevel="2" x14ac:dyDescent="0.25">
      <c r="A25" s="447" t="s">
        <v>251</v>
      </c>
      <c r="B25" s="447"/>
      <c r="C25" s="447"/>
      <c r="D25" s="447"/>
      <c r="E25" s="447"/>
      <c r="F25" s="199"/>
      <c r="G25" s="199"/>
      <c r="H25" s="199"/>
      <c r="I25" s="199"/>
      <c r="J25" s="199"/>
      <c r="K25" s="199"/>
      <c r="L25" s="199"/>
      <c r="M25" s="199"/>
    </row>
    <row r="26" spans="1:13" s="171" customFormat="1" ht="12" customHeight="1" outlineLevel="2" x14ac:dyDescent="0.2">
      <c r="A26" s="171" t="s">
        <v>0</v>
      </c>
      <c r="B26" s="171" t="s">
        <v>291</v>
      </c>
      <c r="C26" s="171" t="s">
        <v>112</v>
      </c>
      <c r="D26" s="171" t="s">
        <v>113</v>
      </c>
      <c r="E26" s="172" t="s">
        <v>114</v>
      </c>
      <c r="F26" s="173" t="e">
        <f>$D$7*(1+D8)</f>
        <v>#REF!</v>
      </c>
      <c r="G26" s="174">
        <f>I26/0.7</f>
        <v>109.71428571428572</v>
      </c>
      <c r="H26" s="175" t="e">
        <f t="shared" ref="H26:H32" si="0">F26*G26</f>
        <v>#REF!</v>
      </c>
      <c r="I26" s="171">
        <v>76.8</v>
      </c>
      <c r="J26" s="175" t="e">
        <f t="shared" ref="J26:J32" si="1">F26*I26</f>
        <v>#REF!</v>
      </c>
      <c r="K26" s="176" t="e">
        <f>1-(J26/H26)</f>
        <v>#REF!</v>
      </c>
      <c r="L26" s="171" t="s">
        <v>195</v>
      </c>
    </row>
    <row r="27" spans="1:13" s="171" customFormat="1" ht="12.75" outlineLevel="2" x14ac:dyDescent="0.2">
      <c r="A27" s="171" t="s">
        <v>0</v>
      </c>
      <c r="B27" s="171" t="s">
        <v>291</v>
      </c>
      <c r="C27" s="171" t="s">
        <v>117</v>
      </c>
      <c r="D27" s="171" t="s">
        <v>118</v>
      </c>
      <c r="E27" s="172" t="s">
        <v>119</v>
      </c>
      <c r="F27" s="173">
        <v>35</v>
      </c>
      <c r="G27" s="174">
        <f>I27/0.7</f>
        <v>426.52857142857147</v>
      </c>
      <c r="H27" s="175">
        <f t="shared" si="0"/>
        <v>14928.500000000002</v>
      </c>
      <c r="I27" s="171">
        <v>298.57</v>
      </c>
      <c r="J27" s="175">
        <f t="shared" si="1"/>
        <v>10449.949999999999</v>
      </c>
      <c r="K27" s="176">
        <f>1-(J27/H27)</f>
        <v>0.30000000000000016</v>
      </c>
      <c r="L27" s="171" t="s">
        <v>195</v>
      </c>
    </row>
    <row r="28" spans="1:13" s="171" customFormat="1" ht="12.75" outlineLevel="2" x14ac:dyDescent="0.2">
      <c r="A28" s="171" t="s">
        <v>0</v>
      </c>
      <c r="B28" s="171" t="s">
        <v>291</v>
      </c>
      <c r="C28" s="171" t="s">
        <v>122</v>
      </c>
      <c r="D28" s="171" t="s">
        <v>123</v>
      </c>
      <c r="E28" s="172" t="s">
        <v>116</v>
      </c>
      <c r="F28" s="173" t="e">
        <f t="shared" ref="F28" si="2">$D$7</f>
        <v>#REF!</v>
      </c>
      <c r="G28" s="174">
        <f>I28/0.7</f>
        <v>138.45714285714286</v>
      </c>
      <c r="H28" s="175" t="e">
        <f t="shared" si="0"/>
        <v>#REF!</v>
      </c>
      <c r="I28" s="171">
        <v>96.92</v>
      </c>
      <c r="J28" s="175" t="e">
        <f t="shared" si="1"/>
        <v>#REF!</v>
      </c>
      <c r="K28" s="176" t="e">
        <f>1-(J28/H28)</f>
        <v>#REF!</v>
      </c>
      <c r="L28" s="171" t="s">
        <v>195</v>
      </c>
    </row>
    <row r="29" spans="1:13" s="171" customFormat="1" ht="12" customHeight="1" outlineLevel="2" x14ac:dyDescent="0.2">
      <c r="A29" s="171" t="s">
        <v>0</v>
      </c>
      <c r="B29" s="171" t="s">
        <v>291</v>
      </c>
      <c r="C29" s="171" t="s">
        <v>186</v>
      </c>
      <c r="D29" s="171" t="s">
        <v>187</v>
      </c>
      <c r="E29" s="172" t="s">
        <v>188</v>
      </c>
      <c r="F29" s="173">
        <v>80</v>
      </c>
      <c r="G29" s="174">
        <f t="shared" ref="G29:G31" si="3">I29/0.7</f>
        <v>410.3</v>
      </c>
      <c r="H29" s="175">
        <f t="shared" si="0"/>
        <v>32824</v>
      </c>
      <c r="I29" s="171">
        <v>287.20999999999998</v>
      </c>
      <c r="J29" s="175">
        <f t="shared" si="1"/>
        <v>22976.799999999999</v>
      </c>
      <c r="K29" s="176">
        <f t="shared" ref="K29:K31" si="4">1-(J29/H29)</f>
        <v>0.30000000000000004</v>
      </c>
      <c r="L29" s="171" t="s">
        <v>195</v>
      </c>
    </row>
    <row r="30" spans="1:13" s="171" customFormat="1" ht="12.75" outlineLevel="2" x14ac:dyDescent="0.2">
      <c r="A30" s="171" t="s">
        <v>0</v>
      </c>
      <c r="B30" s="171" t="s">
        <v>291</v>
      </c>
      <c r="C30" s="171" t="s">
        <v>189</v>
      </c>
      <c r="D30" s="171" t="s">
        <v>190</v>
      </c>
      <c r="E30" s="172" t="s">
        <v>191</v>
      </c>
      <c r="F30" s="173">
        <v>1</v>
      </c>
      <c r="G30" s="174">
        <f t="shared" si="3"/>
        <v>129.4</v>
      </c>
      <c r="H30" s="175">
        <f t="shared" si="0"/>
        <v>129.4</v>
      </c>
      <c r="I30" s="171">
        <v>90.58</v>
      </c>
      <c r="J30" s="175">
        <f t="shared" si="1"/>
        <v>90.58</v>
      </c>
      <c r="K30" s="176">
        <f t="shared" si="4"/>
        <v>0.30000000000000004</v>
      </c>
      <c r="L30" s="171" t="s">
        <v>195</v>
      </c>
    </row>
    <row r="31" spans="1:13" s="171" customFormat="1" ht="12.75" outlineLevel="2" x14ac:dyDescent="0.2">
      <c r="A31" s="171" t="s">
        <v>0</v>
      </c>
      <c r="B31" s="171" t="s">
        <v>291</v>
      </c>
      <c r="D31" s="171" t="s">
        <v>124</v>
      </c>
      <c r="E31" s="172" t="s">
        <v>192</v>
      </c>
      <c r="F31" s="173" t="e">
        <f>F28-F32</f>
        <v>#REF!</v>
      </c>
      <c r="G31" s="174">
        <f t="shared" si="3"/>
        <v>20</v>
      </c>
      <c r="H31" s="175" t="e">
        <f t="shared" si="0"/>
        <v>#REF!</v>
      </c>
      <c r="I31" s="171">
        <v>14</v>
      </c>
      <c r="J31" s="175" t="e">
        <f t="shared" si="1"/>
        <v>#REF!</v>
      </c>
      <c r="K31" s="176" t="e">
        <f t="shared" si="4"/>
        <v>#REF!</v>
      </c>
      <c r="L31" s="171" t="s">
        <v>195</v>
      </c>
    </row>
    <row r="32" spans="1:13" s="171" customFormat="1" ht="12.75" outlineLevel="2" x14ac:dyDescent="0.2">
      <c r="A32" s="171" t="s">
        <v>0</v>
      </c>
      <c r="B32" s="171" t="s">
        <v>291</v>
      </c>
      <c r="C32" s="171">
        <v>611604104</v>
      </c>
      <c r="D32" s="171" t="s">
        <v>124</v>
      </c>
      <c r="E32" s="172" t="s">
        <v>121</v>
      </c>
      <c r="F32" s="173">
        <v>35</v>
      </c>
      <c r="G32" s="174">
        <f>I32/0.7</f>
        <v>70.714285714285722</v>
      </c>
      <c r="H32" s="175">
        <f t="shared" si="0"/>
        <v>2475.0000000000005</v>
      </c>
      <c r="I32" s="175">
        <v>49.5</v>
      </c>
      <c r="J32" s="175">
        <f t="shared" si="1"/>
        <v>1732.5</v>
      </c>
      <c r="K32" s="176">
        <f>1-(J32/H32)</f>
        <v>0.30000000000000016</v>
      </c>
      <c r="L32" s="171" t="s">
        <v>195</v>
      </c>
    </row>
    <row r="33" spans="1:13" s="171" customFormat="1" ht="12.75" outlineLevel="2" x14ac:dyDescent="0.2">
      <c r="A33" s="191"/>
      <c r="B33" s="191"/>
      <c r="C33" s="191"/>
      <c r="D33" s="191"/>
      <c r="E33" s="204" t="s">
        <v>253</v>
      </c>
      <c r="F33" s="188"/>
      <c r="G33" s="189"/>
      <c r="H33" s="189" t="e">
        <f>SUM(H26:H32)</f>
        <v>#REF!</v>
      </c>
      <c r="I33" s="189"/>
      <c r="J33" s="189" t="e">
        <f>SUM(J26:J32)</f>
        <v>#REF!</v>
      </c>
      <c r="K33" s="190" t="e">
        <f>1-(J33/H33)</f>
        <v>#REF!</v>
      </c>
      <c r="L33" s="191"/>
      <c r="M33" s="191"/>
    </row>
    <row r="34" spans="1:13" s="171" customFormat="1" ht="15" customHeight="1" outlineLevel="2" x14ac:dyDescent="0.25">
      <c r="A34" s="447" t="s">
        <v>252</v>
      </c>
      <c r="B34" s="447"/>
      <c r="C34" s="447"/>
      <c r="D34" s="447"/>
      <c r="E34" s="447"/>
      <c r="F34" s="200"/>
      <c r="G34" s="201"/>
      <c r="H34" s="202"/>
      <c r="I34" s="201"/>
      <c r="J34" s="202"/>
      <c r="K34" s="203"/>
      <c r="L34" s="201"/>
      <c r="M34" s="201"/>
    </row>
    <row r="35" spans="1:13" s="171" customFormat="1" ht="12" customHeight="1" outlineLevel="2" x14ac:dyDescent="0.2">
      <c r="A35" s="171" t="s">
        <v>0</v>
      </c>
      <c r="B35" s="171" t="s">
        <v>291</v>
      </c>
      <c r="C35" s="171" t="s">
        <v>112</v>
      </c>
      <c r="D35" s="171" t="s">
        <v>113</v>
      </c>
      <c r="E35" s="172" t="s">
        <v>114</v>
      </c>
      <c r="F35" s="173" t="e">
        <f>ROUNDUP($D$8*$D$7,0)</f>
        <v>#REF!</v>
      </c>
      <c r="G35" s="174">
        <f>I35/0.7</f>
        <v>109.71428571428572</v>
      </c>
      <c r="H35" s="175" t="e">
        <f t="shared" ref="H35:H41" si="5">F35*G35</f>
        <v>#REF!</v>
      </c>
      <c r="I35" s="171">
        <v>76.8</v>
      </c>
      <c r="J35" s="175" t="e">
        <f t="shared" ref="J35:J41" si="6">F35*I35</f>
        <v>#REF!</v>
      </c>
      <c r="K35" s="176" t="e">
        <f>1-(J35/H35)</f>
        <v>#REF!</v>
      </c>
      <c r="L35" s="171" t="s">
        <v>195</v>
      </c>
    </row>
    <row r="36" spans="1:13" s="171" customFormat="1" ht="12.75" outlineLevel="2" x14ac:dyDescent="0.2">
      <c r="A36" s="171" t="s">
        <v>0</v>
      </c>
      <c r="B36" s="171" t="s">
        <v>291</v>
      </c>
      <c r="C36" s="171" t="s">
        <v>117</v>
      </c>
      <c r="D36" s="171" t="s">
        <v>118</v>
      </c>
      <c r="E36" s="172" t="s">
        <v>119</v>
      </c>
      <c r="F36" s="173">
        <v>3</v>
      </c>
      <c r="G36" s="174">
        <f>I36/0.7</f>
        <v>426.52857142857147</v>
      </c>
      <c r="H36" s="175">
        <f t="shared" si="5"/>
        <v>1279.5857142857144</v>
      </c>
      <c r="I36" s="171">
        <v>298.57</v>
      </c>
      <c r="J36" s="175">
        <f t="shared" si="6"/>
        <v>895.71</v>
      </c>
      <c r="K36" s="176">
        <f>1-(J36/H36)</f>
        <v>0.30000000000000004</v>
      </c>
      <c r="L36" s="171" t="s">
        <v>195</v>
      </c>
    </row>
    <row r="37" spans="1:13" s="171" customFormat="1" ht="12.75" outlineLevel="2" x14ac:dyDescent="0.2">
      <c r="A37" s="171" t="s">
        <v>0</v>
      </c>
      <c r="B37" s="171" t="s">
        <v>291</v>
      </c>
      <c r="C37" s="171" t="s">
        <v>122</v>
      </c>
      <c r="D37" s="171" t="s">
        <v>123</v>
      </c>
      <c r="E37" s="172" t="s">
        <v>116</v>
      </c>
      <c r="F37" s="173" t="e">
        <f>ROUNDUP($D$8*$D$7,0)</f>
        <v>#REF!</v>
      </c>
      <c r="G37" s="174">
        <f>I37/0.7</f>
        <v>138.45714285714286</v>
      </c>
      <c r="H37" s="175" t="e">
        <f t="shared" si="5"/>
        <v>#REF!</v>
      </c>
      <c r="I37" s="171">
        <v>96.92</v>
      </c>
      <c r="J37" s="175" t="e">
        <f t="shared" si="6"/>
        <v>#REF!</v>
      </c>
      <c r="K37" s="176" t="e">
        <f>1-(J37/H37)</f>
        <v>#REF!</v>
      </c>
      <c r="L37" s="171" t="s">
        <v>195</v>
      </c>
    </row>
    <row r="38" spans="1:13" s="171" customFormat="1" ht="12" customHeight="1" outlineLevel="2" x14ac:dyDescent="0.2">
      <c r="A38" s="171" t="s">
        <v>0</v>
      </c>
      <c r="B38" s="171" t="s">
        <v>291</v>
      </c>
      <c r="C38" s="171" t="s">
        <v>186</v>
      </c>
      <c r="D38" s="171" t="s">
        <v>187</v>
      </c>
      <c r="E38" s="172" t="s">
        <v>188</v>
      </c>
      <c r="F38" s="173">
        <v>4</v>
      </c>
      <c r="G38" s="174">
        <f t="shared" ref="G38:G40" si="7">I38/0.7</f>
        <v>410.3</v>
      </c>
      <c r="H38" s="175">
        <f t="shared" si="5"/>
        <v>1641.2</v>
      </c>
      <c r="I38" s="171">
        <v>287.20999999999998</v>
      </c>
      <c r="J38" s="175">
        <f t="shared" si="6"/>
        <v>1148.8399999999999</v>
      </c>
      <c r="K38" s="176">
        <f t="shared" ref="K38:K40" si="8">1-(J38/H38)</f>
        <v>0.30000000000000004</v>
      </c>
      <c r="L38" s="171" t="s">
        <v>195</v>
      </c>
    </row>
    <row r="39" spans="1:13" s="171" customFormat="1" ht="12.75" outlineLevel="2" x14ac:dyDescent="0.2">
      <c r="A39" s="171" t="s">
        <v>0</v>
      </c>
      <c r="B39" s="171" t="s">
        <v>291</v>
      </c>
      <c r="C39" s="171" t="s">
        <v>189</v>
      </c>
      <c r="D39" s="171" t="s">
        <v>190</v>
      </c>
      <c r="E39" s="172" t="s">
        <v>191</v>
      </c>
      <c r="F39" s="173">
        <v>0</v>
      </c>
      <c r="G39" s="174">
        <f t="shared" si="7"/>
        <v>129.4</v>
      </c>
      <c r="H39" s="175">
        <f t="shared" si="5"/>
        <v>0</v>
      </c>
      <c r="I39" s="171">
        <v>90.58</v>
      </c>
      <c r="J39" s="175">
        <f t="shared" si="6"/>
        <v>0</v>
      </c>
      <c r="K39" s="176" t="e">
        <f t="shared" si="8"/>
        <v>#DIV/0!</v>
      </c>
      <c r="L39" s="171" t="s">
        <v>195</v>
      </c>
    </row>
    <row r="40" spans="1:13" s="171" customFormat="1" ht="12.75" outlineLevel="2" x14ac:dyDescent="0.2">
      <c r="A40" s="171" t="s">
        <v>0</v>
      </c>
      <c r="B40" s="171" t="s">
        <v>291</v>
      </c>
      <c r="D40" s="171" t="s">
        <v>124</v>
      </c>
      <c r="E40" s="172" t="s">
        <v>192</v>
      </c>
      <c r="F40" s="173">
        <v>15</v>
      </c>
      <c r="G40" s="174">
        <f t="shared" si="7"/>
        <v>20</v>
      </c>
      <c r="H40" s="175">
        <f t="shared" si="5"/>
        <v>300</v>
      </c>
      <c r="I40" s="171">
        <v>14</v>
      </c>
      <c r="J40" s="175">
        <f t="shared" si="6"/>
        <v>210</v>
      </c>
      <c r="K40" s="176">
        <f t="shared" si="8"/>
        <v>0.30000000000000004</v>
      </c>
      <c r="L40" s="171" t="s">
        <v>195</v>
      </c>
    </row>
    <row r="41" spans="1:13" s="171" customFormat="1" ht="12.75" outlineLevel="2" x14ac:dyDescent="0.2">
      <c r="A41" s="171" t="s">
        <v>0</v>
      </c>
      <c r="B41" s="171" t="s">
        <v>291</v>
      </c>
      <c r="C41" s="171">
        <v>611604104</v>
      </c>
      <c r="D41" s="171" t="s">
        <v>124</v>
      </c>
      <c r="E41" s="172" t="s">
        <v>121</v>
      </c>
      <c r="F41" s="173">
        <v>3</v>
      </c>
      <c r="G41" s="174">
        <f>I41/0.7</f>
        <v>70.714285714285722</v>
      </c>
      <c r="H41" s="175">
        <f t="shared" si="5"/>
        <v>212.14285714285717</v>
      </c>
      <c r="I41" s="175">
        <v>49.5</v>
      </c>
      <c r="J41" s="175">
        <f t="shared" si="6"/>
        <v>148.5</v>
      </c>
      <c r="K41" s="176">
        <f>1-(J41/H41)</f>
        <v>0.30000000000000004</v>
      </c>
      <c r="L41" s="171" t="s">
        <v>195</v>
      </c>
    </row>
    <row r="42" spans="1:13" s="171" customFormat="1" ht="13.5" outlineLevel="2" thickBot="1" x14ac:dyDescent="0.25">
      <c r="A42" s="196"/>
      <c r="B42" s="196"/>
      <c r="C42" s="196"/>
      <c r="D42" s="196"/>
      <c r="E42" s="205" t="s">
        <v>254</v>
      </c>
      <c r="F42" s="193"/>
      <c r="G42" s="194"/>
      <c r="H42" s="194" t="e">
        <f>SUM(H35:H41)</f>
        <v>#REF!</v>
      </c>
      <c r="I42" s="194"/>
      <c r="J42" s="194" t="e">
        <f>SUM(J35:J41)</f>
        <v>#REF!</v>
      </c>
      <c r="K42" s="195" t="e">
        <f>1-(J42/H42)</f>
        <v>#REF!</v>
      </c>
      <c r="L42" s="196"/>
      <c r="M42" s="196"/>
    </row>
    <row r="43" spans="1:13" s="171" customFormat="1" ht="15.75" customHeight="1" outlineLevel="1" thickTop="1" x14ac:dyDescent="0.2">
      <c r="A43" s="448" t="s">
        <v>255</v>
      </c>
      <c r="B43" s="448"/>
      <c r="C43" s="448"/>
      <c r="D43" s="448"/>
      <c r="E43" s="448"/>
      <c r="F43" s="206"/>
      <c r="G43" s="207"/>
      <c r="H43" s="208" t="e">
        <f>H42+H33</f>
        <v>#REF!</v>
      </c>
      <c r="I43" s="207"/>
      <c r="J43" s="208" t="e">
        <f>J42+J33</f>
        <v>#REF!</v>
      </c>
      <c r="K43" s="209" t="e">
        <f>1-(J43/H43)</f>
        <v>#REF!</v>
      </c>
      <c r="L43" s="207"/>
    </row>
    <row r="44" spans="1:13" s="171" customFormat="1" ht="15" customHeight="1" outlineLevel="1" x14ac:dyDescent="0.25">
      <c r="A44" s="445" t="s">
        <v>256</v>
      </c>
      <c r="B44" s="445"/>
      <c r="C44" s="445"/>
      <c r="D44" s="445"/>
      <c r="E44" s="445"/>
      <c r="F44" s="198"/>
      <c r="G44" s="197"/>
      <c r="H44" s="197"/>
      <c r="I44" s="197"/>
      <c r="J44" s="197"/>
      <c r="K44" s="197"/>
      <c r="L44" s="197"/>
      <c r="M44" s="198"/>
    </row>
    <row r="45" spans="1:13" s="171" customFormat="1" ht="12.75" outlineLevel="2" x14ac:dyDescent="0.2">
      <c r="A45" s="183" t="s">
        <v>5</v>
      </c>
      <c r="B45" s="183"/>
      <c r="C45" s="183" t="s">
        <v>128</v>
      </c>
      <c r="D45" s="183" t="s">
        <v>106</v>
      </c>
      <c r="E45" s="184" t="s">
        <v>68</v>
      </c>
      <c r="F45" s="185" t="s">
        <v>69</v>
      </c>
      <c r="G45" s="183" t="s">
        <v>108</v>
      </c>
      <c r="H45" s="183" t="s">
        <v>109</v>
      </c>
      <c r="I45" s="183" t="s">
        <v>110</v>
      </c>
      <c r="J45" s="183" t="s">
        <v>111</v>
      </c>
      <c r="K45" s="183" t="s">
        <v>13</v>
      </c>
      <c r="L45" s="183" t="s">
        <v>194</v>
      </c>
      <c r="M45" s="183" t="s">
        <v>279</v>
      </c>
    </row>
    <row r="46" spans="1:13" s="171" customFormat="1" ht="15" customHeight="1" outlineLevel="2" x14ac:dyDescent="0.25">
      <c r="A46" s="447" t="s">
        <v>149</v>
      </c>
      <c r="B46" s="447"/>
      <c r="C46" s="447"/>
      <c r="D46" s="447"/>
      <c r="E46" s="447"/>
      <c r="F46" s="199"/>
      <c r="G46" s="199"/>
      <c r="H46" s="199"/>
      <c r="I46" s="199"/>
      <c r="J46" s="199"/>
      <c r="K46" s="199"/>
      <c r="L46" s="199"/>
      <c r="M46" s="199"/>
    </row>
    <row r="47" spans="1:13" s="171" customFormat="1" ht="12.75" outlineLevel="3" x14ac:dyDescent="0.2">
      <c r="A47" s="171" t="s">
        <v>0</v>
      </c>
      <c r="B47" s="171" t="s">
        <v>292</v>
      </c>
      <c r="E47" s="172" t="s">
        <v>150</v>
      </c>
      <c r="F47" s="173" t="e">
        <f>D7</f>
        <v>#REF!</v>
      </c>
      <c r="G47" s="234" t="e">
        <f>I47/0.75</f>
        <v>#REF!</v>
      </c>
      <c r="H47" s="234" t="e">
        <f>F47*G47</f>
        <v>#REF!</v>
      </c>
      <c r="I47" s="234" t="e">
        <f>#REF!+#REF!</f>
        <v>#REF!</v>
      </c>
      <c r="J47" s="234" t="e">
        <f>F47*I47</f>
        <v>#REF!</v>
      </c>
      <c r="K47" s="176" t="e">
        <f>1-(J47/H47)</f>
        <v>#REF!</v>
      </c>
      <c r="L47" s="171" t="s">
        <v>196</v>
      </c>
    </row>
    <row r="48" spans="1:13" s="171" customFormat="1" ht="12.75" outlineLevel="3" x14ac:dyDescent="0.2">
      <c r="A48" s="171" t="s">
        <v>0</v>
      </c>
      <c r="B48" s="171" t="s">
        <v>292</v>
      </c>
      <c r="E48" s="172" t="s">
        <v>257</v>
      </c>
      <c r="F48" s="173" t="e">
        <f>ROUNDUP($D$8*$D$7,0)</f>
        <v>#REF!</v>
      </c>
      <c r="G48" s="235" t="e">
        <f>I48/0.75</f>
        <v>#REF!</v>
      </c>
      <c r="H48" s="235" t="e">
        <f>F48*G48</f>
        <v>#REF!</v>
      </c>
      <c r="I48" s="235" t="e">
        <f>#REF!+#REF!</f>
        <v>#REF!</v>
      </c>
      <c r="J48" s="235" t="e">
        <f>F48*I48</f>
        <v>#REF!</v>
      </c>
      <c r="K48" s="176" t="e">
        <f>1-(J48/H48)</f>
        <v>#REF!</v>
      </c>
      <c r="L48" s="171" t="s">
        <v>196</v>
      </c>
    </row>
    <row r="49" spans="1:13" s="171" customFormat="1" ht="12.75" outlineLevel="2" x14ac:dyDescent="0.2">
      <c r="A49" s="191"/>
      <c r="B49" s="191"/>
      <c r="C49" s="191"/>
      <c r="D49" s="191"/>
      <c r="E49" s="187" t="s">
        <v>259</v>
      </c>
      <c r="F49" s="188"/>
      <c r="G49" s="236"/>
      <c r="H49" s="236" t="e">
        <f>SUM(H46:H48)</f>
        <v>#REF!</v>
      </c>
      <c r="I49" s="236"/>
      <c r="J49" s="236" t="e">
        <f>SUM(J46:J48)</f>
        <v>#REF!</v>
      </c>
      <c r="K49" s="190" t="e">
        <f>1-(J49/H49)</f>
        <v>#REF!</v>
      </c>
      <c r="L49" s="191"/>
      <c r="M49" s="191"/>
    </row>
    <row r="50" spans="1:13" s="171" customFormat="1" ht="15" customHeight="1" outlineLevel="2" x14ac:dyDescent="0.25">
      <c r="A50" s="447" t="s">
        <v>129</v>
      </c>
      <c r="B50" s="447"/>
      <c r="C50" s="447"/>
      <c r="D50" s="447"/>
      <c r="E50" s="447"/>
      <c r="F50" s="199"/>
      <c r="G50" s="237"/>
      <c r="H50" s="237"/>
      <c r="I50" s="237"/>
      <c r="J50" s="237"/>
      <c r="K50" s="199"/>
      <c r="L50" s="199"/>
      <c r="M50" s="199"/>
    </row>
    <row r="51" spans="1:13" s="171" customFormat="1" ht="12.75" outlineLevel="3" x14ac:dyDescent="0.2">
      <c r="A51" s="171" t="s">
        <v>0</v>
      </c>
      <c r="B51" s="171" t="s">
        <v>292</v>
      </c>
      <c r="E51" s="172" t="s">
        <v>151</v>
      </c>
      <c r="F51" s="173" t="e">
        <f>$D$7</f>
        <v>#REF!</v>
      </c>
      <c r="G51" s="234" t="e">
        <f>I51/0.75</f>
        <v>#REF!</v>
      </c>
      <c r="H51" s="234" t="e">
        <f>F51*G51</f>
        <v>#REF!</v>
      </c>
      <c r="I51" s="234" t="e">
        <f>#REF!</f>
        <v>#REF!</v>
      </c>
      <c r="J51" s="234" t="e">
        <f>F51*I51</f>
        <v>#REF!</v>
      </c>
      <c r="K51" s="176" t="e">
        <f>1-(J51/H51)</f>
        <v>#REF!</v>
      </c>
      <c r="L51" s="171" t="s">
        <v>196</v>
      </c>
    </row>
    <row r="52" spans="1:13" s="171" customFormat="1" ht="12.75" outlineLevel="3" x14ac:dyDescent="0.2">
      <c r="A52" s="171" t="s">
        <v>0</v>
      </c>
      <c r="B52" s="171" t="s">
        <v>292</v>
      </c>
      <c r="E52" s="172" t="s">
        <v>258</v>
      </c>
      <c r="F52" s="173" t="e">
        <f>ROUNDUP($D$8*$D$7,0)</f>
        <v>#REF!</v>
      </c>
      <c r="G52" s="235" t="e">
        <f>I52/0.75</f>
        <v>#REF!</v>
      </c>
      <c r="H52" s="235" t="e">
        <f>F52*G52</f>
        <v>#REF!</v>
      </c>
      <c r="I52" s="235" t="e">
        <f>#REF!</f>
        <v>#REF!</v>
      </c>
      <c r="J52" s="235" t="e">
        <f>F52*I52</f>
        <v>#REF!</v>
      </c>
      <c r="K52" s="176" t="e">
        <f>1-(J52/H52)</f>
        <v>#REF!</v>
      </c>
      <c r="L52" s="171" t="s">
        <v>196</v>
      </c>
    </row>
    <row r="53" spans="1:13" s="171" customFormat="1" ht="12.75" outlineLevel="2" x14ac:dyDescent="0.2">
      <c r="A53" s="191"/>
      <c r="B53" s="191"/>
      <c r="C53" s="191"/>
      <c r="D53" s="191"/>
      <c r="E53" s="187" t="s">
        <v>260</v>
      </c>
      <c r="F53" s="188"/>
      <c r="G53" s="236"/>
      <c r="H53" s="236" t="e">
        <f>SUM(H50:H52)</f>
        <v>#REF!</v>
      </c>
      <c r="I53" s="236"/>
      <c r="J53" s="236" t="e">
        <f>SUM(J50:J52)</f>
        <v>#REF!</v>
      </c>
      <c r="K53" s="190" t="e">
        <f>1-(J53/H53)</f>
        <v>#REF!</v>
      </c>
      <c r="L53" s="191"/>
      <c r="M53" s="191"/>
    </row>
    <row r="54" spans="1:13" s="171" customFormat="1" ht="15" customHeight="1" outlineLevel="2" x14ac:dyDescent="0.25">
      <c r="A54" s="447" t="s">
        <v>130</v>
      </c>
      <c r="B54" s="447"/>
      <c r="C54" s="447"/>
      <c r="D54" s="447"/>
      <c r="E54" s="447"/>
      <c r="F54" s="199"/>
      <c r="G54" s="237"/>
      <c r="H54" s="237"/>
      <c r="I54" s="237"/>
      <c r="J54" s="237"/>
      <c r="K54" s="199"/>
      <c r="L54" s="199"/>
      <c r="M54" s="199"/>
    </row>
    <row r="55" spans="1:13" s="171" customFormat="1" ht="36" customHeight="1" outlineLevel="3" x14ac:dyDescent="0.2">
      <c r="A55" s="171" t="s">
        <v>0</v>
      </c>
      <c r="B55" s="171" t="s">
        <v>292</v>
      </c>
      <c r="C55" s="171" t="s">
        <v>131</v>
      </c>
      <c r="D55" s="171" t="s">
        <v>132</v>
      </c>
      <c r="E55" s="172" t="s">
        <v>133</v>
      </c>
      <c r="F55" s="173" t="e">
        <f>$D$7</f>
        <v>#REF!</v>
      </c>
      <c r="G55" s="234" t="e">
        <f>I55/0.75</f>
        <v>#REF!</v>
      </c>
      <c r="H55" s="234" t="e">
        <f>F55*G55</f>
        <v>#REF!</v>
      </c>
      <c r="I55" s="234" t="e">
        <f>#REF!</f>
        <v>#REF!</v>
      </c>
      <c r="J55" s="234" t="e">
        <f>F55*I55</f>
        <v>#REF!</v>
      </c>
      <c r="K55" s="176" t="e">
        <f>1-(J55/H55)</f>
        <v>#REF!</v>
      </c>
      <c r="L55" s="171" t="s">
        <v>196</v>
      </c>
    </row>
    <row r="56" spans="1:13" s="171" customFormat="1" ht="36.75" customHeight="1" outlineLevel="3" x14ac:dyDescent="0.2">
      <c r="A56" s="171" t="s">
        <v>0</v>
      </c>
      <c r="B56" s="171" t="s">
        <v>292</v>
      </c>
      <c r="C56" s="171" t="s">
        <v>131</v>
      </c>
      <c r="D56" s="171" t="s">
        <v>132</v>
      </c>
      <c r="E56" s="172" t="s">
        <v>134</v>
      </c>
      <c r="F56" s="173" t="e">
        <f>ROUNDUP($D$8*$D$7,0)</f>
        <v>#REF!</v>
      </c>
      <c r="G56" s="235" t="e">
        <f>I56/0.75</f>
        <v>#REF!</v>
      </c>
      <c r="H56" s="235" t="e">
        <f>F56*G56</f>
        <v>#REF!</v>
      </c>
      <c r="I56" s="235" t="e">
        <f>#REF!</f>
        <v>#REF!</v>
      </c>
      <c r="J56" s="235" t="e">
        <f>F56*I56</f>
        <v>#REF!</v>
      </c>
      <c r="K56" s="176" t="e">
        <f>1-(J56/H56)</f>
        <v>#REF!</v>
      </c>
      <c r="L56" s="171" t="s">
        <v>196</v>
      </c>
    </row>
    <row r="57" spans="1:13" s="171" customFormat="1" ht="12.75" outlineLevel="2" x14ac:dyDescent="0.2">
      <c r="A57" s="191"/>
      <c r="B57" s="191"/>
      <c r="C57" s="191"/>
      <c r="D57" s="191"/>
      <c r="E57" s="187" t="s">
        <v>261</v>
      </c>
      <c r="F57" s="188"/>
      <c r="G57" s="236"/>
      <c r="H57" s="236" t="e">
        <f>SUM(H54:H56)</f>
        <v>#REF!</v>
      </c>
      <c r="I57" s="236"/>
      <c r="J57" s="236" t="e">
        <f>SUM(J54:J56)</f>
        <v>#REF!</v>
      </c>
      <c r="K57" s="190" t="e">
        <f>1-(J57/H57)</f>
        <v>#REF!</v>
      </c>
      <c r="L57" s="191"/>
      <c r="M57" s="191"/>
    </row>
    <row r="58" spans="1:13" s="171" customFormat="1" ht="15" customHeight="1" outlineLevel="2" x14ac:dyDescent="0.25">
      <c r="A58" s="447" t="s">
        <v>135</v>
      </c>
      <c r="B58" s="447"/>
      <c r="C58" s="447"/>
      <c r="D58" s="447"/>
      <c r="E58" s="447"/>
      <c r="F58" s="199"/>
      <c r="G58" s="199"/>
      <c r="H58" s="199"/>
      <c r="I58" s="199"/>
      <c r="J58" s="199"/>
      <c r="K58" s="199"/>
      <c r="L58" s="199"/>
      <c r="M58" s="199"/>
    </row>
    <row r="59" spans="1:13" s="171" customFormat="1" ht="12.75" outlineLevel="3" x14ac:dyDescent="0.2">
      <c r="A59" s="171" t="s">
        <v>0</v>
      </c>
      <c r="B59" s="171" t="s">
        <v>292</v>
      </c>
      <c r="E59" s="172" t="s">
        <v>173</v>
      </c>
      <c r="F59" s="173">
        <v>1</v>
      </c>
      <c r="G59" s="235">
        <f>I59/0.75</f>
        <v>6666.666666666667</v>
      </c>
      <c r="H59" s="235">
        <f>F59*G59</f>
        <v>6666.666666666667</v>
      </c>
      <c r="I59" s="235">
        <v>5000</v>
      </c>
      <c r="J59" s="235">
        <f>F59*I59</f>
        <v>5000</v>
      </c>
      <c r="K59" s="176">
        <f>1-(J59/H59)</f>
        <v>0.25</v>
      </c>
      <c r="L59" s="171" t="s">
        <v>196</v>
      </c>
    </row>
    <row r="60" spans="1:13" s="171" customFormat="1" ht="12.75" outlineLevel="2" x14ac:dyDescent="0.2">
      <c r="A60" s="191"/>
      <c r="B60" s="191"/>
      <c r="C60" s="191"/>
      <c r="D60" s="191"/>
      <c r="E60" s="187" t="s">
        <v>262</v>
      </c>
      <c r="F60" s="188"/>
      <c r="G60" s="236"/>
      <c r="H60" s="236">
        <f>SUM(H58:H59)</f>
        <v>6666.666666666667</v>
      </c>
      <c r="I60" s="236"/>
      <c r="J60" s="236">
        <f>SUM(J58:J59)</f>
        <v>5000</v>
      </c>
      <c r="K60" s="190">
        <f>1-(J60/H60)</f>
        <v>0.25</v>
      </c>
      <c r="L60" s="191"/>
      <c r="M60" s="191"/>
    </row>
    <row r="61" spans="1:13" s="171" customFormat="1" ht="15" customHeight="1" outlineLevel="2" x14ac:dyDescent="0.25">
      <c r="A61" s="447" t="s">
        <v>174</v>
      </c>
      <c r="B61" s="447"/>
      <c r="C61" s="447"/>
      <c r="D61" s="447"/>
      <c r="E61" s="447"/>
      <c r="F61" s="199"/>
      <c r="G61" s="237"/>
      <c r="H61" s="237"/>
      <c r="I61" s="237"/>
      <c r="J61" s="237"/>
      <c r="K61" s="199"/>
      <c r="L61" s="199"/>
      <c r="M61" s="199"/>
    </row>
    <row r="62" spans="1:13" s="171" customFormat="1" ht="12.75" outlineLevel="3" x14ac:dyDescent="0.2">
      <c r="A62" s="171" t="s">
        <v>0</v>
      </c>
      <c r="B62" s="171" t="s">
        <v>292</v>
      </c>
      <c r="E62" s="172" t="s">
        <v>175</v>
      </c>
      <c r="F62" s="173">
        <v>0</v>
      </c>
      <c r="G62" s="234" t="e">
        <f t="shared" ref="G62:G67" si="9">I62/0.75</f>
        <v>#REF!</v>
      </c>
      <c r="H62" s="234" t="e">
        <f>F62*G62*$D$18</f>
        <v>#REF!</v>
      </c>
      <c r="I62" s="234" t="e">
        <f>#REF!</f>
        <v>#REF!</v>
      </c>
      <c r="J62" s="234" t="e">
        <f>F62*I62*$D$18</f>
        <v>#REF!</v>
      </c>
      <c r="K62" s="176" t="e">
        <f t="shared" ref="K62:K68" si="10">1-(J62/H62)</f>
        <v>#REF!</v>
      </c>
      <c r="L62" s="171" t="s">
        <v>196</v>
      </c>
    </row>
    <row r="63" spans="1:13" s="171" customFormat="1" ht="12.75" outlineLevel="3" x14ac:dyDescent="0.2">
      <c r="A63" s="171" t="s">
        <v>0</v>
      </c>
      <c r="B63" s="171" t="s">
        <v>292</v>
      </c>
      <c r="E63" s="172" t="s">
        <v>176</v>
      </c>
      <c r="F63" s="173">
        <v>0</v>
      </c>
      <c r="G63" s="234" t="e">
        <f t="shared" si="9"/>
        <v>#REF!</v>
      </c>
      <c r="H63" s="234" t="e">
        <f>F63*G63*$D$18</f>
        <v>#REF!</v>
      </c>
      <c r="I63" s="234" t="e">
        <f>#REF!</f>
        <v>#REF!</v>
      </c>
      <c r="J63" s="234" t="e">
        <f>F63*I63*$D$18</f>
        <v>#REF!</v>
      </c>
      <c r="K63" s="176" t="e">
        <f t="shared" si="10"/>
        <v>#REF!</v>
      </c>
      <c r="L63" s="171" t="s">
        <v>196</v>
      </c>
    </row>
    <row r="64" spans="1:13" s="171" customFormat="1" ht="12.75" outlineLevel="3" x14ac:dyDescent="0.2">
      <c r="A64" s="171" t="s">
        <v>0</v>
      </c>
      <c r="B64" s="171" t="s">
        <v>292</v>
      </c>
      <c r="E64" s="172" t="s">
        <v>177</v>
      </c>
      <c r="F64" s="173">
        <v>0</v>
      </c>
      <c r="G64" s="234" t="e">
        <f t="shared" si="9"/>
        <v>#REF!</v>
      </c>
      <c r="H64" s="234" t="e">
        <f>F64*G64*$D$18</f>
        <v>#REF!</v>
      </c>
      <c r="I64" s="234" t="e">
        <f>#REF!</f>
        <v>#REF!</v>
      </c>
      <c r="J64" s="234" t="e">
        <f>F64*I64*$D$18</f>
        <v>#REF!</v>
      </c>
      <c r="K64" s="176" t="e">
        <f t="shared" si="10"/>
        <v>#REF!</v>
      </c>
      <c r="L64" s="171" t="s">
        <v>196</v>
      </c>
    </row>
    <row r="65" spans="1:13" s="171" customFormat="1" ht="12.75" outlineLevel="3" x14ac:dyDescent="0.2">
      <c r="A65" s="171" t="s">
        <v>0</v>
      </c>
      <c r="B65" s="171" t="s">
        <v>292</v>
      </c>
      <c r="E65" s="172" t="s">
        <v>178</v>
      </c>
      <c r="F65" s="173">
        <v>1</v>
      </c>
      <c r="G65" s="234" t="e">
        <f t="shared" si="9"/>
        <v>#REF!</v>
      </c>
      <c r="H65" s="234" t="e">
        <f>F65*G65</f>
        <v>#REF!</v>
      </c>
      <c r="I65" s="234" t="e">
        <f>#REF!</f>
        <v>#REF!</v>
      </c>
      <c r="J65" s="234" t="e">
        <f>F65*I65</f>
        <v>#REF!</v>
      </c>
      <c r="K65" s="176" t="e">
        <f t="shared" si="10"/>
        <v>#REF!</v>
      </c>
      <c r="L65" s="171" t="s">
        <v>196</v>
      </c>
    </row>
    <row r="66" spans="1:13" s="171" customFormat="1" ht="12.75" outlineLevel="3" x14ac:dyDescent="0.2">
      <c r="A66" s="171" t="s">
        <v>0</v>
      </c>
      <c r="B66" s="171" t="s">
        <v>292</v>
      </c>
      <c r="E66" s="172" t="s">
        <v>179</v>
      </c>
      <c r="F66" s="173">
        <v>1</v>
      </c>
      <c r="G66" s="234" t="e">
        <f t="shared" si="9"/>
        <v>#REF!</v>
      </c>
      <c r="H66" s="234" t="e">
        <f>F66*G66</f>
        <v>#REF!</v>
      </c>
      <c r="I66" s="234" t="e">
        <f>#REF!</f>
        <v>#REF!</v>
      </c>
      <c r="J66" s="234" t="e">
        <f>F66*I66</f>
        <v>#REF!</v>
      </c>
      <c r="K66" s="176" t="e">
        <f t="shared" si="10"/>
        <v>#REF!</v>
      </c>
      <c r="L66" s="171" t="s">
        <v>196</v>
      </c>
    </row>
    <row r="67" spans="1:13" s="171" customFormat="1" ht="12.75" outlineLevel="3" x14ac:dyDescent="0.2">
      <c r="A67" s="171" t="s">
        <v>0</v>
      </c>
      <c r="B67" s="171" t="s">
        <v>292</v>
      </c>
      <c r="E67" s="172" t="s">
        <v>180</v>
      </c>
      <c r="F67" s="173">
        <v>0</v>
      </c>
      <c r="G67" s="234" t="e">
        <f t="shared" si="9"/>
        <v>#REF!</v>
      </c>
      <c r="H67" s="234" t="e">
        <f>F67*G67</f>
        <v>#REF!</v>
      </c>
      <c r="I67" s="234" t="e">
        <f>#REF!</f>
        <v>#REF!</v>
      </c>
      <c r="J67" s="234" t="e">
        <f>F67*I67</f>
        <v>#REF!</v>
      </c>
      <c r="K67" s="176" t="e">
        <f t="shared" si="10"/>
        <v>#REF!</v>
      </c>
      <c r="L67" s="171" t="s">
        <v>196</v>
      </c>
    </row>
    <row r="68" spans="1:13" s="171" customFormat="1" ht="12.75" outlineLevel="2" x14ac:dyDescent="0.2">
      <c r="A68" s="191"/>
      <c r="B68" s="191"/>
      <c r="C68" s="191"/>
      <c r="D68" s="191"/>
      <c r="E68" s="187" t="s">
        <v>263</v>
      </c>
      <c r="F68" s="188"/>
      <c r="G68" s="236"/>
      <c r="H68" s="236" t="e">
        <f>SUM(H62:H67)</f>
        <v>#REF!</v>
      </c>
      <c r="I68" s="236"/>
      <c r="J68" s="236" t="e">
        <f>SUM(J62:J67)</f>
        <v>#REF!</v>
      </c>
      <c r="K68" s="190" t="e">
        <f t="shared" si="10"/>
        <v>#REF!</v>
      </c>
      <c r="L68" s="191"/>
      <c r="M68" s="191"/>
    </row>
    <row r="69" spans="1:13" s="171" customFormat="1" ht="15" customHeight="1" outlineLevel="2" x14ac:dyDescent="0.25">
      <c r="A69" s="447" t="s">
        <v>148</v>
      </c>
      <c r="B69" s="447"/>
      <c r="C69" s="447"/>
      <c r="D69" s="447"/>
      <c r="E69" s="447"/>
      <c r="F69" s="199"/>
      <c r="G69" s="237"/>
      <c r="H69" s="237"/>
      <c r="I69" s="237"/>
      <c r="J69" s="237"/>
      <c r="K69" s="199"/>
      <c r="L69" s="199"/>
      <c r="M69" s="199"/>
    </row>
    <row r="70" spans="1:13" s="171" customFormat="1" ht="25.5" outlineLevel="3" x14ac:dyDescent="0.2">
      <c r="A70" s="171" t="s">
        <v>0</v>
      </c>
      <c r="B70" s="171" t="s">
        <v>292</v>
      </c>
      <c r="C70" s="171" t="s">
        <v>171</v>
      </c>
      <c r="E70" s="172" t="s">
        <v>154</v>
      </c>
      <c r="F70" s="173" t="e">
        <f>D7*2</f>
        <v>#REF!</v>
      </c>
      <c r="G70" s="234" t="e">
        <f t="shared" ref="G70:G76" si="11">I70/0.75</f>
        <v>#REF!</v>
      </c>
      <c r="H70" s="234" t="e">
        <f t="shared" ref="H70:H76" si="12">F70*G70</f>
        <v>#REF!</v>
      </c>
      <c r="I70" s="234" t="e">
        <f>#REF!</f>
        <v>#REF!</v>
      </c>
      <c r="J70" s="234" t="e">
        <f t="shared" ref="J70:J76" si="13">F70*I70</f>
        <v>#REF!</v>
      </c>
      <c r="K70" s="176" t="e">
        <f t="shared" ref="K70:K77" si="14">1-(J70/H70)</f>
        <v>#REF!</v>
      </c>
      <c r="L70" s="171" t="s">
        <v>196</v>
      </c>
    </row>
    <row r="71" spans="1:13" s="171" customFormat="1" ht="25.35" customHeight="1" outlineLevel="3" x14ac:dyDescent="0.2">
      <c r="A71" s="171" t="s">
        <v>0</v>
      </c>
      <c r="B71" s="171" t="s">
        <v>292</v>
      </c>
      <c r="C71" s="171" t="s">
        <v>171</v>
      </c>
      <c r="E71" s="172" t="s">
        <v>172</v>
      </c>
      <c r="F71" s="173" t="e">
        <f>D7*2</f>
        <v>#REF!</v>
      </c>
      <c r="G71" s="234" t="e">
        <f t="shared" si="11"/>
        <v>#REF!</v>
      </c>
      <c r="H71" s="234" t="e">
        <f t="shared" si="12"/>
        <v>#REF!</v>
      </c>
      <c r="I71" s="234" t="e">
        <f>#REF!</f>
        <v>#REF!</v>
      </c>
      <c r="J71" s="234" t="e">
        <f t="shared" si="13"/>
        <v>#REF!</v>
      </c>
      <c r="K71" s="176" t="e">
        <f t="shared" si="14"/>
        <v>#REF!</v>
      </c>
      <c r="L71" s="171" t="s">
        <v>196</v>
      </c>
    </row>
    <row r="72" spans="1:13" s="171" customFormat="1" ht="12.75" outlineLevel="3" x14ac:dyDescent="0.2">
      <c r="A72" s="171" t="s">
        <v>0</v>
      </c>
      <c r="B72" s="171" t="s">
        <v>292</v>
      </c>
      <c r="C72" s="171" t="s">
        <v>171</v>
      </c>
      <c r="E72" s="172" t="s">
        <v>155</v>
      </c>
      <c r="F72" s="173" t="e">
        <f>D7*2</f>
        <v>#REF!</v>
      </c>
      <c r="G72" s="234" t="e">
        <f t="shared" si="11"/>
        <v>#REF!</v>
      </c>
      <c r="H72" s="234" t="e">
        <f t="shared" si="12"/>
        <v>#REF!</v>
      </c>
      <c r="I72" s="234" t="e">
        <f>#REF!</f>
        <v>#REF!</v>
      </c>
      <c r="J72" s="234" t="e">
        <f t="shared" si="13"/>
        <v>#REF!</v>
      </c>
      <c r="K72" s="176" t="e">
        <f t="shared" si="14"/>
        <v>#REF!</v>
      </c>
      <c r="L72" s="171" t="s">
        <v>196</v>
      </c>
    </row>
    <row r="73" spans="1:13" s="171" customFormat="1" ht="24" customHeight="1" outlineLevel="3" x14ac:dyDescent="0.2">
      <c r="A73" s="171" t="s">
        <v>0</v>
      </c>
      <c r="B73" s="171" t="s">
        <v>292</v>
      </c>
      <c r="C73" s="171" t="s">
        <v>171</v>
      </c>
      <c r="E73" s="172" t="s">
        <v>156</v>
      </c>
      <c r="F73" s="173" t="e">
        <f>D7*2</f>
        <v>#REF!</v>
      </c>
      <c r="G73" s="234" t="e">
        <f t="shared" si="11"/>
        <v>#REF!</v>
      </c>
      <c r="H73" s="234" t="e">
        <f t="shared" si="12"/>
        <v>#REF!</v>
      </c>
      <c r="I73" s="234" t="e">
        <f>#REF!</f>
        <v>#REF!</v>
      </c>
      <c r="J73" s="234" t="e">
        <f t="shared" si="13"/>
        <v>#REF!</v>
      </c>
      <c r="K73" s="176" t="e">
        <f t="shared" si="14"/>
        <v>#REF!</v>
      </c>
      <c r="L73" s="171" t="s">
        <v>196</v>
      </c>
    </row>
    <row r="74" spans="1:13" s="171" customFormat="1" ht="25.5" outlineLevel="3" x14ac:dyDescent="0.2">
      <c r="A74" s="171" t="s">
        <v>0</v>
      </c>
      <c r="B74" s="171" t="s">
        <v>292</v>
      </c>
      <c r="C74" s="171" t="s">
        <v>171</v>
      </c>
      <c r="E74" s="172" t="s">
        <v>154</v>
      </c>
      <c r="F74" s="173" t="e">
        <f>ROUNDUP($D$8*$D$7,0)*2</f>
        <v>#REF!</v>
      </c>
      <c r="G74" s="234" t="e">
        <f t="shared" si="11"/>
        <v>#REF!</v>
      </c>
      <c r="H74" s="234" t="e">
        <f t="shared" si="12"/>
        <v>#REF!</v>
      </c>
      <c r="I74" s="234" t="e">
        <f>#REF!</f>
        <v>#REF!</v>
      </c>
      <c r="J74" s="234" t="e">
        <f t="shared" si="13"/>
        <v>#REF!</v>
      </c>
      <c r="K74" s="176" t="e">
        <f t="shared" si="14"/>
        <v>#REF!</v>
      </c>
      <c r="L74" s="171" t="s">
        <v>196</v>
      </c>
    </row>
    <row r="75" spans="1:13" s="171" customFormat="1" ht="25.5" outlineLevel="3" x14ac:dyDescent="0.2">
      <c r="A75" s="171" t="s">
        <v>0</v>
      </c>
      <c r="B75" s="171" t="s">
        <v>292</v>
      </c>
      <c r="C75" s="171" t="s">
        <v>171</v>
      </c>
      <c r="E75" s="172" t="s">
        <v>172</v>
      </c>
      <c r="F75" s="173" t="e">
        <f>ROUNDUP($D$8*$D$7,0)*2</f>
        <v>#REF!</v>
      </c>
      <c r="G75" s="234" t="e">
        <f t="shared" si="11"/>
        <v>#REF!</v>
      </c>
      <c r="H75" s="234" t="e">
        <f t="shared" si="12"/>
        <v>#REF!</v>
      </c>
      <c r="I75" s="234" t="e">
        <f>#REF!</f>
        <v>#REF!</v>
      </c>
      <c r="J75" s="234" t="e">
        <f t="shared" si="13"/>
        <v>#REF!</v>
      </c>
      <c r="K75" s="176" t="e">
        <f t="shared" si="14"/>
        <v>#REF!</v>
      </c>
      <c r="L75" s="171" t="s">
        <v>196</v>
      </c>
    </row>
    <row r="76" spans="1:13" s="171" customFormat="1" ht="12.75" outlineLevel="3" x14ac:dyDescent="0.2">
      <c r="A76" s="171" t="s">
        <v>0</v>
      </c>
      <c r="B76" s="171" t="s">
        <v>292</v>
      </c>
      <c r="C76" s="171" t="s">
        <v>171</v>
      </c>
      <c r="E76" s="172" t="s">
        <v>155</v>
      </c>
      <c r="F76" s="173" t="e">
        <f>ROUNDUP($D$8*$D$7,0)*2</f>
        <v>#REF!</v>
      </c>
      <c r="G76" s="234" t="e">
        <f t="shared" si="11"/>
        <v>#REF!</v>
      </c>
      <c r="H76" s="234" t="e">
        <f t="shared" si="12"/>
        <v>#REF!</v>
      </c>
      <c r="I76" s="234" t="e">
        <f>#REF!</f>
        <v>#REF!</v>
      </c>
      <c r="J76" s="234" t="e">
        <f t="shared" si="13"/>
        <v>#REF!</v>
      </c>
      <c r="K76" s="176" t="e">
        <f t="shared" si="14"/>
        <v>#REF!</v>
      </c>
      <c r="L76" s="171" t="s">
        <v>196</v>
      </c>
    </row>
    <row r="77" spans="1:13" s="171" customFormat="1" ht="12.75" outlineLevel="2" x14ac:dyDescent="0.2">
      <c r="A77" s="191"/>
      <c r="B77" s="191"/>
      <c r="C77" s="191"/>
      <c r="D77" s="191"/>
      <c r="E77" s="187" t="s">
        <v>264</v>
      </c>
      <c r="F77" s="188"/>
      <c r="G77" s="236"/>
      <c r="H77" s="236" t="e">
        <f>SUM(H70:H76)</f>
        <v>#REF!</v>
      </c>
      <c r="I77" s="236"/>
      <c r="J77" s="236" t="e">
        <f>SUM(J70:J76)</f>
        <v>#REF!</v>
      </c>
      <c r="K77" s="190" t="e">
        <f t="shared" si="14"/>
        <v>#REF!</v>
      </c>
      <c r="L77" s="191"/>
      <c r="M77" s="191"/>
    </row>
    <row r="78" spans="1:13" s="171" customFormat="1" ht="15" customHeight="1" outlineLevel="2" x14ac:dyDescent="0.25">
      <c r="A78" s="447" t="s">
        <v>136</v>
      </c>
      <c r="B78" s="447"/>
      <c r="C78" s="447"/>
      <c r="D78" s="447"/>
      <c r="E78" s="447"/>
      <c r="F78" s="199"/>
      <c r="G78" s="237"/>
      <c r="H78" s="237"/>
      <c r="I78" s="237"/>
      <c r="J78" s="237"/>
      <c r="K78" s="199"/>
      <c r="L78" s="199"/>
      <c r="M78" s="199"/>
    </row>
    <row r="79" spans="1:13" s="171" customFormat="1" ht="12" customHeight="1" outlineLevel="3" x14ac:dyDescent="0.2">
      <c r="A79" s="171" t="s">
        <v>0</v>
      </c>
      <c r="B79" s="171" t="s">
        <v>292</v>
      </c>
      <c r="E79" s="172" t="s">
        <v>9</v>
      </c>
      <c r="F79" s="173" t="e">
        <f>ROUNDUP(10%*$D$7,0)</f>
        <v>#REF!</v>
      </c>
      <c r="G79" s="234" t="e">
        <f t="shared" ref="G79:G84" si="15">I79/0.75</f>
        <v>#REF!</v>
      </c>
      <c r="H79" s="234" t="e">
        <f>F79*G79</f>
        <v>#REF!</v>
      </c>
      <c r="I79" s="234" t="e">
        <f>#REF!+#REF!</f>
        <v>#REF!</v>
      </c>
      <c r="J79" s="234" t="e">
        <f>F79*I79</f>
        <v>#REF!</v>
      </c>
      <c r="K79" s="176" t="e">
        <f t="shared" ref="K79:K85" si="16">1-(J79/H79)</f>
        <v>#REF!</v>
      </c>
      <c r="L79" s="171" t="s">
        <v>196</v>
      </c>
    </row>
    <row r="80" spans="1:13" s="171" customFormat="1" ht="12.75" outlineLevel="3" x14ac:dyDescent="0.2">
      <c r="A80" s="171" t="s">
        <v>0</v>
      </c>
      <c r="B80" s="171" t="s">
        <v>292</v>
      </c>
      <c r="E80" s="172" t="s">
        <v>6</v>
      </c>
      <c r="F80" s="173" t="e">
        <f>ROUNDUP(110%*$D$7,0)</f>
        <v>#REF!</v>
      </c>
      <c r="G80" s="234">
        <f t="shared" si="15"/>
        <v>6.666666666666667</v>
      </c>
      <c r="H80" s="234" t="e">
        <f>F80*G80*6</f>
        <v>#REF!</v>
      </c>
      <c r="I80" s="234">
        <v>5</v>
      </c>
      <c r="J80" s="234" t="e">
        <f>F80*I80*6</f>
        <v>#REF!</v>
      </c>
      <c r="K80" s="176" t="e">
        <f t="shared" si="16"/>
        <v>#REF!</v>
      </c>
      <c r="L80" s="171" t="s">
        <v>196</v>
      </c>
    </row>
    <row r="81" spans="1:13" s="171" customFormat="1" ht="25.5" outlineLevel="3" x14ac:dyDescent="0.2">
      <c r="A81" s="171" t="s">
        <v>0</v>
      </c>
      <c r="B81" s="171" t="s">
        <v>292</v>
      </c>
      <c r="E81" s="172" t="s">
        <v>160</v>
      </c>
      <c r="F81" s="173">
        <v>2</v>
      </c>
      <c r="G81" s="234">
        <f t="shared" si="15"/>
        <v>2133.3333333333335</v>
      </c>
      <c r="H81" s="234">
        <f>F81*G81</f>
        <v>4266.666666666667</v>
      </c>
      <c r="I81" s="234">
        <v>1600</v>
      </c>
      <c r="J81" s="234">
        <f>F81*I81</f>
        <v>3200</v>
      </c>
      <c r="K81" s="176">
        <f t="shared" si="16"/>
        <v>0.25</v>
      </c>
      <c r="L81" s="171" t="s">
        <v>196</v>
      </c>
    </row>
    <row r="82" spans="1:13" s="171" customFormat="1" ht="12" customHeight="1" outlineLevel="3" x14ac:dyDescent="0.2">
      <c r="A82" s="171" t="s">
        <v>0</v>
      </c>
      <c r="B82" s="171" t="s">
        <v>292</v>
      </c>
      <c r="E82" s="172" t="s">
        <v>12</v>
      </c>
      <c r="F82" s="173">
        <v>1</v>
      </c>
      <c r="G82" s="234">
        <f t="shared" si="15"/>
        <v>4666.666666666667</v>
      </c>
      <c r="H82" s="234">
        <f>F82*G82</f>
        <v>4666.666666666667</v>
      </c>
      <c r="I82" s="234">
        <v>3500</v>
      </c>
      <c r="J82" s="234">
        <f>F82*I82</f>
        <v>3500</v>
      </c>
      <c r="K82" s="176">
        <f t="shared" si="16"/>
        <v>0.25</v>
      </c>
      <c r="L82" s="171" t="s">
        <v>196</v>
      </c>
    </row>
    <row r="83" spans="1:13" s="171" customFormat="1" ht="12.75" outlineLevel="3" x14ac:dyDescent="0.2">
      <c r="A83" s="171" t="s">
        <v>0</v>
      </c>
      <c r="B83" s="171" t="s">
        <v>292</v>
      </c>
      <c r="E83" s="172" t="s">
        <v>137</v>
      </c>
      <c r="F83" s="173" t="e">
        <f>ROUNDUP(5%*$D$7,0)</f>
        <v>#REF!</v>
      </c>
      <c r="G83" s="234">
        <f t="shared" si="15"/>
        <v>2000</v>
      </c>
      <c r="H83" s="234" t="e">
        <f>F83*G83</f>
        <v>#REF!</v>
      </c>
      <c r="I83" s="234">
        <v>1500</v>
      </c>
      <c r="J83" s="234" t="e">
        <f>F83*I83</f>
        <v>#REF!</v>
      </c>
      <c r="K83" s="176" t="e">
        <f t="shared" si="16"/>
        <v>#REF!</v>
      </c>
      <c r="L83" s="171" t="s">
        <v>196</v>
      </c>
    </row>
    <row r="84" spans="1:13" s="171" customFormat="1" ht="12.75" customHeight="1" outlineLevel="3" x14ac:dyDescent="0.2">
      <c r="A84" s="171" t="s">
        <v>0</v>
      </c>
      <c r="B84" s="171" t="s">
        <v>292</v>
      </c>
      <c r="E84" s="172" t="s">
        <v>11</v>
      </c>
      <c r="F84" s="173" t="e">
        <f t="shared" ref="F84" si="17">$D$7</f>
        <v>#REF!</v>
      </c>
      <c r="G84" s="235" t="e">
        <f t="shared" si="15"/>
        <v>#REF!</v>
      </c>
      <c r="H84" s="235" t="e">
        <f>F84*G84</f>
        <v>#REF!</v>
      </c>
      <c r="I84" s="235" t="e">
        <f>#REF!+#REF!+#REF!+#REF!</f>
        <v>#REF!</v>
      </c>
      <c r="J84" s="235" t="e">
        <f>F84*I84</f>
        <v>#REF!</v>
      </c>
      <c r="K84" s="176" t="e">
        <f t="shared" si="16"/>
        <v>#REF!</v>
      </c>
      <c r="L84" s="171" t="s">
        <v>196</v>
      </c>
    </row>
    <row r="85" spans="1:13" s="171" customFormat="1" ht="12.75" outlineLevel="2" x14ac:dyDescent="0.2">
      <c r="A85" s="191"/>
      <c r="B85" s="191"/>
      <c r="C85" s="191"/>
      <c r="D85" s="191"/>
      <c r="E85" s="187" t="s">
        <v>265</v>
      </c>
      <c r="F85" s="188"/>
      <c r="G85" s="236"/>
      <c r="H85" s="236" t="e">
        <f>SUM(H79:H84)</f>
        <v>#REF!</v>
      </c>
      <c r="I85" s="236"/>
      <c r="J85" s="236" t="e">
        <f>SUM(J79:J84)</f>
        <v>#REF!</v>
      </c>
      <c r="K85" s="190" t="e">
        <f t="shared" si="16"/>
        <v>#REF!</v>
      </c>
      <c r="L85" s="191"/>
      <c r="M85" s="191"/>
    </row>
    <row r="86" spans="1:13" s="171" customFormat="1" ht="15" customHeight="1" outlineLevel="2" x14ac:dyDescent="0.25">
      <c r="A86" s="447" t="s">
        <v>17</v>
      </c>
      <c r="B86" s="447"/>
      <c r="C86" s="447"/>
      <c r="D86" s="447"/>
      <c r="E86" s="447"/>
      <c r="F86" s="199"/>
      <c r="G86" s="237"/>
      <c r="H86" s="237"/>
      <c r="I86" s="237"/>
      <c r="J86" s="237"/>
      <c r="K86" s="199"/>
      <c r="L86" s="199"/>
      <c r="M86" s="199"/>
    </row>
    <row r="87" spans="1:13" s="171" customFormat="1" ht="12.75" outlineLevel="3" x14ac:dyDescent="0.2">
      <c r="A87" s="171" t="s">
        <v>0</v>
      </c>
      <c r="B87" s="171" t="s">
        <v>292</v>
      </c>
      <c r="E87" s="172" t="s">
        <v>219</v>
      </c>
      <c r="F87" s="173">
        <v>1</v>
      </c>
      <c r="G87" s="234" t="e">
        <f>I87/0.75</f>
        <v>#REF!</v>
      </c>
      <c r="H87" s="234" t="e">
        <f t="shared" ref="H87:H92" si="18">F87*G87</f>
        <v>#REF!</v>
      </c>
      <c r="I87" s="234" t="e">
        <f>#REF!*$D$7/1376</f>
        <v>#REF!</v>
      </c>
      <c r="J87" s="234" t="e">
        <f t="shared" ref="J87:J92" si="19">F87*I87</f>
        <v>#REF!</v>
      </c>
      <c r="K87" s="176" t="e">
        <f t="shared" ref="K87:K92" si="20">1-(J87/H87)</f>
        <v>#REF!</v>
      </c>
      <c r="L87" s="171" t="s">
        <v>195</v>
      </c>
      <c r="M87" s="171" t="s">
        <v>203</v>
      </c>
    </row>
    <row r="88" spans="1:13" s="171" customFormat="1" ht="12" customHeight="1" outlineLevel="3" x14ac:dyDescent="0.2">
      <c r="A88" s="171" t="s">
        <v>0</v>
      </c>
      <c r="B88" s="171" t="s">
        <v>292</v>
      </c>
      <c r="E88" s="172" t="s">
        <v>70</v>
      </c>
      <c r="F88" s="173">
        <v>1</v>
      </c>
      <c r="G88" s="234">
        <f>I88/0.7</f>
        <v>214285.71428571429</v>
      </c>
      <c r="H88" s="234">
        <f t="shared" si="18"/>
        <v>214285.71428571429</v>
      </c>
      <c r="I88" s="234">
        <v>150000</v>
      </c>
      <c r="J88" s="234">
        <f t="shared" si="19"/>
        <v>150000</v>
      </c>
      <c r="K88" s="176">
        <f t="shared" si="20"/>
        <v>0.30000000000000004</v>
      </c>
      <c r="L88" s="171" t="s">
        <v>195</v>
      </c>
      <c r="M88" s="171" t="s">
        <v>204</v>
      </c>
    </row>
    <row r="89" spans="1:13" s="171" customFormat="1" ht="12.75" outlineLevel="3" x14ac:dyDescent="0.2">
      <c r="A89" s="171" t="s">
        <v>0</v>
      </c>
      <c r="B89" s="171" t="s">
        <v>292</v>
      </c>
      <c r="E89" s="172" t="s">
        <v>87</v>
      </c>
      <c r="F89" s="173" t="e">
        <f>D7</f>
        <v>#REF!</v>
      </c>
      <c r="G89" s="234" t="e">
        <f>I89/0.75</f>
        <v>#REF!</v>
      </c>
      <c r="H89" s="234" t="e">
        <f t="shared" si="18"/>
        <v>#REF!</v>
      </c>
      <c r="I89" s="234" t="e">
        <f>#REF!</f>
        <v>#REF!</v>
      </c>
      <c r="J89" s="234" t="e">
        <f t="shared" si="19"/>
        <v>#REF!</v>
      </c>
      <c r="K89" s="176" t="e">
        <f t="shared" si="20"/>
        <v>#REF!</v>
      </c>
      <c r="L89" s="171" t="s">
        <v>195</v>
      </c>
      <c r="M89" s="171" t="s">
        <v>204</v>
      </c>
    </row>
    <row r="90" spans="1:13" s="171" customFormat="1" ht="12.75" outlineLevel="3" x14ac:dyDescent="0.2">
      <c r="A90" s="171" t="s">
        <v>0</v>
      </c>
      <c r="B90" s="171" t="s">
        <v>292</v>
      </c>
      <c r="E90" s="172" t="s">
        <v>168</v>
      </c>
      <c r="F90" s="173">
        <v>6</v>
      </c>
      <c r="G90" s="234">
        <f>I90/0.7</f>
        <v>28571.428571428572</v>
      </c>
      <c r="H90" s="234">
        <f t="shared" si="18"/>
        <v>171428.57142857142</v>
      </c>
      <c r="I90" s="234">
        <v>20000</v>
      </c>
      <c r="J90" s="234">
        <f t="shared" si="19"/>
        <v>120000</v>
      </c>
      <c r="K90" s="176">
        <f t="shared" si="20"/>
        <v>0.29999999999999993</v>
      </c>
      <c r="L90" s="171" t="s">
        <v>195</v>
      </c>
      <c r="M90" s="171" t="s">
        <v>204</v>
      </c>
    </row>
    <row r="91" spans="1:13" s="171" customFormat="1" ht="12.75" outlineLevel="3" x14ac:dyDescent="0.2">
      <c r="A91" s="171" t="s">
        <v>0</v>
      </c>
      <c r="B91" s="171" t="s">
        <v>292</v>
      </c>
      <c r="E91" s="172" t="s">
        <v>169</v>
      </c>
      <c r="F91" s="173">
        <v>1</v>
      </c>
      <c r="G91" s="234">
        <f>I91/0.75</f>
        <v>266666.66666666669</v>
      </c>
      <c r="H91" s="234">
        <f t="shared" si="18"/>
        <v>266666.66666666669</v>
      </c>
      <c r="I91" s="234">
        <v>200000</v>
      </c>
      <c r="J91" s="234">
        <f t="shared" si="19"/>
        <v>200000</v>
      </c>
      <c r="K91" s="176">
        <f t="shared" si="20"/>
        <v>0.25</v>
      </c>
      <c r="L91" s="171" t="s">
        <v>195</v>
      </c>
      <c r="M91" s="171" t="s">
        <v>204</v>
      </c>
    </row>
    <row r="92" spans="1:13" s="171" customFormat="1" ht="12.75" outlineLevel="3" x14ac:dyDescent="0.2">
      <c r="A92" s="171" t="s">
        <v>0</v>
      </c>
      <c r="B92" s="171" t="s">
        <v>292</v>
      </c>
      <c r="E92" s="172" t="s">
        <v>226</v>
      </c>
      <c r="F92" s="173">
        <v>8</v>
      </c>
      <c r="G92" s="234">
        <f>I92/0.75</f>
        <v>10133.333333333334</v>
      </c>
      <c r="H92" s="234">
        <f t="shared" si="18"/>
        <v>81066.666666666672</v>
      </c>
      <c r="I92" s="234">
        <v>7600</v>
      </c>
      <c r="J92" s="234">
        <f t="shared" si="19"/>
        <v>60800</v>
      </c>
      <c r="K92" s="176">
        <f t="shared" si="20"/>
        <v>0.25</v>
      </c>
    </row>
    <row r="93" spans="1:13" s="171" customFormat="1" ht="12.75" outlineLevel="2" x14ac:dyDescent="0.2">
      <c r="A93" s="191"/>
      <c r="B93" s="191"/>
      <c r="C93" s="191"/>
      <c r="D93" s="191"/>
      <c r="E93" s="187" t="s">
        <v>266</v>
      </c>
      <c r="F93" s="188"/>
      <c r="G93" s="236"/>
      <c r="H93" s="236" t="e">
        <f>SUM(H87:H92)</f>
        <v>#REF!</v>
      </c>
      <c r="I93" s="236"/>
      <c r="J93" s="236" t="e">
        <f>SUM(J87:J92)</f>
        <v>#REF!</v>
      </c>
      <c r="K93" s="190" t="e">
        <f>1-(J93/H93)</f>
        <v>#REF!</v>
      </c>
      <c r="L93" s="191"/>
      <c r="M93" s="191"/>
    </row>
    <row r="94" spans="1:13" s="171" customFormat="1" ht="15" customHeight="1" outlineLevel="2" x14ac:dyDescent="0.25">
      <c r="A94" s="447" t="s">
        <v>146</v>
      </c>
      <c r="B94" s="447"/>
      <c r="C94" s="447"/>
      <c r="D94" s="447"/>
      <c r="E94" s="447"/>
      <c r="F94" s="199"/>
      <c r="G94" s="237"/>
      <c r="H94" s="237"/>
      <c r="I94" s="237"/>
      <c r="J94" s="237"/>
      <c r="K94" s="199"/>
      <c r="L94" s="199"/>
      <c r="M94" s="199"/>
    </row>
    <row r="95" spans="1:13" s="171" customFormat="1" ht="13.35" customHeight="1" outlineLevel="3" x14ac:dyDescent="0.2">
      <c r="A95" s="171" t="s">
        <v>0</v>
      </c>
      <c r="B95" s="171" t="s">
        <v>292</v>
      </c>
      <c r="E95" s="172" t="s">
        <v>181</v>
      </c>
      <c r="F95" s="173" t="e">
        <f>$D$7</f>
        <v>#REF!</v>
      </c>
      <c r="G95" s="234">
        <f>I95/0.75</f>
        <v>333.33333333333331</v>
      </c>
      <c r="H95" s="234" t="e">
        <f>F95*G95</f>
        <v>#REF!</v>
      </c>
      <c r="I95" s="234">
        <v>250</v>
      </c>
      <c r="J95" s="234" t="e">
        <f>F95*I95</f>
        <v>#REF!</v>
      </c>
      <c r="K95" s="176" t="e">
        <f t="shared" ref="K95:K101" si="21">1-(J95/H95)</f>
        <v>#REF!</v>
      </c>
      <c r="L95" s="171" t="s">
        <v>196</v>
      </c>
    </row>
    <row r="96" spans="1:13" s="171" customFormat="1" ht="12.75" outlineLevel="3" x14ac:dyDescent="0.2">
      <c r="A96" s="171" t="s">
        <v>0</v>
      </c>
      <c r="B96" s="171" t="s">
        <v>292</v>
      </c>
      <c r="E96" s="172" t="s">
        <v>185</v>
      </c>
      <c r="F96" s="173" t="e">
        <f>ROUNDUP($D$8*$D$7,0)</f>
        <v>#REF!</v>
      </c>
      <c r="G96" s="234">
        <f>I96/0.75</f>
        <v>333.33333333333331</v>
      </c>
      <c r="H96" s="234" t="e">
        <f>F96*G96</f>
        <v>#REF!</v>
      </c>
      <c r="I96" s="234">
        <v>250</v>
      </c>
      <c r="J96" s="234" t="e">
        <f>F96*I96</f>
        <v>#REF!</v>
      </c>
      <c r="K96" s="176" t="e">
        <f t="shared" si="21"/>
        <v>#REF!</v>
      </c>
      <c r="L96" s="171" t="s">
        <v>196</v>
      </c>
    </row>
    <row r="97" spans="1:13" s="171" customFormat="1" ht="12.75" outlineLevel="3" x14ac:dyDescent="0.2">
      <c r="A97" s="171" t="s">
        <v>0</v>
      </c>
      <c r="B97" s="171" t="s">
        <v>292</v>
      </c>
      <c r="E97" s="172" t="s">
        <v>182</v>
      </c>
      <c r="F97" s="173">
        <v>1</v>
      </c>
      <c r="G97" s="234" t="e">
        <f>I97/0.75</f>
        <v>#REF!</v>
      </c>
      <c r="H97" s="234" t="e">
        <f>F97*G97</f>
        <v>#REF!</v>
      </c>
      <c r="I97" s="234" t="e">
        <f>#REF!</f>
        <v>#REF!</v>
      </c>
      <c r="J97" s="234" t="e">
        <f>F97*I97</f>
        <v>#REF!</v>
      </c>
      <c r="K97" s="176" t="e">
        <f t="shared" si="21"/>
        <v>#REF!</v>
      </c>
      <c r="L97" s="171" t="s">
        <v>196</v>
      </c>
    </row>
    <row r="98" spans="1:13" s="171" customFormat="1" ht="12.75" outlineLevel="3" x14ac:dyDescent="0.2">
      <c r="A98" s="171" t="s">
        <v>0</v>
      </c>
      <c r="B98" s="171" t="s">
        <v>292</v>
      </c>
      <c r="E98" s="172" t="s">
        <v>183</v>
      </c>
      <c r="F98" s="173">
        <v>1</v>
      </c>
      <c r="G98" s="234" t="e">
        <f>I98/0.75</f>
        <v>#REF!</v>
      </c>
      <c r="H98" s="234" t="e">
        <f>F98*G98</f>
        <v>#REF!</v>
      </c>
      <c r="I98" s="234" t="e">
        <f>#REF!</f>
        <v>#REF!</v>
      </c>
      <c r="J98" s="234" t="e">
        <f>F98*I98</f>
        <v>#REF!</v>
      </c>
      <c r="K98" s="176" t="e">
        <f t="shared" si="21"/>
        <v>#REF!</v>
      </c>
      <c r="L98" s="171" t="s">
        <v>196</v>
      </c>
    </row>
    <row r="99" spans="1:13" s="171" customFormat="1" ht="12.75" outlineLevel="3" x14ac:dyDescent="0.2">
      <c r="A99" s="171" t="s">
        <v>0</v>
      </c>
      <c r="B99" s="171" t="s">
        <v>292</v>
      </c>
      <c r="E99" s="172" t="s">
        <v>184</v>
      </c>
      <c r="F99" s="173">
        <v>1</v>
      </c>
      <c r="G99" s="235" t="e">
        <f>I99/0.75</f>
        <v>#REF!</v>
      </c>
      <c r="H99" s="235" t="e">
        <f>F99*G99</f>
        <v>#REF!</v>
      </c>
      <c r="I99" s="235" t="e">
        <f>#REF!</f>
        <v>#REF!</v>
      </c>
      <c r="J99" s="235" t="e">
        <f>F99*I99</f>
        <v>#REF!</v>
      </c>
      <c r="K99" s="176" t="e">
        <f t="shared" si="21"/>
        <v>#REF!</v>
      </c>
      <c r="L99" s="171" t="s">
        <v>196</v>
      </c>
    </row>
    <row r="100" spans="1:13" s="171" customFormat="1" ht="13.5" outlineLevel="2" thickBot="1" x14ac:dyDescent="0.25">
      <c r="A100" s="196"/>
      <c r="B100" s="196"/>
      <c r="C100" s="196"/>
      <c r="D100" s="196"/>
      <c r="E100" s="192" t="s">
        <v>267</v>
      </c>
      <c r="F100" s="193"/>
      <c r="G100" s="238"/>
      <c r="H100" s="238" t="e">
        <f>SUM(H95:H99)</f>
        <v>#REF!</v>
      </c>
      <c r="I100" s="238"/>
      <c r="J100" s="238" t="e">
        <f>SUM(J95:J99)</f>
        <v>#REF!</v>
      </c>
      <c r="K100" s="195" t="e">
        <f t="shared" si="21"/>
        <v>#REF!</v>
      </c>
      <c r="L100" s="196"/>
      <c r="M100" s="196"/>
    </row>
    <row r="101" spans="1:13" s="207" customFormat="1" ht="15" customHeight="1" outlineLevel="1" thickTop="1" x14ac:dyDescent="0.2">
      <c r="A101" s="441" t="s">
        <v>268</v>
      </c>
      <c r="B101" s="441"/>
      <c r="C101" s="441"/>
      <c r="D101" s="441"/>
      <c r="E101" s="441"/>
      <c r="F101" s="206"/>
      <c r="G101" s="239"/>
      <c r="H101" s="239" t="e">
        <f>H100+H93+H85+H77+H68+H60+H57+H53+H49</f>
        <v>#REF!</v>
      </c>
      <c r="I101" s="239"/>
      <c r="J101" s="239" t="e">
        <f>J100+J93+J85+J77+J68+J60+J57+J53+J49</f>
        <v>#REF!</v>
      </c>
      <c r="K101" s="209" t="e">
        <f t="shared" si="21"/>
        <v>#REF!</v>
      </c>
    </row>
    <row r="102" spans="1:13" s="171" customFormat="1" ht="6" customHeight="1" outlineLevel="1" thickBot="1" x14ac:dyDescent="0.25">
      <c r="A102" s="178"/>
      <c r="B102" s="178"/>
      <c r="C102" s="178"/>
      <c r="D102" s="178"/>
      <c r="E102" s="211"/>
      <c r="F102" s="212"/>
      <c r="G102" s="240"/>
      <c r="H102" s="240"/>
      <c r="I102" s="240"/>
      <c r="J102" s="240"/>
      <c r="K102" s="177"/>
      <c r="L102" s="178"/>
      <c r="M102" s="178"/>
    </row>
    <row r="103" spans="1:13" s="233" customFormat="1" ht="15" customHeight="1" thickTop="1" x14ac:dyDescent="0.25">
      <c r="A103" s="446" t="s">
        <v>280</v>
      </c>
      <c r="B103" s="446"/>
      <c r="C103" s="446"/>
      <c r="D103" s="446"/>
      <c r="E103" s="446"/>
      <c r="F103" s="231"/>
      <c r="G103" s="241"/>
      <c r="H103" s="241" t="e">
        <f>H101+H43</f>
        <v>#REF!</v>
      </c>
      <c r="I103" s="241"/>
      <c r="J103" s="241" t="e">
        <f>J101+J43</f>
        <v>#REF!</v>
      </c>
      <c r="K103" s="232" t="e">
        <f>1-(J103/H103)</f>
        <v>#REF!</v>
      </c>
      <c r="L103" s="213"/>
      <c r="M103" s="213"/>
    </row>
    <row r="104" spans="1:13" s="171" customFormat="1" ht="15" customHeight="1" x14ac:dyDescent="0.25">
      <c r="A104" s="442" t="s">
        <v>1</v>
      </c>
      <c r="B104" s="442"/>
      <c r="C104" s="442"/>
      <c r="D104" s="442"/>
      <c r="E104" s="442"/>
      <c r="F104" s="442"/>
      <c r="G104" s="442"/>
      <c r="H104" s="442"/>
      <c r="I104" s="442"/>
      <c r="J104" s="442"/>
      <c r="K104" s="442"/>
      <c r="L104" s="442"/>
      <c r="M104" s="442"/>
    </row>
    <row r="105" spans="1:13" s="171" customFormat="1" ht="15" customHeight="1" outlineLevel="1" x14ac:dyDescent="0.25">
      <c r="A105" s="445" t="s">
        <v>269</v>
      </c>
      <c r="B105" s="445"/>
      <c r="C105" s="445"/>
      <c r="D105" s="445"/>
      <c r="E105" s="445"/>
      <c r="F105" s="198"/>
      <c r="G105" s="197"/>
      <c r="H105" s="197"/>
      <c r="I105" s="197"/>
      <c r="J105" s="197"/>
      <c r="K105" s="197"/>
      <c r="L105" s="197"/>
      <c r="M105" s="198"/>
    </row>
    <row r="106" spans="1:13" s="171" customFormat="1" ht="12.75" outlineLevel="2" x14ac:dyDescent="0.2">
      <c r="A106" s="183" t="s">
        <v>5</v>
      </c>
      <c r="B106" s="183"/>
      <c r="C106" s="183" t="s">
        <v>128</v>
      </c>
      <c r="D106" s="183" t="s">
        <v>106</v>
      </c>
      <c r="E106" s="184" t="s">
        <v>68</v>
      </c>
      <c r="F106" s="185" t="s">
        <v>69</v>
      </c>
      <c r="G106" s="183" t="s">
        <v>108</v>
      </c>
      <c r="H106" s="183" t="s">
        <v>109</v>
      </c>
      <c r="I106" s="183" t="s">
        <v>110</v>
      </c>
      <c r="J106" s="183" t="s">
        <v>111</v>
      </c>
      <c r="K106" s="183" t="s">
        <v>13</v>
      </c>
      <c r="L106" s="183" t="s">
        <v>194</v>
      </c>
      <c r="M106" s="183" t="s">
        <v>279</v>
      </c>
    </row>
    <row r="107" spans="1:13" s="171" customFormat="1" ht="15" customHeight="1" outlineLevel="2" x14ac:dyDescent="0.25">
      <c r="A107" s="444" t="s">
        <v>281</v>
      </c>
      <c r="B107" s="444"/>
      <c r="C107" s="444"/>
      <c r="D107" s="444"/>
      <c r="E107" s="444"/>
      <c r="F107" s="215"/>
      <c r="G107" s="218"/>
      <c r="H107" s="218"/>
      <c r="I107" s="218"/>
      <c r="J107" s="218"/>
      <c r="K107" s="218"/>
      <c r="L107" s="218"/>
      <c r="M107" s="215"/>
    </row>
    <row r="108" spans="1:13" s="171" customFormat="1" ht="12" customHeight="1" outlineLevel="2" x14ac:dyDescent="0.25">
      <c r="A108" s="171" t="s">
        <v>1</v>
      </c>
      <c r="B108" s="171" t="s">
        <v>269</v>
      </c>
      <c r="C108" s="186"/>
      <c r="E108" s="172" t="s">
        <v>193</v>
      </c>
      <c r="F108" s="173">
        <v>30</v>
      </c>
      <c r="G108" s="234">
        <f>I108/0.7</f>
        <v>10714.285714285716</v>
      </c>
      <c r="H108" s="234">
        <f>F108*G108</f>
        <v>321428.57142857148</v>
      </c>
      <c r="I108" s="234">
        <v>7500</v>
      </c>
      <c r="J108" s="234">
        <f>F108*I108</f>
        <v>225000</v>
      </c>
      <c r="K108" s="176">
        <f t="shared" ref="K108:K121" si="22">1-(J108/H108)</f>
        <v>0.30000000000000016</v>
      </c>
      <c r="L108" s="171" t="s">
        <v>195</v>
      </c>
    </row>
    <row r="109" spans="1:13" s="171" customFormat="1" ht="12.75" outlineLevel="2" x14ac:dyDescent="0.2">
      <c r="A109" s="171" t="s">
        <v>1</v>
      </c>
      <c r="B109" s="171" t="s">
        <v>269</v>
      </c>
      <c r="E109" s="172" t="s">
        <v>72</v>
      </c>
      <c r="F109" s="173">
        <v>30</v>
      </c>
      <c r="G109" s="234" t="e">
        <f>I109/0.7</f>
        <v>#REF!</v>
      </c>
      <c r="H109" s="234" t="e">
        <f>F109*G109</f>
        <v>#REF!</v>
      </c>
      <c r="I109" s="234" t="e">
        <f>#REF!</f>
        <v>#REF!</v>
      </c>
      <c r="J109" s="234" t="e">
        <f>F109*I109</f>
        <v>#REF!</v>
      </c>
      <c r="K109" s="176" t="e">
        <f t="shared" si="22"/>
        <v>#REF!</v>
      </c>
      <c r="L109" s="171" t="s">
        <v>196</v>
      </c>
    </row>
    <row r="110" spans="1:13" s="171" customFormat="1" ht="12.75" outlineLevel="2" x14ac:dyDescent="0.2">
      <c r="A110" s="191"/>
      <c r="B110" s="191"/>
      <c r="C110" s="191"/>
      <c r="D110" s="191"/>
      <c r="E110" s="187" t="s">
        <v>282</v>
      </c>
      <c r="F110" s="188"/>
      <c r="G110" s="236"/>
      <c r="H110" s="236" t="e">
        <f>SUM(H108:H109)</f>
        <v>#REF!</v>
      </c>
      <c r="I110" s="236"/>
      <c r="J110" s="236" t="e">
        <f>SUM(J108:J109)</f>
        <v>#REF!</v>
      </c>
      <c r="K110" s="190" t="e">
        <f t="shared" si="22"/>
        <v>#REF!</v>
      </c>
      <c r="L110" s="191"/>
      <c r="M110" s="191"/>
    </row>
    <row r="111" spans="1:13" s="171" customFormat="1" ht="15" customHeight="1" outlineLevel="2" x14ac:dyDescent="0.25">
      <c r="A111" s="444" t="s">
        <v>270</v>
      </c>
      <c r="B111" s="444"/>
      <c r="C111" s="444" t="s">
        <v>270</v>
      </c>
      <c r="D111" s="444"/>
      <c r="E111" s="444"/>
      <c r="F111" s="216"/>
      <c r="G111" s="242"/>
      <c r="H111" s="242"/>
      <c r="I111" s="242"/>
      <c r="J111" s="242"/>
      <c r="K111" s="219"/>
      <c r="L111" s="219"/>
      <c r="M111" s="216"/>
    </row>
    <row r="112" spans="1:13" s="171" customFormat="1" ht="12.75" outlineLevel="2" x14ac:dyDescent="0.2">
      <c r="A112" s="171" t="s">
        <v>1</v>
      </c>
      <c r="B112" s="171" t="s">
        <v>269</v>
      </c>
      <c r="C112" s="171" t="s">
        <v>138</v>
      </c>
      <c r="E112" s="172" t="s">
        <v>229</v>
      </c>
      <c r="F112" s="173" t="e">
        <f>D10*1.05</f>
        <v>#REF!</v>
      </c>
      <c r="G112" s="234">
        <v>81</v>
      </c>
      <c r="H112" s="234" t="e">
        <f>F112*G112*24</f>
        <v>#REF!</v>
      </c>
      <c r="I112" s="234">
        <v>52</v>
      </c>
      <c r="J112" s="234" t="e">
        <f>F112*I112*24</f>
        <v>#REF!</v>
      </c>
      <c r="K112" s="176" t="e">
        <f>1-(J112/H112)</f>
        <v>#REF!</v>
      </c>
      <c r="L112" s="171" t="s">
        <v>195</v>
      </c>
      <c r="M112" s="171" t="s">
        <v>144</v>
      </c>
    </row>
    <row r="113" spans="1:13" s="171" customFormat="1" ht="12.75" customHeight="1" outlineLevel="2" x14ac:dyDescent="0.2">
      <c r="A113" s="171" t="s">
        <v>1</v>
      </c>
      <c r="B113" s="171" t="s">
        <v>269</v>
      </c>
      <c r="C113" s="171" t="s">
        <v>138</v>
      </c>
      <c r="E113" s="172" t="s">
        <v>161</v>
      </c>
      <c r="F113" s="173">
        <v>50</v>
      </c>
      <c r="G113" s="234">
        <v>81</v>
      </c>
      <c r="H113" s="235">
        <f>F113*G113*7</f>
        <v>28350</v>
      </c>
      <c r="I113" s="235">
        <v>52</v>
      </c>
      <c r="J113" s="235">
        <f>F113*I113*7</f>
        <v>18200</v>
      </c>
      <c r="K113" s="176">
        <f>1-(J113/H113)</f>
        <v>0.35802469135802473</v>
      </c>
      <c r="L113" s="171" t="s">
        <v>195</v>
      </c>
      <c r="M113" s="171" t="s">
        <v>144</v>
      </c>
    </row>
    <row r="114" spans="1:13" s="171" customFormat="1" ht="13.5" outlineLevel="2" thickBot="1" x14ac:dyDescent="0.25">
      <c r="A114" s="196"/>
      <c r="B114" s="196"/>
      <c r="C114" s="196"/>
      <c r="D114" s="196"/>
      <c r="E114" s="192" t="s">
        <v>272</v>
      </c>
      <c r="F114" s="193"/>
      <c r="G114" s="238"/>
      <c r="H114" s="238" t="e">
        <f>SUM(H112:H113)</f>
        <v>#REF!</v>
      </c>
      <c r="I114" s="238"/>
      <c r="J114" s="238" t="e">
        <f>SUM(J112:J113)</f>
        <v>#REF!</v>
      </c>
      <c r="K114" s="195" t="e">
        <f>1-(J114/H114)</f>
        <v>#REF!</v>
      </c>
      <c r="L114" s="196"/>
      <c r="M114" s="196"/>
    </row>
    <row r="115" spans="1:13" s="207" customFormat="1" ht="15" customHeight="1" outlineLevel="1" thickTop="1" x14ac:dyDescent="0.2">
      <c r="A115" s="441" t="s">
        <v>288</v>
      </c>
      <c r="B115" s="441"/>
      <c r="C115" s="441"/>
      <c r="D115" s="441"/>
      <c r="E115" s="441" t="s">
        <v>275</v>
      </c>
      <c r="F115" s="206"/>
      <c r="G115" s="239"/>
      <c r="H115" s="239" t="e">
        <f>H114+H110</f>
        <v>#REF!</v>
      </c>
      <c r="I115" s="239"/>
      <c r="J115" s="239" t="e">
        <f>J114+J110</f>
        <v>#REF!</v>
      </c>
      <c r="K115" s="209" t="e">
        <f>1-(J115/H115)</f>
        <v>#REF!</v>
      </c>
    </row>
    <row r="116" spans="1:13" s="171" customFormat="1" ht="15" customHeight="1" outlineLevel="1" x14ac:dyDescent="0.25">
      <c r="A116" s="445" t="s">
        <v>287</v>
      </c>
      <c r="B116" s="445"/>
      <c r="C116" s="445"/>
      <c r="D116" s="445"/>
      <c r="E116" s="445"/>
      <c r="F116" s="198"/>
      <c r="G116" s="197"/>
      <c r="H116" s="197"/>
      <c r="I116" s="197"/>
      <c r="J116" s="197"/>
      <c r="K116" s="197"/>
      <c r="L116" s="197"/>
      <c r="M116" s="198"/>
    </row>
    <row r="117" spans="1:13" s="171" customFormat="1" ht="12.75" outlineLevel="2" x14ac:dyDescent="0.2">
      <c r="A117" s="183" t="s">
        <v>5</v>
      </c>
      <c r="B117" s="183"/>
      <c r="C117" s="183" t="s">
        <v>128</v>
      </c>
      <c r="D117" s="183" t="s">
        <v>106</v>
      </c>
      <c r="E117" s="184" t="s">
        <v>68</v>
      </c>
      <c r="F117" s="185" t="s">
        <v>69</v>
      </c>
      <c r="G117" s="183" t="s">
        <v>108</v>
      </c>
      <c r="H117" s="183" t="s">
        <v>109</v>
      </c>
      <c r="I117" s="183" t="s">
        <v>110</v>
      </c>
      <c r="J117" s="183" t="s">
        <v>111</v>
      </c>
      <c r="K117" s="183" t="s">
        <v>13</v>
      </c>
      <c r="L117" s="183" t="s">
        <v>194</v>
      </c>
      <c r="M117" s="183" t="s">
        <v>279</v>
      </c>
    </row>
    <row r="118" spans="1:13" s="171" customFormat="1" ht="15" customHeight="1" outlineLevel="2" x14ac:dyDescent="0.25">
      <c r="A118" s="444" t="s">
        <v>283</v>
      </c>
      <c r="B118" s="444"/>
      <c r="C118" s="444"/>
      <c r="D118" s="444"/>
      <c r="E118" s="444"/>
      <c r="F118" s="215"/>
      <c r="G118" s="218"/>
      <c r="H118" s="218"/>
      <c r="I118" s="218"/>
      <c r="J118" s="218"/>
      <c r="K118" s="218"/>
      <c r="L118" s="218"/>
      <c r="M118" s="215"/>
    </row>
    <row r="119" spans="1:13" s="171" customFormat="1" ht="12.75" outlineLevel="3" x14ac:dyDescent="0.2">
      <c r="A119" s="171" t="s">
        <v>1</v>
      </c>
      <c r="B119" s="171" t="s">
        <v>269</v>
      </c>
      <c r="E119" s="172" t="s">
        <v>88</v>
      </c>
      <c r="F119" s="173" t="e">
        <f>D7</f>
        <v>#REF!</v>
      </c>
      <c r="G119" s="234" t="e">
        <f>I119/0.75</f>
        <v>#REF!</v>
      </c>
      <c r="H119" s="234" t="e">
        <f>F119*G119*36</f>
        <v>#REF!</v>
      </c>
      <c r="I119" s="234" t="e">
        <f>#REF!/951</f>
        <v>#REF!</v>
      </c>
      <c r="J119" s="234" t="e">
        <f>F119*I119*36</f>
        <v>#REF!</v>
      </c>
      <c r="K119" s="176" t="e">
        <f t="shared" si="22"/>
        <v>#REF!</v>
      </c>
      <c r="L119" s="171" t="s">
        <v>195</v>
      </c>
    </row>
    <row r="120" spans="1:13" s="171" customFormat="1" ht="25.5" outlineLevel="3" x14ac:dyDescent="0.2">
      <c r="A120" s="171" t="s">
        <v>1</v>
      </c>
      <c r="B120" s="171" t="s">
        <v>269</v>
      </c>
      <c r="E120" s="172" t="s">
        <v>147</v>
      </c>
      <c r="F120" s="173" t="e">
        <f>D7</f>
        <v>#REF!</v>
      </c>
      <c r="G120" s="234">
        <f>I120/0.7</f>
        <v>4.2857142857142856</v>
      </c>
      <c r="H120" s="234" t="e">
        <f>F120*G120*24</f>
        <v>#REF!</v>
      </c>
      <c r="I120" s="234">
        <v>3</v>
      </c>
      <c r="J120" s="234" t="e">
        <f>F120*I120*24</f>
        <v>#REF!</v>
      </c>
      <c r="K120" s="176" t="e">
        <f>1-(J120/H120)</f>
        <v>#REF!</v>
      </c>
      <c r="L120" s="171" t="s">
        <v>195</v>
      </c>
    </row>
    <row r="121" spans="1:13" s="171" customFormat="1" ht="12" customHeight="1" outlineLevel="3" x14ac:dyDescent="0.2">
      <c r="A121" s="171" t="s">
        <v>1</v>
      </c>
      <c r="B121" s="171" t="s">
        <v>269</v>
      </c>
      <c r="E121" s="172" t="s">
        <v>227</v>
      </c>
      <c r="F121" s="173">
        <v>6</v>
      </c>
      <c r="G121" s="235">
        <f>I121/0.75</f>
        <v>266.66666666666669</v>
      </c>
      <c r="H121" s="235">
        <f>F121*G121*26</f>
        <v>41600</v>
      </c>
      <c r="I121" s="235">
        <v>200</v>
      </c>
      <c r="J121" s="235">
        <f>F121*I121*26</f>
        <v>31200</v>
      </c>
      <c r="K121" s="176">
        <f t="shared" si="22"/>
        <v>0.25</v>
      </c>
      <c r="L121" s="171" t="s">
        <v>195</v>
      </c>
    </row>
    <row r="122" spans="1:13" s="171" customFormat="1" ht="12.75" outlineLevel="2" x14ac:dyDescent="0.2">
      <c r="A122" s="191"/>
      <c r="B122" s="191"/>
      <c r="C122" s="191"/>
      <c r="D122" s="191"/>
      <c r="E122" s="187" t="s">
        <v>284</v>
      </c>
      <c r="F122" s="188"/>
      <c r="G122" s="236"/>
      <c r="H122" s="236" t="e">
        <f>SUM(H119:H121)</f>
        <v>#REF!</v>
      </c>
      <c r="I122" s="236"/>
      <c r="J122" s="236" t="e">
        <f>SUM(J119:J121)</f>
        <v>#REF!</v>
      </c>
      <c r="K122" s="190" t="e">
        <f>1-(J122/H122)</f>
        <v>#REF!</v>
      </c>
      <c r="L122" s="191"/>
      <c r="M122" s="191"/>
    </row>
    <row r="123" spans="1:13" s="171" customFormat="1" ht="15" customHeight="1" outlineLevel="2" x14ac:dyDescent="0.25">
      <c r="A123" s="444" t="s">
        <v>285</v>
      </c>
      <c r="B123" s="444"/>
      <c r="C123" s="444"/>
      <c r="D123" s="444"/>
      <c r="E123" s="444"/>
      <c r="F123" s="215"/>
      <c r="G123" s="243"/>
      <c r="H123" s="243"/>
      <c r="I123" s="243"/>
      <c r="J123" s="243"/>
      <c r="K123" s="218"/>
      <c r="L123" s="218"/>
      <c r="M123" s="215"/>
    </row>
    <row r="124" spans="1:13" s="171" customFormat="1" ht="12" customHeight="1" outlineLevel="3" x14ac:dyDescent="0.2">
      <c r="A124" s="171" t="s">
        <v>1</v>
      </c>
      <c r="B124" s="171" t="s">
        <v>269</v>
      </c>
      <c r="E124" s="172" t="s">
        <v>152</v>
      </c>
      <c r="F124" s="173" t="e">
        <f>ROUNDUP(30%*$D$7,0)</f>
        <v>#REF!</v>
      </c>
      <c r="G124" s="234" t="e">
        <f>I124/0.75</f>
        <v>#REF!</v>
      </c>
      <c r="H124" s="234" t="e">
        <f>F124*G124</f>
        <v>#REF!</v>
      </c>
      <c r="I124" s="234" t="e">
        <f>#REF!*2</f>
        <v>#REF!</v>
      </c>
      <c r="J124" s="234" t="e">
        <f>F124*I124</f>
        <v>#REF!</v>
      </c>
      <c r="K124" s="176" t="e">
        <f>1-(J124/H124)</f>
        <v>#REF!</v>
      </c>
      <c r="L124" s="171" t="s">
        <v>196</v>
      </c>
    </row>
    <row r="125" spans="1:13" s="171" customFormat="1" ht="12.75" outlineLevel="2" x14ac:dyDescent="0.2">
      <c r="A125" s="191"/>
      <c r="B125" s="191"/>
      <c r="C125" s="191"/>
      <c r="D125" s="191"/>
      <c r="E125" s="187" t="s">
        <v>286</v>
      </c>
      <c r="F125" s="188"/>
      <c r="G125" s="236"/>
      <c r="H125" s="236" t="e">
        <f>SUM(H124)</f>
        <v>#REF!</v>
      </c>
      <c r="I125" s="236"/>
      <c r="J125" s="236" t="e">
        <f>SUM(J124)</f>
        <v>#REF!</v>
      </c>
      <c r="K125" s="190" t="e">
        <f>1-(J125/H125)</f>
        <v>#REF!</v>
      </c>
      <c r="L125" s="191"/>
      <c r="M125" s="191"/>
    </row>
    <row r="126" spans="1:13" s="171" customFormat="1" ht="15" customHeight="1" outlineLevel="2" x14ac:dyDescent="0.25">
      <c r="A126" s="444" t="s">
        <v>271</v>
      </c>
      <c r="B126" s="444"/>
      <c r="C126" s="444" t="s">
        <v>271</v>
      </c>
      <c r="D126" s="444"/>
      <c r="E126" s="444"/>
      <c r="F126" s="216"/>
      <c r="G126" s="242"/>
      <c r="H126" s="242"/>
      <c r="I126" s="242"/>
      <c r="J126" s="242"/>
      <c r="K126" s="219"/>
      <c r="L126" s="219"/>
      <c r="M126" s="216"/>
    </row>
    <row r="127" spans="1:13" s="171" customFormat="1" ht="12.75" outlineLevel="3" x14ac:dyDescent="0.2">
      <c r="A127" s="171" t="s">
        <v>1</v>
      </c>
      <c r="B127" s="171" t="s">
        <v>269</v>
      </c>
      <c r="C127" s="171" t="s">
        <v>141</v>
      </c>
      <c r="E127" s="172" t="s">
        <v>228</v>
      </c>
      <c r="F127" s="173" t="e">
        <f>D11</f>
        <v>#REF!</v>
      </c>
      <c r="G127" s="234">
        <f>I127/0.75</f>
        <v>166.66666666666666</v>
      </c>
      <c r="H127" s="234" t="e">
        <f>F127*G127*24</f>
        <v>#REF!</v>
      </c>
      <c r="I127" s="234">
        <v>125</v>
      </c>
      <c r="J127" s="234" t="e">
        <f>F127*I127*24</f>
        <v>#REF!</v>
      </c>
      <c r="K127" s="176" t="e">
        <f>1-(J127/H127)</f>
        <v>#REF!</v>
      </c>
      <c r="L127" s="171" t="s">
        <v>195</v>
      </c>
      <c r="M127" s="171" t="s">
        <v>144</v>
      </c>
    </row>
    <row r="128" spans="1:13" s="171" customFormat="1" ht="12.75" outlineLevel="2" x14ac:dyDescent="0.2">
      <c r="A128" s="191"/>
      <c r="B128" s="191"/>
      <c r="C128" s="191"/>
      <c r="D128" s="191"/>
      <c r="E128" s="187" t="s">
        <v>273</v>
      </c>
      <c r="F128" s="227"/>
      <c r="G128" s="236"/>
      <c r="H128" s="236" t="e">
        <f>SUM(H127)</f>
        <v>#REF!</v>
      </c>
      <c r="I128" s="236"/>
      <c r="J128" s="236" t="e">
        <f>SUM(J127)</f>
        <v>#REF!</v>
      </c>
      <c r="K128" s="190" t="e">
        <f>1-(J128/H128)</f>
        <v>#REF!</v>
      </c>
      <c r="L128" s="191"/>
      <c r="M128" s="191"/>
    </row>
    <row r="129" spans="1:13" s="171" customFormat="1" ht="15" customHeight="1" outlineLevel="2" x14ac:dyDescent="0.25">
      <c r="A129" s="444" t="s">
        <v>8</v>
      </c>
      <c r="B129" s="444"/>
      <c r="C129" s="444" t="s">
        <v>8</v>
      </c>
      <c r="D129" s="444"/>
      <c r="E129" s="444"/>
      <c r="F129" s="216"/>
      <c r="G129" s="244"/>
      <c r="H129" s="244"/>
      <c r="I129" s="244"/>
      <c r="J129" s="244"/>
      <c r="K129" s="219"/>
      <c r="L129" s="219"/>
      <c r="M129" s="216"/>
    </row>
    <row r="130" spans="1:13" s="171" customFormat="1" ht="12.75" outlineLevel="3" x14ac:dyDescent="0.2">
      <c r="A130" s="171" t="s">
        <v>1</v>
      </c>
      <c r="B130" s="171" t="s">
        <v>269</v>
      </c>
      <c r="E130" s="172" t="s">
        <v>15</v>
      </c>
      <c r="F130" s="173" t="e">
        <f>ROUNDUP(D19*$D$7,0)</f>
        <v>#REF!</v>
      </c>
      <c r="G130" s="234">
        <f>I130/0.75</f>
        <v>173.68421052631581</v>
      </c>
      <c r="H130" s="234">
        <v>0</v>
      </c>
      <c r="I130" s="234">
        <f>10%*D20</f>
        <v>130.26315789473685</v>
      </c>
      <c r="J130" s="234" t="e">
        <f>F130*I130*24</f>
        <v>#REF!</v>
      </c>
      <c r="K130" s="176" t="e">
        <f>1-(J130/H130)</f>
        <v>#REF!</v>
      </c>
      <c r="L130" s="171" t="s">
        <v>196</v>
      </c>
    </row>
    <row r="131" spans="1:13" s="171" customFormat="1" ht="12.75" outlineLevel="3" x14ac:dyDescent="0.2">
      <c r="A131" s="171" t="s">
        <v>1</v>
      </c>
      <c r="B131" s="171" t="s">
        <v>269</v>
      </c>
      <c r="E131" s="172" t="s">
        <v>225</v>
      </c>
      <c r="F131" s="173">
        <v>1</v>
      </c>
      <c r="G131" s="235">
        <v>0</v>
      </c>
      <c r="H131" s="235">
        <v>0</v>
      </c>
      <c r="I131" s="235">
        <v>100000</v>
      </c>
      <c r="J131" s="235">
        <f>F131*I131</f>
        <v>100000</v>
      </c>
      <c r="K131" s="176" t="e">
        <f>1-(J131/H131)</f>
        <v>#DIV/0!</v>
      </c>
    </row>
    <row r="132" spans="1:13" s="171" customFormat="1" ht="13.5" outlineLevel="2" thickBot="1" x14ac:dyDescent="0.25">
      <c r="A132" s="196"/>
      <c r="B132" s="196"/>
      <c r="C132" s="196"/>
      <c r="D132" s="196"/>
      <c r="E132" s="192" t="s">
        <v>274</v>
      </c>
      <c r="F132" s="228"/>
      <c r="G132" s="238"/>
      <c r="H132" s="238">
        <f>SUM(H130:H131)</f>
        <v>0</v>
      </c>
      <c r="I132" s="238"/>
      <c r="J132" s="238" t="e">
        <f>SUM(J130:J131)</f>
        <v>#REF!</v>
      </c>
      <c r="K132" s="195" t="e">
        <f>1-(J132/H132)</f>
        <v>#REF!</v>
      </c>
      <c r="L132" s="196"/>
      <c r="M132" s="196"/>
    </row>
    <row r="133" spans="1:13" s="207" customFormat="1" ht="15" customHeight="1" outlineLevel="1" thickTop="1" x14ac:dyDescent="0.2">
      <c r="A133" s="441" t="s">
        <v>289</v>
      </c>
      <c r="B133" s="441"/>
      <c r="C133" s="441"/>
      <c r="D133" s="441"/>
      <c r="E133" s="441" t="s">
        <v>275</v>
      </c>
      <c r="F133" s="206"/>
      <c r="G133" s="239"/>
      <c r="H133" s="239" t="e">
        <f>H132+H128+H125+H122</f>
        <v>#REF!</v>
      </c>
      <c r="I133" s="239"/>
      <c r="J133" s="239" t="e">
        <f>J132+J128+J125+J122</f>
        <v>#REF!</v>
      </c>
      <c r="K133" s="209" t="e">
        <f>1-(J133/H133)</f>
        <v>#REF!</v>
      </c>
    </row>
    <row r="134" spans="1:13" s="207" customFormat="1" ht="5.25" customHeight="1" outlineLevel="1" x14ac:dyDescent="0.2">
      <c r="A134" s="210"/>
      <c r="B134" s="210"/>
      <c r="C134" s="210"/>
      <c r="D134" s="210"/>
      <c r="E134" s="210"/>
      <c r="F134" s="206"/>
      <c r="G134" s="239"/>
      <c r="H134" s="239"/>
      <c r="I134" s="239"/>
      <c r="J134" s="239"/>
      <c r="K134" s="209"/>
    </row>
    <row r="135" spans="1:13" s="171" customFormat="1" ht="15.75" x14ac:dyDescent="0.25">
      <c r="A135" s="442" t="s">
        <v>290</v>
      </c>
      <c r="B135" s="442"/>
      <c r="C135" s="442"/>
      <c r="D135" s="442"/>
      <c r="E135" s="442"/>
      <c r="F135" s="229"/>
      <c r="G135" s="245"/>
      <c r="H135" s="245" t="e">
        <f>H133+H115</f>
        <v>#REF!</v>
      </c>
      <c r="I135" s="245"/>
      <c r="J135" s="245" t="e">
        <f>J133+J115</f>
        <v>#REF!</v>
      </c>
      <c r="K135" s="230" t="e">
        <f>1-(J135/H135)</f>
        <v>#REF!</v>
      </c>
      <c r="L135" s="214"/>
      <c r="M135" s="214"/>
    </row>
    <row r="136" spans="1:13" s="171" customFormat="1" ht="15" customHeight="1" x14ac:dyDescent="0.25">
      <c r="A136" s="440" t="s">
        <v>277</v>
      </c>
      <c r="B136" s="440"/>
      <c r="C136" s="440"/>
      <c r="D136" s="440"/>
      <c r="E136" s="440"/>
      <c r="F136" s="250"/>
      <c r="G136" s="251"/>
      <c r="H136" s="251" t="e">
        <f>H133+H103</f>
        <v>#REF!</v>
      </c>
      <c r="I136" s="251"/>
      <c r="J136" s="251" t="e">
        <f>J133+J103</f>
        <v>#REF!</v>
      </c>
      <c r="K136" s="252" t="e">
        <f>1-(J136/H136)</f>
        <v>#REF!</v>
      </c>
      <c r="L136" s="253"/>
      <c r="M136" s="253"/>
    </row>
    <row r="137" spans="1:13" s="171" customFormat="1" ht="15" customHeight="1" x14ac:dyDescent="0.25">
      <c r="A137" s="443" t="s">
        <v>143</v>
      </c>
      <c r="B137" s="443"/>
      <c r="C137" s="443"/>
      <c r="D137" s="443"/>
      <c r="E137" s="443"/>
      <c r="F137" s="254">
        <v>0</v>
      </c>
      <c r="G137" s="255"/>
      <c r="H137" s="255" t="e">
        <f>H136*-F137</f>
        <v>#REF!</v>
      </c>
      <c r="I137" s="255"/>
      <c r="J137" s="255"/>
      <c r="K137" s="256"/>
      <c r="L137" s="257"/>
      <c r="M137" s="257"/>
    </row>
    <row r="138" spans="1:13" s="183" customFormat="1" ht="15" customHeight="1" x14ac:dyDescent="0.25">
      <c r="A138" s="440" t="s">
        <v>276</v>
      </c>
      <c r="B138" s="440"/>
      <c r="C138" s="440"/>
      <c r="D138" s="440"/>
      <c r="E138" s="440"/>
      <c r="F138" s="250"/>
      <c r="G138" s="251"/>
      <c r="H138" s="251" t="e">
        <f>H136+H137</f>
        <v>#REF!</v>
      </c>
      <c r="I138" s="251"/>
      <c r="J138" s="251" t="e">
        <f>J136</f>
        <v>#REF!</v>
      </c>
      <c r="K138" s="252" t="e">
        <f>1-(J138/H138)</f>
        <v>#REF!</v>
      </c>
      <c r="L138" s="253"/>
      <c r="M138" s="253"/>
    </row>
    <row r="139" spans="1:13" s="171" customFormat="1" ht="3" customHeight="1" x14ac:dyDescent="0.2">
      <c r="A139" s="249"/>
      <c r="B139" s="249"/>
      <c r="C139" s="249"/>
      <c r="D139" s="249"/>
      <c r="E139" s="258"/>
      <c r="F139" s="246"/>
      <c r="G139" s="247"/>
      <c r="H139" s="247"/>
      <c r="I139" s="247"/>
      <c r="J139" s="247"/>
      <c r="K139" s="248"/>
      <c r="L139" s="249"/>
      <c r="M139" s="249"/>
    </row>
    <row r="140" spans="1:13" s="171" customFormat="1" ht="15" customHeight="1" x14ac:dyDescent="0.25">
      <c r="A140" s="440" t="s">
        <v>278</v>
      </c>
      <c r="B140" s="440"/>
      <c r="C140" s="440"/>
      <c r="D140" s="440"/>
      <c r="E140" s="440"/>
      <c r="F140" s="250"/>
      <c r="G140" s="251"/>
      <c r="H140" s="251" t="e">
        <f>H138/D7/D18</f>
        <v>#REF!</v>
      </c>
      <c r="I140" s="251"/>
      <c r="J140" s="251" t="e">
        <f>J138/D7/D18</f>
        <v>#REF!</v>
      </c>
      <c r="K140" s="252" t="e">
        <f>1-(J140/H140)</f>
        <v>#REF!</v>
      </c>
      <c r="L140" s="253"/>
      <c r="M140" s="253"/>
    </row>
    <row r="141" spans="1:13" s="179" customFormat="1" ht="15" x14ac:dyDescent="0.25">
      <c r="E141" s="180"/>
      <c r="F141" s="181"/>
      <c r="G141" s="186"/>
      <c r="H141" s="186"/>
      <c r="I141" s="186"/>
      <c r="J141" s="186"/>
      <c r="K141" s="220"/>
      <c r="L141" s="182"/>
    </row>
    <row r="142" spans="1:13" s="179" customFormat="1" ht="15" x14ac:dyDescent="0.25">
      <c r="E142" s="180"/>
      <c r="F142" s="181"/>
      <c r="G142" s="186"/>
      <c r="H142" s="186"/>
      <c r="I142" s="186"/>
      <c r="J142" s="186"/>
      <c r="K142" s="220"/>
      <c r="L142" s="182"/>
    </row>
    <row r="143" spans="1:13" s="179" customFormat="1" ht="15" x14ac:dyDescent="0.25">
      <c r="E143" s="180"/>
      <c r="F143" s="181"/>
      <c r="G143" s="186"/>
      <c r="H143" s="186"/>
      <c r="I143" s="186"/>
      <c r="J143" s="186"/>
      <c r="K143" s="220"/>
      <c r="L143" s="182"/>
    </row>
    <row r="144" spans="1:13" s="179" customFormat="1" ht="15" x14ac:dyDescent="0.25">
      <c r="E144" s="180"/>
      <c r="F144" s="181"/>
      <c r="G144" s="186"/>
      <c r="H144" s="186"/>
      <c r="I144" s="186"/>
      <c r="J144" s="186"/>
      <c r="K144" s="220"/>
      <c r="L144" s="182"/>
    </row>
    <row r="145" spans="5:18" s="179" customFormat="1" ht="15" x14ac:dyDescent="0.25">
      <c r="E145" s="180"/>
      <c r="F145" s="181"/>
      <c r="G145" s="186"/>
      <c r="H145" s="186"/>
      <c r="I145" s="186"/>
      <c r="J145" s="186"/>
      <c r="K145" s="220"/>
      <c r="L145" s="182"/>
    </row>
    <row r="146" spans="5:18" s="179" customFormat="1" ht="15" x14ac:dyDescent="0.25">
      <c r="E146" s="180"/>
      <c r="F146" s="181"/>
      <c r="G146" s="186"/>
      <c r="H146" s="186"/>
      <c r="I146" s="186"/>
      <c r="J146" s="186"/>
      <c r="K146" s="220"/>
      <c r="L146" s="182"/>
    </row>
    <row r="147" spans="5:18" ht="15" x14ac:dyDescent="0.25">
      <c r="F147" s="101"/>
      <c r="G147" s="116"/>
      <c r="H147" s="116"/>
      <c r="I147" s="116"/>
      <c r="J147" s="116"/>
      <c r="K147" s="221"/>
      <c r="M147" s="4"/>
    </row>
    <row r="148" spans="5:18" ht="15" x14ac:dyDescent="0.25">
      <c r="F148" s="101"/>
      <c r="G148" s="116"/>
      <c r="H148" s="116"/>
      <c r="I148" s="116"/>
      <c r="J148" s="116"/>
      <c r="K148" s="221"/>
      <c r="M148" s="4"/>
    </row>
    <row r="149" spans="5:18" ht="15" x14ac:dyDescent="0.25">
      <c r="F149" s="101"/>
      <c r="G149" s="116"/>
      <c r="H149" s="116"/>
      <c r="I149" s="116"/>
      <c r="J149" s="116"/>
      <c r="K149" s="221"/>
      <c r="M149" s="4"/>
    </row>
    <row r="150" spans="5:18" ht="15" x14ac:dyDescent="0.25">
      <c r="F150" s="101"/>
      <c r="G150" s="116"/>
      <c r="H150" s="116"/>
      <c r="I150" s="116"/>
      <c r="J150" s="116"/>
      <c r="K150" s="221"/>
      <c r="M150" s="4"/>
    </row>
    <row r="151" spans="5:18" ht="15" x14ac:dyDescent="0.25">
      <c r="F151" s="101"/>
      <c r="G151" s="116"/>
      <c r="H151" s="116"/>
      <c r="I151" s="116"/>
      <c r="J151" s="116"/>
      <c r="K151" s="221"/>
      <c r="M151" s="4"/>
    </row>
    <row r="152" spans="5:18" ht="15.75" thickBot="1" x14ac:dyDescent="0.3">
      <c r="F152" s="101"/>
      <c r="G152" s="116"/>
      <c r="H152" s="116"/>
      <c r="I152" s="116"/>
      <c r="J152" s="116"/>
      <c r="K152" s="221"/>
      <c r="M152" s="4"/>
    </row>
    <row r="153" spans="5:18" ht="15.75" thickBot="1" x14ac:dyDescent="0.3">
      <c r="E153" s="92" t="s">
        <v>170</v>
      </c>
      <c r="F153" s="103"/>
      <c r="G153" s="222"/>
      <c r="H153" s="223" t="e">
        <f>#REF!/D7/D18</f>
        <v>#REF!</v>
      </c>
      <c r="I153" s="222"/>
      <c r="J153" s="223" t="e">
        <f>#REF!/D7/D18</f>
        <v>#REF!</v>
      </c>
      <c r="K153" s="224" t="e">
        <f>1-(J153/H153)</f>
        <v>#REF!</v>
      </c>
      <c r="M153" s="4"/>
      <c r="N153" s="118" t="s">
        <v>19</v>
      </c>
      <c r="O153" s="118" t="s">
        <v>4</v>
      </c>
      <c r="P153" s="118" t="s">
        <v>197</v>
      </c>
      <c r="Q153" s="118" t="s">
        <v>4</v>
      </c>
    </row>
    <row r="154" spans="5:18" ht="15" customHeight="1" thickBot="1" x14ac:dyDescent="0.3">
      <c r="E154"/>
      <c r="F154" s="101"/>
      <c r="G154" s="116"/>
      <c r="H154" s="116"/>
      <c r="I154" s="116"/>
      <c r="J154" s="116"/>
      <c r="K154" s="116"/>
      <c r="L154" s="116"/>
      <c r="N154" s="119" t="s">
        <v>195</v>
      </c>
      <c r="O154" s="120" t="e">
        <f>O155+O157+O158+O156</f>
        <v>#REF!</v>
      </c>
      <c r="P154" s="120" t="e">
        <f>P155+P157+P158+P156</f>
        <v>#REF!</v>
      </c>
      <c r="Q154" s="121" t="e">
        <f>1-(O154/P154)</f>
        <v>#REF!</v>
      </c>
      <c r="R154" s="164" t="e">
        <f>P154/P163</f>
        <v>#REF!</v>
      </c>
    </row>
    <row r="155" spans="5:18" ht="12.75" customHeight="1" thickTop="1" x14ac:dyDescent="0.2">
      <c r="N155" s="122" t="s">
        <v>198</v>
      </c>
      <c r="O155" s="123" t="e">
        <f>SUMIFS(J23:J132,A23:A132,"CAPEX",L23:L132,"HNS",M23:M132,"VSAT")</f>
        <v>#REF!</v>
      </c>
      <c r="P155" s="123" t="e">
        <f>SUMIFS(H23:H132,A23:A132,"CAPEX",L23:L132,"HNS",M23:M132,"VSAT")-(SUMIFS(H23:H132,A23:A132,"CAPEX",L23:L132,"HNS",M23:M132,"VSAT"))*#REF!</f>
        <v>#REF!</v>
      </c>
      <c r="Q155" s="124" t="e">
        <f>1-(O155/P155)</f>
        <v>#REF!</v>
      </c>
      <c r="R155" s="164"/>
    </row>
    <row r="156" spans="5:18" ht="12" customHeight="1" x14ac:dyDescent="0.2">
      <c r="N156" s="122" t="s">
        <v>199</v>
      </c>
      <c r="O156" s="123" t="e">
        <f>SUMIFS(J23:J132,A23:A132,"CAPEX",L23:L132,"HNS",M23:M132,"GW-INFRA")</f>
        <v>#REF!</v>
      </c>
      <c r="P156" s="123" t="e">
        <f>SUMIFS(H23:H132,A23:A132,"CAPEX",L23:L132,"HNS",M23:M132,"GW-INFRA")-(SUMIFS(H23:H132,A23:A132,"CAPEX",L23:L132,"HNS",M23:M132,"GW-INFRA"))*#REF!</f>
        <v>#REF!</v>
      </c>
      <c r="Q156" s="124" t="e">
        <f>1-(O156/P156)</f>
        <v>#REF!</v>
      </c>
      <c r="R156" s="164"/>
    </row>
    <row r="157" spans="5:18" ht="12" customHeight="1" x14ac:dyDescent="0.2">
      <c r="N157" s="122" t="s">
        <v>200</v>
      </c>
      <c r="O157" s="123" t="e">
        <f>SUMIFS(J23:J132,A23:A132,"OPEX",L23:L132,"HNS",M23:M132,"")</f>
        <v>#REF!</v>
      </c>
      <c r="P157" s="123" t="e">
        <f>SUMIFS(H23:H132,A23:A132,"OPEX",L23:L132,"HNS",M23:M132,"")-(SUMIFS(H23:H132,A23:A132,"OPEX",L23:L132,"HNS",M23:M132,""))*#REF!</f>
        <v>#REF!</v>
      </c>
      <c r="Q157" s="124" t="e">
        <f t="shared" ref="Q157:Q161" si="23">1-(O157/P157)</f>
        <v>#REF!</v>
      </c>
      <c r="R157" s="164"/>
    </row>
    <row r="158" spans="5:18" ht="12" customHeight="1" x14ac:dyDescent="0.2">
      <c r="N158" s="122" t="s">
        <v>205</v>
      </c>
      <c r="O158" s="123" t="e">
        <f>SUMIFS(J23:J132,A23:A132,"OPEX",L23:L132,"HNS",M23:M132,"T19V")</f>
        <v>#REF!</v>
      </c>
      <c r="P158" s="123" t="e">
        <f>SUMIFS(H23:H132,A23:A132,"OPEX",L23:L132,"HNS",M23:M132,"T19V")-(SUMIFS(H23:H132,A23:A132,"OPEX",L23:L132,"HNS",M23:M132,"T19V"))*#REF!</f>
        <v>#REF!</v>
      </c>
      <c r="Q158" s="124" t="e">
        <f t="shared" si="23"/>
        <v>#REF!</v>
      </c>
      <c r="R158" s="164"/>
    </row>
    <row r="159" spans="5:18" ht="12.75" customHeight="1" thickBot="1" x14ac:dyDescent="0.25">
      <c r="N159" s="125" t="s">
        <v>196</v>
      </c>
      <c r="O159" s="126" t="e">
        <f>O160+O161+O162</f>
        <v>#REF!</v>
      </c>
      <c r="P159" s="126" t="e">
        <f>P160+P161+P162</f>
        <v>#REF!</v>
      </c>
      <c r="Q159" s="127" t="e">
        <f t="shared" si="23"/>
        <v>#REF!</v>
      </c>
      <c r="R159" s="165" t="e">
        <f>P159/P163</f>
        <v>#REF!</v>
      </c>
    </row>
    <row r="160" spans="5:18" ht="12.75" customHeight="1" thickTop="1" x14ac:dyDescent="0.2">
      <c r="N160" s="128" t="s">
        <v>201</v>
      </c>
      <c r="O160" s="129" t="e">
        <f>SUMIFS(J23:J132,A23:A132,"CAPEX",L23:L132,"HDP",M23:M132,"")</f>
        <v>#REF!</v>
      </c>
      <c r="P160" s="129" t="e">
        <f>SUMIFS(H23:H132,A23:A132,"CAPEX",L23:L132,"HDP",M23:M132,"")-(SUMIFS(H23:H132,A23:A132,"CAPEX",L23:L132,"HDP",M23:M132,""))*#REF!</f>
        <v>#REF!</v>
      </c>
      <c r="Q160" s="130" t="e">
        <f t="shared" si="23"/>
        <v>#REF!</v>
      </c>
      <c r="R160" s="165"/>
    </row>
    <row r="161" spans="3:18" ht="12" customHeight="1" x14ac:dyDescent="0.2">
      <c r="N161" s="128" t="s">
        <v>202</v>
      </c>
      <c r="O161" s="129" t="e">
        <f>SUMIFS(J23:J132,A23:A132,"OPEX",L23:L132,"HDP",M23:M132,"")</f>
        <v>#REF!</v>
      </c>
      <c r="P161" s="129" t="e">
        <f>SUMIFS(H23:H132,A23:A132,"OPEX",L23:L132,"HDP",M23:M132,"")-(SUMIFS(H23:H132,A23:A132,"OPEX",L23:L132,"HDP",M23:M132,""))*#REF!</f>
        <v>#REF!</v>
      </c>
      <c r="Q161" s="130" t="e">
        <f t="shared" si="23"/>
        <v>#REF!</v>
      </c>
      <c r="R161" s="165"/>
    </row>
    <row r="162" spans="3:18" ht="12" customHeight="1" x14ac:dyDescent="0.2">
      <c r="N162" s="128"/>
      <c r="O162" s="129">
        <f>SUMIFS(J23:J132,A23:A132,"OPEX",L23:L132,"HDP",M23:M132,"SES-17")</f>
        <v>0</v>
      </c>
      <c r="P162" s="129" t="e">
        <f>SUMIFS(H42:H132,A42:A132,"OPEX",L42:L132,"HDP",P42:P132,"SES-17")-(SUMIFS(H42:H132,A42:A132,"OPEX",L42:L132,"HDP",P42:P132,"SES-17"))*#REF!</f>
        <v>#REF!</v>
      </c>
      <c r="Q162" s="130"/>
      <c r="R162" s="165"/>
    </row>
    <row r="163" spans="3:18" ht="18.75" customHeight="1" x14ac:dyDescent="0.3">
      <c r="E163" s="166" t="s">
        <v>76</v>
      </c>
      <c r="F163" s="166"/>
      <c r="G163" s="151" t="s">
        <v>74</v>
      </c>
      <c r="H163" s="151" t="s">
        <v>73</v>
      </c>
      <c r="I163" s="151" t="s">
        <v>3</v>
      </c>
      <c r="J163" s="153" t="s">
        <v>77</v>
      </c>
      <c r="K163" s="151" t="s">
        <v>78</v>
      </c>
      <c r="L163" s="153" t="s">
        <v>79</v>
      </c>
      <c r="N163" s="131"/>
      <c r="O163" s="132" t="e">
        <f>O154+O159</f>
        <v>#REF!</v>
      </c>
      <c r="P163" s="132" t="e">
        <f>P154+P159</f>
        <v>#REF!</v>
      </c>
      <c r="Q163" s="133" t="e">
        <f>1-(O163/P163)</f>
        <v>#REF!</v>
      </c>
    </row>
    <row r="164" spans="3:18" ht="26.85" customHeight="1" x14ac:dyDescent="0.2">
      <c r="E164" s="167"/>
      <c r="F164" s="167"/>
      <c r="G164" s="152"/>
      <c r="H164" s="152"/>
      <c r="I164" s="152"/>
      <c r="J164" s="154"/>
      <c r="K164" s="152"/>
      <c r="L164" s="154"/>
    </row>
    <row r="165" spans="3:18" ht="21" x14ac:dyDescent="0.25">
      <c r="E165" s="42"/>
      <c r="F165" s="42"/>
      <c r="G165" s="42"/>
      <c r="H165" s="42"/>
      <c r="I165" s="42"/>
      <c r="J165" s="225"/>
      <c r="K165" s="225"/>
      <c r="L165" s="225"/>
    </row>
    <row r="166" spans="3:18" ht="23.25" x14ac:dyDescent="0.35">
      <c r="E166" s="163" t="s">
        <v>80</v>
      </c>
      <c r="F166" s="163"/>
      <c r="G166" s="155"/>
      <c r="H166" s="155"/>
      <c r="I166" s="155"/>
      <c r="J166" s="225"/>
      <c r="K166" s="225"/>
      <c r="L166" s="225"/>
      <c r="O166" s="77" t="e">
        <f>#REF!-O163</f>
        <v>#REF!</v>
      </c>
    </row>
    <row r="167" spans="3:18" ht="12" customHeight="1" x14ac:dyDescent="0.2">
      <c r="E167" s="162" t="s">
        <v>166</v>
      </c>
      <c r="F167" s="162"/>
      <c r="G167" s="141" t="e">
        <f>#REF!+#REF!-(#REF!+#REF!)*#REF!</f>
        <v>#REF!</v>
      </c>
      <c r="H167" s="141" t="e">
        <f>#REF!+#REF!</f>
        <v>#REF!</v>
      </c>
      <c r="I167" s="143" t="e">
        <f>1-(H167/G167)</f>
        <v>#REF!</v>
      </c>
      <c r="J167" s="143" t="e">
        <f>H167/$H$186</f>
        <v>#REF!</v>
      </c>
      <c r="K167" s="139" t="e">
        <f>H167/$D$7/$D$18</f>
        <v>#REF!</v>
      </c>
      <c r="L167" s="139" t="e">
        <f>G167/$D$7/$D$18</f>
        <v>#REF!</v>
      </c>
    </row>
    <row r="168" spans="3:18" ht="12" customHeight="1" x14ac:dyDescent="0.2">
      <c r="E168" s="162"/>
      <c r="F168" s="162"/>
      <c r="G168" s="142"/>
      <c r="H168" s="142"/>
      <c r="I168" s="144"/>
      <c r="J168" s="144"/>
      <c r="K168" s="140"/>
      <c r="L168" s="140"/>
    </row>
    <row r="169" spans="3:18" ht="12" customHeight="1" x14ac:dyDescent="0.2">
      <c r="C169" s="157" t="s">
        <v>231</v>
      </c>
      <c r="E169" s="161" t="s">
        <v>81</v>
      </c>
      <c r="F169" s="161"/>
      <c r="G169" s="141" t="e">
        <f>#REF!-#REF!*#REF!</f>
        <v>#REF!</v>
      </c>
      <c r="H169" s="141" t="e">
        <f>#REF!</f>
        <v>#REF!</v>
      </c>
      <c r="I169" s="143" t="e">
        <f>1-(H169/G169)</f>
        <v>#REF!</v>
      </c>
      <c r="J169" s="143" t="e">
        <f>H169/$H$186</f>
        <v>#REF!</v>
      </c>
      <c r="K169" s="139" t="e">
        <f>H169/$D$7/$D$18</f>
        <v>#REF!</v>
      </c>
      <c r="L169" s="139" t="e">
        <f>G169/$D$7/$D$18</f>
        <v>#REF!</v>
      </c>
      <c r="N169" s="4" t="s">
        <v>230</v>
      </c>
    </row>
    <row r="170" spans="3:18" ht="12" customHeight="1" x14ac:dyDescent="0.2">
      <c r="C170" s="157" t="s">
        <v>232</v>
      </c>
      <c r="E170" s="161"/>
      <c r="F170" s="161"/>
      <c r="G170" s="142"/>
      <c r="H170" s="142"/>
      <c r="I170" s="144"/>
      <c r="J170" s="144"/>
      <c r="K170" s="140"/>
      <c r="L170" s="140"/>
    </row>
    <row r="171" spans="3:18" ht="12" customHeight="1" x14ac:dyDescent="0.2">
      <c r="C171" s="157" t="s">
        <v>233</v>
      </c>
      <c r="E171" s="161" t="s">
        <v>162</v>
      </c>
      <c r="F171" s="161"/>
      <c r="G171" s="141" t="e">
        <f>#REF!+#REF!-(#REF!+#REF!)*#REF!</f>
        <v>#REF!</v>
      </c>
      <c r="H171" s="141" t="e">
        <f>#REF!+#REF!</f>
        <v>#REF!</v>
      </c>
      <c r="I171" s="143" t="e">
        <f>1-(H171/G171)</f>
        <v>#REF!</v>
      </c>
      <c r="J171" s="143" t="e">
        <f>H171/$H$186</f>
        <v>#REF!</v>
      </c>
      <c r="K171" s="139" t="e">
        <f>H171/$D$7/$D$18</f>
        <v>#REF!</v>
      </c>
      <c r="L171" s="139" t="e">
        <f>G171/$D$7/$D$18</f>
        <v>#REF!</v>
      </c>
    </row>
    <row r="172" spans="3:18" ht="12" customHeight="1" x14ac:dyDescent="0.2">
      <c r="C172" s="157" t="s">
        <v>234</v>
      </c>
      <c r="E172" s="161"/>
      <c r="F172" s="161"/>
      <c r="G172" s="142"/>
      <c r="H172" s="142"/>
      <c r="I172" s="144"/>
      <c r="J172" s="144"/>
      <c r="K172" s="140"/>
      <c r="L172" s="140"/>
    </row>
    <row r="173" spans="3:18" ht="12" customHeight="1" x14ac:dyDescent="0.2">
      <c r="C173" s="157" t="s">
        <v>235</v>
      </c>
      <c r="E173" s="158" t="s">
        <v>163</v>
      </c>
      <c r="F173" s="158"/>
      <c r="G173" s="147" t="e">
        <f>SUM(G167:G172)</f>
        <v>#REF!</v>
      </c>
      <c r="H173" s="147" t="e">
        <f>SUM(H167:H172)</f>
        <v>#REF!</v>
      </c>
      <c r="I173" s="149" t="e">
        <f>1-(H173/G173)</f>
        <v>#REF!</v>
      </c>
      <c r="J173" s="149" t="e">
        <f>H173/$H$186</f>
        <v>#REF!</v>
      </c>
      <c r="K173" s="145" t="e">
        <f>H173/$D$7/$D$18</f>
        <v>#REF!</v>
      </c>
      <c r="L173" s="145" t="e">
        <f>G173/$D$7/$D$18</f>
        <v>#REF!</v>
      </c>
    </row>
    <row r="174" spans="3:18" ht="12" customHeight="1" x14ac:dyDescent="0.2">
      <c r="C174" s="157" t="s">
        <v>236</v>
      </c>
      <c r="E174" s="158"/>
      <c r="F174" s="158"/>
      <c r="G174" s="148"/>
      <c r="H174" s="148"/>
      <c r="I174" s="150"/>
      <c r="J174" s="150"/>
      <c r="K174" s="146"/>
      <c r="L174" s="146"/>
    </row>
    <row r="175" spans="3:18" x14ac:dyDescent="0.2">
      <c r="C175" s="157" t="s">
        <v>237</v>
      </c>
      <c r="E175" s="4"/>
      <c r="F175" s="4"/>
    </row>
    <row r="176" spans="3:18" x14ac:dyDescent="0.2">
      <c r="C176" s="157" t="s">
        <v>238</v>
      </c>
      <c r="E176" s="4"/>
      <c r="F176" s="4"/>
    </row>
    <row r="177" spans="3:12" ht="12" customHeight="1" x14ac:dyDescent="0.2">
      <c r="C177" s="157" t="s">
        <v>239</v>
      </c>
      <c r="E177" s="162" t="s">
        <v>84</v>
      </c>
      <c r="F177" s="162"/>
      <c r="G177" s="141" t="e">
        <f>#REF!+#REF!+#REF!+#REF!+#REF!+#REF!-(#REF!+#REF!+#REF!+#REF!+#REF!+#REF!)*#REF!</f>
        <v>#REF!</v>
      </c>
      <c r="H177" s="141" t="e">
        <f>#REF!+#REF!+#REF!+#REF!+#REF!+#REF!</f>
        <v>#REF!</v>
      </c>
      <c r="I177" s="143" t="e">
        <f>1-(H177/G177)</f>
        <v>#REF!</v>
      </c>
      <c r="J177" s="143" t="e">
        <f>H177/$H$186</f>
        <v>#REF!</v>
      </c>
      <c r="K177" s="139" t="e">
        <f>H177/$D$7/$D$18</f>
        <v>#REF!</v>
      </c>
      <c r="L177" s="139" t="e">
        <f>G177/$D$7/$D$18</f>
        <v>#REF!</v>
      </c>
    </row>
    <row r="178" spans="3:12" ht="12" customHeight="1" x14ac:dyDescent="0.2">
      <c r="C178" s="157" t="s">
        <v>240</v>
      </c>
      <c r="E178" s="162"/>
      <c r="F178" s="162"/>
      <c r="G178" s="142"/>
      <c r="H178" s="142"/>
      <c r="I178" s="144"/>
      <c r="J178" s="144"/>
      <c r="K178" s="140"/>
      <c r="L178" s="140"/>
    </row>
    <row r="179" spans="3:12" ht="12" customHeight="1" x14ac:dyDescent="0.2">
      <c r="C179" s="157" t="s">
        <v>240</v>
      </c>
      <c r="E179" s="161" t="s">
        <v>243</v>
      </c>
      <c r="F179" s="161"/>
      <c r="G179" s="141" t="e">
        <f>#REF!+#REF!-(#REF!+#REF!)*#REF!</f>
        <v>#REF!</v>
      </c>
      <c r="H179" s="141" t="e">
        <f>#REF!+#REF!</f>
        <v>#REF!</v>
      </c>
      <c r="I179" s="143" t="e">
        <f>1-(H179/G179)</f>
        <v>#REF!</v>
      </c>
      <c r="J179" s="143" t="e">
        <f>H179/$H$186</f>
        <v>#REF!</v>
      </c>
      <c r="K179" s="139" t="e">
        <f>H179/$D$7/$D$18</f>
        <v>#REF!</v>
      </c>
      <c r="L179" s="139" t="e">
        <f>G179/$D$7/$D$18</f>
        <v>#REF!</v>
      </c>
    </row>
    <row r="180" spans="3:12" ht="12" customHeight="1" x14ac:dyDescent="0.2">
      <c r="C180" s="157" t="s">
        <v>241</v>
      </c>
      <c r="E180" s="161"/>
      <c r="F180" s="161"/>
      <c r="G180" s="142"/>
      <c r="H180" s="142"/>
      <c r="I180" s="144"/>
      <c r="J180" s="144"/>
      <c r="K180" s="140"/>
      <c r="L180" s="140"/>
    </row>
    <row r="181" spans="3:12" ht="12" customHeight="1" x14ac:dyDescent="0.2">
      <c r="C181" s="157" t="s">
        <v>242</v>
      </c>
      <c r="E181" s="160" t="s">
        <v>164</v>
      </c>
      <c r="F181" s="160"/>
      <c r="G181" s="141" t="e">
        <f>#REF!-#REF!*#REF!</f>
        <v>#REF!</v>
      </c>
      <c r="H181" s="141" t="e">
        <f>#REF!</f>
        <v>#REF!</v>
      </c>
      <c r="I181" s="143" t="e">
        <f>1-(H181/G181)</f>
        <v>#REF!</v>
      </c>
      <c r="J181" s="143" t="e">
        <f>H181/$H$186</f>
        <v>#REF!</v>
      </c>
      <c r="K181" s="139" t="e">
        <f>H181/$D$7/$D$18</f>
        <v>#REF!</v>
      </c>
      <c r="L181" s="139" t="e">
        <f>G181/$D$7/$D$18</f>
        <v>#REF!</v>
      </c>
    </row>
    <row r="182" spans="3:12" ht="12" customHeight="1" x14ac:dyDescent="0.2">
      <c r="C182" s="157"/>
      <c r="E182" s="160"/>
      <c r="F182" s="160"/>
      <c r="G182" s="142"/>
      <c r="H182" s="142"/>
      <c r="I182" s="144"/>
      <c r="J182" s="144"/>
      <c r="K182" s="140"/>
      <c r="L182" s="140"/>
    </row>
    <row r="183" spans="3:12" ht="12" customHeight="1" x14ac:dyDescent="0.2">
      <c r="C183" s="157" t="s">
        <v>244</v>
      </c>
      <c r="E183" s="158" t="s">
        <v>163</v>
      </c>
      <c r="F183" s="158"/>
      <c r="G183" s="147" t="e">
        <f>SUM(G177:G182)</f>
        <v>#REF!</v>
      </c>
      <c r="H183" s="147" t="e">
        <f>SUM(H177:H182)</f>
        <v>#REF!</v>
      </c>
      <c r="I183" s="149" t="e">
        <f>1-(H183/G183)</f>
        <v>#REF!</v>
      </c>
      <c r="J183" s="149" t="e">
        <f>H183/$H$186</f>
        <v>#REF!</v>
      </c>
      <c r="K183" s="145" t="e">
        <f>H183/$D$7/$D$18</f>
        <v>#REF!</v>
      </c>
      <c r="L183" s="145" t="e">
        <f>G183/$D$7/$D$18</f>
        <v>#REF!</v>
      </c>
    </row>
    <row r="184" spans="3:12" ht="12" customHeight="1" x14ac:dyDescent="0.2">
      <c r="C184" s="157" t="s">
        <v>245</v>
      </c>
      <c r="E184" s="158"/>
      <c r="F184" s="158"/>
      <c r="G184" s="148"/>
      <c r="H184" s="148"/>
      <c r="I184" s="150"/>
      <c r="J184" s="150"/>
      <c r="K184" s="146"/>
      <c r="L184" s="146"/>
    </row>
    <row r="185" spans="3:12" ht="15" x14ac:dyDescent="0.25">
      <c r="C185" s="157" t="s">
        <v>246</v>
      </c>
      <c r="E185"/>
      <c r="F185"/>
      <c r="G185" s="116"/>
      <c r="H185" s="116"/>
      <c r="I185" s="116"/>
      <c r="J185" s="116"/>
      <c r="K185" s="116"/>
      <c r="L185" s="116"/>
    </row>
    <row r="186" spans="3:12" ht="21" x14ac:dyDescent="0.35">
      <c r="C186" s="157" t="s">
        <v>247</v>
      </c>
      <c r="E186" s="159" t="s">
        <v>167</v>
      </c>
      <c r="F186" s="159"/>
      <c r="G186" s="147" t="e">
        <f>G173+G183</f>
        <v>#REF!</v>
      </c>
      <c r="H186" s="147" t="e">
        <f>H173+H183</f>
        <v>#REF!</v>
      </c>
      <c r="I186" s="45" t="e">
        <f>1-(H186/G186)</f>
        <v>#REF!</v>
      </c>
      <c r="J186" s="45" t="e">
        <f>J173+J183</f>
        <v>#REF!</v>
      </c>
      <c r="K186" s="46" t="e">
        <f>K173+K183</f>
        <v>#REF!</v>
      </c>
      <c r="L186" s="46" t="e">
        <f>L173+L183</f>
        <v>#REF!</v>
      </c>
    </row>
    <row r="187" spans="3:12" ht="15" customHeight="1" x14ac:dyDescent="0.25">
      <c r="C187" s="157" t="s">
        <v>75</v>
      </c>
      <c r="E187" s="158" t="s">
        <v>82</v>
      </c>
      <c r="F187" s="158"/>
      <c r="G187" s="137" t="e">
        <f>#REF!+F112</f>
        <v>#REF!</v>
      </c>
      <c r="H187" s="137" t="s">
        <v>71</v>
      </c>
      <c r="I187" s="116"/>
      <c r="J187" s="116"/>
      <c r="K187" s="116"/>
      <c r="L187" s="116"/>
    </row>
    <row r="188" spans="3:12" ht="15" customHeight="1" x14ac:dyDescent="0.25">
      <c r="C188" s="157"/>
      <c r="E188" s="158"/>
      <c r="F188" s="158"/>
      <c r="G188" s="138"/>
      <c r="H188" s="138"/>
      <c r="I188" s="116"/>
      <c r="J188" s="116"/>
      <c r="K188" s="116"/>
      <c r="L188" s="116"/>
    </row>
    <row r="189" spans="3:12" ht="15" customHeight="1" x14ac:dyDescent="0.25">
      <c r="C189" s="157" t="s">
        <v>248</v>
      </c>
      <c r="E189" s="158" t="s">
        <v>83</v>
      </c>
      <c r="F189" s="158"/>
      <c r="G189" s="137" t="e">
        <f>D7</f>
        <v>#REF!</v>
      </c>
      <c r="H189" s="137" t="s">
        <v>2</v>
      </c>
      <c r="I189" s="116"/>
      <c r="J189" s="116"/>
      <c r="K189" s="116"/>
      <c r="L189" s="226"/>
    </row>
    <row r="190" spans="3:12" ht="15" customHeight="1" x14ac:dyDescent="0.25">
      <c r="C190" s="135" t="s">
        <v>249</v>
      </c>
      <c r="E190" s="158"/>
      <c r="F190" s="158"/>
      <c r="G190" s="138"/>
      <c r="H190" s="138"/>
      <c r="I190" s="116"/>
      <c r="J190" s="116"/>
      <c r="K190" s="116"/>
      <c r="L190" s="116"/>
    </row>
    <row r="191" spans="3:12" ht="15" customHeight="1" x14ac:dyDescent="0.25">
      <c r="E191" s="158" t="s">
        <v>85</v>
      </c>
      <c r="F191" s="158"/>
      <c r="G191" s="137">
        <f>D18</f>
        <v>24</v>
      </c>
      <c r="H191" s="137" t="s">
        <v>165</v>
      </c>
      <c r="I191" s="116"/>
      <c r="J191" s="116"/>
      <c r="K191" s="116"/>
      <c r="L191" s="116"/>
    </row>
    <row r="192" spans="3:12" ht="12" customHeight="1" x14ac:dyDescent="0.2">
      <c r="E192" s="158"/>
      <c r="F192" s="158"/>
      <c r="G192" s="138"/>
      <c r="H192" s="138"/>
      <c r="I192" s="3"/>
      <c r="J192" s="3"/>
      <c r="K192" s="3"/>
      <c r="L192" s="3"/>
    </row>
  </sheetData>
  <dataConsolidate/>
  <mergeCells count="33">
    <mergeCell ref="A22:M22"/>
    <mergeCell ref="A25:E25"/>
    <mergeCell ref="A23:E23"/>
    <mergeCell ref="A34:E34"/>
    <mergeCell ref="A44:E44"/>
    <mergeCell ref="A78:E78"/>
    <mergeCell ref="A86:E86"/>
    <mergeCell ref="A94:E94"/>
    <mergeCell ref="A43:E43"/>
    <mergeCell ref="A101:E101"/>
    <mergeCell ref="A46:E46"/>
    <mergeCell ref="A50:E50"/>
    <mergeCell ref="A54:E54"/>
    <mergeCell ref="A58:E58"/>
    <mergeCell ref="A61:E61"/>
    <mergeCell ref="A69:E69"/>
    <mergeCell ref="A111:E111"/>
    <mergeCell ref="A126:E126"/>
    <mergeCell ref="A116:E116"/>
    <mergeCell ref="A129:E129"/>
    <mergeCell ref="A103:E103"/>
    <mergeCell ref="A104:M104"/>
    <mergeCell ref="A105:E105"/>
    <mergeCell ref="A107:E107"/>
    <mergeCell ref="A118:E118"/>
    <mergeCell ref="A140:E140"/>
    <mergeCell ref="A133:E133"/>
    <mergeCell ref="A115:E115"/>
    <mergeCell ref="A135:E135"/>
    <mergeCell ref="A136:E136"/>
    <mergeCell ref="A138:E138"/>
    <mergeCell ref="A137:E137"/>
    <mergeCell ref="A123:E12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2E313-7910-48B5-A8CD-4C9375A2AF42}">
  <sheetPr>
    <tabColor rgb="FF92D050"/>
  </sheetPr>
  <dimension ref="A1:BD50"/>
  <sheetViews>
    <sheetView tabSelected="1" topLeftCell="D1" zoomScale="115" zoomScaleNormal="115" workbookViewId="0">
      <pane ySplit="1" topLeftCell="A17" activePane="bottomLeft" state="frozen"/>
      <selection activeCell="I1" sqref="I1"/>
      <selection pane="bottomLeft" activeCell="N29" sqref="N29"/>
    </sheetView>
  </sheetViews>
  <sheetFormatPr baseColWidth="10" defaultColWidth="11.5703125" defaultRowHeight="12" x14ac:dyDescent="0.2"/>
  <cols>
    <col min="1" max="1" width="8.7109375" style="4" bestFit="1" customWidth="1"/>
    <col min="2" max="2" width="27.85546875" style="4" customWidth="1"/>
    <col min="3" max="3" width="15.42578125" style="4" bestFit="1" customWidth="1"/>
    <col min="4" max="4" width="23.28515625" style="4" bestFit="1" customWidth="1"/>
    <col min="5" max="5" width="31.28515625" style="4" bestFit="1" customWidth="1"/>
    <col min="6" max="6" width="45" style="276" bestFit="1" customWidth="1"/>
    <col min="7" max="8" width="17" style="3" bestFit="1" customWidth="1"/>
    <col min="9" max="10" width="11.7109375" style="3" bestFit="1" customWidth="1"/>
    <col min="11" max="11" width="12.28515625" style="3" bestFit="1" customWidth="1"/>
    <col min="12" max="12" width="16.28515625" style="3" bestFit="1" customWidth="1"/>
    <col min="13" max="13" width="15.85546875" style="3" bestFit="1" customWidth="1"/>
    <col min="14" max="14" width="11.85546875" style="48" bestFit="1" customWidth="1"/>
    <col min="15" max="15" width="14.140625" style="48" bestFit="1" customWidth="1"/>
    <col min="16" max="16" width="14.85546875" style="48" bestFit="1" customWidth="1"/>
    <col min="17" max="17" width="10.140625" style="48" bestFit="1" customWidth="1"/>
    <col min="18" max="18" width="21.7109375" style="48" bestFit="1" customWidth="1"/>
    <col min="19" max="19" width="21.140625" style="48" bestFit="1" customWidth="1"/>
    <col min="20" max="20" width="22.85546875" style="48" bestFit="1" customWidth="1"/>
    <col min="21" max="21" width="22.28515625" style="48" bestFit="1" customWidth="1"/>
    <col min="22" max="22" width="16.42578125" style="48" bestFit="1" customWidth="1"/>
    <col min="23" max="23" width="28.5703125" style="48" bestFit="1" customWidth="1"/>
    <col min="24" max="24" width="9.42578125" style="48" bestFit="1" customWidth="1"/>
    <col min="25" max="25" width="17.85546875" style="4" bestFit="1" customWidth="1"/>
    <col min="26" max="27" width="15.85546875" style="4" bestFit="1" customWidth="1"/>
    <col min="28" max="28" width="11.5703125" style="4" customWidth="1"/>
    <col min="29" max="51" width="11.5703125" style="4"/>
    <col min="52" max="52" width="7.28515625" style="4" bestFit="1" customWidth="1"/>
    <col min="53" max="53" width="11.140625" style="4" bestFit="1" customWidth="1"/>
    <col min="54" max="54" width="4.85546875" style="4" bestFit="1" customWidth="1"/>
    <col min="55" max="55" width="14.28515625" style="4" bestFit="1" customWidth="1"/>
    <col min="56" max="56" width="20.7109375" style="4" bestFit="1" customWidth="1"/>
    <col min="57" max="57" width="24.7109375" style="4" bestFit="1" customWidth="1"/>
    <col min="58" max="16384" width="11.5703125" style="4"/>
  </cols>
  <sheetData>
    <row r="1" spans="1:56" ht="15" x14ac:dyDescent="0.25">
      <c r="A1" s="454" t="s">
        <v>90</v>
      </c>
      <c r="B1" s="454"/>
      <c r="C1" s="169"/>
      <c r="D1" s="3"/>
      <c r="E1" s="116"/>
      <c r="I1" s="341"/>
      <c r="J1" s="48"/>
      <c r="K1" s="48"/>
      <c r="L1" s="48"/>
      <c r="M1" s="13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56" ht="15" x14ac:dyDescent="0.25">
      <c r="A2" s="450" t="s">
        <v>342</v>
      </c>
      <c r="B2" s="450"/>
      <c r="C2" s="51" t="s">
        <v>2297</v>
      </c>
      <c r="D2" s="3"/>
      <c r="E2" s="116"/>
      <c r="F2" s="342"/>
      <c r="G2" s="106"/>
      <c r="H2" s="106"/>
      <c r="I2" s="341"/>
      <c r="J2" s="48"/>
      <c r="K2" s="48"/>
      <c r="L2" s="48"/>
      <c r="M2" s="13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spans="1:56" ht="15" x14ac:dyDescent="0.25">
      <c r="A3" s="271"/>
      <c r="B3" s="272" t="s">
        <v>622</v>
      </c>
      <c r="C3" s="51" t="s">
        <v>371</v>
      </c>
      <c r="D3" s="3"/>
      <c r="E3" s="116"/>
      <c r="F3" s="342"/>
      <c r="G3" s="106"/>
      <c r="H3" s="106"/>
      <c r="I3" s="341"/>
      <c r="J3" s="48"/>
      <c r="K3" s="48"/>
      <c r="L3" s="48"/>
      <c r="M3" s="13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spans="1:56" ht="15" x14ac:dyDescent="0.25">
      <c r="A4" s="271"/>
      <c r="B4" s="272" t="s">
        <v>344</v>
      </c>
      <c r="C4" s="51" t="s">
        <v>657</v>
      </c>
      <c r="D4" s="3"/>
      <c r="E4" s="116"/>
      <c r="F4" s="273" t="s">
        <v>74</v>
      </c>
      <c r="G4" s="109" t="s">
        <v>73</v>
      </c>
      <c r="H4" s="109" t="s">
        <v>145</v>
      </c>
      <c r="I4" s="341"/>
      <c r="J4" s="48"/>
      <c r="K4" s="48"/>
      <c r="L4" s="48"/>
      <c r="M4" s="134"/>
      <c r="N4" s="4"/>
      <c r="O4" s="4"/>
      <c r="P4" s="4"/>
      <c r="Q4" s="4"/>
      <c r="R4" s="4"/>
      <c r="S4" s="4"/>
      <c r="T4" s="4"/>
      <c r="U4" s="4"/>
      <c r="V4" s="4"/>
      <c r="W4" s="4"/>
      <c r="X4" s="4"/>
    </row>
    <row r="5" spans="1:56" ht="15" x14ac:dyDescent="0.25">
      <c r="A5" s="450" t="s">
        <v>91</v>
      </c>
      <c r="B5" s="451"/>
      <c r="C5" s="51">
        <v>1204</v>
      </c>
      <c r="D5" s="3"/>
      <c r="E5" s="217" t="s">
        <v>0</v>
      </c>
      <c r="F5" s="274">
        <f>SUMIF(A24:A40,"CAPEX",M24:M40)</f>
        <v>595572.85537720716</v>
      </c>
      <c r="G5" s="110">
        <f>SUMIF(A24:A40,"CAPEX",O24:O40)</f>
        <v>433630.55000000005</v>
      </c>
      <c r="H5" s="111">
        <f>1-(G5/F5)</f>
        <v>0.27191015157102927</v>
      </c>
      <c r="I5" s="343"/>
      <c r="J5" s="407"/>
      <c r="K5" s="48"/>
      <c r="L5" s="48"/>
      <c r="M5" s="13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AZ5" s="4" t="s">
        <v>326</v>
      </c>
      <c r="BA5" s="4" t="s">
        <v>316</v>
      </c>
      <c r="BB5" s="4" t="s">
        <v>5</v>
      </c>
      <c r="BC5" s="4" t="s">
        <v>294</v>
      </c>
      <c r="BD5" s="4" t="s">
        <v>295</v>
      </c>
    </row>
    <row r="6" spans="1:56" ht="15" x14ac:dyDescent="0.25">
      <c r="A6" s="450" t="s">
        <v>92</v>
      </c>
      <c r="B6" s="451"/>
      <c r="C6" s="52">
        <v>0</v>
      </c>
      <c r="D6" s="3"/>
      <c r="E6" s="217" t="s">
        <v>1</v>
      </c>
      <c r="F6" s="274">
        <f>SUMIF(A24:A40,"OPEX",M24:M40)</f>
        <v>10388501.759999996</v>
      </c>
      <c r="G6" s="110">
        <f>SUMIF(A24:A40,"OPEX",O24:O40)</f>
        <v>6649714.3199999966</v>
      </c>
      <c r="H6" s="111">
        <f>1-(G6/F6)</f>
        <v>0.35989669409268121</v>
      </c>
      <c r="I6" s="343"/>
      <c r="J6" s="407"/>
      <c r="K6" s="48"/>
      <c r="L6" s="41"/>
      <c r="M6" s="13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AZ6" s="4" t="s">
        <v>335</v>
      </c>
      <c r="BA6" s="4" t="s">
        <v>327</v>
      </c>
      <c r="BB6" s="4" t="s">
        <v>0</v>
      </c>
      <c r="BC6" s="4" t="s">
        <v>250</v>
      </c>
      <c r="BD6" s="4" t="s">
        <v>203</v>
      </c>
    </row>
    <row r="7" spans="1:56" ht="15" x14ac:dyDescent="0.25">
      <c r="A7" s="450" t="s">
        <v>93</v>
      </c>
      <c r="B7" s="451"/>
      <c r="C7" s="53">
        <f>C5+C6</f>
        <v>1204</v>
      </c>
      <c r="D7" s="3"/>
      <c r="E7" s="116"/>
      <c r="F7" s="275">
        <f>SUM(F5:F6)</f>
        <v>10984074.615377203</v>
      </c>
      <c r="G7" s="112">
        <f>SUM(G5:G6)</f>
        <v>7083344.8699999964</v>
      </c>
      <c r="H7" s="113">
        <f>1-(G7/F7)</f>
        <v>0.3551259329499058</v>
      </c>
      <c r="I7" s="344"/>
      <c r="J7" s="48"/>
      <c r="K7" s="48"/>
      <c r="L7" s="48"/>
      <c r="M7" s="13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AZ7" s="4" t="s">
        <v>334</v>
      </c>
      <c r="BA7" s="4" t="s">
        <v>328</v>
      </c>
      <c r="BB7" s="4" t="s">
        <v>1</v>
      </c>
      <c r="BC7" s="4" t="s">
        <v>269</v>
      </c>
      <c r="BD7" s="4" t="s">
        <v>162</v>
      </c>
    </row>
    <row r="8" spans="1:56" x14ac:dyDescent="0.2">
      <c r="A8" s="450" t="s">
        <v>98</v>
      </c>
      <c r="B8" s="451"/>
      <c r="C8" s="57">
        <v>0.03</v>
      </c>
      <c r="D8" s="3"/>
      <c r="E8" s="48"/>
      <c r="F8" s="64"/>
      <c r="G8" s="48"/>
      <c r="H8" s="48"/>
      <c r="I8" s="48"/>
      <c r="J8" s="48"/>
      <c r="K8" s="48"/>
      <c r="L8" s="48"/>
      <c r="M8" s="13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BA8" s="4" t="s">
        <v>329</v>
      </c>
      <c r="BC8" s="4" t="s">
        <v>312</v>
      </c>
      <c r="BD8" s="4" t="s">
        <v>313</v>
      </c>
    </row>
    <row r="9" spans="1:56" x14ac:dyDescent="0.2">
      <c r="A9" s="450" t="s">
        <v>99</v>
      </c>
      <c r="B9" s="451"/>
      <c r="C9" s="53">
        <f>ROUNDUP(C7*C8,0)</f>
        <v>37</v>
      </c>
      <c r="D9" s="3"/>
      <c r="E9" s="48"/>
      <c r="F9" s="345"/>
      <c r="G9" s="48"/>
      <c r="H9" s="48"/>
      <c r="I9" s="48"/>
      <c r="J9" s="48"/>
      <c r="K9" s="48"/>
      <c r="L9" s="48"/>
      <c r="M9" s="13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BA9" s="4" t="s">
        <v>71</v>
      </c>
      <c r="BC9" s="4" t="s">
        <v>293</v>
      </c>
      <c r="BD9" s="4" t="s">
        <v>314</v>
      </c>
    </row>
    <row r="10" spans="1:56" x14ac:dyDescent="0.2">
      <c r="A10" s="450" t="s">
        <v>621</v>
      </c>
      <c r="B10" s="451"/>
      <c r="C10" s="365" t="s">
        <v>2291</v>
      </c>
      <c r="D10" s="3"/>
      <c r="E10" s="48"/>
      <c r="F10" s="405"/>
      <c r="G10" s="48"/>
      <c r="H10" s="48"/>
      <c r="I10" s="48"/>
      <c r="J10" s="48"/>
      <c r="K10" s="48"/>
      <c r="L10" s="48"/>
      <c r="M10" s="13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BA10" s="4" t="s">
        <v>317</v>
      </c>
      <c r="BD10" s="4" t="s">
        <v>315</v>
      </c>
    </row>
    <row r="11" spans="1:56" x14ac:dyDescent="0.2">
      <c r="A11" s="450" t="s">
        <v>100</v>
      </c>
      <c r="B11" s="451"/>
      <c r="C11" s="51">
        <v>0</v>
      </c>
      <c r="D11" s="3"/>
      <c r="E11" s="48"/>
      <c r="F11" s="345"/>
      <c r="G11" s="48"/>
      <c r="H11" s="48"/>
      <c r="I11" s="48"/>
      <c r="J11" s="48"/>
      <c r="K11" s="48"/>
      <c r="L11" s="48"/>
      <c r="M11" s="48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BA11" s="4" t="s">
        <v>325</v>
      </c>
    </row>
    <row r="12" spans="1:56" x14ac:dyDescent="0.2">
      <c r="A12" s="271"/>
      <c r="B12" s="272" t="s">
        <v>651</v>
      </c>
      <c r="C12" s="400">
        <v>0.16666666666666669</v>
      </c>
      <c r="D12" s="3"/>
      <c r="E12" s="48"/>
      <c r="F12" s="345"/>
      <c r="G12" s="48"/>
      <c r="H12" s="48"/>
      <c r="I12" s="48"/>
      <c r="J12" s="48"/>
      <c r="K12" s="48"/>
      <c r="L12" s="48"/>
      <c r="M12" s="48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</row>
    <row r="13" spans="1:56" ht="15" x14ac:dyDescent="0.2">
      <c r="A13" s="450" t="s">
        <v>101</v>
      </c>
      <c r="B13" s="451"/>
      <c r="C13" s="51">
        <f>C7*35*C12</f>
        <v>7023.3333333333339</v>
      </c>
      <c r="D13" s="3"/>
      <c r="E13" s="48"/>
      <c r="F13" s="273" t="s">
        <v>158</v>
      </c>
      <c r="G13" s="109" t="s">
        <v>159</v>
      </c>
      <c r="H13" s="109" t="s">
        <v>145</v>
      </c>
      <c r="I13" s="341"/>
      <c r="J13" s="48"/>
      <c r="K13" s="48"/>
      <c r="L13" s="48"/>
      <c r="M13" s="48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BA13" s="4" t="s">
        <v>318</v>
      </c>
    </row>
    <row r="14" spans="1:56" ht="15" x14ac:dyDescent="0.2">
      <c r="A14" s="450" t="s">
        <v>95</v>
      </c>
      <c r="B14" s="451"/>
      <c r="C14" s="56">
        <f>C13/C7</f>
        <v>5.8333333333333339</v>
      </c>
      <c r="D14" s="3"/>
      <c r="E14" s="48"/>
      <c r="F14" s="274">
        <f>F7/C7/C19</f>
        <v>506.83253116358446</v>
      </c>
      <c r="G14" s="110">
        <f>G7/C7/C19</f>
        <v>326.84315568475432</v>
      </c>
      <c r="H14" s="111">
        <f>1-(G14/F14)</f>
        <v>0.3551259329499058</v>
      </c>
      <c r="I14" s="343"/>
      <c r="J14" s="48"/>
      <c r="K14" s="407"/>
      <c r="L14" s="407"/>
      <c r="M14" s="48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</row>
    <row r="15" spans="1:56" x14ac:dyDescent="0.2">
      <c r="A15" s="271"/>
      <c r="B15" s="271" t="e" vm="1">
        <v>#VALUE!</v>
      </c>
      <c r="C15" s="366">
        <v>3.7</v>
      </c>
      <c r="D15" s="3"/>
      <c r="E15" s="48"/>
      <c r="F15" s="64"/>
      <c r="G15" s="48"/>
      <c r="H15" s="48"/>
      <c r="I15" s="48"/>
      <c r="J15" s="48"/>
      <c r="K15" s="48"/>
      <c r="L15" s="48"/>
      <c r="M15" s="48"/>
      <c r="P15" s="4"/>
      <c r="Q15" s="4"/>
      <c r="R15" s="4"/>
      <c r="S15" s="4"/>
      <c r="T15" s="4"/>
      <c r="U15" s="4"/>
      <c r="V15" s="4"/>
      <c r="W15" s="4"/>
      <c r="X15" s="4"/>
    </row>
    <row r="16" spans="1:56" x14ac:dyDescent="0.2">
      <c r="A16" s="450" t="s">
        <v>3918</v>
      </c>
      <c r="B16" s="451"/>
      <c r="C16" s="56">
        <f>K25+K26+K27+K28</f>
        <v>409.24285714285725</v>
      </c>
      <c r="D16" s="3"/>
      <c r="E16" s="48"/>
      <c r="F16" s="64"/>
      <c r="G16" s="48"/>
      <c r="H16" s="48"/>
      <c r="I16" s="48"/>
      <c r="J16" s="48"/>
      <c r="K16" s="48"/>
      <c r="L16" s="48"/>
      <c r="M16" s="48"/>
      <c r="P16" s="4"/>
      <c r="Q16" s="4"/>
      <c r="R16" s="4"/>
      <c r="S16" s="4"/>
      <c r="T16" s="4"/>
      <c r="U16" s="4"/>
      <c r="V16" s="4"/>
      <c r="W16" s="4"/>
      <c r="X16" s="4"/>
    </row>
    <row r="17" spans="1:24" x14ac:dyDescent="0.2">
      <c r="A17" s="450" t="s">
        <v>102</v>
      </c>
      <c r="B17" s="451"/>
      <c r="C17" s="51">
        <v>125</v>
      </c>
      <c r="D17" s="3"/>
      <c r="E17" s="48"/>
      <c r="F17" s="408"/>
      <c r="G17" s="48"/>
      <c r="H17" s="48"/>
      <c r="I17" s="48"/>
      <c r="J17" s="48"/>
      <c r="K17" s="48"/>
      <c r="L17" s="48"/>
      <c r="M17" s="48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">
      <c r="A18" s="450" t="s">
        <v>97</v>
      </c>
      <c r="B18" s="451"/>
      <c r="C18" s="51">
        <v>40</v>
      </c>
      <c r="D18" s="3"/>
      <c r="E18" s="48"/>
      <c r="F18" s="64"/>
      <c r="G18" s="48"/>
      <c r="H18" s="48"/>
      <c r="I18" s="48"/>
      <c r="J18" s="48"/>
      <c r="K18" s="48"/>
      <c r="L18" s="48"/>
      <c r="M18" s="48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">
      <c r="A19" s="450" t="s">
        <v>104</v>
      </c>
      <c r="B19" s="451"/>
      <c r="C19" s="51">
        <v>18</v>
      </c>
      <c r="D19" s="3"/>
      <c r="E19" s="48"/>
      <c r="F19" s="64"/>
      <c r="G19" s="48"/>
      <c r="H19" s="48"/>
      <c r="I19" s="48"/>
      <c r="J19" s="48"/>
      <c r="K19" s="48"/>
      <c r="L19" s="48"/>
      <c r="M19" s="48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450" t="s">
        <v>16</v>
      </c>
      <c r="B20" s="451"/>
      <c r="C20" s="57">
        <v>0.01</v>
      </c>
      <c r="D20" s="3"/>
      <c r="E20" s="48"/>
      <c r="F20" s="64"/>
      <c r="G20" s="48"/>
      <c r="H20" s="48"/>
      <c r="I20" s="48"/>
      <c r="J20" s="48"/>
      <c r="K20" s="48"/>
      <c r="L20" s="48"/>
      <c r="M20" s="48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450" t="s">
        <v>331</v>
      </c>
      <c r="B21" s="451"/>
      <c r="C21" s="57">
        <v>0.14000000000000001</v>
      </c>
      <c r="D21" s="3"/>
      <c r="E21" s="48"/>
      <c r="F21" s="64"/>
      <c r="G21" s="48"/>
      <c r="H21" s="48"/>
      <c r="I21" s="48"/>
      <c r="J21" s="48"/>
      <c r="K21" s="48"/>
      <c r="L21" s="48"/>
      <c r="M21" s="48"/>
      <c r="P21" s="4"/>
      <c r="Q21" s="4"/>
      <c r="R21" s="4"/>
      <c r="S21" s="4"/>
      <c r="T21" s="4"/>
      <c r="U21" s="4"/>
      <c r="V21" s="4"/>
      <c r="W21" s="4"/>
      <c r="X21" s="4"/>
    </row>
    <row r="22" spans="1:24" x14ac:dyDescent="0.2">
      <c r="A22" s="452" t="s">
        <v>14</v>
      </c>
      <c r="B22" s="453"/>
      <c r="C22" s="51">
        <f>4950/C15</f>
        <v>1337.8378378378377</v>
      </c>
      <c r="D22" s="3"/>
      <c r="E22" s="48"/>
      <c r="F22" s="64"/>
      <c r="G22" s="48"/>
      <c r="H22" s="48"/>
      <c r="I22" s="48"/>
      <c r="J22" s="48"/>
      <c r="K22" s="48"/>
      <c r="L22" s="48"/>
      <c r="M22" s="48"/>
      <c r="P22" s="4"/>
      <c r="Q22" s="4"/>
      <c r="R22" s="4"/>
      <c r="S22" s="4"/>
      <c r="T22" s="4"/>
      <c r="U22" s="4"/>
      <c r="V22" s="4"/>
      <c r="W22" s="4"/>
      <c r="X22" s="4"/>
    </row>
    <row r="24" spans="1:24" s="277" customFormat="1" ht="12.75" x14ac:dyDescent="0.25">
      <c r="A24" s="278" t="s">
        <v>5</v>
      </c>
      <c r="B24" s="278" t="s">
        <v>294</v>
      </c>
      <c r="C24" s="278" t="s">
        <v>295</v>
      </c>
      <c r="D24" s="278" t="s">
        <v>105</v>
      </c>
      <c r="E24" s="278" t="s">
        <v>106</v>
      </c>
      <c r="F24" s="278" t="s">
        <v>68</v>
      </c>
      <c r="G24" s="278" t="s">
        <v>69</v>
      </c>
      <c r="H24" s="278" t="s">
        <v>316</v>
      </c>
      <c r="I24" s="278" t="s">
        <v>120</v>
      </c>
      <c r="J24" s="278" t="s">
        <v>330</v>
      </c>
      <c r="K24" s="278" t="s">
        <v>108</v>
      </c>
      <c r="L24" s="283" t="s">
        <v>298</v>
      </c>
      <c r="M24" s="283" t="s">
        <v>299</v>
      </c>
      <c r="N24" s="278" t="s">
        <v>110</v>
      </c>
      <c r="O24" s="283" t="s">
        <v>111</v>
      </c>
      <c r="P24" s="283" t="s">
        <v>13</v>
      </c>
      <c r="Q24" s="278" t="s">
        <v>194</v>
      </c>
      <c r="R24" s="283" t="s">
        <v>308</v>
      </c>
      <c r="S24" s="283" t="s">
        <v>300</v>
      </c>
      <c r="T24" s="283" t="s">
        <v>310</v>
      </c>
      <c r="U24" s="283" t="s">
        <v>306</v>
      </c>
      <c r="V24" s="283" t="s">
        <v>332</v>
      </c>
      <c r="W24" s="283" t="s">
        <v>333</v>
      </c>
      <c r="X24" s="278" t="s">
        <v>279</v>
      </c>
    </row>
    <row r="25" spans="1:24" s="171" customFormat="1" ht="25.5" x14ac:dyDescent="0.2">
      <c r="A25" s="279" t="s">
        <v>0</v>
      </c>
      <c r="B25" s="279" t="s">
        <v>250</v>
      </c>
      <c r="C25" s="279" t="s">
        <v>203</v>
      </c>
      <c r="D25" s="279" t="s">
        <v>112</v>
      </c>
      <c r="E25" s="279" t="s">
        <v>113</v>
      </c>
      <c r="F25" s="438" t="s">
        <v>114</v>
      </c>
      <c r="G25" s="281">
        <f>$C$5</f>
        <v>1204</v>
      </c>
      <c r="H25" s="281" t="s">
        <v>327</v>
      </c>
      <c r="I25" s="282">
        <v>0</v>
      </c>
      <c r="J25" s="282" t="s">
        <v>335</v>
      </c>
      <c r="K25" s="287">
        <f>Table1[[#This Row],[Unit Cost]]/0.7</f>
        <v>121.54285714285714</v>
      </c>
      <c r="L25" s="284">
        <f>Table1[[#This Row],[Unit Price]]*(1-Table1[[#This Row],[Discount]])</f>
        <v>121.54285714285714</v>
      </c>
      <c r="M25" s="284">
        <f>IF(Table1[[#This Row],[Type]]="OPEX",$C$19,1)*Table1[[#This Row],[Unit Disc. Price]]*Table1[[#This Row],[Qty]]</f>
        <v>146337.60000000001</v>
      </c>
      <c r="N25" s="509">
        <v>85.08</v>
      </c>
      <c r="O25" s="285">
        <f>IF(Table1[[#This Row],[Type]]="OPEX",$C$19,1)*Table1[[#This Row],[Unit Cost]]*Table1[[#This Row],[Qty]]</f>
        <v>102436.31999999999</v>
      </c>
      <c r="P25" s="401">
        <f>1-(Table1[[#This Row],[Ext. Cost]]/Table1[[#This Row],[Ext. Disc. Price]])</f>
        <v>0.30000000000000004</v>
      </c>
      <c r="Q25" s="279" t="s">
        <v>195</v>
      </c>
      <c r="R25" s="286">
        <f>Table1[[#This Row],[Ext. Disc. Price]]/$C$7/$C$19</f>
        <v>6.7523809523809524</v>
      </c>
      <c r="S25" s="286">
        <f>Table1[[#This Row],[Ext. Cost]]/$C$7/$C$19</f>
        <v>4.7266666666666666</v>
      </c>
      <c r="T25" s="286">
        <f>Table1[[#This Row],[Ext. Disc. Price]]/$C$13/$C$19</f>
        <v>1.1575510204081632</v>
      </c>
      <c r="U25" s="286">
        <f>Table1[[#This Row],[Ext. Cost]]/$C$13/$C$19</f>
        <v>0.81028571428571416</v>
      </c>
      <c r="V25" s="289">
        <f>IF(AND(Table1[[#This Row],[Type]]="CAPEX",Table1[[#This Row],[Finance?]]="MRC"),PMT($C$21/12,$C$19,-Table1[[#This Row],[Ext. Disc. Price]]),0)</f>
        <v>0</v>
      </c>
      <c r="W25" s="289">
        <f>IF(AND(Table1[[#This Row],[Type]]="CAPEX",Table1[[#This Row],[Finance?]]="MRC"),PMT($C$21/12,$C$19,-Table1[[#This Row],[Ext. Disc. Price]])/$C$7,IF(Table1[[#This Row],[Type]]="OPEX",Table1[[#This Row],[Ext. Disc. Price]]/$C$7/$C$19,0))</f>
        <v>0</v>
      </c>
      <c r="X25" s="279"/>
    </row>
    <row r="26" spans="1:24" s="171" customFormat="1" ht="12.75" x14ac:dyDescent="0.2">
      <c r="A26" s="279" t="s">
        <v>0</v>
      </c>
      <c r="B26" s="279" t="s">
        <v>250</v>
      </c>
      <c r="C26" s="279" t="s">
        <v>203</v>
      </c>
      <c r="D26" s="279" t="s">
        <v>3908</v>
      </c>
      <c r="E26" s="279" t="s">
        <v>3910</v>
      </c>
      <c r="F26" s="280" t="s">
        <v>3909</v>
      </c>
      <c r="G26" s="281">
        <f>$C$5</f>
        <v>1204</v>
      </c>
      <c r="H26" s="281" t="s">
        <v>327</v>
      </c>
      <c r="I26" s="282">
        <v>0</v>
      </c>
      <c r="J26" s="282" t="s">
        <v>335</v>
      </c>
      <c r="K26" s="287">
        <f>Table1[[#This Row],[Unit Cost]]/0.7</f>
        <v>107.31428571428573</v>
      </c>
      <c r="L26" s="284">
        <f>Table1[[#This Row],[Unit Price]]*(1-Table1[[#This Row],[Discount]])</f>
        <v>107.31428571428573</v>
      </c>
      <c r="M26" s="284">
        <f>IF(Table1[[#This Row],[Type]]="OPEX",$C$19,1)*Table1[[#This Row],[Unit Disc. Price]]*Table1[[#This Row],[Qty]]</f>
        <v>129206.40000000002</v>
      </c>
      <c r="N26" s="287">
        <f>35.31+39.81</f>
        <v>75.12</v>
      </c>
      <c r="O26" s="285">
        <f>IF(Table1[[#This Row],[Type]]="OPEX",$C$19,1)*Table1[[#This Row],[Unit Cost]]*Table1[[#This Row],[Qty]]</f>
        <v>90444.48000000001</v>
      </c>
      <c r="P26" s="401">
        <f>1-(Table1[[#This Row],[Ext. Cost]]/Table1[[#This Row],[Ext. Disc. Price]])</f>
        <v>0.30000000000000004</v>
      </c>
      <c r="Q26" s="279" t="s">
        <v>195</v>
      </c>
      <c r="R26" s="286">
        <f>Table1[[#This Row],[Ext. Disc. Price]]/$C$7/$C$19</f>
        <v>5.9619047619047629</v>
      </c>
      <c r="S26" s="286">
        <f>Table1[[#This Row],[Ext. Cost]]/$C$7/$C$19</f>
        <v>4.1733333333333338</v>
      </c>
      <c r="T26" s="286">
        <f>Table1[[#This Row],[Ext. Disc. Price]]/$C$13/$C$19</f>
        <v>1.0220408163265307</v>
      </c>
      <c r="U26" s="286">
        <f>Table1[[#This Row],[Ext. Cost]]/$C$13/$C$19</f>
        <v>0.71542857142857141</v>
      </c>
      <c r="V26" s="289">
        <f>IF(AND(Table1[[#This Row],[Type]]="CAPEX",Table1[[#This Row],[Finance?]]="MRC"),PMT($C$21/12,$C$19,-Table1[[#This Row],[Ext. Disc. Price]]),0)</f>
        <v>0</v>
      </c>
      <c r="W26" s="289">
        <f>IF(AND(Table1[[#This Row],[Type]]="CAPEX",Table1[[#This Row],[Finance?]]="MRC"),PMT($C$21/12,$C$19,-Table1[[#This Row],[Ext. Disc. Price]])/$C$7,IF(Table1[[#This Row],[Type]]="OPEX",Table1[[#This Row],[Ext. Disc. Price]]/$C$7/$C$19,0))</f>
        <v>0</v>
      </c>
      <c r="X26" s="279"/>
    </row>
    <row r="27" spans="1:24" s="171" customFormat="1" ht="12.75" x14ac:dyDescent="0.2">
      <c r="A27" s="279" t="s">
        <v>0</v>
      </c>
      <c r="B27" s="279" t="s">
        <v>250</v>
      </c>
      <c r="C27" s="279" t="s">
        <v>203</v>
      </c>
      <c r="D27" s="279" t="s">
        <v>122</v>
      </c>
      <c r="E27" s="279" t="s">
        <v>123</v>
      </c>
      <c r="F27" s="280" t="s">
        <v>2296</v>
      </c>
      <c r="G27" s="281">
        <f>$C$5</f>
        <v>1204</v>
      </c>
      <c r="H27" s="281" t="s">
        <v>327</v>
      </c>
      <c r="I27" s="282">
        <v>0</v>
      </c>
      <c r="J27" s="282" t="s">
        <v>335</v>
      </c>
      <c r="K27" s="287">
        <f>Table1[[#This Row],[Unit Cost]]/0.7</f>
        <v>159.37142857142859</v>
      </c>
      <c r="L27" s="284">
        <f>Table1[[#This Row],[Unit Price]]*(1-Table1[[#This Row],[Discount]])</f>
        <v>159.37142857142859</v>
      </c>
      <c r="M27" s="284">
        <f>IF(Table1[[#This Row],[Type]]="OPEX",$C$19,1)*Table1[[#This Row],[Unit Disc. Price]]*Table1[[#This Row],[Qty]]</f>
        <v>191883.20000000004</v>
      </c>
      <c r="N27" s="287">
        <v>111.56</v>
      </c>
      <c r="O27" s="285">
        <f>IF(Table1[[#This Row],[Type]]="OPEX",$C$19,1)*Table1[[#This Row],[Unit Cost]]*Table1[[#This Row],[Qty]]</f>
        <v>134318.24</v>
      </c>
      <c r="P27" s="401">
        <f>1-(Table1[[#This Row],[Ext. Cost]]/Table1[[#This Row],[Ext. Disc. Price]])</f>
        <v>0.30000000000000016</v>
      </c>
      <c r="Q27" s="279" t="s">
        <v>195</v>
      </c>
      <c r="R27" s="286">
        <f>Table1[[#This Row],[Ext. Disc. Price]]/$C$7/$C$19</f>
        <v>8.8539682539682545</v>
      </c>
      <c r="S27" s="286">
        <f>Table1[[#This Row],[Ext. Cost]]/$C$7/$C$19</f>
        <v>6.1977777777777767</v>
      </c>
      <c r="T27" s="286">
        <f>Table1[[#This Row],[Ext. Disc. Price]]/$C$13/$C$19</f>
        <v>1.5178231292517008</v>
      </c>
      <c r="U27" s="286">
        <f>Table1[[#This Row],[Ext. Cost]]/$C$13/$C$19</f>
        <v>1.0624761904761904</v>
      </c>
      <c r="V27" s="289">
        <f>IF(AND(Table1[[#This Row],[Type]]="CAPEX",Table1[[#This Row],[Finance?]]="MRC"),PMT($C$21/12,$C$19,-Table1[[#This Row],[Ext. Disc. Price]]),0)</f>
        <v>0</v>
      </c>
      <c r="W27" s="289">
        <f>IF(AND(Table1[[#This Row],[Type]]="CAPEX",Table1[[#This Row],[Finance?]]="MRC"),PMT($C$21/12,$C$19,-Table1[[#This Row],[Ext. Disc. Price]])/$C$7,IF(Table1[[#This Row],[Type]]="OPEX",Table1[[#This Row],[Ext. Disc. Price]]/$C$7/$C$19,0))</f>
        <v>0</v>
      </c>
      <c r="X27" s="279"/>
    </row>
    <row r="28" spans="1:24" s="179" customFormat="1" ht="12.75" x14ac:dyDescent="0.2">
      <c r="A28" s="279" t="s">
        <v>0</v>
      </c>
      <c r="B28" s="279" t="s">
        <v>250</v>
      </c>
      <c r="C28" s="279" t="s">
        <v>203</v>
      </c>
      <c r="D28" s="279" t="s">
        <v>2292</v>
      </c>
      <c r="E28" s="279" t="s">
        <v>2293</v>
      </c>
      <c r="F28" s="280" t="s">
        <v>2294</v>
      </c>
      <c r="G28" s="281">
        <f>$C$5</f>
        <v>1204</v>
      </c>
      <c r="H28" s="281" t="s">
        <v>327</v>
      </c>
      <c r="I28" s="282">
        <v>0</v>
      </c>
      <c r="J28" s="282" t="s">
        <v>335</v>
      </c>
      <c r="K28" s="287">
        <f>N28/0.7</f>
        <v>21.014285714285716</v>
      </c>
      <c r="L28" s="284">
        <f>Table1[[#This Row],[Unit Price]]*(1-Table1[[#This Row],[Discount]])</f>
        <v>21.014285714285716</v>
      </c>
      <c r="M28" s="284">
        <f>IF(Table1[[#This Row],[Type]]="OPEX",$C$19,1)*Table1[[#This Row],[Unit Disc. Price]]*Table1[[#This Row],[Qty]]</f>
        <v>25301.200000000001</v>
      </c>
      <c r="N28" s="287">
        <v>14.71</v>
      </c>
      <c r="O28" s="285">
        <f>IF(Table1[[#This Row],[Type]]="OPEX",$C$19,1)*Table1[[#This Row],[Unit Cost]]*Table1[[#This Row],[Qty]]</f>
        <v>17710.84</v>
      </c>
      <c r="P28" s="401">
        <f>1-(Table1[[#This Row],[Ext. Cost]]/Table1[[#This Row],[Ext. Disc. Price]])</f>
        <v>0.30000000000000004</v>
      </c>
      <c r="Q28" s="279" t="s">
        <v>195</v>
      </c>
      <c r="R28" s="286">
        <f>Table1[[#This Row],[Ext. Disc. Price]]/$C$7/$C$19</f>
        <v>1.1674603174603175</v>
      </c>
      <c r="S28" s="286">
        <f>Table1[[#This Row],[Ext. Cost]]/$C$7/$C$19</f>
        <v>0.81722222222222229</v>
      </c>
      <c r="T28" s="286">
        <f>Table1[[#This Row],[Ext. Disc. Price]]/$C$13/$C$19</f>
        <v>0.20013605442176868</v>
      </c>
      <c r="U28" s="286">
        <f>Table1[[#This Row],[Ext. Cost]]/$C$13/$C$19</f>
        <v>0.14009523809523808</v>
      </c>
      <c r="V28" s="289">
        <f>IF(AND(Table1[[#This Row],[Type]]="CAPEX",Table1[[#This Row],[Finance?]]="MRC"),PMT($C$21/12,$C$19,-Table1[[#This Row],[Ext. Disc. Price]]),0)</f>
        <v>0</v>
      </c>
      <c r="W28" s="289">
        <f>IF(AND(Table1[[#This Row],[Type]]="CAPEX",Table1[[#This Row],[Finance?]]="MRC"),PMT($C$21/12,$C$19,-Table1[[#This Row],[Ext. Disc. Price]])/$C$7,IF(Table1[[#This Row],[Type]]="OPEX",Table1[[#This Row],[Ext. Disc. Price]]/$C$7/$C$19,0))</f>
        <v>0</v>
      </c>
      <c r="X28" s="279"/>
    </row>
    <row r="29" spans="1:24" s="179" customFormat="1" ht="25.5" x14ac:dyDescent="0.2">
      <c r="A29" s="279" t="s">
        <v>0</v>
      </c>
      <c r="B29" s="279" t="s">
        <v>250</v>
      </c>
      <c r="C29" s="279" t="s">
        <v>2295</v>
      </c>
      <c r="D29" s="508" t="s">
        <v>112</v>
      </c>
      <c r="E29" s="279" t="s">
        <v>113</v>
      </c>
      <c r="F29" s="280" t="s">
        <v>114</v>
      </c>
      <c r="G29" s="281">
        <f>$C$9</f>
        <v>37</v>
      </c>
      <c r="H29" s="281" t="s">
        <v>327</v>
      </c>
      <c r="I29" s="282">
        <v>0</v>
      </c>
      <c r="J29" s="282" t="s">
        <v>335</v>
      </c>
      <c r="K29" s="287">
        <f>N29/0.7</f>
        <v>121.54285714285714</v>
      </c>
      <c r="L29" s="284">
        <f>Table1[[#This Row],[Unit Price]]*(1-Table1[[#This Row],[Discount]])</f>
        <v>121.54285714285714</v>
      </c>
      <c r="M29" s="284">
        <f>IF(Table1[[#This Row],[Type]]="OPEX",$C$19,1)*Table1[[#This Row],[Unit Disc. Price]]*Table1[[#This Row],[Qty]]</f>
        <v>4497.0857142857139</v>
      </c>
      <c r="N29" s="287">
        <v>85.08</v>
      </c>
      <c r="O29" s="285">
        <f>IF(Table1[[#This Row],[Type]]="OPEX",$C$19,1)*Table1[[#This Row],[Unit Cost]]*Table1[[#This Row],[Qty]]</f>
        <v>3147.96</v>
      </c>
      <c r="P29" s="401">
        <f>1-(Table1[[#This Row],[Ext. Cost]]/Table1[[#This Row],[Ext. Disc. Price]])</f>
        <v>0.29999999999999993</v>
      </c>
      <c r="Q29" s="279" t="s">
        <v>195</v>
      </c>
      <c r="R29" s="286">
        <f>Table1[[#This Row],[Ext. Disc. Price]]/$C$7/$C$19</f>
        <v>0.20750672361968042</v>
      </c>
      <c r="S29" s="286">
        <f>Table1[[#This Row],[Ext. Cost]]/$C$7/$C$19</f>
        <v>0.14525470653377628</v>
      </c>
      <c r="T29" s="286">
        <f>Table1[[#This Row],[Ext. Disc. Price]]/$C$13/$C$19</f>
        <v>3.5572581191945209E-2</v>
      </c>
      <c r="U29" s="286">
        <f>Table1[[#This Row],[Ext. Cost]]/$C$13/$C$19</f>
        <v>2.4900806834361647E-2</v>
      </c>
      <c r="V29" s="289">
        <f>IF(AND(Table1[[#This Row],[Type]]="CAPEX",Table1[[#This Row],[Finance?]]="MRC"),PMT($C$21/12,$C$19,-Table1[[#This Row],[Ext. Disc. Price]]),0)</f>
        <v>0</v>
      </c>
      <c r="W29" s="289">
        <f>IF(AND(Table1[[#This Row],[Type]]="CAPEX",Table1[[#This Row],[Finance?]]="MRC"),PMT($C$21/12,$C$19,-Table1[[#This Row],[Ext. Disc. Price]])/$C$7,IF(Table1[[#This Row],[Type]]="OPEX",Table1[[#This Row],[Ext. Disc. Price]]/$C$7/$C$19,0))</f>
        <v>0</v>
      </c>
      <c r="X29" s="279"/>
    </row>
    <row r="30" spans="1:24" s="179" customFormat="1" ht="12.75" x14ac:dyDescent="0.2">
      <c r="A30" s="279" t="s">
        <v>0</v>
      </c>
      <c r="B30" s="279" t="s">
        <v>250</v>
      </c>
      <c r="C30" s="279" t="s">
        <v>2295</v>
      </c>
      <c r="D30" s="279" t="s">
        <v>3908</v>
      </c>
      <c r="E30" s="279" t="s">
        <v>3910</v>
      </c>
      <c r="F30" s="280" t="s">
        <v>3909</v>
      </c>
      <c r="G30" s="281">
        <f>$C$9</f>
        <v>37</v>
      </c>
      <c r="H30" s="281" t="s">
        <v>327</v>
      </c>
      <c r="I30" s="282">
        <v>0</v>
      </c>
      <c r="J30" s="282" t="s">
        <v>335</v>
      </c>
      <c r="K30" s="287">
        <f>Table1[[#This Row],[Unit Cost]]/0.7</f>
        <v>107.31428571428573</v>
      </c>
      <c r="L30" s="284">
        <f>Table1[[#This Row],[Unit Price]]*(1-Table1[[#This Row],[Discount]])</f>
        <v>107.31428571428573</v>
      </c>
      <c r="M30" s="284">
        <f>IF(Table1[[#This Row],[Type]]="OPEX",$C$19,1)*Table1[[#This Row],[Unit Disc. Price]]*Table1[[#This Row],[Qty]]</f>
        <v>3970.6285714285718</v>
      </c>
      <c r="N30" s="287">
        <f>35.31+39.81</f>
        <v>75.12</v>
      </c>
      <c r="O30" s="285">
        <f>IF(Table1[[#This Row],[Type]]="OPEX",$C$19,1)*Table1[[#This Row],[Unit Cost]]*Table1[[#This Row],[Qty]]</f>
        <v>2779.44</v>
      </c>
      <c r="P30" s="401">
        <f>1-(Table1[[#This Row],[Ext. Cost]]/Table1[[#This Row],[Ext. Disc. Price]])</f>
        <v>0.30000000000000004</v>
      </c>
      <c r="Q30" s="279" t="s">
        <v>195</v>
      </c>
      <c r="R30" s="286">
        <f>Table1[[#This Row],[Ext. Disc. Price]]/$C$7/$C$19</f>
        <v>0.18321468122132575</v>
      </c>
      <c r="S30" s="286">
        <f>Table1[[#This Row],[Ext. Cost]]/$C$7/$C$19</f>
        <v>0.12825027685492801</v>
      </c>
      <c r="T30" s="286">
        <f>Table1[[#This Row],[Ext. Disc. Price]]/$C$13/$C$19</f>
        <v>3.1408231066512984E-2</v>
      </c>
      <c r="U30" s="286">
        <f>Table1[[#This Row],[Ext. Cost]]/$C$13/$C$19</f>
        <v>2.1985761746559088E-2</v>
      </c>
      <c r="V30" s="289">
        <f>IF(AND(Table1[[#This Row],[Type]]="CAPEX",Table1[[#This Row],[Finance?]]="MRC"),PMT($C$21/12,$C$19,-Table1[[#This Row],[Ext. Disc. Price]]),0)</f>
        <v>0</v>
      </c>
      <c r="W30" s="289">
        <f>IF(AND(Table1[[#This Row],[Type]]="CAPEX",Table1[[#This Row],[Finance?]]="MRC"),PMT($C$21/12,$C$19,-Table1[[#This Row],[Ext. Disc. Price]])/$C$7,IF(Table1[[#This Row],[Type]]="OPEX",Table1[[#This Row],[Ext. Disc. Price]]/$C$7/$C$19,0))</f>
        <v>0</v>
      </c>
      <c r="X30" s="279"/>
    </row>
    <row r="31" spans="1:24" s="179" customFormat="1" ht="12.75" x14ac:dyDescent="0.2">
      <c r="A31" s="279" t="s">
        <v>0</v>
      </c>
      <c r="B31" s="279" t="s">
        <v>250</v>
      </c>
      <c r="C31" s="279" t="s">
        <v>2295</v>
      </c>
      <c r="D31" s="279" t="s">
        <v>122</v>
      </c>
      <c r="E31" s="279" t="s">
        <v>123</v>
      </c>
      <c r="F31" s="280" t="s">
        <v>2296</v>
      </c>
      <c r="G31" s="281">
        <f>$C$9</f>
        <v>37</v>
      </c>
      <c r="H31" s="281" t="s">
        <v>327</v>
      </c>
      <c r="I31" s="282">
        <v>0</v>
      </c>
      <c r="J31" s="282" t="s">
        <v>335</v>
      </c>
      <c r="K31" s="287">
        <f>Table1[[#This Row],[Unit Cost]]/0.7</f>
        <v>151.07142857142858</v>
      </c>
      <c r="L31" s="284">
        <f>Table1[[#This Row],[Unit Price]]*(1-Table1[[#This Row],[Discount]])</f>
        <v>151.07142857142858</v>
      </c>
      <c r="M31" s="284">
        <f>IF(Table1[[#This Row],[Type]]="OPEX",$C$19,1)*Table1[[#This Row],[Unit Disc. Price]]*Table1[[#This Row],[Qty]]</f>
        <v>5589.6428571428578</v>
      </c>
      <c r="N31" s="287">
        <v>105.75</v>
      </c>
      <c r="O31" s="285">
        <f>IF(Table1[[#This Row],[Type]]="OPEX",$C$19,1)*Table1[[#This Row],[Unit Cost]]*Table1[[#This Row],[Qty]]</f>
        <v>3912.75</v>
      </c>
      <c r="P31" s="401">
        <f>1-(Table1[[#This Row],[Ext. Cost]]/Table1[[#This Row],[Ext. Disc. Price]])</f>
        <v>0.30000000000000004</v>
      </c>
      <c r="Q31" s="279" t="s">
        <v>195</v>
      </c>
      <c r="R31" s="286">
        <f>Table1[[#This Row],[Ext. Disc. Price]]/$C$7/$C$19</f>
        <v>0.25792002847650691</v>
      </c>
      <c r="S31" s="286">
        <f>Table1[[#This Row],[Ext. Cost]]/$C$7/$C$19</f>
        <v>0.18054401993355482</v>
      </c>
      <c r="T31" s="286">
        <f>Table1[[#This Row],[Ext. Disc. Price]]/$C$13/$C$19</f>
        <v>4.4214862024544034E-2</v>
      </c>
      <c r="U31" s="286">
        <f>Table1[[#This Row],[Ext. Cost]]/$C$13/$C$19</f>
        <v>3.0950403417180822E-2</v>
      </c>
      <c r="V31" s="289">
        <f>IF(AND(Table1[[#This Row],[Type]]="CAPEX",Table1[[#This Row],[Finance?]]="MRC"),PMT($C$21/12,$C$19,-Table1[[#This Row],[Ext. Disc. Price]]),0)</f>
        <v>0</v>
      </c>
      <c r="W31" s="289">
        <f>IF(AND(Table1[[#This Row],[Type]]="CAPEX",Table1[[#This Row],[Finance?]]="MRC"),PMT($C$21/12,$C$19,-Table1[[#This Row],[Ext. Disc. Price]])/$C$7,IF(Table1[[#This Row],[Type]]="OPEX",Table1[[#This Row],[Ext. Disc. Price]]/$C$7/$C$19,0))</f>
        <v>0</v>
      </c>
      <c r="X31" s="279"/>
    </row>
    <row r="32" spans="1:24" ht="12.75" x14ac:dyDescent="0.2">
      <c r="A32" s="279" t="s">
        <v>0</v>
      </c>
      <c r="B32" s="279" t="s">
        <v>250</v>
      </c>
      <c r="C32" s="279" t="s">
        <v>2295</v>
      </c>
      <c r="D32" s="279" t="s">
        <v>2292</v>
      </c>
      <c r="E32" s="279" t="s">
        <v>2293</v>
      </c>
      <c r="F32" s="280" t="s">
        <v>2294</v>
      </c>
      <c r="G32" s="281">
        <f>$C$9</f>
        <v>37</v>
      </c>
      <c r="H32" s="281" t="s">
        <v>327</v>
      </c>
      <c r="I32" s="282">
        <v>0</v>
      </c>
      <c r="J32" s="282" t="s">
        <v>335</v>
      </c>
      <c r="K32" s="287">
        <f>Table1[[#This Row],[Unit Cost]]/0.7</f>
        <v>19.914285714285715</v>
      </c>
      <c r="L32" s="284">
        <f>Table1[[#This Row],[Unit Price]]*(1-Table1[[#This Row],[Discount]])</f>
        <v>19.914285714285715</v>
      </c>
      <c r="M32" s="284">
        <f>IF(Table1[[#This Row],[Type]]="OPEX",$C$19,1)*Table1[[#This Row],[Unit Disc. Price]]*Table1[[#This Row],[Qty]]</f>
        <v>736.82857142857142</v>
      </c>
      <c r="N32" s="287">
        <v>13.94</v>
      </c>
      <c r="O32" s="285">
        <f>IF(Table1[[#This Row],[Type]]="OPEX",$C$19,1)*Table1[[#This Row],[Unit Cost]]*Table1[[#This Row],[Qty]]</f>
        <v>515.78</v>
      </c>
      <c r="P32" s="401">
        <f>1-(Table1[[#This Row],[Ext. Cost]]/Table1[[#This Row],[Ext. Disc. Price]])</f>
        <v>0.30000000000000004</v>
      </c>
      <c r="Q32" s="279" t="s">
        <v>195</v>
      </c>
      <c r="R32" s="286">
        <f>Table1[[#This Row],[Ext. Disc. Price]]/$C$7/$C$19</f>
        <v>3.3999103517375943E-2</v>
      </c>
      <c r="S32" s="286">
        <f>Table1[[#This Row],[Ext. Cost]]/$C$7/$C$19</f>
        <v>2.3799372462163158E-2</v>
      </c>
      <c r="T32" s="286">
        <f>Table1[[#This Row],[Ext. Disc. Price]]/$C$13/$C$19</f>
        <v>5.8284177458358755E-3</v>
      </c>
      <c r="U32" s="286">
        <f>Table1[[#This Row],[Ext. Cost]]/$C$13/$C$19</f>
        <v>4.0798924220851124E-3</v>
      </c>
      <c r="V32" s="289">
        <f>IF(AND(Table1[[#This Row],[Type]]="CAPEX",Table1[[#This Row],[Finance?]]="MRC"),PMT($C$21/12,$C$19,-Table1[[#This Row],[Ext. Disc. Price]]),0)</f>
        <v>0</v>
      </c>
      <c r="W32" s="289">
        <f>IF(AND(Table1[[#This Row],[Type]]="CAPEX",Table1[[#This Row],[Finance?]]="MRC"),PMT($C$21/12,$C$19,-Table1[[#This Row],[Ext. Disc. Price]])/$C$7,IF(Table1[[#This Row],[Type]]="OPEX",Table1[[#This Row],[Ext. Disc. Price]]/$C$7/$C$19,0))</f>
        <v>0</v>
      </c>
      <c r="X32" s="279"/>
    </row>
    <row r="33" spans="1:24" ht="12.75" x14ac:dyDescent="0.2">
      <c r="A33" s="279" t="s">
        <v>1</v>
      </c>
      <c r="B33" s="279" t="s">
        <v>269</v>
      </c>
      <c r="C33" s="279" t="s">
        <v>3911</v>
      </c>
      <c r="D33" s="279" t="s">
        <v>138</v>
      </c>
      <c r="E33" s="279" t="s">
        <v>138</v>
      </c>
      <c r="F33" s="280" t="s">
        <v>3912</v>
      </c>
      <c r="G33" s="281">
        <f>GETPIVOTDATA("TOTAL CAPACITY",Sizing!$A$36)</f>
        <v>7023.3333333333294</v>
      </c>
      <c r="H33" s="281" t="s">
        <v>327</v>
      </c>
      <c r="I33" s="282">
        <v>0</v>
      </c>
      <c r="J33" s="282" t="s">
        <v>334</v>
      </c>
      <c r="K33" s="287">
        <v>65</v>
      </c>
      <c r="L33" s="284">
        <f>Table1[[#This Row],[Unit Price]]*(1-Table1[[#This Row],[Discount]])</f>
        <v>65</v>
      </c>
      <c r="M33" s="284">
        <f>IF(Table1[[#This Row],[Type]]="OPEX",$C$19,1)*Table1[[#This Row],[Unit Disc. Price]]*Table1[[#This Row],[Qty]]</f>
        <v>8217299.9999999953</v>
      </c>
      <c r="N33" s="287">
        <v>40</v>
      </c>
      <c r="O33" s="285">
        <f>IF(Table1[[#This Row],[Type]]="OPEX",$C$19,1)*Table1[[#This Row],[Unit Cost]]*Table1[[#This Row],[Qty]]</f>
        <v>5056799.9999999972</v>
      </c>
      <c r="P33" s="401">
        <f>1-(Table1[[#This Row],[Ext. Cost]]/Table1[[#This Row],[Ext. Disc. Price]])</f>
        <v>0.38461538461538458</v>
      </c>
      <c r="Q33" s="279" t="s">
        <v>195</v>
      </c>
      <c r="R33" s="286">
        <f>Table1[[#This Row],[Ext. Disc. Price]]/$C$7/$C$19</f>
        <v>379.16666666666646</v>
      </c>
      <c r="S33" s="286">
        <f>Table1[[#This Row],[Ext. Cost]]/$C$7/$C$19</f>
        <v>233.33333333333317</v>
      </c>
      <c r="T33" s="286">
        <f>Table1[[#This Row],[Ext. Disc. Price]]/$C$13/$C$19</f>
        <v>64.999999999999957</v>
      </c>
      <c r="U33" s="286">
        <f>Table1[[#This Row],[Ext. Cost]]/$C$13/$C$19</f>
        <v>39.999999999999972</v>
      </c>
      <c r="V33" s="289">
        <f>IF(AND(Table1[[#This Row],[Type]]="CAPEX",Table1[[#This Row],[Finance?]]="MRC"),PMT($C$21/12,$C$19,-Table1[[#This Row],[Ext. Disc. Price]]),0)</f>
        <v>0</v>
      </c>
      <c r="W33" s="289">
        <f>IF(AND(Table1[[#This Row],[Type]]="CAPEX",Table1[[#This Row],[Finance?]]="MRC"),PMT($C$21/12,$C$19,-Table1[[#This Row],[Ext. Disc. Price]])/$C$7,IF(Table1[[#This Row],[Type]]="OPEX",Table1[[#This Row],[Ext. Disc. Price]]/$C$7/$C$19,0))</f>
        <v>379.16666666666646</v>
      </c>
      <c r="X33" s="279"/>
    </row>
    <row r="34" spans="1:24" ht="12.75" x14ac:dyDescent="0.2">
      <c r="A34" s="279" t="s">
        <v>1</v>
      </c>
      <c r="B34" s="279" t="s">
        <v>269</v>
      </c>
      <c r="C34" s="279" t="s">
        <v>658</v>
      </c>
      <c r="D34" s="279" t="s">
        <v>138</v>
      </c>
      <c r="E34" s="279" t="s">
        <v>138</v>
      </c>
      <c r="F34" s="280" t="s">
        <v>658</v>
      </c>
      <c r="G34" s="281">
        <v>1204</v>
      </c>
      <c r="H34" s="281" t="s">
        <v>327</v>
      </c>
      <c r="I34" s="282">
        <v>0</v>
      </c>
      <c r="J34" s="282" t="s">
        <v>334</v>
      </c>
      <c r="K34" s="287">
        <v>15</v>
      </c>
      <c r="L34" s="284">
        <f>Table1[[#This Row],[Unit Price]]*(1-Table1[[#This Row],[Discount]])</f>
        <v>15</v>
      </c>
      <c r="M34" s="284">
        <f>IF(Table1[[#This Row],[Type]]="OPEX",$C$19,1)*Table1[[#This Row],[Unit Disc. Price]]*Table1[[#This Row],[Qty]]</f>
        <v>325080</v>
      </c>
      <c r="N34" s="287">
        <v>9</v>
      </c>
      <c r="O34" s="285">
        <f>IF(Table1[[#This Row],[Type]]="OPEX",$C$19,1)*Table1[[#This Row],[Unit Cost]]*Table1[[#This Row],[Qty]]</f>
        <v>195048</v>
      </c>
      <c r="P34" s="401">
        <f>1-(Table1[[#This Row],[Ext. Cost]]/Table1[[#This Row],[Ext. Disc. Price]])</f>
        <v>0.4</v>
      </c>
      <c r="Q34" s="279" t="s">
        <v>195</v>
      </c>
      <c r="R34" s="286">
        <f>Table1[[#This Row],[Ext. Disc. Price]]/$C$7/$C$19</f>
        <v>15</v>
      </c>
      <c r="S34" s="286">
        <f>Table1[[#This Row],[Ext. Cost]]/$C$7/$C$19</f>
        <v>9</v>
      </c>
      <c r="T34" s="286">
        <f>Table1[[#This Row],[Ext. Disc. Price]]/$C$13/$C$19</f>
        <v>2.5714285714285712</v>
      </c>
      <c r="U34" s="286">
        <f>Table1[[#This Row],[Ext. Cost]]/$C$13/$C$19</f>
        <v>1.5428571428571427</v>
      </c>
      <c r="V34" s="289">
        <f>IF(AND(Table1[[#This Row],[Type]]="CAPEX",Table1[[#This Row],[Finance?]]="MRC"),PMT($C$21/12,$C$19,-Table1[[#This Row],[Ext. Disc. Price]]),0)</f>
        <v>0</v>
      </c>
      <c r="W34" s="289">
        <f>IF(AND(Table1[[#This Row],[Type]]="CAPEX",Table1[[#This Row],[Finance?]]="MRC"),PMT($C$21/12,$C$19,-Table1[[#This Row],[Ext. Disc. Price]])/$C$7,IF(Table1[[#This Row],[Type]]="OPEX",Table1[[#This Row],[Ext. Disc. Price]]/$C$7/$C$19,0))</f>
        <v>15</v>
      </c>
      <c r="X34" s="279"/>
    </row>
    <row r="35" spans="1:24" ht="12.75" x14ac:dyDescent="0.2">
      <c r="A35" s="279" t="s">
        <v>1</v>
      </c>
      <c r="B35" s="279" t="s">
        <v>293</v>
      </c>
      <c r="C35" s="279" t="s">
        <v>3915</v>
      </c>
      <c r="D35" s="279" t="s">
        <v>3914</v>
      </c>
      <c r="E35" s="279" t="s">
        <v>3914</v>
      </c>
      <c r="F35" s="280" t="s">
        <v>3913</v>
      </c>
      <c r="G35" s="281">
        <f>GETPIVOTDATA("TOTAL CAPACITY",Sizing!$A$36)</f>
        <v>7023.3333333333294</v>
      </c>
      <c r="H35" s="281" t="s">
        <v>327</v>
      </c>
      <c r="I35" s="282">
        <v>0</v>
      </c>
      <c r="J35" s="282" t="s">
        <v>334</v>
      </c>
      <c r="K35" s="287">
        <f>Table1[[#This Row],[Unit Cost]]/0.75</f>
        <v>6.666666666666667</v>
      </c>
      <c r="L35" s="284">
        <f>Table1[[#This Row],[Unit Price]]*(1-Table1[[#This Row],[Discount]])</f>
        <v>6.666666666666667</v>
      </c>
      <c r="M35" s="284">
        <f>IF(Table1[[#This Row],[Type]]="OPEX",$C$19,1)*Table1[[#This Row],[Unit Disc. Price]]*Table1[[#This Row],[Qty]]</f>
        <v>842799.99999999953</v>
      </c>
      <c r="N35" s="287">
        <v>5</v>
      </c>
      <c r="O35" s="285">
        <f>IF(Table1[[#This Row],[Type]]="OPEX",$C$19,1)*Table1[[#This Row],[Unit Cost]]*Table1[[#This Row],[Qty]]</f>
        <v>632099.99999999965</v>
      </c>
      <c r="P35" s="401">
        <f>1-(Table1[[#This Row],[Ext. Cost]]/Table1[[#This Row],[Ext. Disc. Price]])</f>
        <v>0.25</v>
      </c>
      <c r="Q35" s="279" t="s">
        <v>195</v>
      </c>
      <c r="R35" s="286">
        <f>Table1[[#This Row],[Ext. Disc. Price]]/$C$7/$C$19</f>
        <v>38.888888888888872</v>
      </c>
      <c r="S35" s="286">
        <f>Table1[[#This Row],[Ext. Cost]]/$C$7/$C$19</f>
        <v>29.166666666666647</v>
      </c>
      <c r="T35" s="286">
        <f>Table1[[#This Row],[Ext. Disc. Price]]/$C$13/$C$19</f>
        <v>6.6666666666666625</v>
      </c>
      <c r="U35" s="286">
        <f>Table1[[#This Row],[Ext. Cost]]/$C$13/$C$19</f>
        <v>4.9999999999999964</v>
      </c>
      <c r="V35" s="289">
        <f>IF(AND(Table1[[#This Row],[Type]]="CAPEX",Table1[[#This Row],[Finance?]]="MRC"),PMT($C$21/12,$C$19,-Table1[[#This Row],[Ext. Disc. Price]]),0)</f>
        <v>0</v>
      </c>
      <c r="W35" s="289">
        <f>IF(AND(Table1[[#This Row],[Type]]="CAPEX",Table1[[#This Row],[Finance?]]="MRC"),PMT($C$21/12,$C$19,-Table1[[#This Row],[Ext. Disc. Price]])/$C$7,IF(Table1[[#This Row],[Type]]="OPEX",Table1[[#This Row],[Ext. Disc. Price]]/$C$7/$C$19,0))</f>
        <v>38.888888888888872</v>
      </c>
      <c r="X35" s="279"/>
    </row>
    <row r="36" spans="1:24" ht="12.75" x14ac:dyDescent="0.2">
      <c r="A36" s="279" t="s">
        <v>1</v>
      </c>
      <c r="B36" s="279" t="s">
        <v>269</v>
      </c>
      <c r="C36" s="279" t="s">
        <v>3916</v>
      </c>
      <c r="D36" s="279" t="s">
        <v>138</v>
      </c>
      <c r="E36" s="279" t="s">
        <v>138</v>
      </c>
      <c r="F36" s="399" t="s">
        <v>3916</v>
      </c>
      <c r="G36" s="281">
        <v>1204</v>
      </c>
      <c r="H36" s="281" t="s">
        <v>327</v>
      </c>
      <c r="I36" s="282">
        <v>0</v>
      </c>
      <c r="J36" s="282" t="s">
        <v>334</v>
      </c>
      <c r="K36" s="287">
        <f>Table1[[#This Row],[Unit Cost]]/0.75</f>
        <v>12.813333333333333</v>
      </c>
      <c r="L36" s="284">
        <f>Table1[[#This Row],[Unit Price]]*(1-Table1[[#This Row],[Discount]])</f>
        <v>12.813333333333333</v>
      </c>
      <c r="M36" s="284">
        <f>IF(Table1[[#This Row],[Type]]="OPEX",$C$19,1)*Table1[[#This Row],[Unit Disc. Price]]*Table1[[#This Row],[Qty]]</f>
        <v>277690.56</v>
      </c>
      <c r="N36" s="287">
        <v>9.61</v>
      </c>
      <c r="O36" s="285">
        <f>IF(Table1[[#This Row],[Type]]="OPEX",$C$19,1)*Table1[[#This Row],[Unit Cost]]*Table1[[#This Row],[Qty]]</f>
        <v>208267.91999999998</v>
      </c>
      <c r="P36" s="401">
        <f>1-(Table1[[#This Row],[Ext. Cost]]/Table1[[#This Row],[Ext. Disc. Price]])</f>
        <v>0.25</v>
      </c>
      <c r="Q36" s="279" t="s">
        <v>195</v>
      </c>
      <c r="R36" s="286">
        <f>Table1[[#This Row],[Ext. Disc. Price]]/$C$7/$C$19</f>
        <v>12.813333333333333</v>
      </c>
      <c r="S36" s="286">
        <f>Table1[[#This Row],[Ext. Cost]]/$C$7/$C$19</f>
        <v>9.61</v>
      </c>
      <c r="T36" s="286">
        <f>Table1[[#This Row],[Ext. Disc. Price]]/$C$13/$C$19</f>
        <v>2.1965714285714286</v>
      </c>
      <c r="U36" s="286">
        <f>Table1[[#This Row],[Ext. Cost]]/$C$13/$C$19</f>
        <v>1.647428571428571</v>
      </c>
      <c r="V36" s="289">
        <f>IF(AND(Table1[[#This Row],[Type]]="CAPEX",Table1[[#This Row],[Finance?]]="MRC"),PMT($C$21/12,$C$19,-Table1[[#This Row],[Ext. Disc. Price]]),0)</f>
        <v>0</v>
      </c>
      <c r="W36" s="289">
        <f>IF(AND(Table1[[#This Row],[Type]]="CAPEX",Table1[[#This Row],[Finance?]]="MRC"),PMT($C$21/12,$C$19,-Table1[[#This Row],[Ext. Disc. Price]])/$C$7,IF(Table1[[#This Row],[Type]]="OPEX",Table1[[#This Row],[Ext. Disc. Price]]/$C$7/$C$19,0))</f>
        <v>12.813333333333333</v>
      </c>
      <c r="X36" s="279"/>
    </row>
    <row r="37" spans="1:24" ht="12.75" x14ac:dyDescent="0.2">
      <c r="A37" s="279" t="s">
        <v>1</v>
      </c>
      <c r="B37" s="279" t="s">
        <v>269</v>
      </c>
      <c r="C37" s="279" t="s">
        <v>3917</v>
      </c>
      <c r="D37" s="279" t="s">
        <v>138</v>
      </c>
      <c r="E37" s="279" t="s">
        <v>138</v>
      </c>
      <c r="F37" s="399" t="s">
        <v>3917</v>
      </c>
      <c r="G37" s="281">
        <f>G33</f>
        <v>7023.3333333333294</v>
      </c>
      <c r="H37" s="281" t="s">
        <v>327</v>
      </c>
      <c r="I37" s="282">
        <v>0</v>
      </c>
      <c r="J37" s="282" t="s">
        <v>334</v>
      </c>
      <c r="K37" s="287">
        <f>Table1[[#This Row],[Unit Cost]]/0.75</f>
        <v>4.6933333333333334</v>
      </c>
      <c r="L37" s="284">
        <f>Table1[[#This Row],[Unit Price]]*(1-Table1[[#This Row],[Discount]])</f>
        <v>4.6933333333333334</v>
      </c>
      <c r="M37" s="284">
        <f>IF(Table1[[#This Row],[Type]]="OPEX",$C$19,1)*Table1[[#This Row],[Unit Disc. Price]]*Table1[[#This Row],[Qty]]</f>
        <v>593331.19999999972</v>
      </c>
      <c r="N37" s="287">
        <v>3.52</v>
      </c>
      <c r="O37" s="285">
        <f>IF(Table1[[#This Row],[Type]]="OPEX",$C$19,1)*Table1[[#This Row],[Unit Cost]]*Table1[[#This Row],[Qty]]</f>
        <v>444998.39999999973</v>
      </c>
      <c r="P37" s="401">
        <f>1-(Table1[[#This Row],[Ext. Cost]]/Table1[[#This Row],[Ext. Disc. Price]])</f>
        <v>0.25000000000000011</v>
      </c>
      <c r="Q37" s="279" t="s">
        <v>195</v>
      </c>
      <c r="R37" s="286">
        <f>Table1[[#This Row],[Ext. Disc. Price]]/$C$7/$C$19</f>
        <v>27.377777777777766</v>
      </c>
      <c r="S37" s="286">
        <f>Table1[[#This Row],[Ext. Cost]]/$C$7/$C$19</f>
        <v>20.533333333333321</v>
      </c>
      <c r="T37" s="286">
        <f>Table1[[#This Row],[Ext. Disc. Price]]/$C$13/$C$19</f>
        <v>4.6933333333333307</v>
      </c>
      <c r="U37" s="286">
        <f>Table1[[#This Row],[Ext. Cost]]/$C$13/$C$19</f>
        <v>3.5199999999999978</v>
      </c>
      <c r="V37" s="289">
        <f>IF(AND(Table1[[#This Row],[Type]]="CAPEX",Table1[[#This Row],[Finance?]]="MRC"),PMT($C$21/12,$C$19,-Table1[[#This Row],[Ext. Disc. Price]]),0)</f>
        <v>0</v>
      </c>
      <c r="W37" s="289">
        <f>IF(AND(Table1[[#This Row],[Type]]="CAPEX",Table1[[#This Row],[Finance?]]="MRC"),PMT($C$21/12,$C$19,-Table1[[#This Row],[Ext. Disc. Price]])/$C$7,IF(Table1[[#This Row],[Type]]="OPEX",Table1[[#This Row],[Ext. Disc. Price]]/$C$7/$C$19,0))</f>
        <v>27.377777777777766</v>
      </c>
      <c r="X37" s="279"/>
    </row>
    <row r="38" spans="1:24" ht="12.75" x14ac:dyDescent="0.2">
      <c r="A38" s="279" t="s">
        <v>0</v>
      </c>
      <c r="B38" s="279" t="s">
        <v>250</v>
      </c>
      <c r="C38" s="279" t="s">
        <v>3932</v>
      </c>
      <c r="D38" s="279" t="s">
        <v>3933</v>
      </c>
      <c r="E38" s="279" t="s">
        <v>3934</v>
      </c>
      <c r="F38" s="280" t="s">
        <v>3937</v>
      </c>
      <c r="G38" s="281">
        <v>25</v>
      </c>
      <c r="H38" s="281" t="s">
        <v>327</v>
      </c>
      <c r="I38" s="282">
        <v>0</v>
      </c>
      <c r="J38" s="282" t="s">
        <v>335</v>
      </c>
      <c r="K38" s="287">
        <f>Table1[[#This Row],[Unit Cost]]/0.89</f>
        <v>3426.5453932584269</v>
      </c>
      <c r="L38" s="284">
        <f>Table1[[#This Row],[Unit Price]]*(1-Table1[[#This Row],[Discount]])</f>
        <v>3426.5453932584269</v>
      </c>
      <c r="M38" s="284">
        <f>IF(Table1[[#This Row],[Type]]="OPEX",$C$19,1)*Table1[[#This Row],[Unit Disc. Price]]*Table1[[#This Row],[Qty]]</f>
        <v>85663.634831460673</v>
      </c>
      <c r="N38" s="287">
        <f>2675.11*1.14</f>
        <v>3049.6253999999999</v>
      </c>
      <c r="O38" s="285">
        <f>IF(Table1[[#This Row],[Type]]="OPEX",$C$19,1)*Table1[[#This Row],[Unit Cost]]*Table1[[#This Row],[Qty]]</f>
        <v>76240.634999999995</v>
      </c>
      <c r="P38" s="401">
        <f>1-(Table1[[#This Row],[Ext. Cost]]/Table1[[#This Row],[Ext. Disc. Price]])</f>
        <v>0.1100000000000001</v>
      </c>
      <c r="Q38" s="279" t="s">
        <v>195</v>
      </c>
      <c r="R38" s="286">
        <f>Table1[[#This Row],[Ext. Disc. Price]]/$C$7/$C$19</f>
        <v>3.952733242500031</v>
      </c>
      <c r="S38" s="286">
        <f>Table1[[#This Row],[Ext. Cost]]/$C$7/$C$19</f>
        <v>3.5179325858250277</v>
      </c>
      <c r="T38" s="286">
        <f>Table1[[#This Row],[Ext. Disc. Price]]/$C$13/$C$19</f>
        <v>0.67761141300000527</v>
      </c>
      <c r="U38" s="286">
        <f>Table1[[#This Row],[Ext. Cost]]/$C$13/$C$19</f>
        <v>0.60307415757000471</v>
      </c>
      <c r="V38" s="289">
        <f>IF(AND(Table1[[#This Row],[Type]]="CAPEX",Table1[[#This Row],[Finance?]]="MRC"),PMT($C$21/12,$C$19,-Table1[[#This Row],[Ext. Disc. Price]]),0)</f>
        <v>0</v>
      </c>
      <c r="W38" s="289">
        <f>IF(AND(Table1[[#This Row],[Type]]="CAPEX",Table1[[#This Row],[Finance?]]="MRC"),PMT($C$21/12,$C$19,-Table1[[#This Row],[Ext. Disc. Price]])/$C$7,IF(Table1[[#This Row],[Type]]="OPEX",Table1[[#This Row],[Ext. Disc. Price]]/$C$7/$C$19,0))</f>
        <v>0</v>
      </c>
      <c r="X38" s="279"/>
    </row>
    <row r="39" spans="1:24" ht="12.75" x14ac:dyDescent="0.2">
      <c r="A39" s="279" t="s">
        <v>0</v>
      </c>
      <c r="B39" s="279" t="s">
        <v>250</v>
      </c>
      <c r="C39" s="279" t="s">
        <v>3932</v>
      </c>
      <c r="D39" s="279" t="s">
        <v>3935</v>
      </c>
      <c r="E39" s="279" t="s">
        <v>3936</v>
      </c>
      <c r="F39" s="280" t="s">
        <v>3938</v>
      </c>
      <c r="G39" s="281">
        <v>25</v>
      </c>
      <c r="H39" s="281" t="s">
        <v>327</v>
      </c>
      <c r="I39" s="282">
        <v>0</v>
      </c>
      <c r="J39" s="282" t="s">
        <v>335</v>
      </c>
      <c r="K39" s="287">
        <f>Table1[[#This Row],[Unit Cost]]/0.89</f>
        <v>95.465393258426957</v>
      </c>
      <c r="L39" s="284">
        <f>Table1[[#This Row],[Unit Price]]*(1-Table1[[#This Row],[Discount]])</f>
        <v>95.465393258426957</v>
      </c>
      <c r="M39" s="284">
        <f>IF(Table1[[#This Row],[Type]]="OPEX",$C$19,1)*Table1[[#This Row],[Unit Disc. Price]]*Table1[[#This Row],[Qty]]</f>
        <v>2386.6348314606739</v>
      </c>
      <c r="N39" s="287">
        <f>74.53*1.14</f>
        <v>84.964199999999991</v>
      </c>
      <c r="O39" s="285">
        <f>IF(Table1[[#This Row],[Type]]="OPEX",$C$19,1)*Table1[[#This Row],[Unit Cost]]*Table1[[#This Row],[Qty]]</f>
        <v>2124.1049999999996</v>
      </c>
      <c r="P39" s="401">
        <f>1-(Table1[[#This Row],[Ext. Cost]]/Table1[[#This Row],[Ext. Disc. Price]])</f>
        <v>0.1100000000000001</v>
      </c>
      <c r="Q39" s="279" t="s">
        <v>195</v>
      </c>
      <c r="R39" s="286">
        <f>Table1[[#This Row],[Ext. Disc. Price]]/$C$7/$C$19</f>
        <v>0.11012526907810419</v>
      </c>
      <c r="S39" s="286">
        <f>Table1[[#This Row],[Ext. Cost]]/$C$7/$C$19</f>
        <v>9.8011489479512715E-2</v>
      </c>
      <c r="T39" s="286">
        <f>Table1[[#This Row],[Ext. Disc. Price]]/$C$13/$C$19</f>
        <v>1.8878617556246431E-2</v>
      </c>
      <c r="U39" s="286">
        <f>Table1[[#This Row],[Ext. Cost]]/$C$13/$C$19</f>
        <v>1.6801969625059324E-2</v>
      </c>
      <c r="V39" s="289">
        <f>IF(AND(Table1[[#This Row],[Type]]="CAPEX",Table1[[#This Row],[Finance?]]="MRC"),PMT($C$21/12,$C$19,-Table1[[#This Row],[Ext. Disc. Price]]),0)</f>
        <v>0</v>
      </c>
      <c r="W39" s="289">
        <f>IF(AND(Table1[[#This Row],[Type]]="CAPEX",Table1[[#This Row],[Finance?]]="MRC"),PMT($C$21/12,$C$19,-Table1[[#This Row],[Ext. Disc. Price]])/$C$7,IF(Table1[[#This Row],[Type]]="OPEX",Table1[[#This Row],[Ext. Disc. Price]]/$C$7/$C$19,0))</f>
        <v>0</v>
      </c>
      <c r="X39" s="279"/>
    </row>
    <row r="40" spans="1:24" ht="12.75" x14ac:dyDescent="0.2">
      <c r="A40" s="279" t="s">
        <v>1</v>
      </c>
      <c r="B40" s="279" t="s">
        <v>269</v>
      </c>
      <c r="C40" s="279" t="s">
        <v>3917</v>
      </c>
      <c r="D40" s="279" t="s">
        <v>138</v>
      </c>
      <c r="E40" s="279" t="s">
        <v>138</v>
      </c>
      <c r="F40" s="280" t="s">
        <v>3939</v>
      </c>
      <c r="G40" s="281">
        <v>25</v>
      </c>
      <c r="H40" s="281" t="s">
        <v>327</v>
      </c>
      <c r="I40" s="282">
        <v>0</v>
      </c>
      <c r="J40" s="282" t="s">
        <v>334</v>
      </c>
      <c r="K40" s="287">
        <v>294</v>
      </c>
      <c r="L40" s="284">
        <f>Table1[[#This Row],[Unit Price]]*(1-Table1[[#This Row],[Discount]])</f>
        <v>294</v>
      </c>
      <c r="M40" s="284">
        <f>IF(Table1[[#This Row],[Type]]="OPEX",$C$19,1)*Table1[[#This Row],[Unit Disc. Price]]*Table1[[#This Row],[Qty]]</f>
        <v>132300</v>
      </c>
      <c r="N40" s="287">
        <v>250</v>
      </c>
      <c r="O40" s="285">
        <f>IF(Table1[[#This Row],[Type]]="OPEX",$C$19,1)*Table1[[#This Row],[Unit Cost]]*Table1[[#This Row],[Qty]]</f>
        <v>112500</v>
      </c>
      <c r="P40" s="401">
        <f>1-(Table1[[#This Row],[Ext. Cost]]/Table1[[#This Row],[Ext. Disc. Price]])</f>
        <v>0.14965986394557829</v>
      </c>
      <c r="Q40" s="279" t="s">
        <v>195</v>
      </c>
      <c r="R40" s="286">
        <f>Table1[[#This Row],[Ext. Disc. Price]]/$C$7/$C$19</f>
        <v>6.1046511627906979</v>
      </c>
      <c r="S40" s="286">
        <f>Table1[[#This Row],[Ext. Cost]]/$C$7/$C$19</f>
        <v>5.191029900332226</v>
      </c>
      <c r="T40" s="286">
        <f>Table1[[#This Row],[Ext. Disc. Price]]/$C$13/$C$19</f>
        <v>1.0465116279069766</v>
      </c>
      <c r="U40" s="286">
        <f>Table1[[#This Row],[Ext. Cost]]/$C$13/$C$19</f>
        <v>0.88989084005695296</v>
      </c>
      <c r="V40" s="289">
        <f>IF(AND(Table1[[#This Row],[Type]]="CAPEX",Table1[[#This Row],[Finance?]]="MRC"),PMT($C$21/12,$C$19,-Table1[[#This Row],[Ext. Disc. Price]]),0)</f>
        <v>0</v>
      </c>
      <c r="W40" s="289">
        <f>IF(AND(Table1[[#This Row],[Type]]="CAPEX",Table1[[#This Row],[Finance?]]="MRC"),PMT($C$21/12,$C$19,-Table1[[#This Row],[Ext. Disc. Price]])/$C$7,IF(Table1[[#This Row],[Type]]="OPEX",Table1[[#This Row],[Ext. Disc. Price]]/$C$7/$C$19,0))</f>
        <v>6.1046511627906979</v>
      </c>
      <c r="X40" s="279"/>
    </row>
    <row r="44" spans="1:24" ht="84" x14ac:dyDescent="0.2">
      <c r="F44" s="434" t="s">
        <v>3919</v>
      </c>
      <c r="G44" s="434" t="s">
        <v>651</v>
      </c>
      <c r="H44" s="434" t="s">
        <v>3929</v>
      </c>
      <c r="I44" s="434" t="s">
        <v>2</v>
      </c>
      <c r="J44" s="434" t="s">
        <v>3928</v>
      </c>
      <c r="K44" s="421" t="s">
        <v>3920</v>
      </c>
      <c r="L44" s="421" t="s">
        <v>3924</v>
      </c>
      <c r="M44" s="421" t="s">
        <v>3923</v>
      </c>
      <c r="N44" s="421" t="s">
        <v>3926</v>
      </c>
      <c r="O44" s="422" t="s">
        <v>158</v>
      </c>
      <c r="P44" s="423" t="s">
        <v>3921</v>
      </c>
      <c r="Q44" s="423" t="s">
        <v>3925</v>
      </c>
      <c r="R44" s="423" t="s">
        <v>3922</v>
      </c>
      <c r="S44" s="423" t="s">
        <v>3927</v>
      </c>
      <c r="T44" s="424" t="s">
        <v>159</v>
      </c>
      <c r="U44" s="425" t="s">
        <v>3</v>
      </c>
    </row>
    <row r="45" spans="1:24" x14ac:dyDescent="0.2">
      <c r="D45" s="436" t="s">
        <v>3931</v>
      </c>
      <c r="F45" s="435" t="s">
        <v>3930</v>
      </c>
      <c r="G45" s="435">
        <v>6</v>
      </c>
      <c r="H45" s="435">
        <f>1204*35</f>
        <v>42140</v>
      </c>
      <c r="I45" s="432">
        <f>$C$5</f>
        <v>1204</v>
      </c>
      <c r="J45" s="426">
        <f>H45/G45</f>
        <v>7023.333333333333</v>
      </c>
      <c r="K45" s="427">
        <f>$K$33</f>
        <v>65</v>
      </c>
      <c r="L45" s="427">
        <f>$K$36+$K$34</f>
        <v>27.813333333333333</v>
      </c>
      <c r="M45" s="428">
        <f>$K$37</f>
        <v>4.6933333333333334</v>
      </c>
      <c r="N45" s="428">
        <f>$K$35</f>
        <v>6.666666666666667</v>
      </c>
      <c r="O45" s="437">
        <f>(J45*(K45+M45+N45)/I45)+L45</f>
        <v>473.24666666666661</v>
      </c>
      <c r="P45" s="433">
        <f>$N$33</f>
        <v>40</v>
      </c>
      <c r="Q45" s="429">
        <f>$N$34+$N$36</f>
        <v>18.61</v>
      </c>
      <c r="R45" s="433">
        <f>$N$37</f>
        <v>3.52</v>
      </c>
      <c r="S45" s="433">
        <f>$N$35</f>
        <v>5</v>
      </c>
      <c r="T45" s="430">
        <f>(J45*(P45+R45+S45)/I45)+Q45</f>
        <v>301.64333333333337</v>
      </c>
      <c r="U45" s="431">
        <f>1-(T45/O45)</f>
        <v>0.36260864665361248</v>
      </c>
    </row>
    <row r="46" spans="1:24" x14ac:dyDescent="0.2">
      <c r="F46" s="435" t="s">
        <v>3930</v>
      </c>
      <c r="G46" s="435">
        <v>10</v>
      </c>
      <c r="H46" s="435">
        <f t="shared" ref="H46:H50" si="0">1204*35</f>
        <v>42140</v>
      </c>
      <c r="I46" s="432">
        <f t="shared" ref="I46:I50" si="1">$C$5</f>
        <v>1204</v>
      </c>
      <c r="J46" s="426">
        <f t="shared" ref="J46:J50" si="2">H46/G46</f>
        <v>4214</v>
      </c>
      <c r="K46" s="427">
        <f t="shared" ref="K46:K50" si="3">$K$33</f>
        <v>65</v>
      </c>
      <c r="L46" s="427">
        <f t="shared" ref="L46:L50" si="4">$K$36+$K$34</f>
        <v>27.813333333333333</v>
      </c>
      <c r="M46" s="428">
        <f t="shared" ref="M46:M50" si="5">$K$37</f>
        <v>4.6933333333333334</v>
      </c>
      <c r="N46" s="428">
        <f t="shared" ref="N46:N50" si="6">$K$35</f>
        <v>6.666666666666667</v>
      </c>
      <c r="O46" s="437">
        <f t="shared" ref="O46:O50" si="7">(J46*(K46+M46+N46)/I46)+L46</f>
        <v>295.07333333333332</v>
      </c>
      <c r="P46" s="433">
        <f t="shared" ref="P46:P50" si="8">$N$33</f>
        <v>40</v>
      </c>
      <c r="Q46" s="429">
        <f t="shared" ref="Q46:Q50" si="9">$N$34+$N$36</f>
        <v>18.61</v>
      </c>
      <c r="R46" s="433">
        <f t="shared" ref="R46:R50" si="10">$N$37</f>
        <v>3.52</v>
      </c>
      <c r="S46" s="433">
        <f t="shared" ref="S46:S50" si="11">$N$35</f>
        <v>5</v>
      </c>
      <c r="T46" s="430">
        <f t="shared" ref="T46:T50" si="12">(J46*(P46+R46+S46)/I46)+Q46</f>
        <v>188.43</v>
      </c>
      <c r="U46" s="431">
        <f t="shared" ref="U46:U50" si="13">1-(T46/O46)</f>
        <v>0.36141298208354977</v>
      </c>
    </row>
    <row r="47" spans="1:24" x14ac:dyDescent="0.2">
      <c r="F47" s="435" t="s">
        <v>3930</v>
      </c>
      <c r="G47" s="435">
        <v>15</v>
      </c>
      <c r="H47" s="435">
        <f t="shared" si="0"/>
        <v>42140</v>
      </c>
      <c r="I47" s="432">
        <f t="shared" si="1"/>
        <v>1204</v>
      </c>
      <c r="J47" s="426">
        <f t="shared" si="2"/>
        <v>2809.3333333333335</v>
      </c>
      <c r="K47" s="427">
        <f t="shared" si="3"/>
        <v>65</v>
      </c>
      <c r="L47" s="427">
        <f t="shared" si="4"/>
        <v>27.813333333333333</v>
      </c>
      <c r="M47" s="428">
        <f t="shared" si="5"/>
        <v>4.6933333333333334</v>
      </c>
      <c r="N47" s="428">
        <f t="shared" si="6"/>
        <v>6.666666666666667</v>
      </c>
      <c r="O47" s="437">
        <f t="shared" si="7"/>
        <v>205.98666666666665</v>
      </c>
      <c r="P47" s="433">
        <f t="shared" si="8"/>
        <v>40</v>
      </c>
      <c r="Q47" s="429">
        <f t="shared" si="9"/>
        <v>18.61</v>
      </c>
      <c r="R47" s="433">
        <f t="shared" si="10"/>
        <v>3.52</v>
      </c>
      <c r="S47" s="433">
        <f t="shared" si="11"/>
        <v>5</v>
      </c>
      <c r="T47" s="430">
        <f t="shared" si="12"/>
        <v>131.82333333333335</v>
      </c>
      <c r="U47" s="431">
        <f t="shared" si="13"/>
        <v>0.36003948475629477</v>
      </c>
    </row>
    <row r="48" spans="1:24" x14ac:dyDescent="0.2">
      <c r="F48" s="435" t="s">
        <v>3930</v>
      </c>
      <c r="G48" s="435">
        <v>20</v>
      </c>
      <c r="H48" s="435">
        <f t="shared" si="0"/>
        <v>42140</v>
      </c>
      <c r="I48" s="432">
        <f t="shared" si="1"/>
        <v>1204</v>
      </c>
      <c r="J48" s="426">
        <f t="shared" si="2"/>
        <v>2107</v>
      </c>
      <c r="K48" s="427">
        <f t="shared" si="3"/>
        <v>65</v>
      </c>
      <c r="L48" s="427">
        <f t="shared" si="4"/>
        <v>27.813333333333333</v>
      </c>
      <c r="M48" s="428">
        <f t="shared" si="5"/>
        <v>4.6933333333333334</v>
      </c>
      <c r="N48" s="428">
        <f t="shared" si="6"/>
        <v>6.666666666666667</v>
      </c>
      <c r="O48" s="437">
        <f t="shared" si="7"/>
        <v>161.44333333333333</v>
      </c>
      <c r="P48" s="433">
        <f t="shared" si="8"/>
        <v>40</v>
      </c>
      <c r="Q48" s="429">
        <f t="shared" si="9"/>
        <v>18.61</v>
      </c>
      <c r="R48" s="433">
        <f t="shared" si="10"/>
        <v>3.52</v>
      </c>
      <c r="S48" s="433">
        <f t="shared" si="11"/>
        <v>5</v>
      </c>
      <c r="T48" s="430">
        <f t="shared" si="12"/>
        <v>103.52</v>
      </c>
      <c r="U48" s="431">
        <f t="shared" si="13"/>
        <v>0.35878429996077055</v>
      </c>
    </row>
    <row r="49" spans="6:21" x14ac:dyDescent="0.2">
      <c r="F49" s="435" t="s">
        <v>3930</v>
      </c>
      <c r="G49" s="435">
        <v>25</v>
      </c>
      <c r="H49" s="435">
        <f t="shared" si="0"/>
        <v>42140</v>
      </c>
      <c r="I49" s="432">
        <f t="shared" si="1"/>
        <v>1204</v>
      </c>
      <c r="J49" s="426">
        <f t="shared" si="2"/>
        <v>1685.6</v>
      </c>
      <c r="K49" s="427">
        <f t="shared" si="3"/>
        <v>65</v>
      </c>
      <c r="L49" s="427">
        <f t="shared" si="4"/>
        <v>27.813333333333333</v>
      </c>
      <c r="M49" s="428">
        <f t="shared" si="5"/>
        <v>4.6933333333333334</v>
      </c>
      <c r="N49" s="428">
        <f t="shared" si="6"/>
        <v>6.666666666666667</v>
      </c>
      <c r="O49" s="437">
        <f t="shared" si="7"/>
        <v>134.71733333333333</v>
      </c>
      <c r="P49" s="433">
        <f t="shared" si="8"/>
        <v>40</v>
      </c>
      <c r="Q49" s="429">
        <f t="shared" si="9"/>
        <v>18.61</v>
      </c>
      <c r="R49" s="433">
        <f t="shared" si="10"/>
        <v>3.52</v>
      </c>
      <c r="S49" s="433">
        <f t="shared" si="11"/>
        <v>5</v>
      </c>
      <c r="T49" s="430">
        <f t="shared" si="12"/>
        <v>86.538000000000011</v>
      </c>
      <c r="U49" s="431">
        <f t="shared" si="13"/>
        <v>0.3576327718284209</v>
      </c>
    </row>
    <row r="50" spans="6:21" x14ac:dyDescent="0.2">
      <c r="F50" s="435" t="s">
        <v>3930</v>
      </c>
      <c r="G50" s="435">
        <v>30</v>
      </c>
      <c r="H50" s="435">
        <f t="shared" si="0"/>
        <v>42140</v>
      </c>
      <c r="I50" s="432">
        <f t="shared" si="1"/>
        <v>1204</v>
      </c>
      <c r="J50" s="426">
        <f t="shared" si="2"/>
        <v>1404.6666666666667</v>
      </c>
      <c r="K50" s="427">
        <f t="shared" si="3"/>
        <v>65</v>
      </c>
      <c r="L50" s="427">
        <f t="shared" si="4"/>
        <v>27.813333333333333</v>
      </c>
      <c r="M50" s="428">
        <f t="shared" si="5"/>
        <v>4.6933333333333334</v>
      </c>
      <c r="N50" s="428">
        <f t="shared" si="6"/>
        <v>6.666666666666667</v>
      </c>
      <c r="O50" s="437">
        <f t="shared" si="7"/>
        <v>116.89999999999999</v>
      </c>
      <c r="P50" s="433">
        <f t="shared" si="8"/>
        <v>40</v>
      </c>
      <c r="Q50" s="429">
        <f t="shared" si="9"/>
        <v>18.61</v>
      </c>
      <c r="R50" s="433">
        <f t="shared" si="10"/>
        <v>3.52</v>
      </c>
      <c r="S50" s="433">
        <f t="shared" si="11"/>
        <v>5</v>
      </c>
      <c r="T50" s="430">
        <f t="shared" si="12"/>
        <v>75.216666666666669</v>
      </c>
      <c r="U50" s="431">
        <f t="shared" si="13"/>
        <v>0.35657256914741942</v>
      </c>
    </row>
  </sheetData>
  <dataConsolidate/>
  <mergeCells count="18">
    <mergeCell ref="A1:B1"/>
    <mergeCell ref="A5:B5"/>
    <mergeCell ref="A2:B2"/>
    <mergeCell ref="A6:B6"/>
    <mergeCell ref="A7:B7"/>
    <mergeCell ref="A11:B11"/>
    <mergeCell ref="A8:B8"/>
    <mergeCell ref="A9:B9"/>
    <mergeCell ref="A10:B10"/>
    <mergeCell ref="A22:B22"/>
    <mergeCell ref="A20:B20"/>
    <mergeCell ref="A21:B21"/>
    <mergeCell ref="A13:B13"/>
    <mergeCell ref="A14:B14"/>
    <mergeCell ref="A16:B16"/>
    <mergeCell ref="A18:B18"/>
    <mergeCell ref="A19:B19"/>
    <mergeCell ref="A17:B17"/>
  </mergeCells>
  <dataValidations xWindow="800" yWindow="1459" count="5">
    <dataValidation allowBlank="1" showInputMessage="1" showErrorMessage="1" promptTitle="Subcategory" prompt="Use this filed to group line items into a same Category._x000a_E.g.: VSAT, Managed Capacity, Field Services, etc." sqref="E34 F40 F35:F37 C25:C40" xr:uid="{E0A760F4-8416-47B9-84D0-A235C5E9CC9E}"/>
    <dataValidation type="list" showInputMessage="1" showErrorMessage="1" sqref="A25:A40" xr:uid="{291E6558-72E9-41E3-A9BC-D7E36E34A804}">
      <formula1>$BB$6:$BB$7</formula1>
    </dataValidation>
    <dataValidation type="list" showInputMessage="1" showErrorMessage="1" sqref="B25:B40" xr:uid="{381D9315-A54B-4B04-875A-243EE78A63E8}">
      <formula1>$BC$6:$BC$9</formula1>
    </dataValidation>
    <dataValidation type="list" allowBlank="1" showInputMessage="1" showErrorMessage="1" sqref="H25:H40" xr:uid="{FAE6E47D-4092-44BD-B445-4D0D379EE375}">
      <formula1>$BA$6:$BA$13</formula1>
    </dataValidation>
    <dataValidation type="list" allowBlank="1" showInputMessage="1" showErrorMessage="1" promptTitle="Finance" prompt="Only for CAPEX items. Select Yes if this CAPEX is to be financed." sqref="J25:J40" xr:uid="{C8B06698-72F8-4920-A57C-3880C82BCD5B}">
      <formula1>$AZ$6:$AZ$7</formula1>
    </dataValidation>
  </dataValidation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7E563-576D-41EB-87DF-A39FE4918784}">
  <sheetPr>
    <tabColor rgb="FF92D050"/>
  </sheetPr>
  <dimension ref="B1:J94"/>
  <sheetViews>
    <sheetView topLeftCell="A4" workbookViewId="0">
      <selection activeCell="B14" sqref="B14"/>
    </sheetView>
  </sheetViews>
  <sheetFormatPr baseColWidth="10" defaultColWidth="8.85546875" defaultRowHeight="15" x14ac:dyDescent="0.25"/>
  <cols>
    <col min="2" max="2" width="24.85546875" bestFit="1" customWidth="1"/>
    <col min="3" max="3" width="15.85546875" style="116" bestFit="1" customWidth="1"/>
    <col min="4" max="4" width="14.85546875" style="116" bestFit="1" customWidth="1"/>
    <col min="5" max="5" width="11.5703125" style="116" bestFit="1" customWidth="1"/>
    <col min="6" max="6" width="18.7109375" bestFit="1" customWidth="1"/>
    <col min="7" max="7" width="18.140625" bestFit="1" customWidth="1"/>
    <col min="8" max="8" width="20.28515625" bestFit="1" customWidth="1"/>
    <col min="9" max="9" width="19.7109375" bestFit="1" customWidth="1"/>
    <col min="10" max="10" width="7.28515625" bestFit="1" customWidth="1"/>
    <col min="11" max="11" width="12" bestFit="1" customWidth="1"/>
    <col min="12" max="12" width="15.28515625" bestFit="1" customWidth="1"/>
    <col min="13" max="13" width="11.5703125" bestFit="1" customWidth="1"/>
    <col min="14" max="14" width="10" bestFit="1" customWidth="1"/>
    <col min="15" max="15" width="9" bestFit="1" customWidth="1"/>
    <col min="16" max="18" width="10" bestFit="1" customWidth="1"/>
    <col min="19" max="19" width="12" bestFit="1" customWidth="1"/>
    <col min="20" max="20" width="10" bestFit="1" customWidth="1"/>
    <col min="21" max="21" width="20.85546875" bestFit="1" customWidth="1"/>
    <col min="22" max="22" width="20.28515625" bestFit="1" customWidth="1"/>
  </cols>
  <sheetData>
    <row r="1" spans="2:10" x14ac:dyDescent="0.25">
      <c r="C1"/>
    </row>
    <row r="2" spans="2:10" x14ac:dyDescent="0.25">
      <c r="B2" s="267" t="s">
        <v>93</v>
      </c>
      <c r="C2" s="268">
        <f>'QTO DB'!C7</f>
        <v>1204</v>
      </c>
      <c r="D2"/>
      <c r="E2"/>
    </row>
    <row r="3" spans="2:10" x14ac:dyDescent="0.25">
      <c r="B3" s="269" t="s">
        <v>296</v>
      </c>
      <c r="C3" s="270">
        <f>'QTO DB'!C13</f>
        <v>7023.3333333333339</v>
      </c>
      <c r="D3"/>
      <c r="E3"/>
    </row>
    <row r="4" spans="2:10" x14ac:dyDescent="0.25">
      <c r="B4" s="267" t="s">
        <v>297</v>
      </c>
      <c r="C4" s="268">
        <f>'QTO DB'!C19</f>
        <v>18</v>
      </c>
      <c r="D4"/>
      <c r="E4"/>
    </row>
    <row r="5" spans="2:10" x14ac:dyDescent="0.25">
      <c r="C5"/>
      <c r="D5"/>
      <c r="E5"/>
    </row>
    <row r="6" spans="2:10" x14ac:dyDescent="0.25">
      <c r="C6"/>
      <c r="D6"/>
      <c r="E6"/>
    </row>
    <row r="7" spans="2:10" x14ac:dyDescent="0.25">
      <c r="B7" s="455" t="s">
        <v>305</v>
      </c>
      <c r="C7" s="455"/>
      <c r="D7" s="455"/>
      <c r="E7" s="455"/>
      <c r="F7" s="455"/>
      <c r="G7" s="455"/>
      <c r="H7" s="455"/>
      <c r="I7" s="455"/>
      <c r="J7" s="455"/>
    </row>
    <row r="8" spans="2:10" ht="9.75" customHeight="1" x14ac:dyDescent="0.25">
      <c r="C8"/>
      <c r="D8"/>
      <c r="E8"/>
    </row>
    <row r="9" spans="2:10" ht="9.75" customHeight="1" x14ac:dyDescent="0.25">
      <c r="C9"/>
      <c r="D9"/>
      <c r="E9"/>
    </row>
    <row r="10" spans="2:10" ht="9.75" customHeight="1" x14ac:dyDescent="0.25">
      <c r="C10"/>
      <c r="D10"/>
      <c r="E10"/>
    </row>
    <row r="11" spans="2:10" ht="9.75" customHeight="1" x14ac:dyDescent="0.25">
      <c r="C11"/>
      <c r="D11"/>
      <c r="E11"/>
    </row>
    <row r="12" spans="2:10" x14ac:dyDescent="0.25">
      <c r="C12" s="116" t="s">
        <v>301</v>
      </c>
      <c r="D12" s="116" t="s">
        <v>302</v>
      </c>
      <c r="E12" s="116" t="s">
        <v>303</v>
      </c>
      <c r="F12" t="s">
        <v>309</v>
      </c>
      <c r="G12" s="116" t="s">
        <v>304</v>
      </c>
      <c r="H12" t="s">
        <v>311</v>
      </c>
      <c r="I12" t="s">
        <v>307</v>
      </c>
      <c r="J12" t="s">
        <v>3</v>
      </c>
    </row>
    <row r="13" spans="2:10" x14ac:dyDescent="0.25">
      <c r="B13" s="115" t="s">
        <v>0</v>
      </c>
      <c r="C13" s="265">
        <v>488.33350000000007</v>
      </c>
      <c r="D13" s="265">
        <v>341.83345000000008</v>
      </c>
      <c r="E13" s="261">
        <v>4.9691972120147129E-2</v>
      </c>
      <c r="F13" s="266">
        <v>22.53292266519011</v>
      </c>
      <c r="G13" s="266">
        <v>15.773045865633076</v>
      </c>
      <c r="H13" s="266">
        <v>3.8627867426040186</v>
      </c>
      <c r="I13" s="266">
        <v>2.7039507198228128</v>
      </c>
      <c r="J13" s="406">
        <v>0.29999999999999993</v>
      </c>
    </row>
    <row r="14" spans="2:10" x14ac:dyDescent="0.25">
      <c r="B14" s="262" t="s">
        <v>250</v>
      </c>
      <c r="C14" s="265">
        <v>488.33350000000007</v>
      </c>
      <c r="D14" s="265">
        <v>341.83345000000008</v>
      </c>
      <c r="E14" s="261">
        <v>4.9691972120147129E-2</v>
      </c>
      <c r="F14" s="266">
        <v>22.53292266519011</v>
      </c>
      <c r="G14" s="266">
        <v>15.773045865633076</v>
      </c>
      <c r="H14" s="266">
        <v>3.8627867426040186</v>
      </c>
      <c r="I14" s="266">
        <v>2.7039507198228128</v>
      </c>
      <c r="J14" s="406">
        <v>0.29999999999999993</v>
      </c>
    </row>
    <row r="15" spans="2:10" x14ac:dyDescent="0.25">
      <c r="B15" s="263" t="s">
        <v>203</v>
      </c>
      <c r="C15" s="265">
        <v>473.77400000000006</v>
      </c>
      <c r="D15" s="265">
        <v>331.64180000000005</v>
      </c>
      <c r="E15" s="261">
        <v>4.8210422588764811E-2</v>
      </c>
      <c r="F15" s="266">
        <v>21.861111111111114</v>
      </c>
      <c r="G15" s="266">
        <v>15.302777777777779</v>
      </c>
      <c r="H15" s="266">
        <v>3.7476190476190476</v>
      </c>
      <c r="I15" s="266">
        <v>2.6233333333333331</v>
      </c>
      <c r="J15" s="406">
        <v>0.29999999999999993</v>
      </c>
    </row>
    <row r="16" spans="2:10" x14ac:dyDescent="0.25">
      <c r="B16" s="263" t="s">
        <v>2295</v>
      </c>
      <c r="C16" s="265">
        <v>14.559500000000002</v>
      </c>
      <c r="D16" s="265">
        <v>10.191649999999999</v>
      </c>
      <c r="E16" s="261">
        <v>1.4815495313823071E-3</v>
      </c>
      <c r="F16" s="266">
        <v>0.67181155407899595</v>
      </c>
      <c r="G16" s="266">
        <v>0.47026808785529722</v>
      </c>
      <c r="H16" s="266">
        <v>0.11516769498497074</v>
      </c>
      <c r="I16" s="266">
        <v>8.0617386489479512E-2</v>
      </c>
      <c r="J16" s="406">
        <v>0.30000000000000016</v>
      </c>
    </row>
    <row r="17" spans="2:10" x14ac:dyDescent="0.25">
      <c r="B17" s="115" t="s">
        <v>1</v>
      </c>
      <c r="C17" s="265">
        <v>10191.185759999995</v>
      </c>
      <c r="D17" s="265">
        <v>6537.2143199999964</v>
      </c>
      <c r="E17" s="261">
        <v>0.95030802787985291</v>
      </c>
      <c r="F17" s="266">
        <v>470.24666666666644</v>
      </c>
      <c r="G17" s="266">
        <v>301.64333333333315</v>
      </c>
      <c r="H17" s="266">
        <v>80.613714285714238</v>
      </c>
      <c r="I17" s="266">
        <v>51.710285714285682</v>
      </c>
      <c r="J17" s="406">
        <v>0.35854232530445007</v>
      </c>
    </row>
    <row r="18" spans="2:10" x14ac:dyDescent="0.25">
      <c r="B18" s="262" t="s">
        <v>293</v>
      </c>
      <c r="C18" s="265">
        <v>842.7999999999995</v>
      </c>
      <c r="D18" s="265">
        <v>632.09999999999968</v>
      </c>
      <c r="E18" s="261">
        <v>9.1887717767658417E-2</v>
      </c>
      <c r="F18" s="266">
        <v>38.888888888888872</v>
      </c>
      <c r="G18" s="266">
        <v>29.166666666666647</v>
      </c>
      <c r="H18" s="266">
        <v>6.6666666666666625</v>
      </c>
      <c r="I18" s="266">
        <v>4.9999999999999964</v>
      </c>
      <c r="J18" s="406">
        <v>0.25</v>
      </c>
    </row>
    <row r="19" spans="2:10" x14ac:dyDescent="0.25">
      <c r="B19" s="263" t="s">
        <v>3915</v>
      </c>
      <c r="C19" s="265">
        <v>842.7999999999995</v>
      </c>
      <c r="D19" s="265">
        <v>632.09999999999968</v>
      </c>
      <c r="E19" s="261">
        <v>9.1887717767658417E-2</v>
      </c>
      <c r="F19" s="266">
        <v>38.888888888888872</v>
      </c>
      <c r="G19" s="266">
        <v>29.166666666666647</v>
      </c>
      <c r="H19" s="266">
        <v>6.6666666666666625</v>
      </c>
      <c r="I19" s="266">
        <v>4.9999999999999964</v>
      </c>
      <c r="J19" s="406">
        <v>0.25</v>
      </c>
    </row>
    <row r="20" spans="2:10" x14ac:dyDescent="0.25">
      <c r="B20" s="262" t="s">
        <v>269</v>
      </c>
      <c r="C20" s="265">
        <v>9348.3857599999956</v>
      </c>
      <c r="D20" s="265">
        <v>5905.114319999997</v>
      </c>
      <c r="E20" s="261">
        <v>0.85842031011219444</v>
      </c>
      <c r="F20" s="266">
        <v>431.35777777777753</v>
      </c>
      <c r="G20" s="266">
        <v>272.47666666666646</v>
      </c>
      <c r="H20" s="266">
        <v>73.947047619047581</v>
      </c>
      <c r="I20" s="266">
        <v>46.710285714285682</v>
      </c>
      <c r="J20" s="406">
        <v>0.36832791547104504</v>
      </c>
    </row>
    <row r="21" spans="2:10" x14ac:dyDescent="0.25">
      <c r="B21" s="263" t="s">
        <v>3911</v>
      </c>
      <c r="C21" s="265">
        <v>8217.2999999999956</v>
      </c>
      <c r="D21" s="265">
        <v>5056.7999999999975</v>
      </c>
      <c r="E21" s="261">
        <v>0.73510174214126733</v>
      </c>
      <c r="F21" s="266">
        <v>379.16666666666646</v>
      </c>
      <c r="G21" s="266">
        <v>233.33333333333317</v>
      </c>
      <c r="H21" s="266">
        <v>64.999999999999957</v>
      </c>
      <c r="I21" s="266">
        <v>39.999999999999972</v>
      </c>
      <c r="J21" s="406">
        <v>0.38461538461538458</v>
      </c>
    </row>
    <row r="22" spans="2:10" x14ac:dyDescent="0.25">
      <c r="B22" s="263" t="s">
        <v>658</v>
      </c>
      <c r="C22" s="265">
        <v>260.06400000000002</v>
      </c>
      <c r="D22" s="265">
        <v>195.048</v>
      </c>
      <c r="E22" s="261">
        <v>2.8353924339734611E-2</v>
      </c>
      <c r="F22" s="266">
        <v>12</v>
      </c>
      <c r="G22" s="266">
        <v>9</v>
      </c>
      <c r="H22" s="266">
        <v>2.0571428571428569</v>
      </c>
      <c r="I22" s="266">
        <v>1.5428571428571427</v>
      </c>
      <c r="J22" s="406">
        <v>0.25</v>
      </c>
    </row>
    <row r="23" spans="2:10" x14ac:dyDescent="0.25">
      <c r="B23" s="263" t="s">
        <v>3916</v>
      </c>
      <c r="C23" s="265">
        <v>277.69056</v>
      </c>
      <c r="D23" s="265">
        <v>208.26791999999998</v>
      </c>
      <c r="E23" s="261">
        <v>3.0275690322761065E-2</v>
      </c>
      <c r="F23" s="266">
        <v>12.813333333333333</v>
      </c>
      <c r="G23" s="266">
        <v>9.61</v>
      </c>
      <c r="H23" s="266">
        <v>2.1965714285714286</v>
      </c>
      <c r="I23" s="266">
        <v>1.647428571428571</v>
      </c>
      <c r="J23" s="406">
        <v>0.25</v>
      </c>
    </row>
    <row r="24" spans="2:10" x14ac:dyDescent="0.25">
      <c r="B24" s="263" t="s">
        <v>3917</v>
      </c>
      <c r="C24" s="265">
        <v>593.33119999999974</v>
      </c>
      <c r="D24" s="265">
        <v>444.99839999999972</v>
      </c>
      <c r="E24" s="261">
        <v>6.468895330843151E-2</v>
      </c>
      <c r="F24" s="266">
        <v>27.377777777777766</v>
      </c>
      <c r="G24" s="266">
        <v>20.533333333333321</v>
      </c>
      <c r="H24" s="266">
        <v>4.6933333333333307</v>
      </c>
      <c r="I24" s="266">
        <v>3.5199999999999978</v>
      </c>
      <c r="J24" s="406">
        <v>0.25000000000000011</v>
      </c>
    </row>
    <row r="25" spans="2:10" x14ac:dyDescent="0.25">
      <c r="B25" s="115" t="s">
        <v>656</v>
      </c>
      <c r="C25" s="265">
        <v>10679.519259999994</v>
      </c>
      <c r="D25" s="265">
        <v>6879.0477699999965</v>
      </c>
      <c r="E25" s="261">
        <v>1</v>
      </c>
      <c r="F25" s="266">
        <v>492.77958933185653</v>
      </c>
      <c r="G25" s="266">
        <v>317.41637919896618</v>
      </c>
      <c r="H25" s="266">
        <v>84.476501028318253</v>
      </c>
      <c r="I25" s="266">
        <v>54.414236434108489</v>
      </c>
      <c r="J25" s="406">
        <v>0.35586540905774811</v>
      </c>
    </row>
    <row r="26" spans="2:10" x14ac:dyDescent="0.25">
      <c r="C26"/>
      <c r="D26"/>
      <c r="E26"/>
    </row>
    <row r="27" spans="2:10" x14ac:dyDescent="0.25">
      <c r="C27"/>
      <c r="D27"/>
      <c r="E27"/>
    </row>
    <row r="28" spans="2:10" x14ac:dyDescent="0.25">
      <c r="C28"/>
      <c r="D28"/>
      <c r="E28"/>
    </row>
    <row r="29" spans="2:10" x14ac:dyDescent="0.25">
      <c r="C29"/>
      <c r="D29"/>
      <c r="E29"/>
    </row>
    <row r="30" spans="2:10" x14ac:dyDescent="0.25">
      <c r="C30"/>
      <c r="D30"/>
      <c r="E30"/>
    </row>
    <row r="31" spans="2:10" x14ac:dyDescent="0.25">
      <c r="C31"/>
      <c r="D31"/>
      <c r="E31"/>
    </row>
    <row r="32" spans="2:10" x14ac:dyDescent="0.25">
      <c r="C32"/>
      <c r="D32"/>
      <c r="E32"/>
    </row>
    <row r="33" customFormat="1" x14ac:dyDescent="0.25"/>
    <row r="34" customFormat="1" x14ac:dyDescent="0.25"/>
    <row r="35" customFormat="1" x14ac:dyDescent="0.25"/>
    <row r="36" customFormat="1" x14ac:dyDescent="0.25"/>
    <row r="37" customFormat="1" x14ac:dyDescent="0.25"/>
    <row r="38" customFormat="1" x14ac:dyDescent="0.25"/>
    <row r="39" customFormat="1" x14ac:dyDescent="0.25"/>
    <row r="40" customFormat="1" x14ac:dyDescent="0.25"/>
    <row r="41" customFormat="1" x14ac:dyDescent="0.25"/>
    <row r="42" customFormat="1" x14ac:dyDescent="0.25"/>
    <row r="43" customFormat="1" x14ac:dyDescent="0.25"/>
    <row r="44" customFormat="1" x14ac:dyDescent="0.25"/>
    <row r="45" customFormat="1" x14ac:dyDescent="0.25"/>
    <row r="46" customFormat="1" x14ac:dyDescent="0.25"/>
    <row r="47" customFormat="1" x14ac:dyDescent="0.25"/>
    <row r="48" customFormat="1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</sheetData>
  <mergeCells count="1">
    <mergeCell ref="B7:J7"/>
  </mergeCells>
  <pageMargins left="0.7" right="0.7" top="0.75" bottom="0.75" header="0.3" footer="0.3"/>
  <pageSetup orientation="portrait" horizontalDpi="1200" verticalDpi="12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1FFB6-3D02-4EBA-8D63-B42B9C5AED1C}">
  <sheetPr>
    <tabColor rgb="FF92D050"/>
  </sheetPr>
  <dimension ref="A1:H62"/>
  <sheetViews>
    <sheetView view="pageLayout" topLeftCell="A14" zoomScale="80" zoomScaleNormal="100" zoomScalePageLayoutView="80" workbookViewId="0">
      <selection activeCell="C15" sqref="C15"/>
    </sheetView>
  </sheetViews>
  <sheetFormatPr baseColWidth="10" defaultColWidth="9.140625" defaultRowHeight="12.75" x14ac:dyDescent="0.2"/>
  <cols>
    <col min="1" max="1" width="54" style="305" bestFit="1" customWidth="1"/>
    <col min="2" max="2" width="9.5703125" style="306" bestFit="1" customWidth="1"/>
    <col min="3" max="3" width="13.42578125" style="312" bestFit="1" customWidth="1"/>
    <col min="4" max="4" width="8.85546875" style="293" bestFit="1" customWidth="1"/>
    <col min="5" max="5" width="14.140625" style="293" bestFit="1" customWidth="1"/>
    <col min="6" max="6" width="15.7109375" style="170" bestFit="1" customWidth="1"/>
    <col min="7" max="7" width="13" style="293" bestFit="1" customWidth="1"/>
    <col min="8" max="8" width="16.140625" style="293" bestFit="1" customWidth="1"/>
    <col min="9" max="10" width="36.5703125" style="293" bestFit="1" customWidth="1"/>
    <col min="11" max="35" width="22.140625" style="293" bestFit="1" customWidth="1"/>
    <col min="36" max="36" width="26.28515625" style="293" bestFit="1" customWidth="1"/>
    <col min="37" max="37" width="25.7109375" style="293" bestFit="1" customWidth="1"/>
    <col min="38" max="38" width="27.140625" style="293" bestFit="1" customWidth="1"/>
    <col min="39" max="16384" width="9.140625" style="293"/>
  </cols>
  <sheetData>
    <row r="1" spans="1:7" ht="15" x14ac:dyDescent="0.25">
      <c r="A1" s="294" t="s">
        <v>336</v>
      </c>
      <c r="B1" s="294"/>
      <c r="C1" s="294"/>
      <c r="D1" s="294"/>
      <c r="E1" s="294"/>
      <c r="F1" s="294"/>
      <c r="G1" s="294"/>
    </row>
    <row r="2" spans="1:7" ht="15" x14ac:dyDescent="0.25">
      <c r="A2" s="300"/>
      <c r="B2" s="301"/>
      <c r="C2" s="300"/>
      <c r="E2" s="291" t="s">
        <v>337</v>
      </c>
      <c r="F2" t="s">
        <v>339</v>
      </c>
      <c r="G2"/>
    </row>
    <row r="3" spans="1:7" ht="15" x14ac:dyDescent="0.25">
      <c r="A3" s="300"/>
      <c r="B3" s="301"/>
      <c r="C3" s="300"/>
      <c r="E3" s="291" t="s">
        <v>338</v>
      </c>
      <c r="F3" s="295">
        <f ca="1">TODAY()</f>
        <v>45839</v>
      </c>
      <c r="G3" s="295"/>
    </row>
    <row r="4" spans="1:7" ht="15" x14ac:dyDescent="0.25">
      <c r="A4" s="300"/>
      <c r="B4" s="301"/>
      <c r="C4" s="300"/>
      <c r="D4" s="49"/>
      <c r="E4" s="49"/>
      <c r="F4" s="49"/>
    </row>
    <row r="5" spans="1:7" ht="15" x14ac:dyDescent="0.25">
      <c r="A5" s="300"/>
      <c r="B5" s="301"/>
      <c r="C5" s="300"/>
      <c r="D5"/>
      <c r="E5" s="331" t="s">
        <v>340</v>
      </c>
      <c r="F5" s="331"/>
    </row>
    <row r="6" spans="1:7" ht="15" x14ac:dyDescent="0.25">
      <c r="A6" s="300"/>
      <c r="B6" s="301"/>
      <c r="C6" s="300"/>
      <c r="D6"/>
      <c r="E6" s="292"/>
      <c r="F6" s="292"/>
    </row>
    <row r="7" spans="1:7" ht="7.5" customHeight="1" x14ac:dyDescent="0.25">
      <c r="A7" s="302"/>
      <c r="B7" s="303"/>
      <c r="C7" s="302"/>
      <c r="D7" s="290"/>
      <c r="E7" s="290"/>
      <c r="F7" s="290"/>
      <c r="G7" s="296"/>
    </row>
    <row r="8" spans="1:7" ht="15" x14ac:dyDescent="0.25">
      <c r="A8" s="304" t="s">
        <v>341</v>
      </c>
      <c r="B8" s="332" t="str">
        <f>'QTO DB'!$C$2</f>
        <v>MINEDU</v>
      </c>
      <c r="C8" s="301"/>
      <c r="D8" s="297" t="s">
        <v>343</v>
      </c>
      <c r="E8" s="264" t="str">
        <f>'QTO DB'!$C$4</f>
        <v>JUAN ASTO</v>
      </c>
      <c r="F8"/>
    </row>
    <row r="9" spans="1:7" ht="7.5" customHeight="1" x14ac:dyDescent="0.25">
      <c r="A9" s="302"/>
      <c r="B9" s="303"/>
      <c r="C9" s="302"/>
      <c r="D9" s="290"/>
      <c r="E9" s="290"/>
      <c r="F9" s="290"/>
      <c r="G9" s="296"/>
    </row>
    <row r="10" spans="1:7" ht="13.5" thickBot="1" x14ac:dyDescent="0.25">
      <c r="B10" s="311"/>
    </row>
    <row r="11" spans="1:7" ht="15.75" thickBot="1" x14ac:dyDescent="0.3">
      <c r="A11" s="323" t="s">
        <v>351</v>
      </c>
      <c r="B11" s="324"/>
      <c r="C11" s="324"/>
      <c r="D11" s="324"/>
      <c r="E11" s="324"/>
      <c r="F11" s="324"/>
      <c r="G11" s="325"/>
    </row>
    <row r="12" spans="1:7" ht="13.5" hidden="1" thickBot="1" x14ac:dyDescent="0.25">
      <c r="B12" s="311"/>
      <c r="C12" s="333" t="s">
        <v>330</v>
      </c>
      <c r="D12" s="334" t="s">
        <v>334</v>
      </c>
    </row>
    <row r="13" spans="1:7" ht="6" customHeight="1" thickBot="1" x14ac:dyDescent="0.25">
      <c r="B13" s="311"/>
    </row>
    <row r="14" spans="1:7" ht="26.25" thickBot="1" x14ac:dyDescent="0.25">
      <c r="A14" s="307" t="s">
        <v>362</v>
      </c>
      <c r="B14" s="329" t="s">
        <v>2</v>
      </c>
      <c r="C14" s="335" t="s">
        <v>350</v>
      </c>
    </row>
    <row r="15" spans="1:7" ht="26.25" thickBot="1" x14ac:dyDescent="0.25">
      <c r="A15" s="308" t="s">
        <v>363</v>
      </c>
      <c r="B15" s="330">
        <f>'QTO DB'!C7</f>
        <v>1204</v>
      </c>
      <c r="C15" s="336">
        <v>479.35131782945712</v>
      </c>
    </row>
    <row r="16" spans="1:7" ht="13.5" thickBot="1" x14ac:dyDescent="0.25">
      <c r="A16" s="309"/>
      <c r="B16" s="311"/>
      <c r="C16" s="305"/>
    </row>
    <row r="17" spans="1:8" ht="15.75" thickBot="1" x14ac:dyDescent="0.3">
      <c r="A17" s="326" t="s">
        <v>352</v>
      </c>
      <c r="B17" s="327"/>
      <c r="C17" s="327"/>
      <c r="D17" s="327"/>
      <c r="E17" s="327"/>
      <c r="F17" s="327"/>
      <c r="G17" s="328"/>
    </row>
    <row r="18" spans="1:8" hidden="1" x14ac:dyDescent="0.2">
      <c r="A18" s="337" t="s">
        <v>330</v>
      </c>
      <c r="B18" s="439" t="s">
        <v>335</v>
      </c>
      <c r="C18" s="305"/>
      <c r="G18" s="298"/>
    </row>
    <row r="19" spans="1:8" ht="4.5" customHeight="1" x14ac:dyDescent="0.2">
      <c r="A19" s="310"/>
      <c r="B19" s="311"/>
      <c r="C19" s="305"/>
      <c r="G19" s="298"/>
    </row>
    <row r="20" spans="1:8" ht="15" x14ac:dyDescent="0.25">
      <c r="A20" s="313" t="s">
        <v>345</v>
      </c>
      <c r="B20" s="314" t="s">
        <v>69</v>
      </c>
      <c r="C20" s="315" t="s">
        <v>346</v>
      </c>
      <c r="D20" s="299" t="s">
        <v>349</v>
      </c>
      <c r="E20" s="299" t="s">
        <v>347</v>
      </c>
      <c r="F20" s="299" t="s">
        <v>348</v>
      </c>
      <c r="G20"/>
      <c r="H20"/>
    </row>
    <row r="21" spans="1:8" ht="15" x14ac:dyDescent="0.25">
      <c r="A21" s="338" t="s">
        <v>203</v>
      </c>
      <c r="B21" s="299"/>
      <c r="C21" s="316">
        <v>393.50000000000006</v>
      </c>
      <c r="D21" s="318">
        <v>0</v>
      </c>
      <c r="E21" s="317">
        <v>393.50000000000006</v>
      </c>
      <c r="F21" s="317">
        <v>473774.00000000006</v>
      </c>
      <c r="G21"/>
      <c r="H21"/>
    </row>
    <row r="22" spans="1:8" ht="15" x14ac:dyDescent="0.25">
      <c r="A22" s="339" t="s">
        <v>114</v>
      </c>
      <c r="B22" s="340">
        <v>1204</v>
      </c>
      <c r="C22" s="316">
        <v>115.2</v>
      </c>
      <c r="D22" s="318">
        <v>0</v>
      </c>
      <c r="E22" s="317">
        <v>115.2</v>
      </c>
      <c r="F22" s="317">
        <v>138700.80000000002</v>
      </c>
      <c r="G22"/>
      <c r="H22"/>
    </row>
    <row r="23" spans="1:8" ht="15" x14ac:dyDescent="0.25">
      <c r="A23" s="339" t="s">
        <v>2296</v>
      </c>
      <c r="B23" s="340">
        <v>1204</v>
      </c>
      <c r="C23" s="316">
        <v>151.07142857142858</v>
      </c>
      <c r="D23" s="318">
        <v>0</v>
      </c>
      <c r="E23" s="317">
        <v>151.07142857142858</v>
      </c>
      <c r="F23" s="317">
        <v>181890.00000000003</v>
      </c>
      <c r="G23"/>
      <c r="H23"/>
    </row>
    <row r="24" spans="1:8" ht="15" x14ac:dyDescent="0.25">
      <c r="A24" s="339" t="s">
        <v>2294</v>
      </c>
      <c r="B24" s="340">
        <v>1204</v>
      </c>
      <c r="C24" s="316">
        <v>19.914285714285715</v>
      </c>
      <c r="D24" s="318">
        <v>0</v>
      </c>
      <c r="E24" s="317">
        <v>19.914285714285715</v>
      </c>
      <c r="F24" s="317">
        <v>23976.799999999999</v>
      </c>
      <c r="G24"/>
      <c r="H24"/>
    </row>
    <row r="25" spans="1:8" ht="15" x14ac:dyDescent="0.25">
      <c r="A25" s="339" t="s">
        <v>3909</v>
      </c>
      <c r="B25" s="340">
        <v>1204</v>
      </c>
      <c r="C25" s="316">
        <v>107.31428571428573</v>
      </c>
      <c r="D25" s="318">
        <v>0</v>
      </c>
      <c r="E25" s="317">
        <v>107.31428571428573</v>
      </c>
      <c r="F25" s="317">
        <v>129206.40000000002</v>
      </c>
      <c r="G25"/>
      <c r="H25"/>
    </row>
    <row r="26" spans="1:8" ht="15" x14ac:dyDescent="0.25">
      <c r="A26" s="338" t="s">
        <v>2295</v>
      </c>
      <c r="B26" s="299"/>
      <c r="C26" s="316">
        <v>393.50000000000006</v>
      </c>
      <c r="D26" s="318">
        <v>0</v>
      </c>
      <c r="E26" s="317">
        <v>393.50000000000006</v>
      </c>
      <c r="F26" s="317">
        <v>14559.500000000002</v>
      </c>
      <c r="G26"/>
      <c r="H26"/>
    </row>
    <row r="27" spans="1:8" ht="15" x14ac:dyDescent="0.25">
      <c r="A27" s="339" t="s">
        <v>114</v>
      </c>
      <c r="B27" s="340">
        <v>37</v>
      </c>
      <c r="C27" s="316">
        <v>115.2</v>
      </c>
      <c r="D27" s="318">
        <v>0</v>
      </c>
      <c r="E27" s="317">
        <v>115.2</v>
      </c>
      <c r="F27" s="317">
        <v>4262.4000000000005</v>
      </c>
      <c r="G27"/>
      <c r="H27"/>
    </row>
    <row r="28" spans="1:8" ht="15" x14ac:dyDescent="0.25">
      <c r="A28" s="339" t="s">
        <v>2296</v>
      </c>
      <c r="B28" s="340">
        <v>37</v>
      </c>
      <c r="C28" s="316">
        <v>151.07142857142858</v>
      </c>
      <c r="D28" s="318">
        <v>0</v>
      </c>
      <c r="E28" s="317">
        <v>151.07142857142858</v>
      </c>
      <c r="F28" s="317">
        <v>5589.6428571428578</v>
      </c>
      <c r="G28"/>
      <c r="H28"/>
    </row>
    <row r="29" spans="1:8" ht="15" x14ac:dyDescent="0.25">
      <c r="A29" s="339" t="s">
        <v>2294</v>
      </c>
      <c r="B29" s="340">
        <v>37</v>
      </c>
      <c r="C29" s="316">
        <v>19.914285714285715</v>
      </c>
      <c r="D29" s="318">
        <v>0</v>
      </c>
      <c r="E29" s="317">
        <v>19.914285714285715</v>
      </c>
      <c r="F29" s="317">
        <v>736.82857142857142</v>
      </c>
      <c r="G29"/>
      <c r="H29"/>
    </row>
    <row r="30" spans="1:8" ht="15" x14ac:dyDescent="0.25">
      <c r="A30" s="339" t="s">
        <v>3909</v>
      </c>
      <c r="B30" s="340">
        <v>37</v>
      </c>
      <c r="C30" s="316">
        <v>107.31428571428573</v>
      </c>
      <c r="D30" s="318">
        <v>0</v>
      </c>
      <c r="E30" s="317">
        <v>107.31428571428573</v>
      </c>
      <c r="F30" s="317">
        <v>3970.6285714285718</v>
      </c>
      <c r="G30"/>
      <c r="H30"/>
    </row>
    <row r="31" spans="1:8" ht="15" x14ac:dyDescent="0.25">
      <c r="A31" s="338" t="s">
        <v>3932</v>
      </c>
      <c r="B31" s="299"/>
      <c r="C31" s="316">
        <v>3522.0107865168538</v>
      </c>
      <c r="D31" s="318">
        <v>0</v>
      </c>
      <c r="E31" s="317">
        <v>3522.0107865168538</v>
      </c>
      <c r="F31" s="317">
        <v>88050.269662921346</v>
      </c>
      <c r="G31"/>
      <c r="H31"/>
    </row>
    <row r="32" spans="1:8" x14ac:dyDescent="0.2">
      <c r="A32" s="339" t="s">
        <v>3937</v>
      </c>
      <c r="B32" s="340">
        <v>25</v>
      </c>
      <c r="C32" s="316">
        <v>3426.5453932584269</v>
      </c>
      <c r="D32" s="318">
        <v>0</v>
      </c>
      <c r="E32" s="317">
        <v>3426.5453932584269</v>
      </c>
      <c r="F32" s="317">
        <v>85663.634831460673</v>
      </c>
    </row>
    <row r="33" spans="1:7" ht="15" x14ac:dyDescent="0.25">
      <c r="A33" s="339" t="s">
        <v>3938</v>
      </c>
      <c r="B33" s="340">
        <v>25</v>
      </c>
      <c r="C33" s="316">
        <v>95.465393258426957</v>
      </c>
      <c r="D33" s="318">
        <v>0</v>
      </c>
      <c r="E33" s="317">
        <v>95.465393258426957</v>
      </c>
      <c r="F33" s="317">
        <v>2386.6348314606739</v>
      </c>
      <c r="G33" s="321"/>
    </row>
    <row r="34" spans="1:7" x14ac:dyDescent="0.2">
      <c r="A34" s="315" t="s">
        <v>656</v>
      </c>
      <c r="B34" s="315"/>
      <c r="C34" s="316">
        <v>4309.0107865168538</v>
      </c>
      <c r="D34" s="318">
        <v>0</v>
      </c>
      <c r="E34" s="317">
        <v>4309.0107865168538</v>
      </c>
      <c r="F34" s="317">
        <v>576383.76966292143</v>
      </c>
    </row>
    <row r="35" spans="1:7" ht="15" x14ac:dyDescent="0.25">
      <c r="A35"/>
      <c r="B35"/>
      <c r="C35"/>
      <c r="D35"/>
      <c r="E35"/>
      <c r="F35"/>
    </row>
    <row r="36" spans="1:7" ht="15" x14ac:dyDescent="0.25">
      <c r="A36"/>
      <c r="B36"/>
      <c r="C36"/>
      <c r="D36"/>
      <c r="E36"/>
      <c r="F36"/>
    </row>
    <row r="37" spans="1:7" ht="15.75" thickBot="1" x14ac:dyDescent="0.3">
      <c r="A37"/>
      <c r="B37"/>
      <c r="C37"/>
      <c r="D37"/>
      <c r="E37"/>
      <c r="F37"/>
    </row>
    <row r="38" spans="1:7" ht="15" x14ac:dyDescent="0.25">
      <c r="A38"/>
      <c r="B38"/>
      <c r="C38"/>
      <c r="D38"/>
      <c r="E38"/>
      <c r="F38"/>
      <c r="G38" s="319"/>
    </row>
    <row r="39" spans="1:7" ht="15.75" thickBot="1" x14ac:dyDescent="0.3">
      <c r="A39"/>
      <c r="B39"/>
      <c r="C39"/>
      <c r="D39"/>
      <c r="E39"/>
      <c r="F39"/>
      <c r="G39" s="320"/>
    </row>
    <row r="40" spans="1:7" ht="15" x14ac:dyDescent="0.25">
      <c r="A40"/>
      <c r="B40"/>
      <c r="C40"/>
      <c r="D40"/>
      <c r="E40"/>
      <c r="F40"/>
    </row>
    <row r="41" spans="1:7" ht="15" x14ac:dyDescent="0.25">
      <c r="A41"/>
      <c r="B41"/>
      <c r="C41"/>
      <c r="D41"/>
      <c r="E41"/>
      <c r="F41"/>
    </row>
    <row r="42" spans="1:7" ht="15" x14ac:dyDescent="0.25">
      <c r="A42"/>
      <c r="B42"/>
      <c r="C42"/>
      <c r="D42"/>
      <c r="E42"/>
      <c r="F42"/>
    </row>
    <row r="43" spans="1:7" ht="15" x14ac:dyDescent="0.25">
      <c r="A43"/>
      <c r="B43"/>
      <c r="C43"/>
      <c r="D43"/>
      <c r="E43"/>
      <c r="F43"/>
    </row>
    <row r="44" spans="1:7" ht="15" x14ac:dyDescent="0.25">
      <c r="A44"/>
      <c r="B44"/>
      <c r="C44"/>
      <c r="D44"/>
      <c r="E44"/>
      <c r="F44"/>
    </row>
    <row r="45" spans="1:7" ht="15" x14ac:dyDescent="0.25">
      <c r="A45"/>
      <c r="B45"/>
      <c r="C45"/>
      <c r="D45"/>
      <c r="E45"/>
      <c r="F45"/>
    </row>
    <row r="46" spans="1:7" ht="15" x14ac:dyDescent="0.25">
      <c r="A46"/>
      <c r="B46"/>
      <c r="C46"/>
      <c r="D46"/>
      <c r="E46"/>
      <c r="F46"/>
    </row>
    <row r="47" spans="1:7" ht="15" x14ac:dyDescent="0.25">
      <c r="A47"/>
      <c r="B47"/>
      <c r="C47"/>
      <c r="D47"/>
      <c r="E47"/>
      <c r="F47"/>
    </row>
    <row r="48" spans="1:7" ht="15" x14ac:dyDescent="0.25">
      <c r="A48"/>
      <c r="B48"/>
      <c r="C48"/>
      <c r="D48"/>
      <c r="E48"/>
      <c r="F48"/>
    </row>
    <row r="49" spans="1:7" ht="15" x14ac:dyDescent="0.25">
      <c r="A49"/>
      <c r="B49"/>
      <c r="C49"/>
      <c r="D49"/>
      <c r="E49"/>
      <c r="F49"/>
    </row>
    <row r="50" spans="1:7" ht="15" x14ac:dyDescent="0.25">
      <c r="A50"/>
      <c r="B50"/>
      <c r="C50"/>
      <c r="D50"/>
      <c r="E50"/>
      <c r="F50"/>
      <c r="G50" s="322"/>
    </row>
    <row r="51" spans="1:7" ht="15" x14ac:dyDescent="0.25">
      <c r="A51"/>
      <c r="B51"/>
      <c r="C51"/>
      <c r="D51"/>
      <c r="E51"/>
      <c r="F51"/>
    </row>
    <row r="52" spans="1:7" ht="15" x14ac:dyDescent="0.25">
      <c r="A52"/>
      <c r="B52"/>
      <c r="C52"/>
      <c r="D52"/>
      <c r="E52"/>
      <c r="F52"/>
    </row>
    <row r="53" spans="1:7" ht="15" x14ac:dyDescent="0.25">
      <c r="A53"/>
      <c r="B53"/>
      <c r="C53"/>
      <c r="D53"/>
      <c r="E53"/>
      <c r="F53"/>
    </row>
    <row r="54" spans="1:7" x14ac:dyDescent="0.2">
      <c r="A54" s="293" t="s">
        <v>353</v>
      </c>
      <c r="B54" s="293"/>
      <c r="C54" s="293"/>
      <c r="F54" s="293"/>
    </row>
    <row r="55" spans="1:7" x14ac:dyDescent="0.2">
      <c r="A55" s="293" t="s">
        <v>354</v>
      </c>
      <c r="B55" s="293"/>
      <c r="C55" s="293"/>
      <c r="F55" s="293"/>
    </row>
    <row r="56" spans="1:7" x14ac:dyDescent="0.2">
      <c r="A56" s="293" t="s">
        <v>355</v>
      </c>
      <c r="B56" s="293"/>
      <c r="C56" s="293"/>
      <c r="F56" s="293"/>
    </row>
    <row r="57" spans="1:7" x14ac:dyDescent="0.2">
      <c r="A57" s="293" t="s">
        <v>356</v>
      </c>
      <c r="B57" s="293"/>
      <c r="C57" s="293"/>
      <c r="F57" s="293"/>
    </row>
    <row r="58" spans="1:7" x14ac:dyDescent="0.2">
      <c r="A58" s="293" t="s">
        <v>357</v>
      </c>
      <c r="B58" s="293"/>
      <c r="C58" s="293"/>
      <c r="F58" s="293"/>
    </row>
    <row r="59" spans="1:7" x14ac:dyDescent="0.2">
      <c r="A59" s="293" t="s">
        <v>358</v>
      </c>
      <c r="B59" s="293"/>
      <c r="C59" s="293"/>
      <c r="F59" s="293"/>
    </row>
    <row r="60" spans="1:7" x14ac:dyDescent="0.2">
      <c r="A60" s="293" t="s">
        <v>359</v>
      </c>
      <c r="B60" s="293"/>
      <c r="C60" s="293"/>
      <c r="F60" s="293"/>
    </row>
    <row r="61" spans="1:7" x14ac:dyDescent="0.2">
      <c r="A61" s="293" t="s">
        <v>360</v>
      </c>
      <c r="B61" s="293"/>
      <c r="C61" s="293"/>
      <c r="F61" s="293"/>
    </row>
    <row r="62" spans="1:7" x14ac:dyDescent="0.2">
      <c r="A62" s="293" t="s">
        <v>361</v>
      </c>
      <c r="B62" s="293"/>
      <c r="C62" s="293"/>
      <c r="F62" s="293"/>
    </row>
  </sheetData>
  <pageMargins left="0.25" right="0.25" top="0.25" bottom="0.25" header="0.3" footer="0.3"/>
  <pageSetup scale="70" orientation="portrait" r:id="rId3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F090A-DB23-42A5-B801-1B01EEFBD9B6}">
  <sheetPr filterMode="1"/>
  <dimension ref="A1:AB1230"/>
  <sheetViews>
    <sheetView topLeftCell="I1" workbookViewId="0">
      <selection activeCell="Y61" sqref="Y61:Y1193"/>
    </sheetView>
  </sheetViews>
  <sheetFormatPr baseColWidth="10" defaultColWidth="11.140625" defaultRowHeight="12.75" x14ac:dyDescent="0.25"/>
  <cols>
    <col min="1" max="1" width="10.140625" style="414" bestFit="1" customWidth="1"/>
    <col min="2" max="2" width="4.28515625" style="414" bestFit="1" customWidth="1"/>
    <col min="3" max="3" width="8.85546875" style="414" bestFit="1" customWidth="1"/>
    <col min="4" max="4" width="77" style="414" bestFit="1" customWidth="1"/>
    <col min="5" max="5" width="14.140625" style="414" bestFit="1" customWidth="1"/>
    <col min="6" max="6" width="24.42578125" style="414" bestFit="1" customWidth="1"/>
    <col min="7" max="7" width="35.28515625" style="414" bestFit="1" customWidth="1"/>
    <col min="8" max="8" width="37.140625" style="414" bestFit="1" customWidth="1"/>
    <col min="9" max="9" width="52.7109375" style="414" bestFit="1" customWidth="1"/>
    <col min="10" max="10" width="6.85546875" style="414" bestFit="1" customWidth="1"/>
    <col min="11" max="12" width="10.140625" style="414" bestFit="1" customWidth="1"/>
    <col min="13" max="13" width="8.85546875" style="414" bestFit="1" customWidth="1"/>
    <col min="14" max="14" width="9.28515625" style="414" bestFit="1" customWidth="1"/>
    <col min="15" max="15" width="6.42578125" style="414" bestFit="1" customWidth="1"/>
    <col min="16" max="16" width="4.85546875" style="414" bestFit="1" customWidth="1"/>
    <col min="17" max="17" width="15.28515625" style="414" bestFit="1" customWidth="1"/>
    <col min="18" max="18" width="11.85546875" style="414" bestFit="1" customWidth="1"/>
    <col min="19" max="19" width="15.5703125" style="414" bestFit="1" customWidth="1"/>
    <col min="20" max="20" width="12.140625" style="414" bestFit="1" customWidth="1"/>
    <col min="21" max="21" width="15.140625" style="414" bestFit="1" customWidth="1"/>
    <col min="22" max="22" width="14.85546875" style="414" bestFit="1" customWidth="1"/>
    <col min="23" max="23" width="10.7109375" style="414" bestFit="1" customWidth="1"/>
    <col min="24" max="24" width="13.7109375" style="414" bestFit="1" customWidth="1"/>
    <col min="25" max="25" width="17.140625" style="414" bestFit="1" customWidth="1"/>
    <col min="26" max="16384" width="11.140625" style="414"/>
  </cols>
  <sheetData>
    <row r="1" spans="1:28" ht="38.25" x14ac:dyDescent="0.25">
      <c r="A1" s="410" t="s">
        <v>2298</v>
      </c>
      <c r="B1" s="411" t="s">
        <v>3891</v>
      </c>
      <c r="C1" s="411" t="s">
        <v>3892</v>
      </c>
      <c r="D1" s="411" t="s">
        <v>3893</v>
      </c>
      <c r="E1" s="411" t="s">
        <v>3894</v>
      </c>
      <c r="F1" s="411" t="s">
        <v>3895</v>
      </c>
      <c r="G1" s="411" t="s">
        <v>3896</v>
      </c>
      <c r="H1" s="411" t="s">
        <v>3897</v>
      </c>
      <c r="I1" s="411" t="s">
        <v>3898</v>
      </c>
      <c r="J1" s="411" t="s">
        <v>3899</v>
      </c>
      <c r="K1" s="411" t="s">
        <v>3900</v>
      </c>
      <c r="L1" s="411" t="s">
        <v>3901</v>
      </c>
      <c r="M1" s="412" t="s">
        <v>3902</v>
      </c>
      <c r="N1" s="411" t="s">
        <v>3903</v>
      </c>
      <c r="O1" s="411" t="s">
        <v>3904</v>
      </c>
      <c r="P1" s="411" t="s">
        <v>3905</v>
      </c>
      <c r="Q1" s="413" t="s">
        <v>2299</v>
      </c>
      <c r="R1" s="413" t="s">
        <v>2300</v>
      </c>
      <c r="S1" s="413" t="s">
        <v>2301</v>
      </c>
      <c r="T1" s="413" t="s">
        <v>2302</v>
      </c>
      <c r="U1" s="413" t="s">
        <v>2303</v>
      </c>
      <c r="V1" s="413" t="s">
        <v>2304</v>
      </c>
      <c r="W1" s="413" t="s">
        <v>2305</v>
      </c>
      <c r="X1" s="413" t="s">
        <v>659</v>
      </c>
      <c r="Y1" s="413" t="s">
        <v>2306</v>
      </c>
      <c r="AA1" s="413" t="s">
        <v>3906</v>
      </c>
      <c r="AB1" s="415">
        <v>6</v>
      </c>
    </row>
    <row r="2" spans="1:28" hidden="1" x14ac:dyDescent="0.25">
      <c r="A2" s="415">
        <v>1</v>
      </c>
      <c r="B2" s="415">
        <v>823</v>
      </c>
      <c r="C2" s="415">
        <v>3230</v>
      </c>
      <c r="D2" s="416" t="s">
        <v>2307</v>
      </c>
      <c r="E2" s="416" t="s">
        <v>401</v>
      </c>
      <c r="F2" s="416" t="s">
        <v>405</v>
      </c>
      <c r="G2" s="416" t="s">
        <v>676</v>
      </c>
      <c r="H2" s="416" t="s">
        <v>2308</v>
      </c>
      <c r="I2" s="416" t="s">
        <v>2309</v>
      </c>
      <c r="J2" s="415" t="s">
        <v>661</v>
      </c>
      <c r="K2" s="417">
        <v>-5.3286740000000004</v>
      </c>
      <c r="L2" s="417">
        <v>-78.445038999999994</v>
      </c>
      <c r="M2" s="418">
        <v>30</v>
      </c>
      <c r="N2" s="418" t="s">
        <v>2310</v>
      </c>
      <c r="O2" s="418" t="s">
        <v>2311</v>
      </c>
      <c r="P2" s="415">
        <v>1</v>
      </c>
      <c r="Q2" s="415">
        <v>30</v>
      </c>
      <c r="R2" s="415">
        <v>5</v>
      </c>
      <c r="S2" s="415">
        <f>Q2/$AB$1</f>
        <v>5</v>
      </c>
      <c r="T2" s="419">
        <f>R2/$AB$1</f>
        <v>0.83333333333333337</v>
      </c>
      <c r="U2" s="419">
        <f>S2+T2</f>
        <v>5.833333333333333</v>
      </c>
      <c r="V2" s="415" t="s">
        <v>662</v>
      </c>
      <c r="W2" s="415" t="s">
        <v>608</v>
      </c>
      <c r="X2" s="415" t="s">
        <v>663</v>
      </c>
      <c r="Y2" s="415"/>
    </row>
    <row r="3" spans="1:28" hidden="1" x14ac:dyDescent="0.25">
      <c r="A3" s="415">
        <v>2</v>
      </c>
      <c r="B3" s="415">
        <v>824</v>
      </c>
      <c r="C3" s="415">
        <v>665</v>
      </c>
      <c r="D3" s="416" t="s">
        <v>664</v>
      </c>
      <c r="E3" s="416" t="s">
        <v>401</v>
      </c>
      <c r="F3" s="416" t="s">
        <v>402</v>
      </c>
      <c r="G3" s="416" t="s">
        <v>600</v>
      </c>
      <c r="H3" s="416" t="s">
        <v>665</v>
      </c>
      <c r="I3" s="416" t="s">
        <v>665</v>
      </c>
      <c r="J3" s="415" t="s">
        <v>661</v>
      </c>
      <c r="K3" s="417">
        <v>-6.9279000000000002</v>
      </c>
      <c r="L3" s="417">
        <v>-77.942499999999995</v>
      </c>
      <c r="M3" s="418">
        <v>30</v>
      </c>
      <c r="N3" s="418" t="s">
        <v>2310</v>
      </c>
      <c r="O3" s="418" t="s">
        <v>2311</v>
      </c>
      <c r="P3" s="415">
        <v>1</v>
      </c>
      <c r="Q3" s="415">
        <v>30</v>
      </c>
      <c r="R3" s="415">
        <v>5</v>
      </c>
      <c r="S3" s="415">
        <f t="shared" ref="S3:S66" si="0">Q3/$AB$1</f>
        <v>5</v>
      </c>
      <c r="T3" s="419">
        <f t="shared" ref="T3:T66" si="1">R3/$AB$1</f>
        <v>0.83333333333333337</v>
      </c>
      <c r="U3" s="419">
        <f t="shared" ref="U3:U66" si="2">S3+T3</f>
        <v>5.833333333333333</v>
      </c>
      <c r="V3" s="415" t="s">
        <v>662</v>
      </c>
      <c r="W3" s="415" t="s">
        <v>616</v>
      </c>
      <c r="X3" s="415" t="s">
        <v>666</v>
      </c>
      <c r="Y3" s="415"/>
    </row>
    <row r="4" spans="1:28" hidden="1" x14ac:dyDescent="0.25">
      <c r="A4" s="415">
        <v>3</v>
      </c>
      <c r="B4" s="415">
        <v>825</v>
      </c>
      <c r="C4" s="415">
        <v>515018</v>
      </c>
      <c r="D4" s="416" t="s">
        <v>1078</v>
      </c>
      <c r="E4" s="416" t="s">
        <v>401</v>
      </c>
      <c r="F4" s="416" t="s">
        <v>402</v>
      </c>
      <c r="G4" s="416" t="s">
        <v>2202</v>
      </c>
      <c r="H4" s="416" t="s">
        <v>2203</v>
      </c>
      <c r="I4" s="416" t="s">
        <v>2203</v>
      </c>
      <c r="J4" s="415" t="s">
        <v>661</v>
      </c>
      <c r="K4" s="417">
        <v>-6.2252000000000001</v>
      </c>
      <c r="L4" s="417">
        <v>-77.731099999999998</v>
      </c>
      <c r="M4" s="418">
        <v>30</v>
      </c>
      <c r="N4" s="418" t="s">
        <v>2310</v>
      </c>
      <c r="O4" s="418" t="s">
        <v>2311</v>
      </c>
      <c r="P4" s="415">
        <v>1</v>
      </c>
      <c r="Q4" s="415">
        <v>30</v>
      </c>
      <c r="R4" s="415">
        <v>5</v>
      </c>
      <c r="S4" s="415">
        <f t="shared" si="0"/>
        <v>5</v>
      </c>
      <c r="T4" s="419">
        <f t="shared" si="1"/>
        <v>0.83333333333333337</v>
      </c>
      <c r="U4" s="419">
        <f t="shared" si="2"/>
        <v>5.833333333333333</v>
      </c>
      <c r="V4" s="415" t="s">
        <v>662</v>
      </c>
      <c r="W4" s="415" t="s">
        <v>608</v>
      </c>
      <c r="X4" s="415" t="s">
        <v>663</v>
      </c>
      <c r="Y4" s="415"/>
    </row>
    <row r="5" spans="1:28" hidden="1" x14ac:dyDescent="0.25">
      <c r="A5" s="415">
        <v>4</v>
      </c>
      <c r="B5" s="415">
        <v>826</v>
      </c>
      <c r="C5" s="415">
        <v>7539</v>
      </c>
      <c r="D5" s="416" t="s">
        <v>681</v>
      </c>
      <c r="E5" s="416" t="s">
        <v>401</v>
      </c>
      <c r="F5" s="416" t="s">
        <v>408</v>
      </c>
      <c r="G5" s="416" t="s">
        <v>682</v>
      </c>
      <c r="H5" s="416" t="s">
        <v>681</v>
      </c>
      <c r="I5" s="416" t="s">
        <v>683</v>
      </c>
      <c r="J5" s="415" t="s">
        <v>661</v>
      </c>
      <c r="K5" s="417">
        <v>-4.0530999999999997</v>
      </c>
      <c r="L5" s="417">
        <v>-77.762600000000006</v>
      </c>
      <c r="M5" s="418">
        <v>30</v>
      </c>
      <c r="N5" s="418" t="s">
        <v>2310</v>
      </c>
      <c r="O5" s="418" t="s">
        <v>2311</v>
      </c>
      <c r="P5" s="415">
        <v>1</v>
      </c>
      <c r="Q5" s="415">
        <v>30</v>
      </c>
      <c r="R5" s="415">
        <v>5</v>
      </c>
      <c r="S5" s="415">
        <f t="shared" si="0"/>
        <v>5</v>
      </c>
      <c r="T5" s="419">
        <f t="shared" si="1"/>
        <v>0.83333333333333337</v>
      </c>
      <c r="U5" s="419">
        <f t="shared" si="2"/>
        <v>5.833333333333333</v>
      </c>
      <c r="V5" s="415" t="s">
        <v>662</v>
      </c>
      <c r="W5" s="415" t="s">
        <v>606</v>
      </c>
      <c r="X5" s="415" t="s">
        <v>671</v>
      </c>
      <c r="Y5" s="415"/>
    </row>
    <row r="6" spans="1:28" hidden="1" x14ac:dyDescent="0.25">
      <c r="A6" s="415">
        <v>5</v>
      </c>
      <c r="B6" s="415">
        <v>827</v>
      </c>
      <c r="C6" s="415">
        <v>539364</v>
      </c>
      <c r="D6" s="416" t="s">
        <v>2215</v>
      </c>
      <c r="E6" s="416" t="s">
        <v>401</v>
      </c>
      <c r="F6" s="416" t="s">
        <v>406</v>
      </c>
      <c r="G6" s="416" t="s">
        <v>685</v>
      </c>
      <c r="H6" s="416" t="s">
        <v>1268</v>
      </c>
      <c r="I6" s="416" t="s">
        <v>1268</v>
      </c>
      <c r="J6" s="415" t="s">
        <v>661</v>
      </c>
      <c r="K6" s="417">
        <v>-6.0023999999999997</v>
      </c>
      <c r="L6" s="417">
        <v>-78.152299999999997</v>
      </c>
      <c r="M6" s="418">
        <v>30</v>
      </c>
      <c r="N6" s="418" t="s">
        <v>2310</v>
      </c>
      <c r="O6" s="418" t="s">
        <v>2311</v>
      </c>
      <c r="P6" s="415">
        <v>1</v>
      </c>
      <c r="Q6" s="415">
        <v>30</v>
      </c>
      <c r="R6" s="415">
        <v>5</v>
      </c>
      <c r="S6" s="415">
        <f t="shared" si="0"/>
        <v>5</v>
      </c>
      <c r="T6" s="419">
        <f t="shared" si="1"/>
        <v>0.83333333333333337</v>
      </c>
      <c r="U6" s="419">
        <f t="shared" si="2"/>
        <v>5.833333333333333</v>
      </c>
      <c r="V6" s="415" t="s">
        <v>662</v>
      </c>
      <c r="W6" s="415" t="s">
        <v>608</v>
      </c>
      <c r="X6" s="415" t="s">
        <v>663</v>
      </c>
      <c r="Y6" s="415"/>
    </row>
    <row r="7" spans="1:28" hidden="1" x14ac:dyDescent="0.25">
      <c r="A7" s="415">
        <v>6</v>
      </c>
      <c r="B7" s="415">
        <v>828</v>
      </c>
      <c r="C7" s="415">
        <v>9604</v>
      </c>
      <c r="D7" s="416" t="s">
        <v>684</v>
      </c>
      <c r="E7" s="416" t="s">
        <v>401</v>
      </c>
      <c r="F7" s="416" t="s">
        <v>406</v>
      </c>
      <c r="G7" s="416" t="s">
        <v>685</v>
      </c>
      <c r="H7" s="416" t="s">
        <v>686</v>
      </c>
      <c r="I7" s="416" t="s">
        <v>687</v>
      </c>
      <c r="J7" s="415" t="s">
        <v>661</v>
      </c>
      <c r="K7" s="417">
        <v>-6.032222</v>
      </c>
      <c r="L7" s="417">
        <v>-78.135554999999997</v>
      </c>
      <c r="M7" s="418">
        <v>30</v>
      </c>
      <c r="N7" s="418" t="s">
        <v>2310</v>
      </c>
      <c r="O7" s="418" t="s">
        <v>2311</v>
      </c>
      <c r="P7" s="415">
        <v>1</v>
      </c>
      <c r="Q7" s="415">
        <v>30</v>
      </c>
      <c r="R7" s="415">
        <v>5</v>
      </c>
      <c r="S7" s="415">
        <f t="shared" si="0"/>
        <v>5</v>
      </c>
      <c r="T7" s="419">
        <f t="shared" si="1"/>
        <v>0.83333333333333337</v>
      </c>
      <c r="U7" s="419">
        <f t="shared" si="2"/>
        <v>5.833333333333333</v>
      </c>
      <c r="V7" s="415" t="s">
        <v>662</v>
      </c>
      <c r="W7" s="415" t="s">
        <v>608</v>
      </c>
      <c r="X7" s="415" t="s">
        <v>663</v>
      </c>
      <c r="Y7" s="415"/>
    </row>
    <row r="8" spans="1:28" hidden="1" x14ac:dyDescent="0.25">
      <c r="A8" s="415">
        <v>7</v>
      </c>
      <c r="B8" s="415">
        <v>829</v>
      </c>
      <c r="C8" s="415">
        <v>9963</v>
      </c>
      <c r="D8" s="416" t="s">
        <v>688</v>
      </c>
      <c r="E8" s="416" t="s">
        <v>401</v>
      </c>
      <c r="F8" s="416" t="s">
        <v>406</v>
      </c>
      <c r="G8" s="416" t="s">
        <v>689</v>
      </c>
      <c r="H8" s="416" t="s">
        <v>690</v>
      </c>
      <c r="I8" s="416" t="s">
        <v>690</v>
      </c>
      <c r="J8" s="415" t="s">
        <v>661</v>
      </c>
      <c r="K8" s="417">
        <v>-6.4228440000000004</v>
      </c>
      <c r="L8" s="417">
        <v>-77.910805999999994</v>
      </c>
      <c r="M8" s="418">
        <v>30</v>
      </c>
      <c r="N8" s="418" t="s">
        <v>2310</v>
      </c>
      <c r="O8" s="418" t="s">
        <v>2311</v>
      </c>
      <c r="P8" s="415">
        <v>1</v>
      </c>
      <c r="Q8" s="415">
        <v>30</v>
      </c>
      <c r="R8" s="415">
        <v>5</v>
      </c>
      <c r="S8" s="415">
        <f t="shared" si="0"/>
        <v>5</v>
      </c>
      <c r="T8" s="419">
        <f t="shared" si="1"/>
        <v>0.83333333333333337</v>
      </c>
      <c r="U8" s="419">
        <f t="shared" si="2"/>
        <v>5.833333333333333</v>
      </c>
      <c r="V8" s="415" t="s">
        <v>662</v>
      </c>
      <c r="W8" s="415" t="s">
        <v>608</v>
      </c>
      <c r="X8" s="415" t="s">
        <v>663</v>
      </c>
      <c r="Y8" s="415"/>
    </row>
    <row r="9" spans="1:28" hidden="1" x14ac:dyDescent="0.25">
      <c r="A9" s="415">
        <v>8</v>
      </c>
      <c r="B9" s="415">
        <v>830</v>
      </c>
      <c r="C9" s="415">
        <v>10805</v>
      </c>
      <c r="D9" s="416" t="s">
        <v>693</v>
      </c>
      <c r="E9" s="416" t="s">
        <v>401</v>
      </c>
      <c r="F9" s="416" t="s">
        <v>410</v>
      </c>
      <c r="G9" s="416" t="s">
        <v>694</v>
      </c>
      <c r="H9" s="416" t="s">
        <v>695</v>
      </c>
      <c r="I9" s="416" t="s">
        <v>696</v>
      </c>
      <c r="J9" s="415" t="s">
        <v>661</v>
      </c>
      <c r="K9" s="417">
        <v>-6.5509680000000001</v>
      </c>
      <c r="L9" s="417">
        <v>-77.235449000000003</v>
      </c>
      <c r="M9" s="418">
        <v>30</v>
      </c>
      <c r="N9" s="418" t="s">
        <v>2310</v>
      </c>
      <c r="O9" s="418" t="s">
        <v>2311</v>
      </c>
      <c r="P9" s="415">
        <v>1</v>
      </c>
      <c r="Q9" s="415">
        <v>30</v>
      </c>
      <c r="R9" s="415">
        <v>5</v>
      </c>
      <c r="S9" s="415">
        <f t="shared" si="0"/>
        <v>5</v>
      </c>
      <c r="T9" s="419">
        <f t="shared" si="1"/>
        <v>0.83333333333333337</v>
      </c>
      <c r="U9" s="419">
        <f t="shared" si="2"/>
        <v>5.833333333333333</v>
      </c>
      <c r="V9" s="415" t="s">
        <v>662</v>
      </c>
      <c r="W9" s="415" t="s">
        <v>616</v>
      </c>
      <c r="X9" s="415" t="s">
        <v>666</v>
      </c>
      <c r="Y9" s="415"/>
    </row>
    <row r="10" spans="1:28" hidden="1" x14ac:dyDescent="0.25">
      <c r="A10" s="415">
        <v>9</v>
      </c>
      <c r="B10" s="415">
        <v>831</v>
      </c>
      <c r="C10" s="415">
        <v>11701</v>
      </c>
      <c r="D10" s="416" t="s">
        <v>700</v>
      </c>
      <c r="E10" s="416" t="s">
        <v>401</v>
      </c>
      <c r="F10" s="416" t="s">
        <v>412</v>
      </c>
      <c r="G10" s="416" t="s">
        <v>698</v>
      </c>
      <c r="H10" s="416" t="s">
        <v>701</v>
      </c>
      <c r="I10" s="416" t="s">
        <v>702</v>
      </c>
      <c r="J10" s="415" t="s">
        <v>661</v>
      </c>
      <c r="K10" s="417">
        <v>-5.8845640000000001</v>
      </c>
      <c r="L10" s="417">
        <v>-78.468823</v>
      </c>
      <c r="M10" s="418">
        <v>30</v>
      </c>
      <c r="N10" s="418" t="s">
        <v>2310</v>
      </c>
      <c r="O10" s="418" t="s">
        <v>2311</v>
      </c>
      <c r="P10" s="415">
        <v>1</v>
      </c>
      <c r="Q10" s="415">
        <v>30</v>
      </c>
      <c r="R10" s="415">
        <v>5</v>
      </c>
      <c r="S10" s="415">
        <f t="shared" si="0"/>
        <v>5</v>
      </c>
      <c r="T10" s="419">
        <f t="shared" si="1"/>
        <v>0.83333333333333337</v>
      </c>
      <c r="U10" s="419">
        <f t="shared" si="2"/>
        <v>5.833333333333333</v>
      </c>
      <c r="V10" s="415" t="s">
        <v>662</v>
      </c>
      <c r="W10" s="415" t="s">
        <v>608</v>
      </c>
      <c r="X10" s="415" t="s">
        <v>663</v>
      </c>
      <c r="Y10" s="415"/>
    </row>
    <row r="11" spans="1:28" hidden="1" x14ac:dyDescent="0.25">
      <c r="A11" s="415">
        <v>10</v>
      </c>
      <c r="B11" s="415">
        <v>832</v>
      </c>
      <c r="C11" s="415">
        <v>11635</v>
      </c>
      <c r="D11" s="416" t="s">
        <v>697</v>
      </c>
      <c r="E11" s="416" t="s">
        <v>401</v>
      </c>
      <c r="F11" s="416" t="s">
        <v>412</v>
      </c>
      <c r="G11" s="416" t="s">
        <v>698</v>
      </c>
      <c r="H11" s="416" t="s">
        <v>699</v>
      </c>
      <c r="I11" s="416" t="s">
        <v>699</v>
      </c>
      <c r="J11" s="415" t="s">
        <v>661</v>
      </c>
      <c r="K11" s="417">
        <v>-5.9638410000000004</v>
      </c>
      <c r="L11" s="417">
        <v>-78.317655000000002</v>
      </c>
      <c r="M11" s="418">
        <v>30</v>
      </c>
      <c r="N11" s="418" t="s">
        <v>2310</v>
      </c>
      <c r="O11" s="418" t="s">
        <v>2311</v>
      </c>
      <c r="P11" s="415">
        <v>1</v>
      </c>
      <c r="Q11" s="415">
        <v>30</v>
      </c>
      <c r="R11" s="415">
        <v>5</v>
      </c>
      <c r="S11" s="415">
        <f t="shared" si="0"/>
        <v>5</v>
      </c>
      <c r="T11" s="419">
        <f t="shared" si="1"/>
        <v>0.83333333333333337</v>
      </c>
      <c r="U11" s="419">
        <f t="shared" si="2"/>
        <v>5.833333333333333</v>
      </c>
      <c r="V11" s="415" t="s">
        <v>662</v>
      </c>
      <c r="W11" s="415" t="s">
        <v>608</v>
      </c>
      <c r="X11" s="415" t="s">
        <v>663</v>
      </c>
      <c r="Y11" s="415"/>
    </row>
    <row r="12" spans="1:28" hidden="1" x14ac:dyDescent="0.25">
      <c r="A12" s="415">
        <v>11</v>
      </c>
      <c r="B12" s="415">
        <v>833</v>
      </c>
      <c r="C12" s="415">
        <v>11758</v>
      </c>
      <c r="D12" s="416" t="s">
        <v>703</v>
      </c>
      <c r="E12" s="416" t="s">
        <v>401</v>
      </c>
      <c r="F12" s="416" t="s">
        <v>412</v>
      </c>
      <c r="G12" s="416" t="s">
        <v>698</v>
      </c>
      <c r="H12" s="416" t="s">
        <v>704</v>
      </c>
      <c r="I12" s="416" t="s">
        <v>704</v>
      </c>
      <c r="J12" s="415" t="s">
        <v>661</v>
      </c>
      <c r="K12" s="417">
        <v>-5.8777650000000001</v>
      </c>
      <c r="L12" s="417">
        <v>-78.451560000000001</v>
      </c>
      <c r="M12" s="418">
        <v>30</v>
      </c>
      <c r="N12" s="418" t="s">
        <v>2310</v>
      </c>
      <c r="O12" s="418" t="s">
        <v>2311</v>
      </c>
      <c r="P12" s="415">
        <v>1</v>
      </c>
      <c r="Q12" s="415">
        <v>30</v>
      </c>
      <c r="R12" s="415">
        <v>5</v>
      </c>
      <c r="S12" s="415">
        <f t="shared" si="0"/>
        <v>5</v>
      </c>
      <c r="T12" s="419">
        <f t="shared" si="1"/>
        <v>0.83333333333333337</v>
      </c>
      <c r="U12" s="419">
        <f t="shared" si="2"/>
        <v>5.833333333333333</v>
      </c>
      <c r="V12" s="415" t="s">
        <v>662</v>
      </c>
      <c r="W12" s="415" t="s">
        <v>608</v>
      </c>
      <c r="X12" s="415" t="s">
        <v>663</v>
      </c>
      <c r="Y12" s="415"/>
    </row>
    <row r="13" spans="1:28" hidden="1" x14ac:dyDescent="0.25">
      <c r="A13" s="415">
        <v>12</v>
      </c>
      <c r="B13" s="415">
        <v>834</v>
      </c>
      <c r="C13" s="415">
        <v>13601</v>
      </c>
      <c r="D13" s="416" t="s">
        <v>709</v>
      </c>
      <c r="E13" s="416" t="s">
        <v>401</v>
      </c>
      <c r="F13" s="416" t="s">
        <v>412</v>
      </c>
      <c r="G13" s="416" t="s">
        <v>706</v>
      </c>
      <c r="H13" s="416" t="s">
        <v>710</v>
      </c>
      <c r="I13" s="416" t="s">
        <v>711</v>
      </c>
      <c r="J13" s="415" t="s">
        <v>661</v>
      </c>
      <c r="K13" s="417">
        <v>-5.9667389999999996</v>
      </c>
      <c r="L13" s="417">
        <v>-78.577896999999993</v>
      </c>
      <c r="M13" s="418">
        <v>30</v>
      </c>
      <c r="N13" s="418" t="s">
        <v>2310</v>
      </c>
      <c r="O13" s="418" t="s">
        <v>2311</v>
      </c>
      <c r="P13" s="415">
        <v>1</v>
      </c>
      <c r="Q13" s="415">
        <v>30</v>
      </c>
      <c r="R13" s="415">
        <v>5</v>
      </c>
      <c r="S13" s="415">
        <f t="shared" si="0"/>
        <v>5</v>
      </c>
      <c r="T13" s="419">
        <f t="shared" si="1"/>
        <v>0.83333333333333337</v>
      </c>
      <c r="U13" s="419">
        <f t="shared" si="2"/>
        <v>5.833333333333333</v>
      </c>
      <c r="V13" s="415" t="s">
        <v>662</v>
      </c>
      <c r="W13" s="415" t="s">
        <v>608</v>
      </c>
      <c r="X13" s="415" t="s">
        <v>663</v>
      </c>
      <c r="Y13" s="415"/>
    </row>
    <row r="14" spans="1:28" hidden="1" x14ac:dyDescent="0.25">
      <c r="A14" s="415">
        <v>13</v>
      </c>
      <c r="B14" s="415">
        <v>835</v>
      </c>
      <c r="C14" s="415">
        <v>13564</v>
      </c>
      <c r="D14" s="416" t="s">
        <v>705</v>
      </c>
      <c r="E14" s="416" t="s">
        <v>401</v>
      </c>
      <c r="F14" s="416" t="s">
        <v>412</v>
      </c>
      <c r="G14" s="416" t="s">
        <v>706</v>
      </c>
      <c r="H14" s="416" t="s">
        <v>707</v>
      </c>
      <c r="I14" s="416" t="s">
        <v>708</v>
      </c>
      <c r="J14" s="415" t="s">
        <v>661</v>
      </c>
      <c r="K14" s="417">
        <v>-5.9431919999999998</v>
      </c>
      <c r="L14" s="417">
        <v>-78.549272000000002</v>
      </c>
      <c r="M14" s="418">
        <v>30</v>
      </c>
      <c r="N14" s="418" t="s">
        <v>2310</v>
      </c>
      <c r="O14" s="418" t="s">
        <v>2311</v>
      </c>
      <c r="P14" s="415">
        <v>1</v>
      </c>
      <c r="Q14" s="415">
        <v>30</v>
      </c>
      <c r="R14" s="415">
        <v>5</v>
      </c>
      <c r="S14" s="415">
        <f t="shared" si="0"/>
        <v>5</v>
      </c>
      <c r="T14" s="419">
        <f t="shared" si="1"/>
        <v>0.83333333333333337</v>
      </c>
      <c r="U14" s="419">
        <f t="shared" si="2"/>
        <v>5.833333333333333</v>
      </c>
      <c r="V14" s="415" t="s">
        <v>662</v>
      </c>
      <c r="W14" s="415" t="s">
        <v>608</v>
      </c>
      <c r="X14" s="415" t="s">
        <v>663</v>
      </c>
      <c r="Y14" s="415"/>
    </row>
    <row r="15" spans="1:28" hidden="1" x14ac:dyDescent="0.25">
      <c r="A15" s="415">
        <v>14</v>
      </c>
      <c r="B15" s="415">
        <v>836</v>
      </c>
      <c r="C15" s="415">
        <v>13842</v>
      </c>
      <c r="D15" s="416" t="s">
        <v>716</v>
      </c>
      <c r="E15" s="416" t="s">
        <v>401</v>
      </c>
      <c r="F15" s="416" t="s">
        <v>412</v>
      </c>
      <c r="G15" s="416" t="s">
        <v>706</v>
      </c>
      <c r="H15" s="416" t="s">
        <v>667</v>
      </c>
      <c r="I15" s="416" t="s">
        <v>717</v>
      </c>
      <c r="J15" s="415" t="s">
        <v>661</v>
      </c>
      <c r="K15" s="417">
        <v>-5.9097999999999997</v>
      </c>
      <c r="L15" s="417">
        <v>-78.557299999999998</v>
      </c>
      <c r="M15" s="418">
        <v>30</v>
      </c>
      <c r="N15" s="418" t="s">
        <v>2310</v>
      </c>
      <c r="O15" s="418" t="s">
        <v>2311</v>
      </c>
      <c r="P15" s="415">
        <v>1</v>
      </c>
      <c r="Q15" s="415">
        <v>30</v>
      </c>
      <c r="R15" s="415">
        <v>5</v>
      </c>
      <c r="S15" s="415">
        <f t="shared" si="0"/>
        <v>5</v>
      </c>
      <c r="T15" s="419">
        <f t="shared" si="1"/>
        <v>0.83333333333333337</v>
      </c>
      <c r="U15" s="419">
        <f t="shared" si="2"/>
        <v>5.833333333333333</v>
      </c>
      <c r="V15" s="415" t="s">
        <v>662</v>
      </c>
      <c r="W15" s="415" t="s">
        <v>608</v>
      </c>
      <c r="X15" s="415" t="s">
        <v>663</v>
      </c>
      <c r="Y15" s="415"/>
    </row>
    <row r="16" spans="1:28" hidden="1" x14ac:dyDescent="0.25">
      <c r="A16" s="415">
        <v>15</v>
      </c>
      <c r="B16" s="415">
        <v>837</v>
      </c>
      <c r="C16" s="415">
        <v>13700</v>
      </c>
      <c r="D16" s="416" t="s">
        <v>714</v>
      </c>
      <c r="E16" s="416" t="s">
        <v>401</v>
      </c>
      <c r="F16" s="416" t="s">
        <v>412</v>
      </c>
      <c r="G16" s="416" t="s">
        <v>706</v>
      </c>
      <c r="H16" s="416" t="s">
        <v>691</v>
      </c>
      <c r="I16" s="416" t="s">
        <v>715</v>
      </c>
      <c r="J16" s="415" t="s">
        <v>661</v>
      </c>
      <c r="K16" s="417">
        <v>-5.8901479999999999</v>
      </c>
      <c r="L16" s="417">
        <v>-78.585054999999997</v>
      </c>
      <c r="M16" s="418">
        <v>30</v>
      </c>
      <c r="N16" s="418" t="s">
        <v>2310</v>
      </c>
      <c r="O16" s="418" t="s">
        <v>2311</v>
      </c>
      <c r="P16" s="415">
        <v>1</v>
      </c>
      <c r="Q16" s="415">
        <v>30</v>
      </c>
      <c r="R16" s="415">
        <v>5</v>
      </c>
      <c r="S16" s="415">
        <f t="shared" si="0"/>
        <v>5</v>
      </c>
      <c r="T16" s="419">
        <f t="shared" si="1"/>
        <v>0.83333333333333337</v>
      </c>
      <c r="U16" s="419">
        <f t="shared" si="2"/>
        <v>5.833333333333333</v>
      </c>
      <c r="V16" s="415" t="s">
        <v>662</v>
      </c>
      <c r="W16" s="415" t="s">
        <v>608</v>
      </c>
      <c r="X16" s="415" t="s">
        <v>663</v>
      </c>
      <c r="Y16" s="415"/>
    </row>
    <row r="17" spans="1:25" hidden="1" x14ac:dyDescent="0.25">
      <c r="A17" s="415">
        <v>16</v>
      </c>
      <c r="B17" s="415">
        <v>838</v>
      </c>
      <c r="C17" s="415">
        <v>13620</v>
      </c>
      <c r="D17" s="416" t="s">
        <v>712</v>
      </c>
      <c r="E17" s="416" t="s">
        <v>401</v>
      </c>
      <c r="F17" s="416" t="s">
        <v>412</v>
      </c>
      <c r="G17" s="416" t="s">
        <v>706</v>
      </c>
      <c r="H17" s="416" t="s">
        <v>713</v>
      </c>
      <c r="I17" s="416" t="s">
        <v>713</v>
      </c>
      <c r="J17" s="415" t="s">
        <v>661</v>
      </c>
      <c r="K17" s="417">
        <v>-5.9720230000000001</v>
      </c>
      <c r="L17" s="417">
        <v>-78.547781999999998</v>
      </c>
      <c r="M17" s="418">
        <v>30</v>
      </c>
      <c r="N17" s="418" t="s">
        <v>2310</v>
      </c>
      <c r="O17" s="418" t="s">
        <v>2311</v>
      </c>
      <c r="P17" s="415">
        <v>1</v>
      </c>
      <c r="Q17" s="415">
        <v>30</v>
      </c>
      <c r="R17" s="415">
        <v>5</v>
      </c>
      <c r="S17" s="415">
        <f t="shared" si="0"/>
        <v>5</v>
      </c>
      <c r="T17" s="419">
        <f t="shared" si="1"/>
        <v>0.83333333333333337</v>
      </c>
      <c r="U17" s="419">
        <f t="shared" si="2"/>
        <v>5.833333333333333</v>
      </c>
      <c r="V17" s="415" t="s">
        <v>662</v>
      </c>
      <c r="W17" s="415" t="s">
        <v>608</v>
      </c>
      <c r="X17" s="415" t="s">
        <v>663</v>
      </c>
      <c r="Y17" s="415"/>
    </row>
    <row r="18" spans="1:25" hidden="1" x14ac:dyDescent="0.25">
      <c r="A18" s="415">
        <v>17</v>
      </c>
      <c r="B18" s="415">
        <v>839</v>
      </c>
      <c r="C18" s="415">
        <v>382565</v>
      </c>
      <c r="D18" s="416" t="s">
        <v>1837</v>
      </c>
      <c r="E18" s="416" t="s">
        <v>548</v>
      </c>
      <c r="F18" s="416" t="s">
        <v>548</v>
      </c>
      <c r="G18" s="416" t="s">
        <v>1838</v>
      </c>
      <c r="H18" s="416" t="s">
        <v>1839</v>
      </c>
      <c r="I18" s="416" t="s">
        <v>1840</v>
      </c>
      <c r="J18" s="415" t="s">
        <v>661</v>
      </c>
      <c r="K18" s="417">
        <v>-4.3216970000000003</v>
      </c>
      <c r="L18" s="417">
        <v>-74.293822000000006</v>
      </c>
      <c r="M18" s="418">
        <v>30</v>
      </c>
      <c r="N18" s="418" t="s">
        <v>2310</v>
      </c>
      <c r="O18" s="418" t="s">
        <v>2311</v>
      </c>
      <c r="P18" s="415">
        <v>1</v>
      </c>
      <c r="Q18" s="415">
        <v>30</v>
      </c>
      <c r="R18" s="415">
        <v>5</v>
      </c>
      <c r="S18" s="415">
        <f t="shared" si="0"/>
        <v>5</v>
      </c>
      <c r="T18" s="419">
        <f t="shared" si="1"/>
        <v>0.83333333333333337</v>
      </c>
      <c r="U18" s="419">
        <f t="shared" si="2"/>
        <v>5.833333333333333</v>
      </c>
      <c r="V18" s="415" t="s">
        <v>692</v>
      </c>
      <c r="W18" s="415" t="s">
        <v>615</v>
      </c>
      <c r="X18" s="415" t="s">
        <v>615</v>
      </c>
      <c r="Y18" s="415"/>
    </row>
    <row r="19" spans="1:25" hidden="1" x14ac:dyDescent="0.25">
      <c r="A19" s="415">
        <v>18</v>
      </c>
      <c r="B19" s="415">
        <v>840</v>
      </c>
      <c r="C19" s="415">
        <v>382462</v>
      </c>
      <c r="D19" s="416" t="s">
        <v>2312</v>
      </c>
      <c r="E19" s="416" t="s">
        <v>548</v>
      </c>
      <c r="F19" s="416" t="s">
        <v>548</v>
      </c>
      <c r="G19" s="416" t="s">
        <v>1838</v>
      </c>
      <c r="H19" s="416" t="s">
        <v>2313</v>
      </c>
      <c r="I19" s="416" t="s">
        <v>1848</v>
      </c>
      <c r="J19" s="415" t="s">
        <v>661</v>
      </c>
      <c r="K19" s="417">
        <v>-4.2862</v>
      </c>
      <c r="L19" s="417">
        <v>-73.431099000000003</v>
      </c>
      <c r="M19" s="418">
        <v>30</v>
      </c>
      <c r="N19" s="418" t="s">
        <v>2310</v>
      </c>
      <c r="O19" s="418" t="s">
        <v>2311</v>
      </c>
      <c r="P19" s="415">
        <v>1</v>
      </c>
      <c r="Q19" s="415">
        <v>30</v>
      </c>
      <c r="R19" s="415">
        <v>5</v>
      </c>
      <c r="S19" s="415">
        <f t="shared" si="0"/>
        <v>5</v>
      </c>
      <c r="T19" s="419">
        <f t="shared" si="1"/>
        <v>0.83333333333333337</v>
      </c>
      <c r="U19" s="419">
        <f t="shared" si="2"/>
        <v>5.833333333333333</v>
      </c>
      <c r="V19" s="415" t="s">
        <v>692</v>
      </c>
      <c r="W19" s="415" t="s">
        <v>615</v>
      </c>
      <c r="X19" s="415" t="s">
        <v>615</v>
      </c>
      <c r="Y19" s="415"/>
    </row>
    <row r="20" spans="1:25" hidden="1" x14ac:dyDescent="0.25">
      <c r="A20" s="415">
        <v>19</v>
      </c>
      <c r="B20" s="415">
        <v>841</v>
      </c>
      <c r="C20" s="415">
        <v>384183</v>
      </c>
      <c r="D20" s="416" t="s">
        <v>1841</v>
      </c>
      <c r="E20" s="416" t="s">
        <v>548</v>
      </c>
      <c r="F20" s="416" t="s">
        <v>548</v>
      </c>
      <c r="G20" s="416" t="s">
        <v>1842</v>
      </c>
      <c r="H20" s="416" t="s">
        <v>1843</v>
      </c>
      <c r="I20" s="416" t="s">
        <v>1840</v>
      </c>
      <c r="J20" s="415" t="s">
        <v>661</v>
      </c>
      <c r="K20" s="417">
        <v>-2.3858039999999998</v>
      </c>
      <c r="L20" s="417">
        <v>-75.802870999999996</v>
      </c>
      <c r="M20" s="418">
        <v>30</v>
      </c>
      <c r="N20" s="418" t="s">
        <v>2310</v>
      </c>
      <c r="O20" s="418" t="s">
        <v>2311</v>
      </c>
      <c r="P20" s="415">
        <v>1</v>
      </c>
      <c r="Q20" s="415">
        <v>30</v>
      </c>
      <c r="R20" s="415">
        <v>5</v>
      </c>
      <c r="S20" s="415">
        <f t="shared" si="0"/>
        <v>5</v>
      </c>
      <c r="T20" s="419">
        <f t="shared" si="1"/>
        <v>0.83333333333333337</v>
      </c>
      <c r="U20" s="419">
        <f t="shared" si="2"/>
        <v>5.833333333333333</v>
      </c>
      <c r="V20" s="415" t="s">
        <v>692</v>
      </c>
      <c r="W20" s="415" t="s">
        <v>615</v>
      </c>
      <c r="X20" s="415" t="s">
        <v>615</v>
      </c>
      <c r="Y20" s="415"/>
    </row>
    <row r="21" spans="1:25" hidden="1" x14ac:dyDescent="0.25">
      <c r="A21" s="415">
        <v>20</v>
      </c>
      <c r="B21" s="415">
        <v>842</v>
      </c>
      <c r="C21" s="415">
        <v>386851</v>
      </c>
      <c r="D21" s="416" t="s">
        <v>1844</v>
      </c>
      <c r="E21" s="416" t="s">
        <v>548</v>
      </c>
      <c r="F21" s="416" t="s">
        <v>1845</v>
      </c>
      <c r="G21" s="416" t="s">
        <v>1846</v>
      </c>
      <c r="H21" s="416" t="s">
        <v>1847</v>
      </c>
      <c r="I21" s="416" t="s">
        <v>1398</v>
      </c>
      <c r="J21" s="415" t="s">
        <v>661</v>
      </c>
      <c r="K21" s="417">
        <v>-4.3525</v>
      </c>
      <c r="L21" s="417">
        <v>-70.043800000000005</v>
      </c>
      <c r="M21" s="418">
        <v>30</v>
      </c>
      <c r="N21" s="418" t="s">
        <v>2310</v>
      </c>
      <c r="O21" s="418" t="s">
        <v>2311</v>
      </c>
      <c r="P21" s="415">
        <v>1</v>
      </c>
      <c r="Q21" s="415">
        <v>30</v>
      </c>
      <c r="R21" s="415">
        <v>5</v>
      </c>
      <c r="S21" s="415">
        <f t="shared" si="0"/>
        <v>5</v>
      </c>
      <c r="T21" s="419">
        <f t="shared" si="1"/>
        <v>0.83333333333333337</v>
      </c>
      <c r="U21" s="419">
        <f t="shared" si="2"/>
        <v>5.833333333333333</v>
      </c>
      <c r="V21" s="415" t="s">
        <v>692</v>
      </c>
      <c r="W21" s="415" t="s">
        <v>615</v>
      </c>
      <c r="X21" s="415" t="s">
        <v>615</v>
      </c>
      <c r="Y21" s="415"/>
    </row>
    <row r="22" spans="1:25" hidden="1" x14ac:dyDescent="0.25">
      <c r="A22" s="415">
        <v>21</v>
      </c>
      <c r="B22" s="415">
        <v>843</v>
      </c>
      <c r="C22" s="415">
        <v>366891</v>
      </c>
      <c r="D22" s="416" t="s">
        <v>2314</v>
      </c>
      <c r="E22" s="416" t="s">
        <v>548</v>
      </c>
      <c r="F22" s="416" t="s">
        <v>1823</v>
      </c>
      <c r="G22" s="416" t="s">
        <v>2315</v>
      </c>
      <c r="H22" s="416" t="s">
        <v>2316</v>
      </c>
      <c r="I22" s="416" t="s">
        <v>1848</v>
      </c>
      <c r="J22" s="415" t="s">
        <v>661</v>
      </c>
      <c r="K22" s="417">
        <v>-3.8579509999999999</v>
      </c>
      <c r="L22" s="417">
        <v>-73.153603000000004</v>
      </c>
      <c r="M22" s="418">
        <v>30</v>
      </c>
      <c r="N22" s="418" t="s">
        <v>2310</v>
      </c>
      <c r="O22" s="418" t="s">
        <v>2311</v>
      </c>
      <c r="P22" s="415">
        <v>1</v>
      </c>
      <c r="Q22" s="415">
        <v>30</v>
      </c>
      <c r="R22" s="415">
        <v>5</v>
      </c>
      <c r="S22" s="415">
        <f t="shared" si="0"/>
        <v>5</v>
      </c>
      <c r="T22" s="419">
        <f t="shared" si="1"/>
        <v>0.83333333333333337</v>
      </c>
      <c r="U22" s="419">
        <f t="shared" si="2"/>
        <v>5.833333333333333</v>
      </c>
      <c r="V22" s="415" t="s">
        <v>692</v>
      </c>
      <c r="W22" s="415" t="s">
        <v>615</v>
      </c>
      <c r="X22" s="415" t="s">
        <v>615</v>
      </c>
      <c r="Y22" s="415"/>
    </row>
    <row r="23" spans="1:25" hidden="1" x14ac:dyDescent="0.25">
      <c r="A23" s="415">
        <v>22</v>
      </c>
      <c r="B23" s="415">
        <v>844</v>
      </c>
      <c r="C23" s="415">
        <v>365698</v>
      </c>
      <c r="D23" s="416" t="s">
        <v>2317</v>
      </c>
      <c r="E23" s="416" t="s">
        <v>548</v>
      </c>
      <c r="F23" s="416" t="s">
        <v>1823</v>
      </c>
      <c r="G23" s="416" t="s">
        <v>2318</v>
      </c>
      <c r="H23" s="416" t="s">
        <v>2318</v>
      </c>
      <c r="I23" s="416" t="s">
        <v>2319</v>
      </c>
      <c r="J23" s="415" t="s">
        <v>747</v>
      </c>
      <c r="K23" s="417">
        <v>-3.7318600000000002</v>
      </c>
      <c r="L23" s="417">
        <v>-73.265039999999999</v>
      </c>
      <c r="M23" s="418">
        <v>30</v>
      </c>
      <c r="N23" s="418" t="s">
        <v>2310</v>
      </c>
      <c r="O23" s="418" t="s">
        <v>2311</v>
      </c>
      <c r="P23" s="415">
        <v>1</v>
      </c>
      <c r="Q23" s="415">
        <v>30</v>
      </c>
      <c r="R23" s="415">
        <v>5</v>
      </c>
      <c r="S23" s="415">
        <f t="shared" si="0"/>
        <v>5</v>
      </c>
      <c r="T23" s="419">
        <f t="shared" si="1"/>
        <v>0.83333333333333337</v>
      </c>
      <c r="U23" s="419">
        <f t="shared" si="2"/>
        <v>5.833333333333333</v>
      </c>
      <c r="V23" s="415" t="s">
        <v>692</v>
      </c>
      <c r="W23" s="415" t="s">
        <v>615</v>
      </c>
      <c r="X23" s="415" t="s">
        <v>615</v>
      </c>
      <c r="Y23" s="415"/>
    </row>
    <row r="24" spans="1:25" hidden="1" x14ac:dyDescent="0.25">
      <c r="A24" s="415">
        <v>23</v>
      </c>
      <c r="B24" s="415">
        <v>845</v>
      </c>
      <c r="C24" s="415">
        <v>372321</v>
      </c>
      <c r="D24" s="416" t="s">
        <v>1828</v>
      </c>
      <c r="E24" s="416" t="s">
        <v>548</v>
      </c>
      <c r="F24" s="416" t="s">
        <v>1823</v>
      </c>
      <c r="G24" s="416" t="s">
        <v>1829</v>
      </c>
      <c r="H24" s="416" t="s">
        <v>1830</v>
      </c>
      <c r="I24" s="416" t="s">
        <v>1831</v>
      </c>
      <c r="J24" s="415" t="s">
        <v>747</v>
      </c>
      <c r="K24" s="417">
        <v>-2.4903550000000001</v>
      </c>
      <c r="L24" s="417">
        <v>-73.681512999999995</v>
      </c>
      <c r="M24" s="418">
        <v>30</v>
      </c>
      <c r="N24" s="418" t="s">
        <v>2310</v>
      </c>
      <c r="O24" s="418" t="s">
        <v>2311</v>
      </c>
      <c r="P24" s="415">
        <v>1</v>
      </c>
      <c r="Q24" s="415">
        <v>30</v>
      </c>
      <c r="R24" s="415">
        <v>5</v>
      </c>
      <c r="S24" s="415">
        <f t="shared" si="0"/>
        <v>5</v>
      </c>
      <c r="T24" s="419">
        <f t="shared" si="1"/>
        <v>0.83333333333333337</v>
      </c>
      <c r="U24" s="419">
        <f t="shared" si="2"/>
        <v>5.833333333333333</v>
      </c>
      <c r="V24" s="415" t="s">
        <v>692</v>
      </c>
      <c r="W24" s="415" t="s">
        <v>615</v>
      </c>
      <c r="X24" s="415" t="s">
        <v>615</v>
      </c>
      <c r="Y24" s="415"/>
    </row>
    <row r="25" spans="1:25" hidden="1" x14ac:dyDescent="0.25">
      <c r="A25" s="415">
        <v>24</v>
      </c>
      <c r="B25" s="415">
        <v>846</v>
      </c>
      <c r="C25" s="415">
        <v>374202</v>
      </c>
      <c r="D25" s="416" t="s">
        <v>1832</v>
      </c>
      <c r="E25" s="416" t="s">
        <v>548</v>
      </c>
      <c r="F25" s="416" t="s">
        <v>1833</v>
      </c>
      <c r="G25" s="416" t="s">
        <v>1834</v>
      </c>
      <c r="H25" s="416" t="s">
        <v>1835</v>
      </c>
      <c r="I25" s="416" t="s">
        <v>1836</v>
      </c>
      <c r="J25" s="415" t="s">
        <v>661</v>
      </c>
      <c r="K25" s="417">
        <v>-9.7939999999999999E-2</v>
      </c>
      <c r="L25" s="417">
        <v>-75.230348000000006</v>
      </c>
      <c r="M25" s="418">
        <v>30</v>
      </c>
      <c r="N25" s="418" t="s">
        <v>2310</v>
      </c>
      <c r="O25" s="418" t="s">
        <v>2311</v>
      </c>
      <c r="P25" s="415">
        <v>1</v>
      </c>
      <c r="Q25" s="415">
        <v>30</v>
      </c>
      <c r="R25" s="415">
        <v>5</v>
      </c>
      <c r="S25" s="415">
        <f t="shared" si="0"/>
        <v>5</v>
      </c>
      <c r="T25" s="419">
        <f t="shared" si="1"/>
        <v>0.83333333333333337</v>
      </c>
      <c r="U25" s="419">
        <f t="shared" si="2"/>
        <v>5.833333333333333</v>
      </c>
      <c r="V25" s="415" t="s">
        <v>692</v>
      </c>
      <c r="W25" s="415" t="s">
        <v>615</v>
      </c>
      <c r="X25" s="415" t="s">
        <v>615</v>
      </c>
      <c r="Y25" s="415"/>
    </row>
    <row r="26" spans="1:25" hidden="1" x14ac:dyDescent="0.25">
      <c r="A26" s="415">
        <v>25</v>
      </c>
      <c r="B26" s="415">
        <v>847</v>
      </c>
      <c r="C26" s="415">
        <v>648264</v>
      </c>
      <c r="D26" s="416" t="s">
        <v>2254</v>
      </c>
      <c r="E26" s="416" t="s">
        <v>548</v>
      </c>
      <c r="F26" s="416" t="s">
        <v>1833</v>
      </c>
      <c r="G26" s="416" t="s">
        <v>2255</v>
      </c>
      <c r="H26" s="416" t="s">
        <v>2256</v>
      </c>
      <c r="I26" s="416" t="s">
        <v>2257</v>
      </c>
      <c r="J26" s="415" t="s">
        <v>661</v>
      </c>
      <c r="K26" s="417">
        <v>-2.794</v>
      </c>
      <c r="L26" s="417">
        <v>-70.086799999999997</v>
      </c>
      <c r="M26" s="418">
        <v>30</v>
      </c>
      <c r="N26" s="418" t="s">
        <v>2310</v>
      </c>
      <c r="O26" s="418" t="s">
        <v>2311</v>
      </c>
      <c r="P26" s="415">
        <v>1</v>
      </c>
      <c r="Q26" s="415">
        <v>30</v>
      </c>
      <c r="R26" s="415">
        <v>5</v>
      </c>
      <c r="S26" s="415">
        <f t="shared" si="0"/>
        <v>5</v>
      </c>
      <c r="T26" s="419">
        <f t="shared" si="1"/>
        <v>0.83333333333333337</v>
      </c>
      <c r="U26" s="419">
        <f t="shared" si="2"/>
        <v>5.833333333333333</v>
      </c>
      <c r="V26" s="415" t="s">
        <v>692</v>
      </c>
      <c r="W26" s="415" t="s">
        <v>615</v>
      </c>
      <c r="X26" s="415" t="s">
        <v>615</v>
      </c>
      <c r="Y26" s="415"/>
    </row>
    <row r="27" spans="1:25" hidden="1" x14ac:dyDescent="0.25">
      <c r="A27" s="415">
        <v>26</v>
      </c>
      <c r="B27" s="415">
        <v>848</v>
      </c>
      <c r="C27" s="415">
        <v>393502</v>
      </c>
      <c r="D27" s="416" t="s">
        <v>1852</v>
      </c>
      <c r="E27" s="416" t="s">
        <v>548</v>
      </c>
      <c r="F27" s="416" t="s">
        <v>595</v>
      </c>
      <c r="G27" s="416" t="s">
        <v>1850</v>
      </c>
      <c r="H27" s="416" t="s">
        <v>1852</v>
      </c>
      <c r="I27" s="416" t="s">
        <v>1853</v>
      </c>
      <c r="J27" s="415" t="s">
        <v>747</v>
      </c>
      <c r="K27" s="417">
        <v>-6.0336819999999998</v>
      </c>
      <c r="L27" s="417">
        <v>-74.853622000000001</v>
      </c>
      <c r="M27" s="418">
        <v>30</v>
      </c>
      <c r="N27" s="418" t="s">
        <v>2310</v>
      </c>
      <c r="O27" s="418" t="s">
        <v>2311</v>
      </c>
      <c r="P27" s="415">
        <v>1</v>
      </c>
      <c r="Q27" s="415">
        <v>30</v>
      </c>
      <c r="R27" s="415">
        <v>5</v>
      </c>
      <c r="S27" s="415">
        <f t="shared" si="0"/>
        <v>5</v>
      </c>
      <c r="T27" s="419">
        <f t="shared" si="1"/>
        <v>0.83333333333333337</v>
      </c>
      <c r="U27" s="419">
        <f t="shared" si="2"/>
        <v>5.833333333333333</v>
      </c>
      <c r="V27" s="415" t="s">
        <v>692</v>
      </c>
      <c r="W27" s="415" t="s">
        <v>615</v>
      </c>
      <c r="X27" s="415" t="s">
        <v>615</v>
      </c>
      <c r="Y27" s="415"/>
    </row>
    <row r="28" spans="1:25" hidden="1" x14ac:dyDescent="0.25">
      <c r="A28" s="415">
        <v>27</v>
      </c>
      <c r="B28" s="415">
        <v>849</v>
      </c>
      <c r="C28" s="415">
        <v>393173</v>
      </c>
      <c r="D28" s="416" t="s">
        <v>1849</v>
      </c>
      <c r="E28" s="416" t="s">
        <v>548</v>
      </c>
      <c r="F28" s="416" t="s">
        <v>595</v>
      </c>
      <c r="G28" s="416" t="s">
        <v>1850</v>
      </c>
      <c r="H28" s="416" t="s">
        <v>1849</v>
      </c>
      <c r="I28" s="416" t="s">
        <v>1851</v>
      </c>
      <c r="J28" s="415" t="s">
        <v>661</v>
      </c>
      <c r="K28" s="417">
        <v>-6.5603920000000002</v>
      </c>
      <c r="L28" s="417">
        <v>-75.175915000000003</v>
      </c>
      <c r="M28" s="418">
        <v>30</v>
      </c>
      <c r="N28" s="418" t="s">
        <v>2310</v>
      </c>
      <c r="O28" s="418" t="s">
        <v>2311</v>
      </c>
      <c r="P28" s="415">
        <v>1</v>
      </c>
      <c r="Q28" s="415">
        <v>30</v>
      </c>
      <c r="R28" s="415">
        <v>5</v>
      </c>
      <c r="S28" s="415">
        <f t="shared" si="0"/>
        <v>5</v>
      </c>
      <c r="T28" s="419">
        <f t="shared" si="1"/>
        <v>0.83333333333333337</v>
      </c>
      <c r="U28" s="419">
        <f t="shared" si="2"/>
        <v>5.833333333333333</v>
      </c>
      <c r="V28" s="415" t="s">
        <v>692</v>
      </c>
      <c r="W28" s="415" t="s">
        <v>615</v>
      </c>
      <c r="X28" s="415" t="s">
        <v>615</v>
      </c>
      <c r="Y28" s="415"/>
    </row>
    <row r="29" spans="1:25" hidden="1" x14ac:dyDescent="0.25">
      <c r="A29" s="415">
        <v>28</v>
      </c>
      <c r="B29" s="415">
        <v>850</v>
      </c>
      <c r="C29" s="415">
        <v>393917</v>
      </c>
      <c r="D29" s="416" t="s">
        <v>1856</v>
      </c>
      <c r="E29" s="416" t="s">
        <v>548</v>
      </c>
      <c r="F29" s="416" t="s">
        <v>595</v>
      </c>
      <c r="G29" s="416" t="s">
        <v>1854</v>
      </c>
      <c r="H29" s="416" t="s">
        <v>1855</v>
      </c>
      <c r="I29" s="416" t="s">
        <v>1855</v>
      </c>
      <c r="J29" s="415" t="s">
        <v>747</v>
      </c>
      <c r="K29" s="417">
        <v>-6.913144</v>
      </c>
      <c r="L29" s="417">
        <v>-75.160437000000002</v>
      </c>
      <c r="M29" s="418">
        <v>30</v>
      </c>
      <c r="N29" s="418" t="s">
        <v>2310</v>
      </c>
      <c r="O29" s="418" t="s">
        <v>2311</v>
      </c>
      <c r="P29" s="415">
        <v>1</v>
      </c>
      <c r="Q29" s="415">
        <v>30</v>
      </c>
      <c r="R29" s="415">
        <v>5</v>
      </c>
      <c r="S29" s="415">
        <f t="shared" si="0"/>
        <v>5</v>
      </c>
      <c r="T29" s="419">
        <f t="shared" si="1"/>
        <v>0.83333333333333337</v>
      </c>
      <c r="U29" s="419">
        <f t="shared" si="2"/>
        <v>5.833333333333333</v>
      </c>
      <c r="V29" s="415" t="s">
        <v>692</v>
      </c>
      <c r="W29" s="415" t="s">
        <v>615</v>
      </c>
      <c r="X29" s="415" t="s">
        <v>615</v>
      </c>
      <c r="Y29" s="415"/>
    </row>
    <row r="30" spans="1:25" hidden="1" x14ac:dyDescent="0.25">
      <c r="A30" s="415">
        <v>29</v>
      </c>
      <c r="B30" s="415">
        <v>851</v>
      </c>
      <c r="C30" s="415">
        <v>396138</v>
      </c>
      <c r="D30" s="416" t="s">
        <v>1867</v>
      </c>
      <c r="E30" s="416" t="s">
        <v>549</v>
      </c>
      <c r="F30" s="416" t="s">
        <v>552</v>
      </c>
      <c r="G30" s="416" t="s">
        <v>1864</v>
      </c>
      <c r="H30" s="416" t="s">
        <v>1868</v>
      </c>
      <c r="I30" s="416" t="s">
        <v>1869</v>
      </c>
      <c r="J30" s="415" t="s">
        <v>661</v>
      </c>
      <c r="K30" s="417">
        <v>-13.026598999999999</v>
      </c>
      <c r="L30" s="417">
        <v>-70.497377999999998</v>
      </c>
      <c r="M30" s="418">
        <v>30</v>
      </c>
      <c r="N30" s="418" t="s">
        <v>2310</v>
      </c>
      <c r="O30" s="418" t="s">
        <v>2311</v>
      </c>
      <c r="P30" s="415">
        <v>1</v>
      </c>
      <c r="Q30" s="415">
        <v>30</v>
      </c>
      <c r="R30" s="415">
        <v>5</v>
      </c>
      <c r="S30" s="415">
        <f t="shared" si="0"/>
        <v>5</v>
      </c>
      <c r="T30" s="419">
        <f t="shared" si="1"/>
        <v>0.83333333333333337</v>
      </c>
      <c r="U30" s="419">
        <f t="shared" si="2"/>
        <v>5.833333333333333</v>
      </c>
      <c r="V30" s="415" t="s">
        <v>662</v>
      </c>
      <c r="W30" s="415" t="s">
        <v>675</v>
      </c>
      <c r="X30" s="415" t="s">
        <v>673</v>
      </c>
      <c r="Y30" s="415"/>
    </row>
    <row r="31" spans="1:25" hidden="1" x14ac:dyDescent="0.25">
      <c r="A31" s="415">
        <v>30</v>
      </c>
      <c r="B31" s="415">
        <v>852</v>
      </c>
      <c r="C31" s="415">
        <v>396063</v>
      </c>
      <c r="D31" s="416" t="s">
        <v>2320</v>
      </c>
      <c r="E31" s="416" t="s">
        <v>549</v>
      </c>
      <c r="F31" s="416" t="s">
        <v>552</v>
      </c>
      <c r="G31" s="416" t="s">
        <v>1864</v>
      </c>
      <c r="H31" s="416" t="s">
        <v>2321</v>
      </c>
      <c r="I31" s="416" t="s">
        <v>2278</v>
      </c>
      <c r="J31" s="415" t="s">
        <v>661</v>
      </c>
      <c r="K31" s="417">
        <v>-13.03443</v>
      </c>
      <c r="L31" s="417">
        <v>-70.428686999999996</v>
      </c>
      <c r="M31" s="418">
        <v>30</v>
      </c>
      <c r="N31" s="418" t="s">
        <v>2310</v>
      </c>
      <c r="O31" s="418" t="s">
        <v>2311</v>
      </c>
      <c r="P31" s="415">
        <v>1</v>
      </c>
      <c r="Q31" s="415">
        <v>30</v>
      </c>
      <c r="R31" s="415">
        <v>5</v>
      </c>
      <c r="S31" s="415">
        <f t="shared" si="0"/>
        <v>5</v>
      </c>
      <c r="T31" s="419">
        <f t="shared" si="1"/>
        <v>0.83333333333333337</v>
      </c>
      <c r="U31" s="419">
        <f t="shared" si="2"/>
        <v>5.833333333333333</v>
      </c>
      <c r="V31" s="415" t="s">
        <v>662</v>
      </c>
      <c r="W31" s="415" t="s">
        <v>675</v>
      </c>
      <c r="X31" s="415" t="s">
        <v>673</v>
      </c>
      <c r="Y31" s="415"/>
    </row>
    <row r="32" spans="1:25" hidden="1" x14ac:dyDescent="0.25">
      <c r="A32" s="415">
        <v>31</v>
      </c>
      <c r="B32" s="415">
        <v>853</v>
      </c>
      <c r="C32" s="415">
        <v>396082</v>
      </c>
      <c r="D32" s="416" t="s">
        <v>2322</v>
      </c>
      <c r="E32" s="416" t="s">
        <v>549</v>
      </c>
      <c r="F32" s="416" t="s">
        <v>552</v>
      </c>
      <c r="G32" s="416" t="s">
        <v>1864</v>
      </c>
      <c r="H32" s="416" t="s">
        <v>2323</v>
      </c>
      <c r="I32" s="416" t="s">
        <v>2324</v>
      </c>
      <c r="J32" s="415" t="s">
        <v>661</v>
      </c>
      <c r="K32" s="417">
        <v>-12.98236</v>
      </c>
      <c r="L32" s="417">
        <v>-70.591291999999996</v>
      </c>
      <c r="M32" s="418">
        <v>30</v>
      </c>
      <c r="N32" s="418" t="s">
        <v>2310</v>
      </c>
      <c r="O32" s="418" t="s">
        <v>2311</v>
      </c>
      <c r="P32" s="415">
        <v>1</v>
      </c>
      <c r="Q32" s="415">
        <v>30</v>
      </c>
      <c r="R32" s="415">
        <v>5</v>
      </c>
      <c r="S32" s="415">
        <f t="shared" si="0"/>
        <v>5</v>
      </c>
      <c r="T32" s="419">
        <f t="shared" si="1"/>
        <v>0.83333333333333337</v>
      </c>
      <c r="U32" s="419">
        <f t="shared" si="2"/>
        <v>5.833333333333333</v>
      </c>
      <c r="V32" s="415" t="s">
        <v>662</v>
      </c>
      <c r="W32" s="415" t="s">
        <v>675</v>
      </c>
      <c r="X32" s="415" t="s">
        <v>673</v>
      </c>
      <c r="Y32" s="415"/>
    </row>
    <row r="33" spans="1:25" hidden="1" x14ac:dyDescent="0.25">
      <c r="A33" s="415">
        <v>32</v>
      </c>
      <c r="B33" s="415">
        <v>854</v>
      </c>
      <c r="C33" s="415">
        <v>758200</v>
      </c>
      <c r="D33" s="416" t="s">
        <v>2325</v>
      </c>
      <c r="E33" s="416" t="s">
        <v>549</v>
      </c>
      <c r="F33" s="416" t="s">
        <v>552</v>
      </c>
      <c r="G33" s="416" t="s">
        <v>1864</v>
      </c>
      <c r="H33" s="416" t="s">
        <v>2326</v>
      </c>
      <c r="I33" s="416" t="s">
        <v>2327</v>
      </c>
      <c r="J33" s="415" t="s">
        <v>747</v>
      </c>
      <c r="K33" s="417">
        <v>-12.9938</v>
      </c>
      <c r="L33" s="417">
        <v>-70.524199999999993</v>
      </c>
      <c r="M33" s="418">
        <v>30</v>
      </c>
      <c r="N33" s="418" t="s">
        <v>2310</v>
      </c>
      <c r="O33" s="418" t="s">
        <v>2311</v>
      </c>
      <c r="P33" s="415">
        <v>1</v>
      </c>
      <c r="Q33" s="415">
        <v>30</v>
      </c>
      <c r="R33" s="415">
        <v>5</v>
      </c>
      <c r="S33" s="415">
        <f t="shared" si="0"/>
        <v>5</v>
      </c>
      <c r="T33" s="419">
        <f t="shared" si="1"/>
        <v>0.83333333333333337</v>
      </c>
      <c r="U33" s="419">
        <f t="shared" si="2"/>
        <v>5.833333333333333</v>
      </c>
      <c r="V33" s="415" t="s">
        <v>662</v>
      </c>
      <c r="W33" s="415" t="s">
        <v>675</v>
      </c>
      <c r="X33" s="415" t="s">
        <v>673</v>
      </c>
      <c r="Y33" s="415"/>
    </row>
    <row r="34" spans="1:25" hidden="1" x14ac:dyDescent="0.25">
      <c r="A34" s="415">
        <v>33</v>
      </c>
      <c r="B34" s="415">
        <v>855</v>
      </c>
      <c r="C34" s="415">
        <v>396020</v>
      </c>
      <c r="D34" s="416" t="s">
        <v>1863</v>
      </c>
      <c r="E34" s="416" t="s">
        <v>549</v>
      </c>
      <c r="F34" s="416" t="s">
        <v>552</v>
      </c>
      <c r="G34" s="416" t="s">
        <v>1864</v>
      </c>
      <c r="H34" s="416" t="s">
        <v>1865</v>
      </c>
      <c r="I34" s="416" t="s">
        <v>1866</v>
      </c>
      <c r="J34" s="415" t="s">
        <v>661</v>
      </c>
      <c r="K34" s="417">
        <v>-13.065574</v>
      </c>
      <c r="L34" s="417">
        <v>-70.395272000000006</v>
      </c>
      <c r="M34" s="418">
        <v>30</v>
      </c>
      <c r="N34" s="418" t="s">
        <v>2310</v>
      </c>
      <c r="O34" s="418" t="s">
        <v>2311</v>
      </c>
      <c r="P34" s="415">
        <v>1</v>
      </c>
      <c r="Q34" s="415">
        <v>30</v>
      </c>
      <c r="R34" s="415">
        <v>5</v>
      </c>
      <c r="S34" s="415">
        <f t="shared" si="0"/>
        <v>5</v>
      </c>
      <c r="T34" s="419">
        <f t="shared" si="1"/>
        <v>0.83333333333333337</v>
      </c>
      <c r="U34" s="419">
        <f t="shared" si="2"/>
        <v>5.833333333333333</v>
      </c>
      <c r="V34" s="415" t="s">
        <v>662</v>
      </c>
      <c r="W34" s="415" t="s">
        <v>675</v>
      </c>
      <c r="X34" s="415" t="s">
        <v>673</v>
      </c>
      <c r="Y34" s="415"/>
    </row>
    <row r="35" spans="1:25" hidden="1" x14ac:dyDescent="0.25">
      <c r="A35" s="415">
        <v>34</v>
      </c>
      <c r="B35" s="415">
        <v>856</v>
      </c>
      <c r="C35" s="415">
        <v>396044</v>
      </c>
      <c r="D35" s="416" t="s">
        <v>2328</v>
      </c>
      <c r="E35" s="416" t="s">
        <v>549</v>
      </c>
      <c r="F35" s="416" t="s">
        <v>552</v>
      </c>
      <c r="G35" s="416" t="s">
        <v>549</v>
      </c>
      <c r="H35" s="416" t="s">
        <v>2329</v>
      </c>
      <c r="I35" s="416" t="s">
        <v>2330</v>
      </c>
      <c r="J35" s="415" t="s">
        <v>747</v>
      </c>
      <c r="K35" s="417">
        <v>-12.619058000000001</v>
      </c>
      <c r="L35" s="417">
        <v>-70.395501999999993</v>
      </c>
      <c r="M35" s="418">
        <v>30</v>
      </c>
      <c r="N35" s="418" t="s">
        <v>2310</v>
      </c>
      <c r="O35" s="418" t="s">
        <v>2311</v>
      </c>
      <c r="P35" s="415">
        <v>1</v>
      </c>
      <c r="Q35" s="415">
        <v>30</v>
      </c>
      <c r="R35" s="415">
        <v>5</v>
      </c>
      <c r="S35" s="415">
        <f t="shared" si="0"/>
        <v>5</v>
      </c>
      <c r="T35" s="419">
        <f t="shared" si="1"/>
        <v>0.83333333333333337</v>
      </c>
      <c r="U35" s="419">
        <f t="shared" si="2"/>
        <v>5.833333333333333</v>
      </c>
      <c r="V35" s="415" t="s">
        <v>662</v>
      </c>
      <c r="W35" s="415" t="s">
        <v>675</v>
      </c>
      <c r="X35" s="415" t="s">
        <v>673</v>
      </c>
      <c r="Y35" s="415"/>
    </row>
    <row r="36" spans="1:25" hidden="1" x14ac:dyDescent="0.25">
      <c r="A36" s="415">
        <v>35</v>
      </c>
      <c r="B36" s="415">
        <v>857</v>
      </c>
      <c r="C36" s="415">
        <v>757696</v>
      </c>
      <c r="D36" s="416" t="s">
        <v>2328</v>
      </c>
      <c r="E36" s="416" t="s">
        <v>549</v>
      </c>
      <c r="F36" s="416" t="s">
        <v>552</v>
      </c>
      <c r="G36" s="416" t="s">
        <v>549</v>
      </c>
      <c r="H36" s="416" t="s">
        <v>2329</v>
      </c>
      <c r="I36" s="416" t="s">
        <v>2330</v>
      </c>
      <c r="J36" s="415" t="s">
        <v>747</v>
      </c>
      <c r="K36" s="417">
        <v>-12.618095</v>
      </c>
      <c r="L36" s="417">
        <v>-70.394255000000001</v>
      </c>
      <c r="M36" s="418">
        <v>30</v>
      </c>
      <c r="N36" s="418" t="s">
        <v>2310</v>
      </c>
      <c r="O36" s="418" t="s">
        <v>2311</v>
      </c>
      <c r="P36" s="415">
        <v>1</v>
      </c>
      <c r="Q36" s="415">
        <v>30</v>
      </c>
      <c r="R36" s="415">
        <v>5</v>
      </c>
      <c r="S36" s="415">
        <f t="shared" si="0"/>
        <v>5</v>
      </c>
      <c r="T36" s="419">
        <f t="shared" si="1"/>
        <v>0.83333333333333337</v>
      </c>
      <c r="U36" s="419">
        <f t="shared" si="2"/>
        <v>5.833333333333333</v>
      </c>
      <c r="V36" s="415" t="s">
        <v>662</v>
      </c>
      <c r="W36" s="415" t="s">
        <v>675</v>
      </c>
      <c r="X36" s="415" t="s">
        <v>673</v>
      </c>
      <c r="Y36" s="415"/>
    </row>
    <row r="37" spans="1:25" hidden="1" x14ac:dyDescent="0.25">
      <c r="A37" s="415">
        <v>36</v>
      </c>
      <c r="B37" s="415">
        <v>858</v>
      </c>
      <c r="C37" s="415">
        <v>394832</v>
      </c>
      <c r="D37" s="416" t="s">
        <v>873</v>
      </c>
      <c r="E37" s="416" t="s">
        <v>549</v>
      </c>
      <c r="F37" s="416" t="s">
        <v>551</v>
      </c>
      <c r="G37" s="416" t="s">
        <v>1861</v>
      </c>
      <c r="H37" s="416" t="s">
        <v>2331</v>
      </c>
      <c r="I37" s="416" t="s">
        <v>2148</v>
      </c>
      <c r="J37" s="415" t="s">
        <v>747</v>
      </c>
      <c r="K37" s="417">
        <v>-13.100699000000001</v>
      </c>
      <c r="L37" s="417">
        <v>-70.369771999999998</v>
      </c>
      <c r="M37" s="418">
        <v>30</v>
      </c>
      <c r="N37" s="418" t="s">
        <v>2310</v>
      </c>
      <c r="O37" s="418" t="s">
        <v>2311</v>
      </c>
      <c r="P37" s="415">
        <v>1</v>
      </c>
      <c r="Q37" s="415">
        <v>30</v>
      </c>
      <c r="R37" s="415">
        <v>5</v>
      </c>
      <c r="S37" s="415">
        <f t="shared" si="0"/>
        <v>5</v>
      </c>
      <c r="T37" s="419">
        <f t="shared" si="1"/>
        <v>0.83333333333333337</v>
      </c>
      <c r="U37" s="419">
        <f t="shared" si="2"/>
        <v>5.833333333333333</v>
      </c>
      <c r="V37" s="415" t="s">
        <v>662</v>
      </c>
      <c r="W37" s="415" t="s">
        <v>675</v>
      </c>
      <c r="X37" s="415" t="s">
        <v>673</v>
      </c>
      <c r="Y37" s="415"/>
    </row>
    <row r="38" spans="1:25" hidden="1" x14ac:dyDescent="0.25">
      <c r="A38" s="415">
        <v>37</v>
      </c>
      <c r="B38" s="415">
        <v>859</v>
      </c>
      <c r="C38" s="415">
        <v>394912</v>
      </c>
      <c r="D38" s="416" t="s">
        <v>2332</v>
      </c>
      <c r="E38" s="416" t="s">
        <v>549</v>
      </c>
      <c r="F38" s="416" t="s">
        <v>551</v>
      </c>
      <c r="G38" s="416" t="s">
        <v>1861</v>
      </c>
      <c r="H38" s="416" t="s">
        <v>2333</v>
      </c>
      <c r="I38" s="416" t="s">
        <v>2334</v>
      </c>
      <c r="J38" s="415" t="s">
        <v>661</v>
      </c>
      <c r="K38" s="417">
        <v>-13.090400000000001</v>
      </c>
      <c r="L38" s="417">
        <v>-70.391099999999994</v>
      </c>
      <c r="M38" s="418">
        <v>30</v>
      </c>
      <c r="N38" s="418" t="s">
        <v>2310</v>
      </c>
      <c r="O38" s="418" t="s">
        <v>2311</v>
      </c>
      <c r="P38" s="415">
        <v>1</v>
      </c>
      <c r="Q38" s="415">
        <v>30</v>
      </c>
      <c r="R38" s="415">
        <v>5</v>
      </c>
      <c r="S38" s="415">
        <f t="shared" si="0"/>
        <v>5</v>
      </c>
      <c r="T38" s="419">
        <f t="shared" si="1"/>
        <v>0.83333333333333337</v>
      </c>
      <c r="U38" s="419">
        <f t="shared" si="2"/>
        <v>5.833333333333333</v>
      </c>
      <c r="V38" s="415" t="s">
        <v>662</v>
      </c>
      <c r="W38" s="415" t="s">
        <v>675</v>
      </c>
      <c r="X38" s="415" t="s">
        <v>673</v>
      </c>
      <c r="Y38" s="415"/>
    </row>
    <row r="39" spans="1:25" hidden="1" x14ac:dyDescent="0.25">
      <c r="A39" s="415">
        <v>38</v>
      </c>
      <c r="B39" s="415">
        <v>860</v>
      </c>
      <c r="C39" s="415">
        <v>394988</v>
      </c>
      <c r="D39" s="416" t="s">
        <v>1860</v>
      </c>
      <c r="E39" s="416" t="s">
        <v>549</v>
      </c>
      <c r="F39" s="416" t="s">
        <v>551</v>
      </c>
      <c r="G39" s="416" t="s">
        <v>1861</v>
      </c>
      <c r="H39" s="416" t="s">
        <v>1850</v>
      </c>
      <c r="I39" s="416" t="s">
        <v>1862</v>
      </c>
      <c r="J39" s="415" t="s">
        <v>661</v>
      </c>
      <c r="K39" s="417">
        <v>-12.797368000000001</v>
      </c>
      <c r="L39" s="417">
        <v>-70.035534999999996</v>
      </c>
      <c r="M39" s="418">
        <v>30</v>
      </c>
      <c r="N39" s="418" t="s">
        <v>2310</v>
      </c>
      <c r="O39" s="418" t="s">
        <v>2311</v>
      </c>
      <c r="P39" s="415">
        <v>1</v>
      </c>
      <c r="Q39" s="415">
        <v>30</v>
      </c>
      <c r="R39" s="415">
        <v>5</v>
      </c>
      <c r="S39" s="415">
        <f t="shared" si="0"/>
        <v>5</v>
      </c>
      <c r="T39" s="419">
        <f t="shared" si="1"/>
        <v>0.83333333333333337</v>
      </c>
      <c r="U39" s="419">
        <f t="shared" si="2"/>
        <v>5.833333333333333</v>
      </c>
      <c r="V39" s="415" t="s">
        <v>662</v>
      </c>
      <c r="W39" s="415" t="s">
        <v>675</v>
      </c>
      <c r="X39" s="415" t="s">
        <v>673</v>
      </c>
      <c r="Y39" s="415"/>
    </row>
    <row r="40" spans="1:25" hidden="1" x14ac:dyDescent="0.25">
      <c r="A40" s="415">
        <v>39</v>
      </c>
      <c r="B40" s="415">
        <v>861</v>
      </c>
      <c r="C40" s="415">
        <v>395582</v>
      </c>
      <c r="D40" s="416" t="s">
        <v>2335</v>
      </c>
      <c r="E40" s="416" t="s">
        <v>549</v>
      </c>
      <c r="F40" s="416" t="s">
        <v>551</v>
      </c>
      <c r="G40" s="416" t="s">
        <v>1861</v>
      </c>
      <c r="H40" s="416" t="s">
        <v>944</v>
      </c>
      <c r="I40" s="416" t="s">
        <v>2336</v>
      </c>
      <c r="J40" s="415" t="s">
        <v>661</v>
      </c>
      <c r="K40" s="417">
        <v>-12.8797</v>
      </c>
      <c r="L40" s="417">
        <v>-69.826499999999996</v>
      </c>
      <c r="M40" s="418">
        <v>30</v>
      </c>
      <c r="N40" s="418" t="s">
        <v>2310</v>
      </c>
      <c r="O40" s="418" t="s">
        <v>2311</v>
      </c>
      <c r="P40" s="415">
        <v>1</v>
      </c>
      <c r="Q40" s="415">
        <v>30</v>
      </c>
      <c r="R40" s="415">
        <v>5</v>
      </c>
      <c r="S40" s="415">
        <f t="shared" si="0"/>
        <v>5</v>
      </c>
      <c r="T40" s="419">
        <f t="shared" si="1"/>
        <v>0.83333333333333337</v>
      </c>
      <c r="U40" s="419">
        <f t="shared" si="2"/>
        <v>5.833333333333333</v>
      </c>
      <c r="V40" s="415" t="s">
        <v>692</v>
      </c>
      <c r="W40" s="415" t="s">
        <v>615</v>
      </c>
      <c r="X40" s="415" t="s">
        <v>615</v>
      </c>
      <c r="Y40" s="415"/>
    </row>
    <row r="41" spans="1:25" hidden="1" x14ac:dyDescent="0.25">
      <c r="A41" s="415">
        <v>40</v>
      </c>
      <c r="B41" s="415">
        <v>862</v>
      </c>
      <c r="C41" s="415">
        <v>252470</v>
      </c>
      <c r="D41" s="416" t="s">
        <v>2337</v>
      </c>
      <c r="E41" s="416" t="s">
        <v>549</v>
      </c>
      <c r="F41" s="416" t="s">
        <v>551</v>
      </c>
      <c r="G41" s="416" t="s">
        <v>2338</v>
      </c>
      <c r="H41" s="416" t="s">
        <v>2338</v>
      </c>
      <c r="I41" s="416" t="s">
        <v>2339</v>
      </c>
      <c r="J41" s="415" t="s">
        <v>747</v>
      </c>
      <c r="K41" s="417">
        <v>-12.716850000000001</v>
      </c>
      <c r="L41" s="417">
        <v>-69.587721000000002</v>
      </c>
      <c r="M41" s="418">
        <v>30</v>
      </c>
      <c r="N41" s="418" t="s">
        <v>2310</v>
      </c>
      <c r="O41" s="418" t="s">
        <v>2311</v>
      </c>
      <c r="P41" s="415">
        <v>1</v>
      </c>
      <c r="Q41" s="415">
        <v>30</v>
      </c>
      <c r="R41" s="415">
        <v>5</v>
      </c>
      <c r="S41" s="415">
        <f t="shared" si="0"/>
        <v>5</v>
      </c>
      <c r="T41" s="419">
        <f t="shared" si="1"/>
        <v>0.83333333333333337</v>
      </c>
      <c r="U41" s="419">
        <f t="shared" si="2"/>
        <v>5.833333333333333</v>
      </c>
      <c r="V41" s="415" t="s">
        <v>692</v>
      </c>
      <c r="W41" s="415" t="s">
        <v>615</v>
      </c>
      <c r="X41" s="415" t="s">
        <v>615</v>
      </c>
      <c r="Y41" s="415"/>
    </row>
    <row r="42" spans="1:25" hidden="1" x14ac:dyDescent="0.25">
      <c r="A42" s="415">
        <v>41</v>
      </c>
      <c r="B42" s="415">
        <v>863</v>
      </c>
      <c r="C42" s="415">
        <v>757026</v>
      </c>
      <c r="D42" s="416" t="s">
        <v>2340</v>
      </c>
      <c r="E42" s="416" t="s">
        <v>549</v>
      </c>
      <c r="F42" s="416" t="s">
        <v>551</v>
      </c>
      <c r="G42" s="416" t="s">
        <v>2338</v>
      </c>
      <c r="H42" s="416" t="s">
        <v>2338</v>
      </c>
      <c r="I42" s="416" t="s">
        <v>2341</v>
      </c>
      <c r="J42" s="415" t="s">
        <v>747</v>
      </c>
      <c r="K42" s="417">
        <v>-12.716850000000001</v>
      </c>
      <c r="L42" s="417">
        <v>-69.587721000000002</v>
      </c>
      <c r="M42" s="418">
        <v>30</v>
      </c>
      <c r="N42" s="418" t="s">
        <v>2310</v>
      </c>
      <c r="O42" s="418" t="s">
        <v>2311</v>
      </c>
      <c r="P42" s="415">
        <v>1</v>
      </c>
      <c r="Q42" s="415">
        <v>30</v>
      </c>
      <c r="R42" s="415">
        <v>5</v>
      </c>
      <c r="S42" s="415">
        <f t="shared" si="0"/>
        <v>5</v>
      </c>
      <c r="T42" s="419">
        <f t="shared" si="1"/>
        <v>0.83333333333333337</v>
      </c>
      <c r="U42" s="419">
        <f t="shared" si="2"/>
        <v>5.833333333333333</v>
      </c>
      <c r="V42" s="415" t="s">
        <v>692</v>
      </c>
      <c r="W42" s="415" t="s">
        <v>615</v>
      </c>
      <c r="X42" s="415" t="s">
        <v>615</v>
      </c>
      <c r="Y42" s="415"/>
    </row>
    <row r="43" spans="1:25" hidden="1" x14ac:dyDescent="0.25">
      <c r="A43" s="415">
        <v>42</v>
      </c>
      <c r="B43" s="415">
        <v>864</v>
      </c>
      <c r="C43" s="415">
        <v>394021</v>
      </c>
      <c r="D43" s="416" t="s">
        <v>2342</v>
      </c>
      <c r="E43" s="416" t="s">
        <v>549</v>
      </c>
      <c r="F43" s="416" t="s">
        <v>551</v>
      </c>
      <c r="G43" s="416" t="s">
        <v>551</v>
      </c>
      <c r="H43" s="416" t="s">
        <v>2343</v>
      </c>
      <c r="I43" s="416" t="s">
        <v>2110</v>
      </c>
      <c r="J43" s="415" t="s">
        <v>747</v>
      </c>
      <c r="K43" s="417">
        <v>-12.602945999999999</v>
      </c>
      <c r="L43" s="417">
        <v>-69.212058999999996</v>
      </c>
      <c r="M43" s="418">
        <v>30</v>
      </c>
      <c r="N43" s="418" t="s">
        <v>2310</v>
      </c>
      <c r="O43" s="418" t="s">
        <v>2311</v>
      </c>
      <c r="P43" s="415">
        <v>1</v>
      </c>
      <c r="Q43" s="415">
        <v>30</v>
      </c>
      <c r="R43" s="415">
        <v>5</v>
      </c>
      <c r="S43" s="415">
        <f t="shared" si="0"/>
        <v>5</v>
      </c>
      <c r="T43" s="419">
        <f t="shared" si="1"/>
        <v>0.83333333333333337</v>
      </c>
      <c r="U43" s="419">
        <f t="shared" si="2"/>
        <v>5.833333333333333</v>
      </c>
      <c r="V43" s="415" t="s">
        <v>692</v>
      </c>
      <c r="W43" s="415" t="s">
        <v>615</v>
      </c>
      <c r="X43" s="415" t="s">
        <v>615</v>
      </c>
      <c r="Y43" s="415"/>
    </row>
    <row r="44" spans="1:25" hidden="1" x14ac:dyDescent="0.25">
      <c r="A44" s="415">
        <v>43</v>
      </c>
      <c r="B44" s="415">
        <v>865</v>
      </c>
      <c r="C44" s="415">
        <v>394243</v>
      </c>
      <c r="D44" s="416" t="s">
        <v>2344</v>
      </c>
      <c r="E44" s="416" t="s">
        <v>549</v>
      </c>
      <c r="F44" s="416" t="s">
        <v>551</v>
      </c>
      <c r="G44" s="416" t="s">
        <v>551</v>
      </c>
      <c r="H44" s="416" t="s">
        <v>2344</v>
      </c>
      <c r="I44" s="416" t="s">
        <v>2345</v>
      </c>
      <c r="J44" s="415" t="s">
        <v>747</v>
      </c>
      <c r="K44" s="417">
        <v>-12.585947000000001</v>
      </c>
      <c r="L44" s="417">
        <v>-69.21302</v>
      </c>
      <c r="M44" s="418">
        <v>30</v>
      </c>
      <c r="N44" s="418" t="s">
        <v>2310</v>
      </c>
      <c r="O44" s="418" t="s">
        <v>2311</v>
      </c>
      <c r="P44" s="415">
        <v>1</v>
      </c>
      <c r="Q44" s="415">
        <v>30</v>
      </c>
      <c r="R44" s="415">
        <v>5</v>
      </c>
      <c r="S44" s="415">
        <f t="shared" si="0"/>
        <v>5</v>
      </c>
      <c r="T44" s="419">
        <f t="shared" si="1"/>
        <v>0.83333333333333337</v>
      </c>
      <c r="U44" s="419">
        <f t="shared" si="2"/>
        <v>5.833333333333333</v>
      </c>
      <c r="V44" s="415" t="s">
        <v>692</v>
      </c>
      <c r="W44" s="415" t="s">
        <v>615</v>
      </c>
      <c r="X44" s="415" t="s">
        <v>615</v>
      </c>
      <c r="Y44" s="415"/>
    </row>
    <row r="45" spans="1:25" hidden="1" x14ac:dyDescent="0.25">
      <c r="A45" s="415">
        <v>44</v>
      </c>
      <c r="B45" s="415">
        <v>866</v>
      </c>
      <c r="C45" s="415">
        <v>394318</v>
      </c>
      <c r="D45" s="416" t="s">
        <v>1857</v>
      </c>
      <c r="E45" s="416" t="s">
        <v>549</v>
      </c>
      <c r="F45" s="416" t="s">
        <v>551</v>
      </c>
      <c r="G45" s="416" t="s">
        <v>551</v>
      </c>
      <c r="H45" s="416" t="s">
        <v>1858</v>
      </c>
      <c r="I45" s="416" t="s">
        <v>1859</v>
      </c>
      <c r="J45" s="415" t="s">
        <v>661</v>
      </c>
      <c r="K45" s="417">
        <v>-12.68765</v>
      </c>
      <c r="L45" s="417">
        <v>-69.398960000000002</v>
      </c>
      <c r="M45" s="418">
        <v>30</v>
      </c>
      <c r="N45" s="418" t="s">
        <v>2310</v>
      </c>
      <c r="O45" s="418" t="s">
        <v>2311</v>
      </c>
      <c r="P45" s="415">
        <v>1</v>
      </c>
      <c r="Q45" s="415">
        <v>30</v>
      </c>
      <c r="R45" s="415">
        <v>5</v>
      </c>
      <c r="S45" s="415">
        <f t="shared" si="0"/>
        <v>5</v>
      </c>
      <c r="T45" s="419">
        <f t="shared" si="1"/>
        <v>0.83333333333333337</v>
      </c>
      <c r="U45" s="419">
        <f t="shared" si="2"/>
        <v>5.833333333333333</v>
      </c>
      <c r="V45" s="415" t="s">
        <v>692</v>
      </c>
      <c r="W45" s="415" t="s">
        <v>615</v>
      </c>
      <c r="X45" s="415" t="s">
        <v>615</v>
      </c>
      <c r="Y45" s="415"/>
    </row>
    <row r="46" spans="1:25" hidden="1" x14ac:dyDescent="0.25">
      <c r="A46" s="415">
        <v>45</v>
      </c>
      <c r="B46" s="415">
        <v>867</v>
      </c>
      <c r="C46" s="415">
        <v>471571</v>
      </c>
      <c r="D46" s="416" t="s">
        <v>2346</v>
      </c>
      <c r="E46" s="416" t="s">
        <v>581</v>
      </c>
      <c r="F46" s="416" t="s">
        <v>583</v>
      </c>
      <c r="G46" s="416" t="s">
        <v>583</v>
      </c>
      <c r="H46" s="416" t="s">
        <v>2347</v>
      </c>
      <c r="I46" s="416" t="s">
        <v>2347</v>
      </c>
      <c r="J46" s="415" t="s">
        <v>661</v>
      </c>
      <c r="K46" s="417">
        <v>-6.9421290000000004</v>
      </c>
      <c r="L46" s="417">
        <v>-76.556200000000004</v>
      </c>
      <c r="M46" s="418">
        <v>30</v>
      </c>
      <c r="N46" s="418" t="s">
        <v>2310</v>
      </c>
      <c r="O46" s="418" t="s">
        <v>2311</v>
      </c>
      <c r="P46" s="415">
        <v>1</v>
      </c>
      <c r="Q46" s="415">
        <v>30</v>
      </c>
      <c r="R46" s="415">
        <v>5</v>
      </c>
      <c r="S46" s="415">
        <f t="shared" si="0"/>
        <v>5</v>
      </c>
      <c r="T46" s="419">
        <f t="shared" si="1"/>
        <v>0.83333333333333337</v>
      </c>
      <c r="U46" s="419">
        <f t="shared" si="2"/>
        <v>5.833333333333333</v>
      </c>
      <c r="V46" s="415" t="s">
        <v>662</v>
      </c>
      <c r="W46" s="415" t="s">
        <v>616</v>
      </c>
      <c r="X46" s="415" t="s">
        <v>666</v>
      </c>
      <c r="Y46" s="415"/>
    </row>
    <row r="47" spans="1:25" hidden="1" x14ac:dyDescent="0.25">
      <c r="A47" s="415">
        <v>46</v>
      </c>
      <c r="B47" s="415">
        <v>868</v>
      </c>
      <c r="C47" s="415">
        <v>472882</v>
      </c>
      <c r="D47" s="416" t="s">
        <v>2348</v>
      </c>
      <c r="E47" s="416" t="s">
        <v>581</v>
      </c>
      <c r="F47" s="416" t="s">
        <v>584</v>
      </c>
      <c r="G47" s="416" t="s">
        <v>2137</v>
      </c>
      <c r="H47" s="416" t="s">
        <v>2137</v>
      </c>
      <c r="I47" s="416" t="s">
        <v>2349</v>
      </c>
      <c r="J47" s="415" t="s">
        <v>747</v>
      </c>
      <c r="K47" s="417">
        <v>-6.6126259999999997</v>
      </c>
      <c r="L47" s="417">
        <v>-76.693117000000001</v>
      </c>
      <c r="M47" s="418">
        <v>30</v>
      </c>
      <c r="N47" s="418" t="s">
        <v>2310</v>
      </c>
      <c r="O47" s="418" t="s">
        <v>2311</v>
      </c>
      <c r="P47" s="415">
        <v>1</v>
      </c>
      <c r="Q47" s="415">
        <v>30</v>
      </c>
      <c r="R47" s="415">
        <v>5</v>
      </c>
      <c r="S47" s="415">
        <f t="shared" si="0"/>
        <v>5</v>
      </c>
      <c r="T47" s="419">
        <f t="shared" si="1"/>
        <v>0.83333333333333337</v>
      </c>
      <c r="U47" s="419">
        <f t="shared" si="2"/>
        <v>5.833333333333333</v>
      </c>
      <c r="V47" s="415" t="s">
        <v>662</v>
      </c>
      <c r="W47" s="415" t="s">
        <v>616</v>
      </c>
      <c r="X47" s="415" t="s">
        <v>666</v>
      </c>
      <c r="Y47" s="415"/>
    </row>
    <row r="48" spans="1:25" hidden="1" x14ac:dyDescent="0.25">
      <c r="A48" s="415">
        <v>47</v>
      </c>
      <c r="B48" s="415">
        <v>869</v>
      </c>
      <c r="C48" s="415">
        <v>472924</v>
      </c>
      <c r="D48" s="416" t="s">
        <v>2350</v>
      </c>
      <c r="E48" s="416" t="s">
        <v>581</v>
      </c>
      <c r="F48" s="416" t="s">
        <v>584</v>
      </c>
      <c r="G48" s="416" t="s">
        <v>2137</v>
      </c>
      <c r="H48" s="416" t="s">
        <v>2351</v>
      </c>
      <c r="I48" s="416" t="s">
        <v>2352</v>
      </c>
      <c r="J48" s="415" t="s">
        <v>747</v>
      </c>
      <c r="K48" s="417">
        <v>-6.6224999999999996</v>
      </c>
      <c r="L48" s="417">
        <v>-76.698099999999997</v>
      </c>
      <c r="M48" s="418">
        <v>30</v>
      </c>
      <c r="N48" s="418" t="s">
        <v>2310</v>
      </c>
      <c r="O48" s="418" t="s">
        <v>2311</v>
      </c>
      <c r="P48" s="415">
        <v>1</v>
      </c>
      <c r="Q48" s="415">
        <v>30</v>
      </c>
      <c r="R48" s="415">
        <v>5</v>
      </c>
      <c r="S48" s="415">
        <f t="shared" si="0"/>
        <v>5</v>
      </c>
      <c r="T48" s="419">
        <f t="shared" si="1"/>
        <v>0.83333333333333337</v>
      </c>
      <c r="U48" s="419">
        <f t="shared" si="2"/>
        <v>5.833333333333333</v>
      </c>
      <c r="V48" s="415" t="s">
        <v>662</v>
      </c>
      <c r="W48" s="415" t="s">
        <v>616</v>
      </c>
      <c r="X48" s="415" t="s">
        <v>666</v>
      </c>
      <c r="Y48" s="415"/>
    </row>
    <row r="49" spans="1:25" hidden="1" x14ac:dyDescent="0.25">
      <c r="A49" s="415">
        <v>48</v>
      </c>
      <c r="B49" s="415">
        <v>870</v>
      </c>
      <c r="C49" s="415">
        <v>473382</v>
      </c>
      <c r="D49" s="416" t="s">
        <v>2141</v>
      </c>
      <c r="E49" s="416" t="s">
        <v>581</v>
      </c>
      <c r="F49" s="416" t="s">
        <v>584</v>
      </c>
      <c r="G49" s="416" t="s">
        <v>581</v>
      </c>
      <c r="H49" s="416" t="s">
        <v>2142</v>
      </c>
      <c r="I49" s="416" t="s">
        <v>2142</v>
      </c>
      <c r="J49" s="415" t="s">
        <v>661</v>
      </c>
      <c r="K49" s="417">
        <v>-6.4790999999999999</v>
      </c>
      <c r="L49" s="417">
        <v>-76.738</v>
      </c>
      <c r="M49" s="418">
        <v>30</v>
      </c>
      <c r="N49" s="418" t="s">
        <v>2310</v>
      </c>
      <c r="O49" s="418" t="s">
        <v>2311</v>
      </c>
      <c r="P49" s="415">
        <v>1</v>
      </c>
      <c r="Q49" s="415">
        <v>30</v>
      </c>
      <c r="R49" s="415">
        <v>5</v>
      </c>
      <c r="S49" s="415">
        <f t="shared" si="0"/>
        <v>5</v>
      </c>
      <c r="T49" s="419">
        <f t="shared" si="1"/>
        <v>0.83333333333333337</v>
      </c>
      <c r="U49" s="419">
        <f t="shared" si="2"/>
        <v>5.833333333333333</v>
      </c>
      <c r="V49" s="415" t="s">
        <v>662</v>
      </c>
      <c r="W49" s="415" t="s">
        <v>616</v>
      </c>
      <c r="X49" s="415" t="s">
        <v>666</v>
      </c>
      <c r="Y49" s="415"/>
    </row>
    <row r="50" spans="1:25" hidden="1" x14ac:dyDescent="0.25">
      <c r="A50" s="415">
        <v>49</v>
      </c>
      <c r="B50" s="415">
        <v>871</v>
      </c>
      <c r="C50" s="415">
        <v>473377</v>
      </c>
      <c r="D50" s="416" t="s">
        <v>2138</v>
      </c>
      <c r="E50" s="416" t="s">
        <v>581</v>
      </c>
      <c r="F50" s="416" t="s">
        <v>584</v>
      </c>
      <c r="G50" s="416" t="s">
        <v>581</v>
      </c>
      <c r="H50" s="416" t="s">
        <v>2139</v>
      </c>
      <c r="I50" s="416" t="s">
        <v>2140</v>
      </c>
      <c r="J50" s="415" t="s">
        <v>661</v>
      </c>
      <c r="K50" s="417">
        <v>-6.3764770000000004</v>
      </c>
      <c r="L50" s="417">
        <v>-76.901719</v>
      </c>
      <c r="M50" s="418">
        <v>30</v>
      </c>
      <c r="N50" s="418" t="s">
        <v>2310</v>
      </c>
      <c r="O50" s="418" t="s">
        <v>2311</v>
      </c>
      <c r="P50" s="415">
        <v>1</v>
      </c>
      <c r="Q50" s="415">
        <v>30</v>
      </c>
      <c r="R50" s="415">
        <v>5</v>
      </c>
      <c r="S50" s="415">
        <f t="shared" si="0"/>
        <v>5</v>
      </c>
      <c r="T50" s="419">
        <f t="shared" si="1"/>
        <v>0.83333333333333337</v>
      </c>
      <c r="U50" s="419">
        <f t="shared" si="2"/>
        <v>5.833333333333333</v>
      </c>
      <c r="V50" s="415" t="s">
        <v>662</v>
      </c>
      <c r="W50" s="415" t="s">
        <v>616</v>
      </c>
      <c r="X50" s="415" t="s">
        <v>666</v>
      </c>
      <c r="Y50" s="415"/>
    </row>
    <row r="51" spans="1:25" hidden="1" x14ac:dyDescent="0.25">
      <c r="A51" s="415">
        <v>50</v>
      </c>
      <c r="B51" s="415">
        <v>872</v>
      </c>
      <c r="C51" s="415">
        <v>476074</v>
      </c>
      <c r="D51" s="416" t="s">
        <v>2353</v>
      </c>
      <c r="E51" s="416" t="s">
        <v>581</v>
      </c>
      <c r="F51" s="416" t="s">
        <v>586</v>
      </c>
      <c r="G51" s="416" t="s">
        <v>2143</v>
      </c>
      <c r="H51" s="416" t="s">
        <v>2145</v>
      </c>
      <c r="I51" s="416" t="s">
        <v>2145</v>
      </c>
      <c r="J51" s="415" t="s">
        <v>661</v>
      </c>
      <c r="K51" s="417">
        <v>-6.3944999999999999</v>
      </c>
      <c r="L51" s="417">
        <v>-76.047700000000006</v>
      </c>
      <c r="M51" s="418">
        <v>30</v>
      </c>
      <c r="N51" s="418" t="s">
        <v>2310</v>
      </c>
      <c r="O51" s="418" t="s">
        <v>2311</v>
      </c>
      <c r="P51" s="415">
        <v>1</v>
      </c>
      <c r="Q51" s="415">
        <v>30</v>
      </c>
      <c r="R51" s="415">
        <v>5</v>
      </c>
      <c r="S51" s="415">
        <f t="shared" si="0"/>
        <v>5</v>
      </c>
      <c r="T51" s="419">
        <f t="shared" si="1"/>
        <v>0.83333333333333337</v>
      </c>
      <c r="U51" s="419">
        <f t="shared" si="2"/>
        <v>5.833333333333333</v>
      </c>
      <c r="V51" s="415" t="s">
        <v>692</v>
      </c>
      <c r="W51" s="415" t="s">
        <v>615</v>
      </c>
      <c r="X51" s="415" t="s">
        <v>615</v>
      </c>
      <c r="Y51" s="415"/>
    </row>
    <row r="52" spans="1:25" hidden="1" x14ac:dyDescent="0.25">
      <c r="A52" s="415">
        <v>51</v>
      </c>
      <c r="B52" s="415">
        <v>873</v>
      </c>
      <c r="C52" s="415">
        <v>475828</v>
      </c>
      <c r="D52" s="416" t="s">
        <v>2354</v>
      </c>
      <c r="E52" s="416" t="s">
        <v>581</v>
      </c>
      <c r="F52" s="416" t="s">
        <v>586</v>
      </c>
      <c r="G52" s="416" t="s">
        <v>2144</v>
      </c>
      <c r="H52" s="416" t="s">
        <v>2355</v>
      </c>
      <c r="I52" s="416" t="s">
        <v>1108</v>
      </c>
      <c r="J52" s="415" t="s">
        <v>661</v>
      </c>
      <c r="K52" s="417">
        <v>-6.3216000000000001</v>
      </c>
      <c r="L52" s="417">
        <v>-76.298100000000005</v>
      </c>
      <c r="M52" s="418">
        <v>30</v>
      </c>
      <c r="N52" s="418" t="s">
        <v>2310</v>
      </c>
      <c r="O52" s="418" t="s">
        <v>2311</v>
      </c>
      <c r="P52" s="415">
        <v>1</v>
      </c>
      <c r="Q52" s="415">
        <v>30</v>
      </c>
      <c r="R52" s="415">
        <v>5</v>
      </c>
      <c r="S52" s="415">
        <f t="shared" si="0"/>
        <v>5</v>
      </c>
      <c r="T52" s="419">
        <f t="shared" si="1"/>
        <v>0.83333333333333337</v>
      </c>
      <c r="U52" s="419">
        <f t="shared" si="2"/>
        <v>5.833333333333333</v>
      </c>
      <c r="V52" s="415" t="s">
        <v>692</v>
      </c>
      <c r="W52" s="415" t="s">
        <v>615</v>
      </c>
      <c r="X52" s="415" t="s">
        <v>615</v>
      </c>
      <c r="Y52" s="415"/>
    </row>
    <row r="53" spans="1:25" hidden="1" x14ac:dyDescent="0.25">
      <c r="A53" s="415">
        <v>52</v>
      </c>
      <c r="B53" s="415">
        <v>874</v>
      </c>
      <c r="C53" s="415">
        <v>798871</v>
      </c>
      <c r="D53" s="416" t="s">
        <v>2234</v>
      </c>
      <c r="E53" s="416" t="s">
        <v>581</v>
      </c>
      <c r="F53" s="416" t="s">
        <v>586</v>
      </c>
      <c r="G53" s="416" t="s">
        <v>2356</v>
      </c>
      <c r="H53" s="416" t="s">
        <v>2357</v>
      </c>
      <c r="I53" s="416" t="s">
        <v>2358</v>
      </c>
      <c r="J53" s="415" t="s">
        <v>661</v>
      </c>
      <c r="K53" s="417">
        <v>-6.1071999999999997</v>
      </c>
      <c r="L53" s="417">
        <v>-76.837699999999998</v>
      </c>
      <c r="M53" s="418">
        <v>30</v>
      </c>
      <c r="N53" s="418" t="s">
        <v>2310</v>
      </c>
      <c r="O53" s="418" t="s">
        <v>2311</v>
      </c>
      <c r="P53" s="415">
        <v>1</v>
      </c>
      <c r="Q53" s="415">
        <v>30</v>
      </c>
      <c r="R53" s="415">
        <v>5</v>
      </c>
      <c r="S53" s="415">
        <f t="shared" si="0"/>
        <v>5</v>
      </c>
      <c r="T53" s="419">
        <f t="shared" si="1"/>
        <v>0.83333333333333337</v>
      </c>
      <c r="U53" s="419">
        <f t="shared" si="2"/>
        <v>5.833333333333333</v>
      </c>
      <c r="V53" s="415" t="s">
        <v>692</v>
      </c>
      <c r="W53" s="415" t="s">
        <v>615</v>
      </c>
      <c r="X53" s="415" t="s">
        <v>615</v>
      </c>
      <c r="Y53" s="415"/>
    </row>
    <row r="54" spans="1:25" hidden="1" x14ac:dyDescent="0.25">
      <c r="A54" s="415">
        <v>53</v>
      </c>
      <c r="B54" s="415">
        <v>875</v>
      </c>
      <c r="C54" s="415">
        <v>476309</v>
      </c>
      <c r="D54" s="416" t="s">
        <v>2359</v>
      </c>
      <c r="E54" s="416" t="s">
        <v>581</v>
      </c>
      <c r="F54" s="416" t="s">
        <v>586</v>
      </c>
      <c r="G54" s="416" t="s">
        <v>2360</v>
      </c>
      <c r="H54" s="416" t="s">
        <v>2361</v>
      </c>
      <c r="I54" s="416" t="s">
        <v>2362</v>
      </c>
      <c r="J54" s="415" t="s">
        <v>661</v>
      </c>
      <c r="K54" s="417">
        <v>-6.4733999999999998</v>
      </c>
      <c r="L54" s="417">
        <v>-76.488699999999994</v>
      </c>
      <c r="M54" s="418">
        <v>30</v>
      </c>
      <c r="N54" s="418" t="s">
        <v>2310</v>
      </c>
      <c r="O54" s="418" t="s">
        <v>2311</v>
      </c>
      <c r="P54" s="415">
        <v>1</v>
      </c>
      <c r="Q54" s="415">
        <v>30</v>
      </c>
      <c r="R54" s="415">
        <v>5</v>
      </c>
      <c r="S54" s="415">
        <f t="shared" si="0"/>
        <v>5</v>
      </c>
      <c r="T54" s="419">
        <f t="shared" si="1"/>
        <v>0.83333333333333337</v>
      </c>
      <c r="U54" s="419">
        <f t="shared" si="2"/>
        <v>5.833333333333333</v>
      </c>
      <c r="V54" s="415" t="s">
        <v>662</v>
      </c>
      <c r="W54" s="415" t="s">
        <v>616</v>
      </c>
      <c r="X54" s="415" t="s">
        <v>666</v>
      </c>
      <c r="Y54" s="415"/>
    </row>
    <row r="55" spans="1:25" hidden="1" x14ac:dyDescent="0.25">
      <c r="A55" s="415">
        <v>54</v>
      </c>
      <c r="B55" s="415">
        <v>876</v>
      </c>
      <c r="C55" s="415">
        <v>476267</v>
      </c>
      <c r="D55" s="416" t="s">
        <v>2363</v>
      </c>
      <c r="E55" s="416" t="s">
        <v>581</v>
      </c>
      <c r="F55" s="416" t="s">
        <v>586</v>
      </c>
      <c r="G55" s="416" t="s">
        <v>2360</v>
      </c>
      <c r="H55" s="416" t="s">
        <v>2364</v>
      </c>
      <c r="I55" s="416" t="s">
        <v>2365</v>
      </c>
      <c r="J55" s="415" t="s">
        <v>661</v>
      </c>
      <c r="K55" s="417">
        <v>-6.4476000000000004</v>
      </c>
      <c r="L55" s="417">
        <v>-76.473100000000002</v>
      </c>
      <c r="M55" s="418">
        <v>30</v>
      </c>
      <c r="N55" s="418" t="s">
        <v>2310</v>
      </c>
      <c r="O55" s="418" t="s">
        <v>2311</v>
      </c>
      <c r="P55" s="415">
        <v>1</v>
      </c>
      <c r="Q55" s="415">
        <v>30</v>
      </c>
      <c r="R55" s="415">
        <v>5</v>
      </c>
      <c r="S55" s="415">
        <f t="shared" si="0"/>
        <v>5</v>
      </c>
      <c r="T55" s="419">
        <f t="shared" si="1"/>
        <v>0.83333333333333337</v>
      </c>
      <c r="U55" s="419">
        <f t="shared" si="2"/>
        <v>5.833333333333333</v>
      </c>
      <c r="V55" s="415" t="s">
        <v>662</v>
      </c>
      <c r="W55" s="415" t="s">
        <v>616</v>
      </c>
      <c r="X55" s="415" t="s">
        <v>666</v>
      </c>
      <c r="Y55" s="415"/>
    </row>
    <row r="56" spans="1:25" hidden="1" x14ac:dyDescent="0.25">
      <c r="A56" s="415">
        <v>55</v>
      </c>
      <c r="B56" s="415">
        <v>877</v>
      </c>
      <c r="C56" s="415">
        <v>476677</v>
      </c>
      <c r="D56" s="416" t="s">
        <v>2366</v>
      </c>
      <c r="E56" s="416" t="s">
        <v>581</v>
      </c>
      <c r="F56" s="416" t="s">
        <v>586</v>
      </c>
      <c r="G56" s="416" t="s">
        <v>2146</v>
      </c>
      <c r="H56" s="416" t="s">
        <v>2367</v>
      </c>
      <c r="I56" s="416" t="s">
        <v>2367</v>
      </c>
      <c r="J56" s="415" t="s">
        <v>747</v>
      </c>
      <c r="K56" s="417">
        <v>-6.4372999999999996</v>
      </c>
      <c r="L56" s="417">
        <v>-76.586699999999993</v>
      </c>
      <c r="M56" s="418">
        <v>30</v>
      </c>
      <c r="N56" s="418" t="s">
        <v>2310</v>
      </c>
      <c r="O56" s="418" t="s">
        <v>2311</v>
      </c>
      <c r="P56" s="415">
        <v>1</v>
      </c>
      <c r="Q56" s="415">
        <v>30</v>
      </c>
      <c r="R56" s="415">
        <v>5</v>
      </c>
      <c r="S56" s="415">
        <f t="shared" si="0"/>
        <v>5</v>
      </c>
      <c r="T56" s="419">
        <f t="shared" si="1"/>
        <v>0.83333333333333337</v>
      </c>
      <c r="U56" s="419">
        <f t="shared" si="2"/>
        <v>5.833333333333333</v>
      </c>
      <c r="V56" s="415" t="s">
        <v>662</v>
      </c>
      <c r="W56" s="415" t="s">
        <v>616</v>
      </c>
      <c r="X56" s="415" t="s">
        <v>666</v>
      </c>
      <c r="Y56" s="415"/>
    </row>
    <row r="57" spans="1:25" hidden="1" x14ac:dyDescent="0.25">
      <c r="A57" s="415">
        <v>56</v>
      </c>
      <c r="B57" s="415">
        <v>878</v>
      </c>
      <c r="C57" s="415">
        <v>477196</v>
      </c>
      <c r="D57" s="416" t="s">
        <v>2368</v>
      </c>
      <c r="E57" s="416" t="s">
        <v>581</v>
      </c>
      <c r="F57" s="416" t="s">
        <v>587</v>
      </c>
      <c r="G57" s="416" t="s">
        <v>2369</v>
      </c>
      <c r="H57" s="416" t="s">
        <v>2370</v>
      </c>
      <c r="I57" s="416" t="s">
        <v>2370</v>
      </c>
      <c r="J57" s="415" t="s">
        <v>661</v>
      </c>
      <c r="K57" s="417">
        <v>-7.1373569999999997</v>
      </c>
      <c r="L57" s="417">
        <v>-76.705265999999995</v>
      </c>
      <c r="M57" s="418">
        <v>30</v>
      </c>
      <c r="N57" s="418" t="s">
        <v>2310</v>
      </c>
      <c r="O57" s="418" t="s">
        <v>2311</v>
      </c>
      <c r="P57" s="415">
        <v>1</v>
      </c>
      <c r="Q57" s="415">
        <v>30</v>
      </c>
      <c r="R57" s="415">
        <v>5</v>
      </c>
      <c r="S57" s="415">
        <f t="shared" si="0"/>
        <v>5</v>
      </c>
      <c r="T57" s="419">
        <f t="shared" si="1"/>
        <v>0.83333333333333337</v>
      </c>
      <c r="U57" s="419">
        <f t="shared" si="2"/>
        <v>5.833333333333333</v>
      </c>
      <c r="V57" s="415" t="s">
        <v>662</v>
      </c>
      <c r="W57" s="415" t="s">
        <v>616</v>
      </c>
      <c r="X57" s="415" t="s">
        <v>666</v>
      </c>
      <c r="Y57" s="415"/>
    </row>
    <row r="58" spans="1:25" hidden="1" x14ac:dyDescent="0.25">
      <c r="A58" s="415">
        <v>57</v>
      </c>
      <c r="B58" s="415">
        <v>879</v>
      </c>
      <c r="C58" s="415">
        <v>478308</v>
      </c>
      <c r="D58" s="416" t="s">
        <v>2371</v>
      </c>
      <c r="E58" s="416" t="s">
        <v>581</v>
      </c>
      <c r="F58" s="416" t="s">
        <v>587</v>
      </c>
      <c r="G58" s="416" t="s">
        <v>2372</v>
      </c>
      <c r="H58" s="416" t="s">
        <v>2373</v>
      </c>
      <c r="I58" s="416" t="s">
        <v>1851</v>
      </c>
      <c r="J58" s="415" t="s">
        <v>661</v>
      </c>
      <c r="K58" s="417">
        <v>-7.3053559999999997</v>
      </c>
      <c r="L58" s="417">
        <v>-76.652303000000003</v>
      </c>
      <c r="M58" s="418">
        <v>30</v>
      </c>
      <c r="N58" s="418" t="s">
        <v>2310</v>
      </c>
      <c r="O58" s="418" t="s">
        <v>2311</v>
      </c>
      <c r="P58" s="415">
        <v>1</v>
      </c>
      <c r="Q58" s="415">
        <v>30</v>
      </c>
      <c r="R58" s="415">
        <v>5</v>
      </c>
      <c r="S58" s="415">
        <f t="shared" si="0"/>
        <v>5</v>
      </c>
      <c r="T58" s="419">
        <f t="shared" si="1"/>
        <v>0.83333333333333337</v>
      </c>
      <c r="U58" s="419">
        <f t="shared" si="2"/>
        <v>5.833333333333333</v>
      </c>
      <c r="V58" s="415" t="s">
        <v>662</v>
      </c>
      <c r="W58" s="415" t="s">
        <v>616</v>
      </c>
      <c r="X58" s="415" t="s">
        <v>666</v>
      </c>
      <c r="Y58" s="415"/>
    </row>
    <row r="59" spans="1:25" hidden="1" x14ac:dyDescent="0.25">
      <c r="A59" s="415">
        <v>58</v>
      </c>
      <c r="B59" s="415">
        <v>880</v>
      </c>
      <c r="C59" s="415">
        <v>478285</v>
      </c>
      <c r="D59" s="416" t="s">
        <v>2374</v>
      </c>
      <c r="E59" s="416" t="s">
        <v>581</v>
      </c>
      <c r="F59" s="416" t="s">
        <v>587</v>
      </c>
      <c r="G59" s="416" t="s">
        <v>2372</v>
      </c>
      <c r="H59" s="416" t="s">
        <v>2372</v>
      </c>
      <c r="I59" s="416" t="s">
        <v>2375</v>
      </c>
      <c r="J59" s="415" t="s">
        <v>661</v>
      </c>
      <c r="K59" s="417">
        <v>-7.1789820000000004</v>
      </c>
      <c r="L59" s="417">
        <v>-76.690995000000001</v>
      </c>
      <c r="M59" s="418">
        <v>30</v>
      </c>
      <c r="N59" s="418" t="s">
        <v>2310</v>
      </c>
      <c r="O59" s="418" t="s">
        <v>2311</v>
      </c>
      <c r="P59" s="415">
        <v>1</v>
      </c>
      <c r="Q59" s="415">
        <v>30</v>
      </c>
      <c r="R59" s="415">
        <v>5</v>
      </c>
      <c r="S59" s="415">
        <f t="shared" si="0"/>
        <v>5</v>
      </c>
      <c r="T59" s="419">
        <f t="shared" si="1"/>
        <v>0.83333333333333337</v>
      </c>
      <c r="U59" s="419">
        <f t="shared" si="2"/>
        <v>5.833333333333333</v>
      </c>
      <c r="V59" s="415" t="s">
        <v>662</v>
      </c>
      <c r="W59" s="415" t="s">
        <v>616</v>
      </c>
      <c r="X59" s="415" t="s">
        <v>666</v>
      </c>
      <c r="Y59" s="415"/>
    </row>
    <row r="60" spans="1:25" hidden="1" x14ac:dyDescent="0.25">
      <c r="A60" s="415">
        <v>59</v>
      </c>
      <c r="B60" s="415">
        <v>881</v>
      </c>
      <c r="C60" s="415">
        <v>478346</v>
      </c>
      <c r="D60" s="416" t="s">
        <v>2376</v>
      </c>
      <c r="E60" s="416" t="s">
        <v>581</v>
      </c>
      <c r="F60" s="416" t="s">
        <v>587</v>
      </c>
      <c r="G60" s="416" t="s">
        <v>2372</v>
      </c>
      <c r="H60" s="416" t="s">
        <v>2372</v>
      </c>
      <c r="I60" s="416" t="s">
        <v>2375</v>
      </c>
      <c r="J60" s="415" t="s">
        <v>661</v>
      </c>
      <c r="K60" s="417">
        <v>-7.180472</v>
      </c>
      <c r="L60" s="417">
        <v>-76.691567000000006</v>
      </c>
      <c r="M60" s="418">
        <v>30</v>
      </c>
      <c r="N60" s="418" t="s">
        <v>2310</v>
      </c>
      <c r="O60" s="418" t="s">
        <v>2311</v>
      </c>
      <c r="P60" s="415">
        <v>1</v>
      </c>
      <c r="Q60" s="415">
        <v>30</v>
      </c>
      <c r="R60" s="415">
        <v>5</v>
      </c>
      <c r="S60" s="415">
        <f t="shared" si="0"/>
        <v>5</v>
      </c>
      <c r="T60" s="419">
        <f t="shared" si="1"/>
        <v>0.83333333333333337</v>
      </c>
      <c r="U60" s="419">
        <f t="shared" si="2"/>
        <v>5.833333333333333</v>
      </c>
      <c r="V60" s="415" t="s">
        <v>662</v>
      </c>
      <c r="W60" s="415" t="s">
        <v>616</v>
      </c>
      <c r="X60" s="415" t="s">
        <v>666</v>
      </c>
      <c r="Y60" s="415"/>
    </row>
    <row r="61" spans="1:25" x14ac:dyDescent="0.25">
      <c r="A61" s="415">
        <v>60</v>
      </c>
      <c r="B61" s="415">
        <v>882</v>
      </c>
      <c r="C61" s="415">
        <v>471081</v>
      </c>
      <c r="D61" s="416" t="s">
        <v>2134</v>
      </c>
      <c r="E61" s="416" t="s">
        <v>581</v>
      </c>
      <c r="F61" s="416" t="s">
        <v>582</v>
      </c>
      <c r="G61" s="416" t="s">
        <v>2133</v>
      </c>
      <c r="H61" s="416" t="s">
        <v>2135</v>
      </c>
      <c r="I61" s="416" t="s">
        <v>2135</v>
      </c>
      <c r="J61" s="415" t="s">
        <v>661</v>
      </c>
      <c r="K61" s="417">
        <v>-6.1305350000000001</v>
      </c>
      <c r="L61" s="417">
        <v>-77.068757000000005</v>
      </c>
      <c r="M61" s="418">
        <v>30</v>
      </c>
      <c r="N61" s="418" t="s">
        <v>2310</v>
      </c>
      <c r="O61" s="418" t="s">
        <v>2311</v>
      </c>
      <c r="P61" s="415">
        <v>1</v>
      </c>
      <c r="Q61" s="415">
        <v>30</v>
      </c>
      <c r="R61" s="415">
        <v>5</v>
      </c>
      <c r="S61" s="415">
        <f t="shared" si="0"/>
        <v>5</v>
      </c>
      <c r="T61" s="419">
        <f t="shared" si="1"/>
        <v>0.83333333333333337</v>
      </c>
      <c r="U61" s="419">
        <f t="shared" si="2"/>
        <v>5.833333333333333</v>
      </c>
      <c r="V61" s="415" t="s">
        <v>662</v>
      </c>
      <c r="W61" s="415" t="s">
        <v>608</v>
      </c>
      <c r="X61" s="415" t="s">
        <v>663</v>
      </c>
      <c r="Y61" s="415" t="s">
        <v>2377</v>
      </c>
    </row>
    <row r="62" spans="1:25" hidden="1" x14ac:dyDescent="0.25">
      <c r="A62" s="415">
        <v>61</v>
      </c>
      <c r="B62" s="415">
        <v>883</v>
      </c>
      <c r="C62" s="415">
        <v>478469</v>
      </c>
      <c r="D62" s="416" t="s">
        <v>2378</v>
      </c>
      <c r="E62" s="416" t="s">
        <v>581</v>
      </c>
      <c r="F62" s="416" t="s">
        <v>588</v>
      </c>
      <c r="G62" s="416" t="s">
        <v>588</v>
      </c>
      <c r="H62" s="416" t="s">
        <v>2379</v>
      </c>
      <c r="I62" s="416" t="s">
        <v>2380</v>
      </c>
      <c r="J62" s="415" t="s">
        <v>747</v>
      </c>
      <c r="K62" s="417">
        <v>-6.9251899999999997</v>
      </c>
      <c r="L62" s="417">
        <v>-76.33175</v>
      </c>
      <c r="M62" s="418">
        <v>30</v>
      </c>
      <c r="N62" s="418" t="s">
        <v>2310</v>
      </c>
      <c r="O62" s="418" t="s">
        <v>2311</v>
      </c>
      <c r="P62" s="415">
        <v>1</v>
      </c>
      <c r="Q62" s="415">
        <v>30</v>
      </c>
      <c r="R62" s="415">
        <v>5</v>
      </c>
      <c r="S62" s="415">
        <f t="shared" si="0"/>
        <v>5</v>
      </c>
      <c r="T62" s="419">
        <f t="shared" si="1"/>
        <v>0.83333333333333337</v>
      </c>
      <c r="U62" s="419">
        <f t="shared" si="2"/>
        <v>5.833333333333333</v>
      </c>
      <c r="V62" s="415" t="s">
        <v>662</v>
      </c>
      <c r="W62" s="415" t="s">
        <v>616</v>
      </c>
      <c r="X62" s="415" t="s">
        <v>666</v>
      </c>
      <c r="Y62" s="415"/>
    </row>
    <row r="63" spans="1:25" hidden="1" x14ac:dyDescent="0.25">
      <c r="A63" s="415">
        <v>62</v>
      </c>
      <c r="B63" s="415">
        <v>884</v>
      </c>
      <c r="C63" s="415">
        <v>479058</v>
      </c>
      <c r="D63" s="416" t="s">
        <v>2381</v>
      </c>
      <c r="E63" s="416" t="s">
        <v>581</v>
      </c>
      <c r="F63" s="416" t="s">
        <v>588</v>
      </c>
      <c r="G63" s="416" t="s">
        <v>1627</v>
      </c>
      <c r="H63" s="416" t="s">
        <v>1216</v>
      </c>
      <c r="I63" s="416" t="s">
        <v>2382</v>
      </c>
      <c r="J63" s="415" t="s">
        <v>661</v>
      </c>
      <c r="K63" s="417">
        <v>-6.9919669999999998</v>
      </c>
      <c r="L63" s="417">
        <v>-76.421546000000006</v>
      </c>
      <c r="M63" s="418">
        <v>30</v>
      </c>
      <c r="N63" s="418" t="s">
        <v>2310</v>
      </c>
      <c r="O63" s="418" t="s">
        <v>2311</v>
      </c>
      <c r="P63" s="415">
        <v>1</v>
      </c>
      <c r="Q63" s="415">
        <v>30</v>
      </c>
      <c r="R63" s="415">
        <v>5</v>
      </c>
      <c r="S63" s="415">
        <f t="shared" si="0"/>
        <v>5</v>
      </c>
      <c r="T63" s="419">
        <f t="shared" si="1"/>
        <v>0.83333333333333337</v>
      </c>
      <c r="U63" s="419">
        <f t="shared" si="2"/>
        <v>5.833333333333333</v>
      </c>
      <c r="V63" s="415" t="s">
        <v>662</v>
      </c>
      <c r="W63" s="415" t="s">
        <v>616</v>
      </c>
      <c r="X63" s="415" t="s">
        <v>666</v>
      </c>
      <c r="Y63" s="415"/>
    </row>
    <row r="64" spans="1:25" hidden="1" x14ac:dyDescent="0.25">
      <c r="A64" s="415">
        <v>63</v>
      </c>
      <c r="B64" s="415">
        <v>885</v>
      </c>
      <c r="C64" s="415">
        <v>479930</v>
      </c>
      <c r="D64" s="416" t="s">
        <v>2383</v>
      </c>
      <c r="E64" s="416" t="s">
        <v>581</v>
      </c>
      <c r="F64" s="416" t="s">
        <v>589</v>
      </c>
      <c r="G64" s="416" t="s">
        <v>2384</v>
      </c>
      <c r="H64" s="416" t="s">
        <v>2385</v>
      </c>
      <c r="I64" s="416" t="s">
        <v>2385</v>
      </c>
      <c r="J64" s="415" t="s">
        <v>661</v>
      </c>
      <c r="K64" s="417">
        <v>-5.7766999999999999</v>
      </c>
      <c r="L64" s="417">
        <v>-77.318299999999994</v>
      </c>
      <c r="M64" s="418">
        <v>30</v>
      </c>
      <c r="N64" s="418" t="s">
        <v>2310</v>
      </c>
      <c r="O64" s="418" t="s">
        <v>2311</v>
      </c>
      <c r="P64" s="415">
        <v>1</v>
      </c>
      <c r="Q64" s="415">
        <v>30</v>
      </c>
      <c r="R64" s="415">
        <v>5</v>
      </c>
      <c r="S64" s="415">
        <f t="shared" si="0"/>
        <v>5</v>
      </c>
      <c r="T64" s="419">
        <f t="shared" si="1"/>
        <v>0.83333333333333337</v>
      </c>
      <c r="U64" s="419">
        <f t="shared" si="2"/>
        <v>5.833333333333333</v>
      </c>
      <c r="V64" s="415" t="s">
        <v>662</v>
      </c>
      <c r="W64" s="415" t="s">
        <v>608</v>
      </c>
      <c r="X64" s="415" t="s">
        <v>663</v>
      </c>
      <c r="Y64" s="415"/>
    </row>
    <row r="65" spans="1:25" hidden="1" x14ac:dyDescent="0.25">
      <c r="A65" s="415">
        <v>64</v>
      </c>
      <c r="B65" s="415">
        <v>886</v>
      </c>
      <c r="C65" s="415">
        <v>800770</v>
      </c>
      <c r="D65" s="416" t="s">
        <v>2386</v>
      </c>
      <c r="E65" s="416" t="s">
        <v>581</v>
      </c>
      <c r="F65" s="416" t="s">
        <v>589</v>
      </c>
      <c r="G65" s="416" t="s">
        <v>2150</v>
      </c>
      <c r="H65" s="416" t="s">
        <v>444</v>
      </c>
      <c r="I65" s="416" t="s">
        <v>2387</v>
      </c>
      <c r="J65" s="415" t="s">
        <v>661</v>
      </c>
      <c r="K65" s="417">
        <v>-5.9076000000000004</v>
      </c>
      <c r="L65" s="417">
        <v>-77.323400000000007</v>
      </c>
      <c r="M65" s="418">
        <v>30</v>
      </c>
      <c r="N65" s="418" t="s">
        <v>2310</v>
      </c>
      <c r="O65" s="418" t="s">
        <v>2311</v>
      </c>
      <c r="P65" s="415">
        <v>1</v>
      </c>
      <c r="Q65" s="415">
        <v>30</v>
      </c>
      <c r="R65" s="415">
        <v>5</v>
      </c>
      <c r="S65" s="415">
        <f t="shared" si="0"/>
        <v>5</v>
      </c>
      <c r="T65" s="419">
        <f t="shared" si="1"/>
        <v>0.83333333333333337</v>
      </c>
      <c r="U65" s="419">
        <f t="shared" si="2"/>
        <v>5.833333333333333</v>
      </c>
      <c r="V65" s="415" t="s">
        <v>662</v>
      </c>
      <c r="W65" s="415" t="s">
        <v>608</v>
      </c>
      <c r="X65" s="415" t="s">
        <v>663</v>
      </c>
      <c r="Y65" s="415"/>
    </row>
    <row r="66" spans="1:25" hidden="1" x14ac:dyDescent="0.25">
      <c r="A66" s="415">
        <v>65</v>
      </c>
      <c r="B66" s="415">
        <v>887</v>
      </c>
      <c r="C66" s="415">
        <v>480655</v>
      </c>
      <c r="D66" s="416" t="s">
        <v>2388</v>
      </c>
      <c r="E66" s="416" t="s">
        <v>581</v>
      </c>
      <c r="F66" s="416" t="s">
        <v>589</v>
      </c>
      <c r="G66" s="416" t="s">
        <v>2150</v>
      </c>
      <c r="H66" s="416" t="s">
        <v>2150</v>
      </c>
      <c r="I66" s="416" t="s">
        <v>2389</v>
      </c>
      <c r="J66" s="415" t="s">
        <v>747</v>
      </c>
      <c r="K66" s="417">
        <v>-5.9485799999999998</v>
      </c>
      <c r="L66" s="417">
        <v>-77.310580000000002</v>
      </c>
      <c r="M66" s="418">
        <v>30</v>
      </c>
      <c r="N66" s="418" t="s">
        <v>2310</v>
      </c>
      <c r="O66" s="418" t="s">
        <v>2311</v>
      </c>
      <c r="P66" s="415">
        <v>1</v>
      </c>
      <c r="Q66" s="415">
        <v>30</v>
      </c>
      <c r="R66" s="415">
        <v>5</v>
      </c>
      <c r="S66" s="415">
        <f t="shared" si="0"/>
        <v>5</v>
      </c>
      <c r="T66" s="419">
        <f t="shared" si="1"/>
        <v>0.83333333333333337</v>
      </c>
      <c r="U66" s="419">
        <f t="shared" si="2"/>
        <v>5.833333333333333</v>
      </c>
      <c r="V66" s="415" t="s">
        <v>662</v>
      </c>
      <c r="W66" s="415" t="s">
        <v>608</v>
      </c>
      <c r="X66" s="415" t="s">
        <v>663</v>
      </c>
      <c r="Y66" s="415"/>
    </row>
    <row r="67" spans="1:25" hidden="1" x14ac:dyDescent="0.25">
      <c r="A67" s="415">
        <v>66</v>
      </c>
      <c r="B67" s="415">
        <v>888</v>
      </c>
      <c r="C67" s="415">
        <v>479647</v>
      </c>
      <c r="D67" s="416" t="s">
        <v>2390</v>
      </c>
      <c r="E67" s="416" t="s">
        <v>581</v>
      </c>
      <c r="F67" s="416" t="s">
        <v>589</v>
      </c>
      <c r="G67" s="416" t="s">
        <v>589</v>
      </c>
      <c r="H67" s="416" t="s">
        <v>589</v>
      </c>
      <c r="I67" s="416" t="s">
        <v>2391</v>
      </c>
      <c r="J67" s="415" t="s">
        <v>747</v>
      </c>
      <c r="K67" s="417">
        <v>-6.0690200000000001</v>
      </c>
      <c r="L67" s="417">
        <v>-77.174120000000002</v>
      </c>
      <c r="M67" s="418">
        <v>30</v>
      </c>
      <c r="N67" s="418" t="s">
        <v>2310</v>
      </c>
      <c r="O67" s="418" t="s">
        <v>2311</v>
      </c>
      <c r="P67" s="415">
        <v>1</v>
      </c>
      <c r="Q67" s="415">
        <v>30</v>
      </c>
      <c r="R67" s="415">
        <v>5</v>
      </c>
      <c r="S67" s="415">
        <f t="shared" ref="S67:S130" si="3">Q67/$AB$1</f>
        <v>5</v>
      </c>
      <c r="T67" s="419">
        <f t="shared" ref="T67:T130" si="4">R67/$AB$1</f>
        <v>0.83333333333333337</v>
      </c>
      <c r="U67" s="419">
        <f t="shared" ref="U67:U130" si="5">S67+T67</f>
        <v>5.833333333333333</v>
      </c>
      <c r="V67" s="415" t="s">
        <v>662</v>
      </c>
      <c r="W67" s="415" t="s">
        <v>608</v>
      </c>
      <c r="X67" s="415" t="s">
        <v>663</v>
      </c>
      <c r="Y67" s="415"/>
    </row>
    <row r="68" spans="1:25" hidden="1" x14ac:dyDescent="0.25">
      <c r="A68" s="415">
        <v>67</v>
      </c>
      <c r="B68" s="415">
        <v>889</v>
      </c>
      <c r="C68" s="415">
        <v>479765</v>
      </c>
      <c r="D68" s="416" t="s">
        <v>2392</v>
      </c>
      <c r="E68" s="416" t="s">
        <v>581</v>
      </c>
      <c r="F68" s="416" t="s">
        <v>589</v>
      </c>
      <c r="G68" s="416" t="s">
        <v>589</v>
      </c>
      <c r="H68" s="416" t="s">
        <v>589</v>
      </c>
      <c r="I68" s="416" t="s">
        <v>2393</v>
      </c>
      <c r="J68" s="415" t="s">
        <v>747</v>
      </c>
      <c r="K68" s="417">
        <v>-6.0657300000000003</v>
      </c>
      <c r="L68" s="417">
        <v>-77.167670000000001</v>
      </c>
      <c r="M68" s="418">
        <v>30</v>
      </c>
      <c r="N68" s="418" t="s">
        <v>2310</v>
      </c>
      <c r="O68" s="418" t="s">
        <v>2311</v>
      </c>
      <c r="P68" s="415">
        <v>1</v>
      </c>
      <c r="Q68" s="415">
        <v>30</v>
      </c>
      <c r="R68" s="415">
        <v>5</v>
      </c>
      <c r="S68" s="415">
        <f t="shared" si="3"/>
        <v>5</v>
      </c>
      <c r="T68" s="419">
        <f t="shared" si="4"/>
        <v>0.83333333333333337</v>
      </c>
      <c r="U68" s="419">
        <f t="shared" si="5"/>
        <v>5.833333333333333</v>
      </c>
      <c r="V68" s="415" t="s">
        <v>662</v>
      </c>
      <c r="W68" s="415" t="s">
        <v>608</v>
      </c>
      <c r="X68" s="415" t="s">
        <v>663</v>
      </c>
      <c r="Y68" s="415"/>
    </row>
    <row r="69" spans="1:25" hidden="1" x14ac:dyDescent="0.25">
      <c r="A69" s="415">
        <v>68</v>
      </c>
      <c r="B69" s="415">
        <v>890</v>
      </c>
      <c r="C69" s="415">
        <v>481320</v>
      </c>
      <c r="D69" s="416" t="s">
        <v>2394</v>
      </c>
      <c r="E69" s="416" t="s">
        <v>581</v>
      </c>
      <c r="F69" s="416" t="s">
        <v>589</v>
      </c>
      <c r="G69" s="416" t="s">
        <v>1705</v>
      </c>
      <c r="H69" s="416" t="s">
        <v>1705</v>
      </c>
      <c r="I69" s="416" t="s">
        <v>2395</v>
      </c>
      <c r="J69" s="415" t="s">
        <v>747</v>
      </c>
      <c r="K69" s="417">
        <v>-5.9034789999999999</v>
      </c>
      <c r="L69" s="417">
        <v>-77.270825000000002</v>
      </c>
      <c r="M69" s="418">
        <v>30</v>
      </c>
      <c r="N69" s="418" t="s">
        <v>2310</v>
      </c>
      <c r="O69" s="418" t="s">
        <v>2311</v>
      </c>
      <c r="P69" s="415">
        <v>1</v>
      </c>
      <c r="Q69" s="415">
        <v>30</v>
      </c>
      <c r="R69" s="415">
        <v>5</v>
      </c>
      <c r="S69" s="415">
        <f t="shared" si="3"/>
        <v>5</v>
      </c>
      <c r="T69" s="419">
        <f t="shared" si="4"/>
        <v>0.83333333333333337</v>
      </c>
      <c r="U69" s="419">
        <f t="shared" si="5"/>
        <v>5.833333333333333</v>
      </c>
      <c r="V69" s="415" t="s">
        <v>662</v>
      </c>
      <c r="W69" s="415" t="s">
        <v>608</v>
      </c>
      <c r="X69" s="415" t="s">
        <v>663</v>
      </c>
      <c r="Y69" s="415"/>
    </row>
    <row r="70" spans="1:25" hidden="1" x14ac:dyDescent="0.25">
      <c r="A70" s="415">
        <v>69</v>
      </c>
      <c r="B70" s="415">
        <v>891</v>
      </c>
      <c r="C70" s="415">
        <v>800807</v>
      </c>
      <c r="D70" s="416" t="s">
        <v>2396</v>
      </c>
      <c r="E70" s="416" t="s">
        <v>581</v>
      </c>
      <c r="F70" s="416" t="s">
        <v>589</v>
      </c>
      <c r="G70" s="416" t="s">
        <v>2397</v>
      </c>
      <c r="H70" s="416" t="s">
        <v>2397</v>
      </c>
      <c r="I70" s="416" t="s">
        <v>2398</v>
      </c>
      <c r="J70" s="415" t="s">
        <v>661</v>
      </c>
      <c r="K70" s="417">
        <v>-6.1380999999999997</v>
      </c>
      <c r="L70" s="417">
        <v>-77.142399999999995</v>
      </c>
      <c r="M70" s="418">
        <v>30</v>
      </c>
      <c r="N70" s="418" t="s">
        <v>2310</v>
      </c>
      <c r="O70" s="418" t="s">
        <v>2311</v>
      </c>
      <c r="P70" s="415">
        <v>1</v>
      </c>
      <c r="Q70" s="415">
        <v>30</v>
      </c>
      <c r="R70" s="415">
        <v>5</v>
      </c>
      <c r="S70" s="415">
        <f t="shared" si="3"/>
        <v>5</v>
      </c>
      <c r="T70" s="419">
        <f t="shared" si="4"/>
        <v>0.83333333333333337</v>
      </c>
      <c r="U70" s="419">
        <f t="shared" si="5"/>
        <v>5.833333333333333</v>
      </c>
      <c r="V70" s="415" t="s">
        <v>662</v>
      </c>
      <c r="W70" s="415" t="s">
        <v>608</v>
      </c>
      <c r="X70" s="415" t="s">
        <v>663</v>
      </c>
      <c r="Y70" s="415"/>
    </row>
    <row r="71" spans="1:25" hidden="1" x14ac:dyDescent="0.25">
      <c r="A71" s="415">
        <v>70</v>
      </c>
      <c r="B71" s="415">
        <v>892</v>
      </c>
      <c r="C71" s="415">
        <v>482230</v>
      </c>
      <c r="D71" s="416" t="s">
        <v>2399</v>
      </c>
      <c r="E71" s="416" t="s">
        <v>581</v>
      </c>
      <c r="F71" s="416" t="s">
        <v>581</v>
      </c>
      <c r="G71" s="416" t="s">
        <v>2400</v>
      </c>
      <c r="H71" s="416" t="s">
        <v>2400</v>
      </c>
      <c r="I71" s="416" t="s">
        <v>2401</v>
      </c>
      <c r="J71" s="415" t="s">
        <v>747</v>
      </c>
      <c r="K71" s="417">
        <v>-6.4621000000000004</v>
      </c>
      <c r="L71" s="417">
        <v>-76.4495</v>
      </c>
      <c r="M71" s="418">
        <v>30</v>
      </c>
      <c r="N71" s="418" t="s">
        <v>2310</v>
      </c>
      <c r="O71" s="418" t="s">
        <v>2311</v>
      </c>
      <c r="P71" s="415">
        <v>1</v>
      </c>
      <c r="Q71" s="415">
        <v>30</v>
      </c>
      <c r="R71" s="415">
        <v>5</v>
      </c>
      <c r="S71" s="415">
        <f t="shared" si="3"/>
        <v>5</v>
      </c>
      <c r="T71" s="419">
        <f t="shared" si="4"/>
        <v>0.83333333333333337</v>
      </c>
      <c r="U71" s="419">
        <f t="shared" si="5"/>
        <v>5.833333333333333</v>
      </c>
      <c r="V71" s="415" t="s">
        <v>662</v>
      </c>
      <c r="W71" s="415" t="s">
        <v>616</v>
      </c>
      <c r="X71" s="415" t="s">
        <v>666</v>
      </c>
      <c r="Y71" s="415"/>
    </row>
    <row r="72" spans="1:25" hidden="1" x14ac:dyDescent="0.25">
      <c r="A72" s="415">
        <v>71</v>
      </c>
      <c r="B72" s="415">
        <v>893</v>
      </c>
      <c r="C72" s="415">
        <v>482249</v>
      </c>
      <c r="D72" s="416" t="s">
        <v>2402</v>
      </c>
      <c r="E72" s="416" t="s">
        <v>581</v>
      </c>
      <c r="F72" s="416" t="s">
        <v>581</v>
      </c>
      <c r="G72" s="416" t="s">
        <v>2400</v>
      </c>
      <c r="H72" s="416" t="s">
        <v>2400</v>
      </c>
      <c r="I72" s="416" t="s">
        <v>2403</v>
      </c>
      <c r="J72" s="415" t="s">
        <v>747</v>
      </c>
      <c r="K72" s="417">
        <v>-6.4634</v>
      </c>
      <c r="L72" s="417">
        <v>-76.4495</v>
      </c>
      <c r="M72" s="418">
        <v>30</v>
      </c>
      <c r="N72" s="418" t="s">
        <v>2310</v>
      </c>
      <c r="O72" s="418" t="s">
        <v>2311</v>
      </c>
      <c r="P72" s="415">
        <v>1</v>
      </c>
      <c r="Q72" s="415">
        <v>30</v>
      </c>
      <c r="R72" s="415">
        <v>5</v>
      </c>
      <c r="S72" s="415">
        <f t="shared" si="3"/>
        <v>5</v>
      </c>
      <c r="T72" s="419">
        <f t="shared" si="4"/>
        <v>0.83333333333333337</v>
      </c>
      <c r="U72" s="419">
        <f t="shared" si="5"/>
        <v>5.833333333333333</v>
      </c>
      <c r="V72" s="415" t="s">
        <v>662</v>
      </c>
      <c r="W72" s="415" t="s">
        <v>616</v>
      </c>
      <c r="X72" s="415" t="s">
        <v>666</v>
      </c>
      <c r="Y72" s="415"/>
    </row>
    <row r="73" spans="1:25" hidden="1" x14ac:dyDescent="0.25">
      <c r="A73" s="415">
        <v>72</v>
      </c>
      <c r="B73" s="415">
        <v>894</v>
      </c>
      <c r="C73" s="415">
        <v>801982</v>
      </c>
      <c r="D73" s="416" t="s">
        <v>2280</v>
      </c>
      <c r="E73" s="416" t="s">
        <v>581</v>
      </c>
      <c r="F73" s="416" t="s">
        <v>581</v>
      </c>
      <c r="G73" s="416" t="s">
        <v>677</v>
      </c>
      <c r="H73" s="416" t="s">
        <v>2281</v>
      </c>
      <c r="I73" s="416" t="s">
        <v>2282</v>
      </c>
      <c r="J73" s="415" t="s">
        <v>661</v>
      </c>
      <c r="K73" s="417">
        <v>-6.2664</v>
      </c>
      <c r="L73" s="417">
        <v>-75.917599999999993</v>
      </c>
      <c r="M73" s="418">
        <v>30</v>
      </c>
      <c r="N73" s="418" t="s">
        <v>2310</v>
      </c>
      <c r="O73" s="418" t="s">
        <v>2311</v>
      </c>
      <c r="P73" s="415">
        <v>1</v>
      </c>
      <c r="Q73" s="415">
        <v>30</v>
      </c>
      <c r="R73" s="415">
        <v>5</v>
      </c>
      <c r="S73" s="415">
        <f t="shared" si="3"/>
        <v>5</v>
      </c>
      <c r="T73" s="419">
        <f t="shared" si="4"/>
        <v>0.83333333333333337</v>
      </c>
      <c r="U73" s="419">
        <f t="shared" si="5"/>
        <v>5.833333333333333</v>
      </c>
      <c r="V73" s="415" t="s">
        <v>692</v>
      </c>
      <c r="W73" s="415" t="s">
        <v>615</v>
      </c>
      <c r="X73" s="415" t="s">
        <v>615</v>
      </c>
      <c r="Y73" s="415"/>
    </row>
    <row r="74" spans="1:25" hidden="1" x14ac:dyDescent="0.25">
      <c r="A74" s="415">
        <v>73</v>
      </c>
      <c r="B74" s="415">
        <v>895</v>
      </c>
      <c r="C74" s="415">
        <v>481773</v>
      </c>
      <c r="D74" s="416" t="s">
        <v>2404</v>
      </c>
      <c r="E74" s="416" t="s">
        <v>581</v>
      </c>
      <c r="F74" s="416" t="s">
        <v>581</v>
      </c>
      <c r="G74" s="416" t="s">
        <v>2405</v>
      </c>
      <c r="H74" s="416" t="s">
        <v>2406</v>
      </c>
      <c r="I74" s="416" t="s">
        <v>2407</v>
      </c>
      <c r="J74" s="415" t="s">
        <v>747</v>
      </c>
      <c r="K74" s="417">
        <v>-6.5001239999999996</v>
      </c>
      <c r="L74" s="417">
        <v>-76.378360999999998</v>
      </c>
      <c r="M74" s="418">
        <v>30</v>
      </c>
      <c r="N74" s="418" t="s">
        <v>2310</v>
      </c>
      <c r="O74" s="418" t="s">
        <v>2311</v>
      </c>
      <c r="P74" s="415">
        <v>1</v>
      </c>
      <c r="Q74" s="415">
        <v>30</v>
      </c>
      <c r="R74" s="415">
        <v>5</v>
      </c>
      <c r="S74" s="415">
        <f t="shared" si="3"/>
        <v>5</v>
      </c>
      <c r="T74" s="419">
        <f t="shared" si="4"/>
        <v>0.83333333333333337</v>
      </c>
      <c r="U74" s="419">
        <f t="shared" si="5"/>
        <v>5.833333333333333</v>
      </c>
      <c r="V74" s="415" t="s">
        <v>662</v>
      </c>
      <c r="W74" s="415" t="s">
        <v>616</v>
      </c>
      <c r="X74" s="415" t="s">
        <v>666</v>
      </c>
      <c r="Y74" s="415"/>
    </row>
    <row r="75" spans="1:25" hidden="1" x14ac:dyDescent="0.25">
      <c r="A75" s="415">
        <v>74</v>
      </c>
      <c r="B75" s="415">
        <v>896</v>
      </c>
      <c r="C75" s="415">
        <v>530863</v>
      </c>
      <c r="D75" s="416" t="s">
        <v>2210</v>
      </c>
      <c r="E75" s="416" t="s">
        <v>581</v>
      </c>
      <c r="F75" s="416" t="s">
        <v>590</v>
      </c>
      <c r="G75" s="416" t="s">
        <v>1077</v>
      </c>
      <c r="H75" s="416" t="s">
        <v>2211</v>
      </c>
      <c r="I75" s="416" t="s">
        <v>2212</v>
      </c>
      <c r="J75" s="415" t="s">
        <v>661</v>
      </c>
      <c r="K75" s="417">
        <v>-8.4388179999999995</v>
      </c>
      <c r="L75" s="417">
        <v>-76.225331999999995</v>
      </c>
      <c r="M75" s="418">
        <v>30</v>
      </c>
      <c r="N75" s="418" t="s">
        <v>2310</v>
      </c>
      <c r="O75" s="418" t="s">
        <v>2311</v>
      </c>
      <c r="P75" s="415">
        <v>1</v>
      </c>
      <c r="Q75" s="415">
        <v>30</v>
      </c>
      <c r="R75" s="415">
        <v>5</v>
      </c>
      <c r="S75" s="415">
        <f t="shared" si="3"/>
        <v>5</v>
      </c>
      <c r="T75" s="419">
        <f t="shared" si="4"/>
        <v>0.83333333333333337</v>
      </c>
      <c r="U75" s="419">
        <f t="shared" si="5"/>
        <v>5.833333333333333</v>
      </c>
      <c r="V75" s="415" t="s">
        <v>662</v>
      </c>
      <c r="W75" s="415" t="s">
        <v>616</v>
      </c>
      <c r="X75" s="415" t="s">
        <v>666</v>
      </c>
      <c r="Y75" s="415"/>
    </row>
    <row r="76" spans="1:25" hidden="1" x14ac:dyDescent="0.25">
      <c r="A76" s="415">
        <v>75</v>
      </c>
      <c r="B76" s="415">
        <v>897</v>
      </c>
      <c r="C76" s="415">
        <v>500192</v>
      </c>
      <c r="D76" s="416" t="s">
        <v>2182</v>
      </c>
      <c r="E76" s="416" t="s">
        <v>595</v>
      </c>
      <c r="F76" s="416" t="s">
        <v>597</v>
      </c>
      <c r="G76" s="416" t="s">
        <v>2183</v>
      </c>
      <c r="H76" s="416" t="s">
        <v>2184</v>
      </c>
      <c r="I76" s="416" t="s">
        <v>2184</v>
      </c>
      <c r="J76" s="415" t="s">
        <v>661</v>
      </c>
      <c r="K76" s="417">
        <v>-10.738657</v>
      </c>
      <c r="L76" s="417">
        <v>-73.724123000000006</v>
      </c>
      <c r="M76" s="418">
        <v>30</v>
      </c>
      <c r="N76" s="418" t="s">
        <v>2310</v>
      </c>
      <c r="O76" s="418" t="s">
        <v>2311</v>
      </c>
      <c r="P76" s="415">
        <v>1</v>
      </c>
      <c r="Q76" s="415">
        <v>30</v>
      </c>
      <c r="R76" s="415">
        <v>5</v>
      </c>
      <c r="S76" s="415">
        <f t="shared" si="3"/>
        <v>5</v>
      </c>
      <c r="T76" s="419">
        <f t="shared" si="4"/>
        <v>0.83333333333333337</v>
      </c>
      <c r="U76" s="419">
        <f t="shared" si="5"/>
        <v>5.833333333333333</v>
      </c>
      <c r="V76" s="415" t="s">
        <v>662</v>
      </c>
      <c r="W76" s="415" t="s">
        <v>1433</v>
      </c>
      <c r="X76" s="415" t="s">
        <v>1434</v>
      </c>
      <c r="Y76" s="415"/>
    </row>
    <row r="77" spans="1:25" hidden="1" x14ac:dyDescent="0.25">
      <c r="A77" s="415">
        <v>76</v>
      </c>
      <c r="B77" s="415">
        <v>898</v>
      </c>
      <c r="C77" s="415">
        <v>501592</v>
      </c>
      <c r="D77" s="416" t="s">
        <v>2408</v>
      </c>
      <c r="E77" s="416" t="s">
        <v>595</v>
      </c>
      <c r="F77" s="416" t="s">
        <v>597</v>
      </c>
      <c r="G77" s="416" t="s">
        <v>1773</v>
      </c>
      <c r="H77" s="416" t="s">
        <v>1773</v>
      </c>
      <c r="I77" s="416" t="s">
        <v>2185</v>
      </c>
      <c r="J77" s="415" t="s">
        <v>747</v>
      </c>
      <c r="K77" s="417">
        <v>-11.136101</v>
      </c>
      <c r="L77" s="417">
        <v>-73.046750000000003</v>
      </c>
      <c r="M77" s="418">
        <v>30</v>
      </c>
      <c r="N77" s="418" t="s">
        <v>2310</v>
      </c>
      <c r="O77" s="418" t="s">
        <v>2311</v>
      </c>
      <c r="P77" s="415">
        <v>1</v>
      </c>
      <c r="Q77" s="415">
        <v>30</v>
      </c>
      <c r="R77" s="415">
        <v>5</v>
      </c>
      <c r="S77" s="415">
        <f t="shared" si="3"/>
        <v>5</v>
      </c>
      <c r="T77" s="419">
        <f t="shared" si="4"/>
        <v>0.83333333333333337</v>
      </c>
      <c r="U77" s="419">
        <f t="shared" si="5"/>
        <v>5.833333333333333</v>
      </c>
      <c r="V77" s="415" t="s">
        <v>662</v>
      </c>
      <c r="W77" s="415" t="s">
        <v>675</v>
      </c>
      <c r="X77" s="415" t="s">
        <v>673</v>
      </c>
      <c r="Y77" s="415"/>
    </row>
    <row r="78" spans="1:25" hidden="1" x14ac:dyDescent="0.25">
      <c r="A78" s="415">
        <v>77</v>
      </c>
      <c r="B78" s="415">
        <v>899</v>
      </c>
      <c r="C78" s="415">
        <v>312474</v>
      </c>
      <c r="D78" s="416" t="s">
        <v>1772</v>
      </c>
      <c r="E78" s="416" t="s">
        <v>595</v>
      </c>
      <c r="F78" s="416" t="s">
        <v>597</v>
      </c>
      <c r="G78" s="416" t="s">
        <v>1773</v>
      </c>
      <c r="H78" s="416" t="s">
        <v>1773</v>
      </c>
      <c r="I78" s="416" t="s">
        <v>1774</v>
      </c>
      <c r="J78" s="415" t="s">
        <v>747</v>
      </c>
      <c r="K78" s="417">
        <v>-11.145108</v>
      </c>
      <c r="L78" s="417">
        <v>-73.040284999999997</v>
      </c>
      <c r="M78" s="418">
        <v>30</v>
      </c>
      <c r="N78" s="418" t="s">
        <v>2310</v>
      </c>
      <c r="O78" s="418" t="s">
        <v>2311</v>
      </c>
      <c r="P78" s="415">
        <v>1</v>
      </c>
      <c r="Q78" s="415">
        <v>30</v>
      </c>
      <c r="R78" s="415">
        <v>5</v>
      </c>
      <c r="S78" s="415">
        <f t="shared" si="3"/>
        <v>5</v>
      </c>
      <c r="T78" s="419">
        <f t="shared" si="4"/>
        <v>0.83333333333333337</v>
      </c>
      <c r="U78" s="419">
        <f t="shared" si="5"/>
        <v>5.833333333333333</v>
      </c>
      <c r="V78" s="415" t="s">
        <v>662</v>
      </c>
      <c r="W78" s="415" t="s">
        <v>675</v>
      </c>
      <c r="X78" s="415" t="s">
        <v>673</v>
      </c>
      <c r="Y78" s="415"/>
    </row>
    <row r="79" spans="1:25" hidden="1" x14ac:dyDescent="0.25">
      <c r="A79" s="415">
        <v>78</v>
      </c>
      <c r="B79" s="415">
        <v>900</v>
      </c>
      <c r="C79" s="415">
        <v>496425</v>
      </c>
      <c r="D79" s="416" t="s">
        <v>2173</v>
      </c>
      <c r="E79" s="416" t="s">
        <v>595</v>
      </c>
      <c r="F79" s="416" t="s">
        <v>596</v>
      </c>
      <c r="G79" s="416" t="s">
        <v>2174</v>
      </c>
      <c r="H79" s="416" t="s">
        <v>2175</v>
      </c>
      <c r="I79" s="416" t="s">
        <v>2176</v>
      </c>
      <c r="J79" s="415" t="s">
        <v>661</v>
      </c>
      <c r="K79" s="417">
        <v>-8.5152070000000002</v>
      </c>
      <c r="L79" s="417">
        <v>-74.858554999999996</v>
      </c>
      <c r="M79" s="418">
        <v>30</v>
      </c>
      <c r="N79" s="418" t="s">
        <v>2310</v>
      </c>
      <c r="O79" s="418" t="s">
        <v>2311</v>
      </c>
      <c r="P79" s="415">
        <v>1</v>
      </c>
      <c r="Q79" s="415">
        <v>30</v>
      </c>
      <c r="R79" s="415">
        <v>5</v>
      </c>
      <c r="S79" s="415">
        <f t="shared" si="3"/>
        <v>5</v>
      </c>
      <c r="T79" s="419">
        <f t="shared" si="4"/>
        <v>0.83333333333333337</v>
      </c>
      <c r="U79" s="419">
        <f t="shared" si="5"/>
        <v>5.833333333333333</v>
      </c>
      <c r="V79" s="415" t="s">
        <v>662</v>
      </c>
      <c r="W79" s="415" t="s">
        <v>1433</v>
      </c>
      <c r="X79" s="415" t="s">
        <v>1434</v>
      </c>
      <c r="Y79" s="415"/>
    </row>
    <row r="80" spans="1:25" hidden="1" x14ac:dyDescent="0.25">
      <c r="A80" s="415">
        <v>79</v>
      </c>
      <c r="B80" s="415">
        <v>901</v>
      </c>
      <c r="C80" s="415">
        <v>497364</v>
      </c>
      <c r="D80" s="416" t="s">
        <v>2178</v>
      </c>
      <c r="E80" s="416" t="s">
        <v>595</v>
      </c>
      <c r="F80" s="416" t="s">
        <v>596</v>
      </c>
      <c r="G80" s="416" t="s">
        <v>2179</v>
      </c>
      <c r="H80" s="416" t="s">
        <v>2180</v>
      </c>
      <c r="I80" s="416" t="s">
        <v>2181</v>
      </c>
      <c r="J80" s="415" t="s">
        <v>661</v>
      </c>
      <c r="K80" s="417">
        <v>-9.232602</v>
      </c>
      <c r="L80" s="417">
        <v>-74.344880000000003</v>
      </c>
      <c r="M80" s="418">
        <v>30</v>
      </c>
      <c r="N80" s="418" t="s">
        <v>2310</v>
      </c>
      <c r="O80" s="418" t="s">
        <v>2311</v>
      </c>
      <c r="P80" s="415">
        <v>1</v>
      </c>
      <c r="Q80" s="415">
        <v>30</v>
      </c>
      <c r="R80" s="415">
        <v>5</v>
      </c>
      <c r="S80" s="415">
        <f t="shared" si="3"/>
        <v>5</v>
      </c>
      <c r="T80" s="419">
        <f t="shared" si="4"/>
        <v>0.83333333333333337</v>
      </c>
      <c r="U80" s="419">
        <f t="shared" si="5"/>
        <v>5.833333333333333</v>
      </c>
      <c r="V80" s="415" t="s">
        <v>662</v>
      </c>
      <c r="W80" s="415" t="s">
        <v>1433</v>
      </c>
      <c r="X80" s="415" t="s">
        <v>1434</v>
      </c>
      <c r="Y80" s="415"/>
    </row>
    <row r="81" spans="1:25" hidden="1" x14ac:dyDescent="0.25">
      <c r="A81" s="415">
        <v>80</v>
      </c>
      <c r="B81" s="415">
        <v>902</v>
      </c>
      <c r="C81" s="415">
        <v>503082</v>
      </c>
      <c r="D81" s="416" t="s">
        <v>2186</v>
      </c>
      <c r="E81" s="416" t="s">
        <v>595</v>
      </c>
      <c r="F81" s="416" t="s">
        <v>598</v>
      </c>
      <c r="G81" s="416" t="s">
        <v>2187</v>
      </c>
      <c r="H81" s="416" t="s">
        <v>2188</v>
      </c>
      <c r="I81" s="416" t="s">
        <v>2189</v>
      </c>
      <c r="J81" s="415" t="s">
        <v>661</v>
      </c>
      <c r="K81" s="417">
        <v>-8.8021229999999999</v>
      </c>
      <c r="L81" s="417">
        <v>-75.034829000000002</v>
      </c>
      <c r="M81" s="418">
        <v>30</v>
      </c>
      <c r="N81" s="418" t="s">
        <v>2310</v>
      </c>
      <c r="O81" s="418" t="s">
        <v>2311</v>
      </c>
      <c r="P81" s="415">
        <v>1</v>
      </c>
      <c r="Q81" s="415">
        <v>30</v>
      </c>
      <c r="R81" s="415">
        <v>5</v>
      </c>
      <c r="S81" s="415">
        <f t="shared" si="3"/>
        <v>5</v>
      </c>
      <c r="T81" s="419">
        <f t="shared" si="4"/>
        <v>0.83333333333333337</v>
      </c>
      <c r="U81" s="419">
        <f t="shared" si="5"/>
        <v>5.833333333333333</v>
      </c>
      <c r="V81" s="415" t="s">
        <v>662</v>
      </c>
      <c r="W81" s="415" t="s">
        <v>1433</v>
      </c>
      <c r="X81" s="415" t="s">
        <v>1434</v>
      </c>
      <c r="Y81" s="415"/>
    </row>
    <row r="82" spans="1:25" hidden="1" x14ac:dyDescent="0.25">
      <c r="A82" s="415">
        <v>81</v>
      </c>
      <c r="B82" s="415">
        <v>903</v>
      </c>
      <c r="C82" s="415">
        <v>503591</v>
      </c>
      <c r="D82" s="416" t="s">
        <v>2191</v>
      </c>
      <c r="E82" s="416" t="s">
        <v>595</v>
      </c>
      <c r="F82" s="416" t="s">
        <v>598</v>
      </c>
      <c r="G82" s="416" t="s">
        <v>2177</v>
      </c>
      <c r="H82" s="416" t="s">
        <v>1089</v>
      </c>
      <c r="I82" s="416" t="s">
        <v>2192</v>
      </c>
      <c r="J82" s="415" t="s">
        <v>661</v>
      </c>
      <c r="K82" s="417">
        <v>-8.3848719999999997</v>
      </c>
      <c r="L82" s="417">
        <v>-75.122519999999994</v>
      </c>
      <c r="M82" s="418">
        <v>30</v>
      </c>
      <c r="N82" s="418" t="s">
        <v>2310</v>
      </c>
      <c r="O82" s="418" t="s">
        <v>2311</v>
      </c>
      <c r="P82" s="415">
        <v>1</v>
      </c>
      <c r="Q82" s="415">
        <v>30</v>
      </c>
      <c r="R82" s="415">
        <v>5</v>
      </c>
      <c r="S82" s="415">
        <f t="shared" si="3"/>
        <v>5</v>
      </c>
      <c r="T82" s="419">
        <f t="shared" si="4"/>
        <v>0.83333333333333337</v>
      </c>
      <c r="U82" s="419">
        <f t="shared" si="5"/>
        <v>5.833333333333333</v>
      </c>
      <c r="V82" s="415" t="s">
        <v>692</v>
      </c>
      <c r="W82" s="415" t="s">
        <v>615</v>
      </c>
      <c r="X82" s="415" t="s">
        <v>615</v>
      </c>
      <c r="Y82" s="415"/>
    </row>
    <row r="83" spans="1:25" hidden="1" x14ac:dyDescent="0.25">
      <c r="A83" s="415">
        <v>82</v>
      </c>
      <c r="B83" s="415">
        <v>904</v>
      </c>
      <c r="C83" s="415">
        <v>503063</v>
      </c>
      <c r="D83" s="416" t="s">
        <v>2409</v>
      </c>
      <c r="E83" s="416" t="s">
        <v>595</v>
      </c>
      <c r="F83" s="416" t="s">
        <v>598</v>
      </c>
      <c r="G83" s="416" t="s">
        <v>2190</v>
      </c>
      <c r="H83" s="416" t="s">
        <v>444</v>
      </c>
      <c r="I83" s="416" t="s">
        <v>2410</v>
      </c>
      <c r="J83" s="415" t="s">
        <v>661</v>
      </c>
      <c r="K83" s="417">
        <v>-8.7519200000000001</v>
      </c>
      <c r="L83" s="417">
        <v>-75.016159999999999</v>
      </c>
      <c r="M83" s="418">
        <v>30</v>
      </c>
      <c r="N83" s="418" t="s">
        <v>2310</v>
      </c>
      <c r="O83" s="418" t="s">
        <v>2311</v>
      </c>
      <c r="P83" s="415">
        <v>1</v>
      </c>
      <c r="Q83" s="415">
        <v>30</v>
      </c>
      <c r="R83" s="415">
        <v>5</v>
      </c>
      <c r="S83" s="415">
        <f t="shared" si="3"/>
        <v>5</v>
      </c>
      <c r="T83" s="419">
        <f t="shared" si="4"/>
        <v>0.83333333333333337</v>
      </c>
      <c r="U83" s="419">
        <f t="shared" si="5"/>
        <v>5.833333333333333</v>
      </c>
      <c r="V83" s="415" t="s">
        <v>662</v>
      </c>
      <c r="W83" s="415" t="s">
        <v>1433</v>
      </c>
      <c r="X83" s="415" t="s">
        <v>1434</v>
      </c>
      <c r="Y83" s="415"/>
    </row>
    <row r="84" spans="1:25" hidden="1" x14ac:dyDescent="0.25">
      <c r="A84" s="415">
        <v>83</v>
      </c>
      <c r="B84" s="415">
        <v>905</v>
      </c>
      <c r="C84" s="415">
        <v>504067</v>
      </c>
      <c r="D84" s="416" t="s">
        <v>2151</v>
      </c>
      <c r="E84" s="416" t="s">
        <v>595</v>
      </c>
      <c r="F84" s="416" t="s">
        <v>599</v>
      </c>
      <c r="G84" s="416" t="s">
        <v>599</v>
      </c>
      <c r="H84" s="416" t="s">
        <v>2151</v>
      </c>
      <c r="I84" s="416" t="s">
        <v>2196</v>
      </c>
      <c r="J84" s="415" t="s">
        <v>661</v>
      </c>
      <c r="K84" s="417">
        <v>-9.44346</v>
      </c>
      <c r="L84" s="417">
        <v>-70.510189999999994</v>
      </c>
      <c r="M84" s="418">
        <v>30</v>
      </c>
      <c r="N84" s="418" t="s">
        <v>2310</v>
      </c>
      <c r="O84" s="418" t="s">
        <v>2311</v>
      </c>
      <c r="P84" s="415">
        <v>1</v>
      </c>
      <c r="Q84" s="415">
        <v>30</v>
      </c>
      <c r="R84" s="415">
        <v>5</v>
      </c>
      <c r="S84" s="415">
        <f t="shared" si="3"/>
        <v>5</v>
      </c>
      <c r="T84" s="419">
        <f t="shared" si="4"/>
        <v>0.83333333333333337</v>
      </c>
      <c r="U84" s="419">
        <f t="shared" si="5"/>
        <v>5.833333333333333</v>
      </c>
      <c r="V84" s="415" t="s">
        <v>692</v>
      </c>
      <c r="W84" s="415" t="s">
        <v>615</v>
      </c>
      <c r="X84" s="415" t="s">
        <v>615</v>
      </c>
      <c r="Y84" s="415"/>
    </row>
    <row r="85" spans="1:25" hidden="1" x14ac:dyDescent="0.25">
      <c r="A85" s="415">
        <v>84</v>
      </c>
      <c r="B85" s="415">
        <v>906</v>
      </c>
      <c r="C85" s="415">
        <v>504005</v>
      </c>
      <c r="D85" s="416" t="s">
        <v>2193</v>
      </c>
      <c r="E85" s="416" t="s">
        <v>595</v>
      </c>
      <c r="F85" s="416" t="s">
        <v>599</v>
      </c>
      <c r="G85" s="416" t="s">
        <v>599</v>
      </c>
      <c r="H85" s="416" t="s">
        <v>2194</v>
      </c>
      <c r="I85" s="416" t="s">
        <v>2195</v>
      </c>
      <c r="J85" s="415" t="s">
        <v>661</v>
      </c>
      <c r="K85" s="417">
        <v>-9.7725629999999999</v>
      </c>
      <c r="L85" s="417">
        <v>-70.707308999999995</v>
      </c>
      <c r="M85" s="418">
        <v>30</v>
      </c>
      <c r="N85" s="418" t="s">
        <v>2310</v>
      </c>
      <c r="O85" s="418" t="s">
        <v>2311</v>
      </c>
      <c r="P85" s="415">
        <v>1</v>
      </c>
      <c r="Q85" s="415">
        <v>30</v>
      </c>
      <c r="R85" s="415">
        <v>5</v>
      </c>
      <c r="S85" s="415">
        <f t="shared" si="3"/>
        <v>5</v>
      </c>
      <c r="T85" s="419">
        <f t="shared" si="4"/>
        <v>0.83333333333333337</v>
      </c>
      <c r="U85" s="419">
        <f t="shared" si="5"/>
        <v>5.833333333333333</v>
      </c>
      <c r="V85" s="415" t="s">
        <v>692</v>
      </c>
      <c r="W85" s="415" t="s">
        <v>615</v>
      </c>
      <c r="X85" s="415" t="s">
        <v>615</v>
      </c>
      <c r="Y85" s="415"/>
    </row>
    <row r="86" spans="1:25" hidden="1" x14ac:dyDescent="0.25">
      <c r="A86" s="415">
        <v>85</v>
      </c>
      <c r="B86" s="415">
        <v>1</v>
      </c>
      <c r="C86" s="415">
        <v>17897</v>
      </c>
      <c r="D86" s="416" t="s">
        <v>724</v>
      </c>
      <c r="E86" s="416" t="s">
        <v>413</v>
      </c>
      <c r="F86" s="416" t="s">
        <v>415</v>
      </c>
      <c r="G86" s="416" t="s">
        <v>725</v>
      </c>
      <c r="H86" s="416" t="s">
        <v>726</v>
      </c>
      <c r="I86" s="416" t="s">
        <v>726</v>
      </c>
      <c r="J86" s="415" t="s">
        <v>661</v>
      </c>
      <c r="K86" s="417">
        <v>-9.7878589999999992</v>
      </c>
      <c r="L86" s="417">
        <v>-77.789795999999996</v>
      </c>
      <c r="M86" s="418">
        <v>30</v>
      </c>
      <c r="N86" s="418" t="s">
        <v>2310</v>
      </c>
      <c r="O86" s="418" t="s">
        <v>2411</v>
      </c>
      <c r="P86" s="415">
        <v>2</v>
      </c>
      <c r="Q86" s="415">
        <v>30</v>
      </c>
      <c r="R86" s="415">
        <v>5</v>
      </c>
      <c r="S86" s="415">
        <f t="shared" si="3"/>
        <v>5</v>
      </c>
      <c r="T86" s="419">
        <f t="shared" si="4"/>
        <v>0.83333333333333337</v>
      </c>
      <c r="U86" s="419">
        <f t="shared" si="5"/>
        <v>5.833333333333333</v>
      </c>
      <c r="V86" s="415" t="s">
        <v>662</v>
      </c>
      <c r="W86" s="415" t="s">
        <v>610</v>
      </c>
      <c r="X86" s="415" t="s">
        <v>673</v>
      </c>
      <c r="Y86" s="415"/>
    </row>
    <row r="87" spans="1:25" hidden="1" x14ac:dyDescent="0.25">
      <c r="A87" s="415">
        <v>86</v>
      </c>
      <c r="B87" s="415">
        <v>2</v>
      </c>
      <c r="C87" s="415">
        <v>18043</v>
      </c>
      <c r="D87" s="416" t="s">
        <v>2412</v>
      </c>
      <c r="E87" s="416" t="s">
        <v>413</v>
      </c>
      <c r="F87" s="416" t="s">
        <v>415</v>
      </c>
      <c r="G87" s="416" t="s">
        <v>2413</v>
      </c>
      <c r="H87" s="416" t="s">
        <v>2414</v>
      </c>
      <c r="I87" s="416" t="s">
        <v>2415</v>
      </c>
      <c r="J87" s="415" t="s">
        <v>661</v>
      </c>
      <c r="K87" s="417">
        <v>-9.7184930000000005</v>
      </c>
      <c r="L87" s="417">
        <v>-77.598588000000007</v>
      </c>
      <c r="M87" s="418">
        <v>30</v>
      </c>
      <c r="N87" s="418" t="s">
        <v>2310</v>
      </c>
      <c r="O87" s="418" t="s">
        <v>2411</v>
      </c>
      <c r="P87" s="415">
        <v>2</v>
      </c>
      <c r="Q87" s="415">
        <v>30</v>
      </c>
      <c r="R87" s="415">
        <v>5</v>
      </c>
      <c r="S87" s="415">
        <f t="shared" si="3"/>
        <v>5</v>
      </c>
      <c r="T87" s="419">
        <f t="shared" si="4"/>
        <v>0.83333333333333337</v>
      </c>
      <c r="U87" s="419">
        <f t="shared" si="5"/>
        <v>5.833333333333333</v>
      </c>
      <c r="V87" s="415" t="s">
        <v>662</v>
      </c>
      <c r="W87" s="415" t="s">
        <v>610</v>
      </c>
      <c r="X87" s="415" t="s">
        <v>673</v>
      </c>
      <c r="Y87" s="415"/>
    </row>
    <row r="88" spans="1:25" hidden="1" x14ac:dyDescent="0.25">
      <c r="A88" s="415">
        <v>87</v>
      </c>
      <c r="B88" s="415">
        <v>3</v>
      </c>
      <c r="C88" s="415">
        <v>18383</v>
      </c>
      <c r="D88" s="416" t="s">
        <v>727</v>
      </c>
      <c r="E88" s="416" t="s">
        <v>413</v>
      </c>
      <c r="F88" s="416" t="s">
        <v>416</v>
      </c>
      <c r="G88" s="416" t="s">
        <v>728</v>
      </c>
      <c r="H88" s="416" t="s">
        <v>729</v>
      </c>
      <c r="I88" s="416" t="s">
        <v>730</v>
      </c>
      <c r="J88" s="415" t="s">
        <v>661</v>
      </c>
      <c r="K88" s="417">
        <v>-9.1620000000000008</v>
      </c>
      <c r="L88" s="417">
        <v>-77.016499999999994</v>
      </c>
      <c r="M88" s="418">
        <v>30</v>
      </c>
      <c r="N88" s="418" t="s">
        <v>2310</v>
      </c>
      <c r="O88" s="418" t="s">
        <v>2411</v>
      </c>
      <c r="P88" s="415">
        <v>2</v>
      </c>
      <c r="Q88" s="415">
        <v>30</v>
      </c>
      <c r="R88" s="415">
        <v>5</v>
      </c>
      <c r="S88" s="415">
        <f t="shared" si="3"/>
        <v>5</v>
      </c>
      <c r="T88" s="419">
        <f t="shared" si="4"/>
        <v>0.83333333333333337</v>
      </c>
      <c r="U88" s="419">
        <f t="shared" si="5"/>
        <v>5.833333333333333</v>
      </c>
      <c r="V88" s="415" t="s">
        <v>662</v>
      </c>
      <c r="W88" s="415" t="s">
        <v>616</v>
      </c>
      <c r="X88" s="415" t="s">
        <v>666</v>
      </c>
      <c r="Y88" s="415"/>
    </row>
    <row r="89" spans="1:25" hidden="1" x14ac:dyDescent="0.25">
      <c r="A89" s="415">
        <v>88</v>
      </c>
      <c r="B89" s="415">
        <v>4</v>
      </c>
      <c r="C89" s="415">
        <v>18774</v>
      </c>
      <c r="D89" s="416" t="s">
        <v>732</v>
      </c>
      <c r="E89" s="416" t="s">
        <v>413</v>
      </c>
      <c r="F89" s="416" t="s">
        <v>416</v>
      </c>
      <c r="G89" s="416" t="s">
        <v>731</v>
      </c>
      <c r="H89" s="416" t="s">
        <v>733</v>
      </c>
      <c r="I89" s="416" t="s">
        <v>733</v>
      </c>
      <c r="J89" s="415" t="s">
        <v>661</v>
      </c>
      <c r="K89" s="417">
        <v>-9.1320730000000001</v>
      </c>
      <c r="L89" s="417">
        <v>-77.133522999999997</v>
      </c>
      <c r="M89" s="418">
        <v>30</v>
      </c>
      <c r="N89" s="418" t="s">
        <v>2310</v>
      </c>
      <c r="O89" s="418" t="s">
        <v>2411</v>
      </c>
      <c r="P89" s="415">
        <v>2</v>
      </c>
      <c r="Q89" s="415">
        <v>30</v>
      </c>
      <c r="R89" s="415">
        <v>5</v>
      </c>
      <c r="S89" s="415">
        <f t="shared" si="3"/>
        <v>5</v>
      </c>
      <c r="T89" s="419">
        <f t="shared" si="4"/>
        <v>0.83333333333333337</v>
      </c>
      <c r="U89" s="419">
        <f t="shared" si="5"/>
        <v>5.833333333333333</v>
      </c>
      <c r="V89" s="415" t="s">
        <v>662</v>
      </c>
      <c r="W89" s="415" t="s">
        <v>616</v>
      </c>
      <c r="X89" s="415" t="s">
        <v>666</v>
      </c>
      <c r="Y89" s="415"/>
    </row>
    <row r="90" spans="1:25" hidden="1" x14ac:dyDescent="0.25">
      <c r="A90" s="415">
        <v>89</v>
      </c>
      <c r="B90" s="415">
        <v>5</v>
      </c>
      <c r="C90" s="415">
        <v>19052</v>
      </c>
      <c r="D90" s="416" t="s">
        <v>2416</v>
      </c>
      <c r="E90" s="416" t="s">
        <v>413</v>
      </c>
      <c r="F90" s="416" t="s">
        <v>417</v>
      </c>
      <c r="G90" s="416" t="s">
        <v>729</v>
      </c>
      <c r="H90" s="416" t="s">
        <v>729</v>
      </c>
      <c r="I90" s="416" t="s">
        <v>2136</v>
      </c>
      <c r="J90" s="415" t="s">
        <v>747</v>
      </c>
      <c r="K90" s="417">
        <v>-9.1629369999999994</v>
      </c>
      <c r="L90" s="417">
        <v>-77.369622000000007</v>
      </c>
      <c r="M90" s="418">
        <v>30</v>
      </c>
      <c r="N90" s="418" t="s">
        <v>2310</v>
      </c>
      <c r="O90" s="418" t="s">
        <v>2411</v>
      </c>
      <c r="P90" s="415">
        <v>2</v>
      </c>
      <c r="Q90" s="415">
        <v>30</v>
      </c>
      <c r="R90" s="415">
        <v>5</v>
      </c>
      <c r="S90" s="415">
        <f t="shared" si="3"/>
        <v>5</v>
      </c>
      <c r="T90" s="419">
        <f t="shared" si="4"/>
        <v>0.83333333333333337</v>
      </c>
      <c r="U90" s="419">
        <f t="shared" si="5"/>
        <v>5.833333333333333</v>
      </c>
      <c r="V90" s="415" t="s">
        <v>662</v>
      </c>
      <c r="W90" s="415" t="s">
        <v>616</v>
      </c>
      <c r="X90" s="415" t="s">
        <v>666</v>
      </c>
      <c r="Y90" s="415"/>
    </row>
    <row r="91" spans="1:25" hidden="1" x14ac:dyDescent="0.25">
      <c r="A91" s="415">
        <v>90</v>
      </c>
      <c r="B91" s="415">
        <v>6</v>
      </c>
      <c r="C91" s="415">
        <v>19066</v>
      </c>
      <c r="D91" s="416" t="s">
        <v>997</v>
      </c>
      <c r="E91" s="416" t="s">
        <v>413</v>
      </c>
      <c r="F91" s="416" t="s">
        <v>417</v>
      </c>
      <c r="G91" s="416" t="s">
        <v>729</v>
      </c>
      <c r="H91" s="416" t="s">
        <v>2417</v>
      </c>
      <c r="I91" s="416" t="s">
        <v>2418</v>
      </c>
      <c r="J91" s="415" t="s">
        <v>661</v>
      </c>
      <c r="K91" s="417">
        <v>-9.1524870000000007</v>
      </c>
      <c r="L91" s="417">
        <v>-77.386528999999996</v>
      </c>
      <c r="M91" s="418">
        <v>30</v>
      </c>
      <c r="N91" s="418" t="s">
        <v>2310</v>
      </c>
      <c r="O91" s="418" t="s">
        <v>2411</v>
      </c>
      <c r="P91" s="415">
        <v>2</v>
      </c>
      <c r="Q91" s="415">
        <v>30</v>
      </c>
      <c r="R91" s="415">
        <v>5</v>
      </c>
      <c r="S91" s="415">
        <f t="shared" si="3"/>
        <v>5</v>
      </c>
      <c r="T91" s="419">
        <f t="shared" si="4"/>
        <v>0.83333333333333337</v>
      </c>
      <c r="U91" s="419">
        <f t="shared" si="5"/>
        <v>5.833333333333333</v>
      </c>
      <c r="V91" s="415" t="s">
        <v>662</v>
      </c>
      <c r="W91" s="415" t="s">
        <v>616</v>
      </c>
      <c r="X91" s="415" t="s">
        <v>666</v>
      </c>
      <c r="Y91" s="415"/>
    </row>
    <row r="92" spans="1:25" hidden="1" x14ac:dyDescent="0.25">
      <c r="A92" s="415">
        <v>91</v>
      </c>
      <c r="B92" s="415">
        <v>7</v>
      </c>
      <c r="C92" s="415">
        <v>20507</v>
      </c>
      <c r="D92" s="416" t="s">
        <v>2419</v>
      </c>
      <c r="E92" s="416" t="s">
        <v>413</v>
      </c>
      <c r="F92" s="416" t="s">
        <v>419</v>
      </c>
      <c r="G92" s="416" t="s">
        <v>1577</v>
      </c>
      <c r="H92" s="416" t="s">
        <v>2420</v>
      </c>
      <c r="I92" s="416" t="s">
        <v>2420</v>
      </c>
      <c r="J92" s="415" t="s">
        <v>661</v>
      </c>
      <c r="K92" s="417">
        <v>-9.2821230000000003</v>
      </c>
      <c r="L92" s="417">
        <v>-77.630821999999995</v>
      </c>
      <c r="M92" s="418">
        <v>30</v>
      </c>
      <c r="N92" s="418" t="s">
        <v>2310</v>
      </c>
      <c r="O92" s="418" t="s">
        <v>2411</v>
      </c>
      <c r="P92" s="415">
        <v>2</v>
      </c>
      <c r="Q92" s="415">
        <v>30</v>
      </c>
      <c r="R92" s="415">
        <v>5</v>
      </c>
      <c r="S92" s="415">
        <f t="shared" si="3"/>
        <v>5</v>
      </c>
      <c r="T92" s="419">
        <f t="shared" si="4"/>
        <v>0.83333333333333337</v>
      </c>
      <c r="U92" s="419">
        <f t="shared" si="5"/>
        <v>5.833333333333333</v>
      </c>
      <c r="V92" s="415" t="s">
        <v>662</v>
      </c>
      <c r="W92" s="415" t="s">
        <v>616</v>
      </c>
      <c r="X92" s="415" t="s">
        <v>666</v>
      </c>
      <c r="Y92" s="415"/>
    </row>
    <row r="93" spans="1:25" hidden="1" x14ac:dyDescent="0.25">
      <c r="A93" s="415">
        <v>92</v>
      </c>
      <c r="B93" s="415">
        <v>8</v>
      </c>
      <c r="C93" s="415">
        <v>20201</v>
      </c>
      <c r="D93" s="416" t="s">
        <v>734</v>
      </c>
      <c r="E93" s="416" t="s">
        <v>413</v>
      </c>
      <c r="F93" s="416" t="s">
        <v>419</v>
      </c>
      <c r="G93" s="416" t="s">
        <v>419</v>
      </c>
      <c r="H93" s="416" t="s">
        <v>735</v>
      </c>
      <c r="I93" s="416" t="s">
        <v>736</v>
      </c>
      <c r="J93" s="415" t="s">
        <v>661</v>
      </c>
      <c r="K93" s="417">
        <v>-9.2958490000000005</v>
      </c>
      <c r="L93" s="417">
        <v>-77.690448000000004</v>
      </c>
      <c r="M93" s="418">
        <v>30</v>
      </c>
      <c r="N93" s="418" t="s">
        <v>2310</v>
      </c>
      <c r="O93" s="418" t="s">
        <v>2411</v>
      </c>
      <c r="P93" s="415">
        <v>2</v>
      </c>
      <c r="Q93" s="415">
        <v>30</v>
      </c>
      <c r="R93" s="415">
        <v>5</v>
      </c>
      <c r="S93" s="415">
        <f t="shared" si="3"/>
        <v>5</v>
      </c>
      <c r="T93" s="419">
        <f t="shared" si="4"/>
        <v>0.83333333333333337</v>
      </c>
      <c r="U93" s="419">
        <f t="shared" si="5"/>
        <v>5.833333333333333</v>
      </c>
      <c r="V93" s="415" t="s">
        <v>662</v>
      </c>
      <c r="W93" s="415" t="s">
        <v>616</v>
      </c>
      <c r="X93" s="415" t="s">
        <v>666</v>
      </c>
      <c r="Y93" s="415"/>
    </row>
    <row r="94" spans="1:25" hidden="1" x14ac:dyDescent="0.25">
      <c r="A94" s="415">
        <v>93</v>
      </c>
      <c r="B94" s="415">
        <v>9</v>
      </c>
      <c r="C94" s="415">
        <v>20324</v>
      </c>
      <c r="D94" s="416" t="s">
        <v>737</v>
      </c>
      <c r="E94" s="416" t="s">
        <v>413</v>
      </c>
      <c r="F94" s="416" t="s">
        <v>419</v>
      </c>
      <c r="G94" s="416" t="s">
        <v>419</v>
      </c>
      <c r="H94" s="416" t="s">
        <v>738</v>
      </c>
      <c r="I94" s="416" t="s">
        <v>738</v>
      </c>
      <c r="J94" s="415" t="s">
        <v>661</v>
      </c>
      <c r="K94" s="417">
        <v>-9.3114410000000003</v>
      </c>
      <c r="L94" s="417">
        <v>-77.662889000000007</v>
      </c>
      <c r="M94" s="418">
        <v>30</v>
      </c>
      <c r="N94" s="418" t="s">
        <v>2310</v>
      </c>
      <c r="O94" s="418" t="s">
        <v>2411</v>
      </c>
      <c r="P94" s="415">
        <v>2</v>
      </c>
      <c r="Q94" s="415">
        <v>30</v>
      </c>
      <c r="R94" s="415">
        <v>5</v>
      </c>
      <c r="S94" s="415">
        <f t="shared" si="3"/>
        <v>5</v>
      </c>
      <c r="T94" s="419">
        <f t="shared" si="4"/>
        <v>0.83333333333333337</v>
      </c>
      <c r="U94" s="419">
        <f t="shared" si="5"/>
        <v>5.833333333333333</v>
      </c>
      <c r="V94" s="415" t="s">
        <v>662</v>
      </c>
      <c r="W94" s="415" t="s">
        <v>616</v>
      </c>
      <c r="X94" s="415" t="s">
        <v>666</v>
      </c>
      <c r="Y94" s="415"/>
    </row>
    <row r="95" spans="1:25" hidden="1" x14ac:dyDescent="0.25">
      <c r="A95" s="415">
        <v>94</v>
      </c>
      <c r="B95" s="415">
        <v>10</v>
      </c>
      <c r="C95" s="415">
        <v>21069</v>
      </c>
      <c r="D95" s="416" t="s">
        <v>2421</v>
      </c>
      <c r="E95" s="416" t="s">
        <v>413</v>
      </c>
      <c r="F95" s="416" t="s">
        <v>419</v>
      </c>
      <c r="G95" s="416" t="s">
        <v>2422</v>
      </c>
      <c r="H95" s="416" t="s">
        <v>2423</v>
      </c>
      <c r="I95" s="416" t="s">
        <v>2424</v>
      </c>
      <c r="J95" s="415" t="s">
        <v>661</v>
      </c>
      <c r="K95" s="417">
        <v>-9.2696939999999994</v>
      </c>
      <c r="L95" s="417">
        <v>-77.665604000000002</v>
      </c>
      <c r="M95" s="418">
        <v>30</v>
      </c>
      <c r="N95" s="418" t="s">
        <v>2310</v>
      </c>
      <c r="O95" s="418" t="s">
        <v>2411</v>
      </c>
      <c r="P95" s="415">
        <v>2</v>
      </c>
      <c r="Q95" s="415">
        <v>30</v>
      </c>
      <c r="R95" s="415">
        <v>5</v>
      </c>
      <c r="S95" s="415">
        <f t="shared" si="3"/>
        <v>5</v>
      </c>
      <c r="T95" s="419">
        <f t="shared" si="4"/>
        <v>0.83333333333333337</v>
      </c>
      <c r="U95" s="419">
        <f t="shared" si="5"/>
        <v>5.833333333333333</v>
      </c>
      <c r="V95" s="415" t="s">
        <v>662</v>
      </c>
      <c r="W95" s="415" t="s">
        <v>616</v>
      </c>
      <c r="X95" s="415" t="s">
        <v>666</v>
      </c>
      <c r="Y95" s="415"/>
    </row>
    <row r="96" spans="1:25" hidden="1" x14ac:dyDescent="0.25">
      <c r="A96" s="415">
        <v>95</v>
      </c>
      <c r="B96" s="415">
        <v>11</v>
      </c>
      <c r="C96" s="415">
        <v>21111</v>
      </c>
      <c r="D96" s="416" t="s">
        <v>739</v>
      </c>
      <c r="E96" s="416" t="s">
        <v>413</v>
      </c>
      <c r="F96" s="416" t="s">
        <v>419</v>
      </c>
      <c r="G96" s="416" t="s">
        <v>740</v>
      </c>
      <c r="H96" s="416" t="s">
        <v>741</v>
      </c>
      <c r="I96" s="416" t="s">
        <v>742</v>
      </c>
      <c r="J96" s="415" t="s">
        <v>661</v>
      </c>
      <c r="K96" s="417">
        <v>-9.3805130000000005</v>
      </c>
      <c r="L96" s="417">
        <v>-77.590190000000007</v>
      </c>
      <c r="M96" s="418">
        <v>30</v>
      </c>
      <c r="N96" s="418" t="s">
        <v>2310</v>
      </c>
      <c r="O96" s="418" t="s">
        <v>2411</v>
      </c>
      <c r="P96" s="415">
        <v>2</v>
      </c>
      <c r="Q96" s="415">
        <v>30</v>
      </c>
      <c r="R96" s="415">
        <v>5</v>
      </c>
      <c r="S96" s="415">
        <f t="shared" si="3"/>
        <v>5</v>
      </c>
      <c r="T96" s="419">
        <f t="shared" si="4"/>
        <v>0.83333333333333337</v>
      </c>
      <c r="U96" s="419">
        <f t="shared" si="5"/>
        <v>5.833333333333333</v>
      </c>
      <c r="V96" s="415" t="s">
        <v>662</v>
      </c>
      <c r="W96" s="415" t="s">
        <v>616</v>
      </c>
      <c r="X96" s="415" t="s">
        <v>666</v>
      </c>
      <c r="Y96" s="415"/>
    </row>
    <row r="97" spans="1:25" hidden="1" x14ac:dyDescent="0.25">
      <c r="A97" s="415">
        <v>96</v>
      </c>
      <c r="B97" s="415">
        <v>12</v>
      </c>
      <c r="C97" s="415">
        <v>22498</v>
      </c>
      <c r="D97" s="416" t="s">
        <v>745</v>
      </c>
      <c r="E97" s="416" t="s">
        <v>413</v>
      </c>
      <c r="F97" s="416" t="s">
        <v>421</v>
      </c>
      <c r="G97" s="416" t="s">
        <v>744</v>
      </c>
      <c r="H97" s="416" t="s">
        <v>746</v>
      </c>
      <c r="I97" s="416" t="s">
        <v>746</v>
      </c>
      <c r="J97" s="415" t="s">
        <v>661</v>
      </c>
      <c r="K97" s="417">
        <v>-9.4600939999999998</v>
      </c>
      <c r="L97" s="417">
        <v>-78.239125000000001</v>
      </c>
      <c r="M97" s="418">
        <v>30</v>
      </c>
      <c r="N97" s="418" t="s">
        <v>2310</v>
      </c>
      <c r="O97" s="418" t="s">
        <v>2411</v>
      </c>
      <c r="P97" s="415">
        <v>2</v>
      </c>
      <c r="Q97" s="415">
        <v>30</v>
      </c>
      <c r="R97" s="415">
        <v>5</v>
      </c>
      <c r="S97" s="415">
        <f t="shared" si="3"/>
        <v>5</v>
      </c>
      <c r="T97" s="419">
        <f t="shared" si="4"/>
        <v>0.83333333333333337</v>
      </c>
      <c r="U97" s="419">
        <f t="shared" si="5"/>
        <v>5.833333333333333</v>
      </c>
      <c r="V97" s="415" t="s">
        <v>662</v>
      </c>
      <c r="W97" s="415" t="s">
        <v>616</v>
      </c>
      <c r="X97" s="415" t="s">
        <v>666</v>
      </c>
      <c r="Y97" s="415"/>
    </row>
    <row r="98" spans="1:25" hidden="1" x14ac:dyDescent="0.25">
      <c r="A98" s="415">
        <v>97</v>
      </c>
      <c r="B98" s="415">
        <v>13</v>
      </c>
      <c r="C98" s="415">
        <v>15351</v>
      </c>
      <c r="D98" s="416" t="s">
        <v>719</v>
      </c>
      <c r="E98" s="416" t="s">
        <v>413</v>
      </c>
      <c r="F98" s="416" t="s">
        <v>414</v>
      </c>
      <c r="G98" s="416" t="s">
        <v>414</v>
      </c>
      <c r="H98" s="416" t="s">
        <v>720</v>
      </c>
      <c r="I98" s="416" t="s">
        <v>720</v>
      </c>
      <c r="J98" s="415" t="s">
        <v>661</v>
      </c>
      <c r="K98" s="417">
        <v>-9.5994989999999998</v>
      </c>
      <c r="L98" s="417">
        <v>-77.494355999999996</v>
      </c>
      <c r="M98" s="418">
        <v>30</v>
      </c>
      <c r="N98" s="418" t="s">
        <v>2310</v>
      </c>
      <c r="O98" s="418" t="s">
        <v>2411</v>
      </c>
      <c r="P98" s="415">
        <v>2</v>
      </c>
      <c r="Q98" s="415">
        <v>30</v>
      </c>
      <c r="R98" s="415">
        <v>5</v>
      </c>
      <c r="S98" s="415">
        <f t="shared" si="3"/>
        <v>5</v>
      </c>
      <c r="T98" s="419">
        <f t="shared" si="4"/>
        <v>0.83333333333333337</v>
      </c>
      <c r="U98" s="419">
        <f t="shared" si="5"/>
        <v>5.833333333333333</v>
      </c>
      <c r="V98" s="415" t="s">
        <v>662</v>
      </c>
      <c r="W98" s="415" t="s">
        <v>610</v>
      </c>
      <c r="X98" s="415" t="s">
        <v>673</v>
      </c>
      <c r="Y98" s="415"/>
    </row>
    <row r="99" spans="1:25" hidden="1" x14ac:dyDescent="0.25">
      <c r="A99" s="415">
        <v>98</v>
      </c>
      <c r="B99" s="415">
        <v>14</v>
      </c>
      <c r="C99" s="415">
        <v>15346</v>
      </c>
      <c r="D99" s="416" t="s">
        <v>2425</v>
      </c>
      <c r="E99" s="416" t="s">
        <v>413</v>
      </c>
      <c r="F99" s="416" t="s">
        <v>414</v>
      </c>
      <c r="G99" s="416" t="s">
        <v>414</v>
      </c>
      <c r="H99" s="416" t="s">
        <v>2426</v>
      </c>
      <c r="I99" s="416" t="s">
        <v>2426</v>
      </c>
      <c r="J99" s="415" t="s">
        <v>661</v>
      </c>
      <c r="K99" s="417">
        <v>-9.6150690000000001</v>
      </c>
      <c r="L99" s="417">
        <v>-77.511850999999993</v>
      </c>
      <c r="M99" s="418">
        <v>30</v>
      </c>
      <c r="N99" s="418" t="s">
        <v>2310</v>
      </c>
      <c r="O99" s="418" t="s">
        <v>2411</v>
      </c>
      <c r="P99" s="415">
        <v>2</v>
      </c>
      <c r="Q99" s="415">
        <v>30</v>
      </c>
      <c r="R99" s="415">
        <v>5</v>
      </c>
      <c r="S99" s="415">
        <f t="shared" si="3"/>
        <v>5</v>
      </c>
      <c r="T99" s="419">
        <f t="shared" si="4"/>
        <v>0.83333333333333337</v>
      </c>
      <c r="U99" s="419">
        <f t="shared" si="5"/>
        <v>5.833333333333333</v>
      </c>
      <c r="V99" s="415" t="s">
        <v>662</v>
      </c>
      <c r="W99" s="415" t="s">
        <v>610</v>
      </c>
      <c r="X99" s="415" t="s">
        <v>673</v>
      </c>
      <c r="Y99" s="415"/>
    </row>
    <row r="100" spans="1:25" hidden="1" x14ac:dyDescent="0.25">
      <c r="A100" s="415">
        <v>99</v>
      </c>
      <c r="B100" s="415">
        <v>15</v>
      </c>
      <c r="C100" s="415">
        <v>15488</v>
      </c>
      <c r="D100" s="416" t="s">
        <v>2427</v>
      </c>
      <c r="E100" s="416" t="s">
        <v>413</v>
      </c>
      <c r="F100" s="416" t="s">
        <v>414</v>
      </c>
      <c r="G100" s="416" t="s">
        <v>414</v>
      </c>
      <c r="H100" s="416" t="s">
        <v>2428</v>
      </c>
      <c r="I100" s="416" t="s">
        <v>2428</v>
      </c>
      <c r="J100" s="415" t="s">
        <v>661</v>
      </c>
      <c r="K100" s="417">
        <v>-9.5277340000000006</v>
      </c>
      <c r="L100" s="417">
        <v>-77.499080000000006</v>
      </c>
      <c r="M100" s="418">
        <v>30</v>
      </c>
      <c r="N100" s="418" t="s">
        <v>2310</v>
      </c>
      <c r="O100" s="418" t="s">
        <v>2411</v>
      </c>
      <c r="P100" s="415">
        <v>2</v>
      </c>
      <c r="Q100" s="415">
        <v>30</v>
      </c>
      <c r="R100" s="415">
        <v>5</v>
      </c>
      <c r="S100" s="415">
        <f t="shared" si="3"/>
        <v>5</v>
      </c>
      <c r="T100" s="419">
        <f t="shared" si="4"/>
        <v>0.83333333333333337</v>
      </c>
      <c r="U100" s="419">
        <f t="shared" si="5"/>
        <v>5.833333333333333</v>
      </c>
      <c r="V100" s="415" t="s">
        <v>662</v>
      </c>
      <c r="W100" s="415" t="s">
        <v>610</v>
      </c>
      <c r="X100" s="415" t="s">
        <v>673</v>
      </c>
      <c r="Y100" s="415"/>
    </row>
    <row r="101" spans="1:25" hidden="1" x14ac:dyDescent="0.25">
      <c r="A101" s="415">
        <v>100</v>
      </c>
      <c r="B101" s="415">
        <v>16</v>
      </c>
      <c r="C101" s="415">
        <v>15313</v>
      </c>
      <c r="D101" s="416" t="s">
        <v>2429</v>
      </c>
      <c r="E101" s="416" t="s">
        <v>413</v>
      </c>
      <c r="F101" s="416" t="s">
        <v>414</v>
      </c>
      <c r="G101" s="416" t="s">
        <v>414</v>
      </c>
      <c r="H101" s="416" t="s">
        <v>743</v>
      </c>
      <c r="I101" s="416" t="s">
        <v>2430</v>
      </c>
      <c r="J101" s="415" t="s">
        <v>661</v>
      </c>
      <c r="K101" s="417">
        <v>-9.5868400000000005</v>
      </c>
      <c r="L101" s="417">
        <v>-77.519880000000001</v>
      </c>
      <c r="M101" s="418">
        <v>30</v>
      </c>
      <c r="N101" s="418" t="s">
        <v>2310</v>
      </c>
      <c r="O101" s="418" t="s">
        <v>2411</v>
      </c>
      <c r="P101" s="415">
        <v>2</v>
      </c>
      <c r="Q101" s="415">
        <v>30</v>
      </c>
      <c r="R101" s="415">
        <v>5</v>
      </c>
      <c r="S101" s="415">
        <f t="shared" si="3"/>
        <v>5</v>
      </c>
      <c r="T101" s="419">
        <f t="shared" si="4"/>
        <v>0.83333333333333337</v>
      </c>
      <c r="U101" s="419">
        <f t="shared" si="5"/>
        <v>5.833333333333333</v>
      </c>
      <c r="V101" s="415" t="s">
        <v>662</v>
      </c>
      <c r="W101" s="415" t="s">
        <v>610</v>
      </c>
      <c r="X101" s="415" t="s">
        <v>673</v>
      </c>
      <c r="Y101" s="415"/>
    </row>
    <row r="102" spans="1:25" hidden="1" x14ac:dyDescent="0.25">
      <c r="A102" s="415">
        <v>101</v>
      </c>
      <c r="B102" s="415">
        <v>17</v>
      </c>
      <c r="C102" s="415">
        <v>15412</v>
      </c>
      <c r="D102" s="416" t="s">
        <v>2431</v>
      </c>
      <c r="E102" s="416" t="s">
        <v>413</v>
      </c>
      <c r="F102" s="416" t="s">
        <v>414</v>
      </c>
      <c r="G102" s="416" t="s">
        <v>414</v>
      </c>
      <c r="H102" s="416" t="s">
        <v>2432</v>
      </c>
      <c r="I102" s="416" t="s">
        <v>2432</v>
      </c>
      <c r="J102" s="415" t="s">
        <v>661</v>
      </c>
      <c r="K102" s="417">
        <v>-9.5777140000000003</v>
      </c>
      <c r="L102" s="417">
        <v>-77.530213000000003</v>
      </c>
      <c r="M102" s="418">
        <v>30</v>
      </c>
      <c r="N102" s="418" t="s">
        <v>2310</v>
      </c>
      <c r="O102" s="418" t="s">
        <v>2411</v>
      </c>
      <c r="P102" s="415">
        <v>2</v>
      </c>
      <c r="Q102" s="415">
        <v>30</v>
      </c>
      <c r="R102" s="415">
        <v>5</v>
      </c>
      <c r="S102" s="415">
        <f t="shared" si="3"/>
        <v>5</v>
      </c>
      <c r="T102" s="419">
        <f t="shared" si="4"/>
        <v>0.83333333333333337</v>
      </c>
      <c r="U102" s="419">
        <f t="shared" si="5"/>
        <v>5.833333333333333</v>
      </c>
      <c r="V102" s="415" t="s">
        <v>662</v>
      </c>
      <c r="W102" s="415" t="s">
        <v>610</v>
      </c>
      <c r="X102" s="415" t="s">
        <v>673</v>
      </c>
      <c r="Y102" s="415"/>
    </row>
    <row r="103" spans="1:25" hidden="1" x14ac:dyDescent="0.25">
      <c r="A103" s="415">
        <v>102</v>
      </c>
      <c r="B103" s="415">
        <v>18</v>
      </c>
      <c r="C103" s="415">
        <v>16483</v>
      </c>
      <c r="D103" s="416" t="s">
        <v>2433</v>
      </c>
      <c r="E103" s="416" t="s">
        <v>413</v>
      </c>
      <c r="F103" s="416" t="s">
        <v>414</v>
      </c>
      <c r="G103" s="416" t="s">
        <v>722</v>
      </c>
      <c r="H103" s="416" t="s">
        <v>786</v>
      </c>
      <c r="I103" s="416" t="s">
        <v>2434</v>
      </c>
      <c r="J103" s="415" t="s">
        <v>661</v>
      </c>
      <c r="K103" s="417">
        <v>-9.5175599999999996</v>
      </c>
      <c r="L103" s="417">
        <v>-77.497843000000003</v>
      </c>
      <c r="M103" s="418">
        <v>30</v>
      </c>
      <c r="N103" s="418" t="s">
        <v>2310</v>
      </c>
      <c r="O103" s="418" t="s">
        <v>2411</v>
      </c>
      <c r="P103" s="415">
        <v>2</v>
      </c>
      <c r="Q103" s="415">
        <v>30</v>
      </c>
      <c r="R103" s="415">
        <v>5</v>
      </c>
      <c r="S103" s="415">
        <f t="shared" si="3"/>
        <v>5</v>
      </c>
      <c r="T103" s="419">
        <f t="shared" si="4"/>
        <v>0.83333333333333337</v>
      </c>
      <c r="U103" s="419">
        <f t="shared" si="5"/>
        <v>5.833333333333333</v>
      </c>
      <c r="V103" s="415" t="s">
        <v>662</v>
      </c>
      <c r="W103" s="415" t="s">
        <v>610</v>
      </c>
      <c r="X103" s="415" t="s">
        <v>673</v>
      </c>
      <c r="Y103" s="415"/>
    </row>
    <row r="104" spans="1:25" hidden="1" x14ac:dyDescent="0.25">
      <c r="A104" s="415">
        <v>103</v>
      </c>
      <c r="B104" s="415">
        <v>19</v>
      </c>
      <c r="C104" s="415">
        <v>16609</v>
      </c>
      <c r="D104" s="416" t="s">
        <v>2435</v>
      </c>
      <c r="E104" s="416" t="s">
        <v>413</v>
      </c>
      <c r="F104" s="416" t="s">
        <v>414</v>
      </c>
      <c r="G104" s="416" t="s">
        <v>722</v>
      </c>
      <c r="H104" s="416" t="s">
        <v>2436</v>
      </c>
      <c r="I104" s="416" t="s">
        <v>2436</v>
      </c>
      <c r="J104" s="415" t="s">
        <v>661</v>
      </c>
      <c r="K104" s="417">
        <v>-9.5315060000000003</v>
      </c>
      <c r="L104" s="417">
        <v>-77.573858000000001</v>
      </c>
      <c r="M104" s="418">
        <v>30</v>
      </c>
      <c r="N104" s="418" t="s">
        <v>2310</v>
      </c>
      <c r="O104" s="418" t="s">
        <v>2411</v>
      </c>
      <c r="P104" s="415">
        <v>2</v>
      </c>
      <c r="Q104" s="415">
        <v>30</v>
      </c>
      <c r="R104" s="415">
        <v>5</v>
      </c>
      <c r="S104" s="415">
        <f t="shared" si="3"/>
        <v>5</v>
      </c>
      <c r="T104" s="419">
        <f t="shared" si="4"/>
        <v>0.83333333333333337</v>
      </c>
      <c r="U104" s="419">
        <f t="shared" si="5"/>
        <v>5.833333333333333</v>
      </c>
      <c r="V104" s="415" t="s">
        <v>662</v>
      </c>
      <c r="W104" s="415" t="s">
        <v>610</v>
      </c>
      <c r="X104" s="415" t="s">
        <v>673</v>
      </c>
      <c r="Y104" s="415"/>
    </row>
    <row r="105" spans="1:25" hidden="1" x14ac:dyDescent="0.25">
      <c r="A105" s="415">
        <v>104</v>
      </c>
      <c r="B105" s="415">
        <v>20</v>
      </c>
      <c r="C105" s="415">
        <v>16435</v>
      </c>
      <c r="D105" s="416" t="s">
        <v>2437</v>
      </c>
      <c r="E105" s="416" t="s">
        <v>413</v>
      </c>
      <c r="F105" s="416" t="s">
        <v>414</v>
      </c>
      <c r="G105" s="416" t="s">
        <v>722</v>
      </c>
      <c r="H105" s="416" t="s">
        <v>2438</v>
      </c>
      <c r="I105" s="416" t="s">
        <v>2438</v>
      </c>
      <c r="J105" s="415" t="s">
        <v>661</v>
      </c>
      <c r="K105" s="417">
        <v>-9.4607609999999998</v>
      </c>
      <c r="L105" s="417">
        <v>-77.545687999999998</v>
      </c>
      <c r="M105" s="418">
        <v>30</v>
      </c>
      <c r="N105" s="418" t="s">
        <v>2310</v>
      </c>
      <c r="O105" s="418" t="s">
        <v>2411</v>
      </c>
      <c r="P105" s="415">
        <v>2</v>
      </c>
      <c r="Q105" s="415">
        <v>30</v>
      </c>
      <c r="R105" s="415">
        <v>5</v>
      </c>
      <c r="S105" s="415">
        <f t="shared" si="3"/>
        <v>5</v>
      </c>
      <c r="T105" s="419">
        <f t="shared" si="4"/>
        <v>0.83333333333333337</v>
      </c>
      <c r="U105" s="419">
        <f t="shared" si="5"/>
        <v>5.833333333333333</v>
      </c>
      <c r="V105" s="415" t="s">
        <v>662</v>
      </c>
      <c r="W105" s="415" t="s">
        <v>610</v>
      </c>
      <c r="X105" s="415" t="s">
        <v>673</v>
      </c>
      <c r="Y105" s="415"/>
    </row>
    <row r="106" spans="1:25" hidden="1" x14ac:dyDescent="0.25">
      <c r="A106" s="415">
        <v>105</v>
      </c>
      <c r="B106" s="415">
        <v>21</v>
      </c>
      <c r="C106" s="415">
        <v>16355</v>
      </c>
      <c r="D106" s="416" t="s">
        <v>2439</v>
      </c>
      <c r="E106" s="416" t="s">
        <v>413</v>
      </c>
      <c r="F106" s="416" t="s">
        <v>414</v>
      </c>
      <c r="G106" s="416" t="s">
        <v>722</v>
      </c>
      <c r="H106" s="416" t="s">
        <v>2440</v>
      </c>
      <c r="I106" s="416" t="s">
        <v>2440</v>
      </c>
      <c r="J106" s="415" t="s">
        <v>661</v>
      </c>
      <c r="K106" s="417">
        <v>-9.4991129999999995</v>
      </c>
      <c r="L106" s="417">
        <v>-77.526443999999998</v>
      </c>
      <c r="M106" s="418">
        <v>30</v>
      </c>
      <c r="N106" s="418" t="s">
        <v>2310</v>
      </c>
      <c r="O106" s="418" t="s">
        <v>2411</v>
      </c>
      <c r="P106" s="415">
        <v>2</v>
      </c>
      <c r="Q106" s="415">
        <v>30</v>
      </c>
      <c r="R106" s="415">
        <v>5</v>
      </c>
      <c r="S106" s="415">
        <f t="shared" si="3"/>
        <v>5</v>
      </c>
      <c r="T106" s="419">
        <f t="shared" si="4"/>
        <v>0.83333333333333337</v>
      </c>
      <c r="U106" s="419">
        <f t="shared" si="5"/>
        <v>5.833333333333333</v>
      </c>
      <c r="V106" s="415" t="s">
        <v>662</v>
      </c>
      <c r="W106" s="415" t="s">
        <v>610</v>
      </c>
      <c r="X106" s="415" t="s">
        <v>673</v>
      </c>
      <c r="Y106" s="415"/>
    </row>
    <row r="107" spans="1:25" hidden="1" x14ac:dyDescent="0.25">
      <c r="A107" s="415">
        <v>106</v>
      </c>
      <c r="B107" s="415">
        <v>22</v>
      </c>
      <c r="C107" s="415">
        <v>16317</v>
      </c>
      <c r="D107" s="416" t="s">
        <v>2441</v>
      </c>
      <c r="E107" s="416" t="s">
        <v>413</v>
      </c>
      <c r="F107" s="416" t="s">
        <v>414</v>
      </c>
      <c r="G107" s="416" t="s">
        <v>722</v>
      </c>
      <c r="H107" s="416" t="s">
        <v>2442</v>
      </c>
      <c r="I107" s="416" t="s">
        <v>2442</v>
      </c>
      <c r="J107" s="415" t="s">
        <v>747</v>
      </c>
      <c r="K107" s="417">
        <v>-9.5082690000000003</v>
      </c>
      <c r="L107" s="417">
        <v>-77.512193999999994</v>
      </c>
      <c r="M107" s="418">
        <v>30</v>
      </c>
      <c r="N107" s="418" t="s">
        <v>2310</v>
      </c>
      <c r="O107" s="418" t="s">
        <v>2411</v>
      </c>
      <c r="P107" s="415">
        <v>2</v>
      </c>
      <c r="Q107" s="415">
        <v>30</v>
      </c>
      <c r="R107" s="415">
        <v>5</v>
      </c>
      <c r="S107" s="415">
        <f t="shared" si="3"/>
        <v>5</v>
      </c>
      <c r="T107" s="419">
        <f t="shared" si="4"/>
        <v>0.83333333333333337</v>
      </c>
      <c r="U107" s="419">
        <f t="shared" si="5"/>
        <v>5.833333333333333</v>
      </c>
      <c r="V107" s="415" t="s">
        <v>662</v>
      </c>
      <c r="W107" s="415" t="s">
        <v>610</v>
      </c>
      <c r="X107" s="415" t="s">
        <v>673</v>
      </c>
      <c r="Y107" s="415"/>
    </row>
    <row r="108" spans="1:25" hidden="1" x14ac:dyDescent="0.25">
      <c r="A108" s="415">
        <v>107</v>
      </c>
      <c r="B108" s="415">
        <v>23</v>
      </c>
      <c r="C108" s="415">
        <v>16586</v>
      </c>
      <c r="D108" s="416" t="s">
        <v>2443</v>
      </c>
      <c r="E108" s="416" t="s">
        <v>413</v>
      </c>
      <c r="F108" s="416" t="s">
        <v>414</v>
      </c>
      <c r="G108" s="416" t="s">
        <v>722</v>
      </c>
      <c r="H108" s="416" t="s">
        <v>2444</v>
      </c>
      <c r="I108" s="416" t="s">
        <v>2444</v>
      </c>
      <c r="J108" s="415" t="s">
        <v>661</v>
      </c>
      <c r="K108" s="417">
        <v>-9.4718529999999994</v>
      </c>
      <c r="L108" s="417">
        <v>-77.519458</v>
      </c>
      <c r="M108" s="418">
        <v>30</v>
      </c>
      <c r="N108" s="418" t="s">
        <v>2310</v>
      </c>
      <c r="O108" s="418" t="s">
        <v>2411</v>
      </c>
      <c r="P108" s="415">
        <v>2</v>
      </c>
      <c r="Q108" s="415">
        <v>30</v>
      </c>
      <c r="R108" s="415">
        <v>5</v>
      </c>
      <c r="S108" s="415">
        <f t="shared" si="3"/>
        <v>5</v>
      </c>
      <c r="T108" s="419">
        <f t="shared" si="4"/>
        <v>0.83333333333333337</v>
      </c>
      <c r="U108" s="419">
        <f t="shared" si="5"/>
        <v>5.833333333333333</v>
      </c>
      <c r="V108" s="415" t="s">
        <v>662</v>
      </c>
      <c r="W108" s="415" t="s">
        <v>610</v>
      </c>
      <c r="X108" s="415" t="s">
        <v>673</v>
      </c>
      <c r="Y108" s="415"/>
    </row>
    <row r="109" spans="1:25" hidden="1" x14ac:dyDescent="0.25">
      <c r="A109" s="415">
        <v>108</v>
      </c>
      <c r="B109" s="415">
        <v>24</v>
      </c>
      <c r="C109" s="415">
        <v>16384</v>
      </c>
      <c r="D109" s="416" t="s">
        <v>2445</v>
      </c>
      <c r="E109" s="416" t="s">
        <v>413</v>
      </c>
      <c r="F109" s="416" t="s">
        <v>414</v>
      </c>
      <c r="G109" s="416" t="s">
        <v>722</v>
      </c>
      <c r="H109" s="416" t="s">
        <v>2446</v>
      </c>
      <c r="I109" s="416" t="s">
        <v>2447</v>
      </c>
      <c r="J109" s="415" t="s">
        <v>661</v>
      </c>
      <c r="K109" s="417">
        <v>-9.5332159999999995</v>
      </c>
      <c r="L109" s="417">
        <v>-77.548788999999999</v>
      </c>
      <c r="M109" s="418">
        <v>30</v>
      </c>
      <c r="N109" s="418" t="s">
        <v>2310</v>
      </c>
      <c r="O109" s="418" t="s">
        <v>2411</v>
      </c>
      <c r="P109" s="415">
        <v>2</v>
      </c>
      <c r="Q109" s="415">
        <v>30</v>
      </c>
      <c r="R109" s="415">
        <v>5</v>
      </c>
      <c r="S109" s="415">
        <f t="shared" si="3"/>
        <v>5</v>
      </c>
      <c r="T109" s="419">
        <f t="shared" si="4"/>
        <v>0.83333333333333337</v>
      </c>
      <c r="U109" s="419">
        <f t="shared" si="5"/>
        <v>5.833333333333333</v>
      </c>
      <c r="V109" s="415" t="s">
        <v>662</v>
      </c>
      <c r="W109" s="415" t="s">
        <v>610</v>
      </c>
      <c r="X109" s="415" t="s">
        <v>673</v>
      </c>
      <c r="Y109" s="415"/>
    </row>
    <row r="110" spans="1:25" hidden="1" x14ac:dyDescent="0.25">
      <c r="A110" s="415">
        <v>109</v>
      </c>
      <c r="B110" s="415">
        <v>25</v>
      </c>
      <c r="C110" s="415">
        <v>16529</v>
      </c>
      <c r="D110" s="416" t="s">
        <v>2448</v>
      </c>
      <c r="E110" s="416" t="s">
        <v>413</v>
      </c>
      <c r="F110" s="416" t="s">
        <v>414</v>
      </c>
      <c r="G110" s="416" t="s">
        <v>722</v>
      </c>
      <c r="H110" s="416" t="s">
        <v>804</v>
      </c>
      <c r="I110" s="416" t="s">
        <v>804</v>
      </c>
      <c r="J110" s="415" t="s">
        <v>661</v>
      </c>
      <c r="K110" s="417">
        <v>-9.5169270000000008</v>
      </c>
      <c r="L110" s="417">
        <v>-77.556640000000002</v>
      </c>
      <c r="M110" s="418">
        <v>30</v>
      </c>
      <c r="N110" s="418" t="s">
        <v>2310</v>
      </c>
      <c r="O110" s="418" t="s">
        <v>2411</v>
      </c>
      <c r="P110" s="415">
        <v>2</v>
      </c>
      <c r="Q110" s="415">
        <v>30</v>
      </c>
      <c r="R110" s="415">
        <v>5</v>
      </c>
      <c r="S110" s="415">
        <f t="shared" si="3"/>
        <v>5</v>
      </c>
      <c r="T110" s="419">
        <f t="shared" si="4"/>
        <v>0.83333333333333337</v>
      </c>
      <c r="U110" s="419">
        <f t="shared" si="5"/>
        <v>5.833333333333333</v>
      </c>
      <c r="V110" s="415" t="s">
        <v>662</v>
      </c>
      <c r="W110" s="415" t="s">
        <v>610</v>
      </c>
      <c r="X110" s="415" t="s">
        <v>673</v>
      </c>
      <c r="Y110" s="415"/>
    </row>
    <row r="111" spans="1:25" hidden="1" x14ac:dyDescent="0.25">
      <c r="A111" s="415">
        <v>110</v>
      </c>
      <c r="B111" s="415">
        <v>26</v>
      </c>
      <c r="C111" s="415">
        <v>16299</v>
      </c>
      <c r="D111" s="416" t="s">
        <v>2449</v>
      </c>
      <c r="E111" s="416" t="s">
        <v>413</v>
      </c>
      <c r="F111" s="416" t="s">
        <v>414</v>
      </c>
      <c r="G111" s="416" t="s">
        <v>722</v>
      </c>
      <c r="H111" s="416" t="s">
        <v>2450</v>
      </c>
      <c r="I111" s="416" t="s">
        <v>2451</v>
      </c>
      <c r="J111" s="415" t="s">
        <v>747</v>
      </c>
      <c r="K111" s="417">
        <v>-9.4897500000000008</v>
      </c>
      <c r="L111" s="417">
        <v>-77.517600000000002</v>
      </c>
      <c r="M111" s="418">
        <v>30</v>
      </c>
      <c r="N111" s="418" t="s">
        <v>2310</v>
      </c>
      <c r="O111" s="418" t="s">
        <v>2411</v>
      </c>
      <c r="P111" s="415">
        <v>2</v>
      </c>
      <c r="Q111" s="415">
        <v>30</v>
      </c>
      <c r="R111" s="415">
        <v>5</v>
      </c>
      <c r="S111" s="415">
        <f t="shared" si="3"/>
        <v>5</v>
      </c>
      <c r="T111" s="419">
        <f t="shared" si="4"/>
        <v>0.83333333333333337</v>
      </c>
      <c r="U111" s="419">
        <f t="shared" si="5"/>
        <v>5.833333333333333</v>
      </c>
      <c r="V111" s="415" t="s">
        <v>662</v>
      </c>
      <c r="W111" s="415" t="s">
        <v>610</v>
      </c>
      <c r="X111" s="415" t="s">
        <v>673</v>
      </c>
      <c r="Y111" s="415"/>
    </row>
    <row r="112" spans="1:25" hidden="1" x14ac:dyDescent="0.25">
      <c r="A112" s="415">
        <v>111</v>
      </c>
      <c r="B112" s="415">
        <v>27</v>
      </c>
      <c r="C112" s="415">
        <v>16478</v>
      </c>
      <c r="D112" s="416" t="s">
        <v>2452</v>
      </c>
      <c r="E112" s="416" t="s">
        <v>413</v>
      </c>
      <c r="F112" s="416" t="s">
        <v>414</v>
      </c>
      <c r="G112" s="416" t="s">
        <v>722</v>
      </c>
      <c r="H112" s="416" t="s">
        <v>2453</v>
      </c>
      <c r="I112" s="416" t="s">
        <v>2454</v>
      </c>
      <c r="J112" s="415" t="s">
        <v>661</v>
      </c>
      <c r="K112" s="417">
        <v>-9.5118770000000001</v>
      </c>
      <c r="L112" s="417">
        <v>-77.536720000000003</v>
      </c>
      <c r="M112" s="418">
        <v>30</v>
      </c>
      <c r="N112" s="418" t="s">
        <v>2310</v>
      </c>
      <c r="O112" s="418" t="s">
        <v>2411</v>
      </c>
      <c r="P112" s="415">
        <v>2</v>
      </c>
      <c r="Q112" s="415">
        <v>30</v>
      </c>
      <c r="R112" s="415">
        <v>5</v>
      </c>
      <c r="S112" s="415">
        <f t="shared" si="3"/>
        <v>5</v>
      </c>
      <c r="T112" s="419">
        <f t="shared" si="4"/>
        <v>0.83333333333333337</v>
      </c>
      <c r="U112" s="419">
        <f t="shared" si="5"/>
        <v>5.833333333333333</v>
      </c>
      <c r="V112" s="415" t="s">
        <v>662</v>
      </c>
      <c r="W112" s="415" t="s">
        <v>610</v>
      </c>
      <c r="X112" s="415" t="s">
        <v>673</v>
      </c>
      <c r="Y112" s="415"/>
    </row>
    <row r="113" spans="1:25" hidden="1" x14ac:dyDescent="0.25">
      <c r="A113" s="415">
        <v>112</v>
      </c>
      <c r="B113" s="415">
        <v>28</v>
      </c>
      <c r="C113" s="415">
        <v>16322</v>
      </c>
      <c r="D113" s="416" t="s">
        <v>2455</v>
      </c>
      <c r="E113" s="416" t="s">
        <v>413</v>
      </c>
      <c r="F113" s="416" t="s">
        <v>414</v>
      </c>
      <c r="G113" s="416" t="s">
        <v>722</v>
      </c>
      <c r="H113" s="416" t="s">
        <v>2456</v>
      </c>
      <c r="I113" s="416" t="s">
        <v>2457</v>
      </c>
      <c r="J113" s="415" t="s">
        <v>661</v>
      </c>
      <c r="K113" s="417">
        <v>-9.5135059999999996</v>
      </c>
      <c r="L113" s="417">
        <v>-77.552397999999997</v>
      </c>
      <c r="M113" s="418">
        <v>30</v>
      </c>
      <c r="N113" s="418" t="s">
        <v>2310</v>
      </c>
      <c r="O113" s="418" t="s">
        <v>2411</v>
      </c>
      <c r="P113" s="415">
        <v>2</v>
      </c>
      <c r="Q113" s="415">
        <v>30</v>
      </c>
      <c r="R113" s="415">
        <v>5</v>
      </c>
      <c r="S113" s="415">
        <f t="shared" si="3"/>
        <v>5</v>
      </c>
      <c r="T113" s="419">
        <f t="shared" si="4"/>
        <v>0.83333333333333337</v>
      </c>
      <c r="U113" s="419">
        <f t="shared" si="5"/>
        <v>5.833333333333333</v>
      </c>
      <c r="V113" s="415" t="s">
        <v>662</v>
      </c>
      <c r="W113" s="415" t="s">
        <v>610</v>
      </c>
      <c r="X113" s="415" t="s">
        <v>673</v>
      </c>
      <c r="Y113" s="415"/>
    </row>
    <row r="114" spans="1:25" hidden="1" x14ac:dyDescent="0.25">
      <c r="A114" s="415">
        <v>113</v>
      </c>
      <c r="B114" s="415">
        <v>29</v>
      </c>
      <c r="C114" s="415">
        <v>16416</v>
      </c>
      <c r="D114" s="416" t="s">
        <v>2458</v>
      </c>
      <c r="E114" s="416" t="s">
        <v>413</v>
      </c>
      <c r="F114" s="416" t="s">
        <v>414</v>
      </c>
      <c r="G114" s="416" t="s">
        <v>722</v>
      </c>
      <c r="H114" s="416" t="s">
        <v>2459</v>
      </c>
      <c r="I114" s="416" t="s">
        <v>2459</v>
      </c>
      <c r="J114" s="415" t="s">
        <v>661</v>
      </c>
      <c r="K114" s="417">
        <v>-9.5128409999999999</v>
      </c>
      <c r="L114" s="417">
        <v>-77.489395000000002</v>
      </c>
      <c r="M114" s="418">
        <v>30</v>
      </c>
      <c r="N114" s="418" t="s">
        <v>2310</v>
      </c>
      <c r="O114" s="418" t="s">
        <v>2411</v>
      </c>
      <c r="P114" s="415">
        <v>2</v>
      </c>
      <c r="Q114" s="415">
        <v>30</v>
      </c>
      <c r="R114" s="415">
        <v>5</v>
      </c>
      <c r="S114" s="415">
        <f t="shared" si="3"/>
        <v>5</v>
      </c>
      <c r="T114" s="419">
        <f t="shared" si="4"/>
        <v>0.83333333333333337</v>
      </c>
      <c r="U114" s="419">
        <f t="shared" si="5"/>
        <v>5.833333333333333</v>
      </c>
      <c r="V114" s="415" t="s">
        <v>662</v>
      </c>
      <c r="W114" s="415" t="s">
        <v>610</v>
      </c>
      <c r="X114" s="415" t="s">
        <v>673</v>
      </c>
      <c r="Y114" s="415"/>
    </row>
    <row r="115" spans="1:25" hidden="1" x14ac:dyDescent="0.25">
      <c r="A115" s="415">
        <v>114</v>
      </c>
      <c r="B115" s="415">
        <v>30</v>
      </c>
      <c r="C115" s="415">
        <v>16633</v>
      </c>
      <c r="D115" s="416" t="s">
        <v>2460</v>
      </c>
      <c r="E115" s="416" t="s">
        <v>413</v>
      </c>
      <c r="F115" s="416" t="s">
        <v>414</v>
      </c>
      <c r="G115" s="416" t="s">
        <v>722</v>
      </c>
      <c r="H115" s="416" t="s">
        <v>2461</v>
      </c>
      <c r="I115" s="416" t="s">
        <v>2461</v>
      </c>
      <c r="J115" s="415" t="s">
        <v>661</v>
      </c>
      <c r="K115" s="417">
        <v>-9.4795470000000002</v>
      </c>
      <c r="L115" s="417">
        <v>-77.515152</v>
      </c>
      <c r="M115" s="418">
        <v>30</v>
      </c>
      <c r="N115" s="418" t="s">
        <v>2310</v>
      </c>
      <c r="O115" s="418" t="s">
        <v>2411</v>
      </c>
      <c r="P115" s="415">
        <v>2</v>
      </c>
      <c r="Q115" s="415">
        <v>30</v>
      </c>
      <c r="R115" s="415">
        <v>5</v>
      </c>
      <c r="S115" s="415">
        <f t="shared" si="3"/>
        <v>5</v>
      </c>
      <c r="T115" s="419">
        <f t="shared" si="4"/>
        <v>0.83333333333333337</v>
      </c>
      <c r="U115" s="419">
        <f t="shared" si="5"/>
        <v>5.833333333333333</v>
      </c>
      <c r="V115" s="415" t="s">
        <v>662</v>
      </c>
      <c r="W115" s="415" t="s">
        <v>610</v>
      </c>
      <c r="X115" s="415" t="s">
        <v>673</v>
      </c>
      <c r="Y115" s="415"/>
    </row>
    <row r="116" spans="1:25" hidden="1" x14ac:dyDescent="0.25">
      <c r="A116" s="415">
        <v>115</v>
      </c>
      <c r="B116" s="415">
        <v>31</v>
      </c>
      <c r="C116" s="415">
        <v>16341</v>
      </c>
      <c r="D116" s="416" t="s">
        <v>721</v>
      </c>
      <c r="E116" s="416" t="s">
        <v>413</v>
      </c>
      <c r="F116" s="416" t="s">
        <v>414</v>
      </c>
      <c r="G116" s="416" t="s">
        <v>722</v>
      </c>
      <c r="H116" s="416" t="s">
        <v>723</v>
      </c>
      <c r="I116" s="416" t="s">
        <v>723</v>
      </c>
      <c r="J116" s="415" t="s">
        <v>661</v>
      </c>
      <c r="K116" s="417">
        <v>-9.4909839999999992</v>
      </c>
      <c r="L116" s="417">
        <v>-77.503432000000004</v>
      </c>
      <c r="M116" s="418">
        <v>30</v>
      </c>
      <c r="N116" s="418" t="s">
        <v>2310</v>
      </c>
      <c r="O116" s="418" t="s">
        <v>2411</v>
      </c>
      <c r="P116" s="415">
        <v>2</v>
      </c>
      <c r="Q116" s="415">
        <v>30</v>
      </c>
      <c r="R116" s="415">
        <v>5</v>
      </c>
      <c r="S116" s="415">
        <f t="shared" si="3"/>
        <v>5</v>
      </c>
      <c r="T116" s="419">
        <f t="shared" si="4"/>
        <v>0.83333333333333337</v>
      </c>
      <c r="U116" s="419">
        <f t="shared" si="5"/>
        <v>5.833333333333333</v>
      </c>
      <c r="V116" s="415" t="s">
        <v>662</v>
      </c>
      <c r="W116" s="415" t="s">
        <v>610</v>
      </c>
      <c r="X116" s="415" t="s">
        <v>673</v>
      </c>
      <c r="Y116" s="415"/>
    </row>
    <row r="117" spans="1:25" hidden="1" x14ac:dyDescent="0.25">
      <c r="A117" s="415">
        <v>116</v>
      </c>
      <c r="B117" s="415">
        <v>32</v>
      </c>
      <c r="C117" s="415">
        <v>17246</v>
      </c>
      <c r="D117" s="416" t="s">
        <v>2462</v>
      </c>
      <c r="E117" s="416" t="s">
        <v>413</v>
      </c>
      <c r="F117" s="416" t="s">
        <v>414</v>
      </c>
      <c r="G117" s="416" t="s">
        <v>2463</v>
      </c>
      <c r="H117" s="416" t="s">
        <v>2464</v>
      </c>
      <c r="I117" s="416" t="s">
        <v>2465</v>
      </c>
      <c r="J117" s="415" t="s">
        <v>661</v>
      </c>
      <c r="K117" s="417">
        <v>-9.5340769999999999</v>
      </c>
      <c r="L117" s="417">
        <v>-77.773292999999995</v>
      </c>
      <c r="M117" s="418">
        <v>30</v>
      </c>
      <c r="N117" s="418" t="s">
        <v>2310</v>
      </c>
      <c r="O117" s="418" t="s">
        <v>2411</v>
      </c>
      <c r="P117" s="415">
        <v>2</v>
      </c>
      <c r="Q117" s="415">
        <v>30</v>
      </c>
      <c r="R117" s="415">
        <v>5</v>
      </c>
      <c r="S117" s="415">
        <f t="shared" si="3"/>
        <v>5</v>
      </c>
      <c r="T117" s="419">
        <f t="shared" si="4"/>
        <v>0.83333333333333337</v>
      </c>
      <c r="U117" s="419">
        <f t="shared" si="5"/>
        <v>5.833333333333333</v>
      </c>
      <c r="V117" s="415" t="s">
        <v>662</v>
      </c>
      <c r="W117" s="415" t="s">
        <v>616</v>
      </c>
      <c r="X117" s="415" t="s">
        <v>666</v>
      </c>
      <c r="Y117" s="415"/>
    </row>
    <row r="118" spans="1:25" hidden="1" x14ac:dyDescent="0.25">
      <c r="A118" s="415">
        <v>117</v>
      </c>
      <c r="B118" s="415">
        <v>33</v>
      </c>
      <c r="C118" s="415">
        <v>25642</v>
      </c>
      <c r="D118" s="416" t="s">
        <v>748</v>
      </c>
      <c r="E118" s="416" t="s">
        <v>413</v>
      </c>
      <c r="F118" s="416" t="s">
        <v>423</v>
      </c>
      <c r="G118" s="416" t="s">
        <v>749</v>
      </c>
      <c r="H118" s="416" t="s">
        <v>750</v>
      </c>
      <c r="I118" s="416" t="s">
        <v>751</v>
      </c>
      <c r="J118" s="415" t="s">
        <v>661</v>
      </c>
      <c r="K118" s="417">
        <v>-9.5072220000000005</v>
      </c>
      <c r="L118" s="417">
        <v>-76.996713</v>
      </c>
      <c r="M118" s="418">
        <v>30</v>
      </c>
      <c r="N118" s="418" t="s">
        <v>2310</v>
      </c>
      <c r="O118" s="418" t="s">
        <v>2411</v>
      </c>
      <c r="P118" s="415">
        <v>2</v>
      </c>
      <c r="Q118" s="415">
        <v>30</v>
      </c>
      <c r="R118" s="415">
        <v>5</v>
      </c>
      <c r="S118" s="415">
        <f t="shared" si="3"/>
        <v>5</v>
      </c>
      <c r="T118" s="419">
        <f t="shared" si="4"/>
        <v>0.83333333333333337</v>
      </c>
      <c r="U118" s="419">
        <f t="shared" si="5"/>
        <v>5.833333333333333</v>
      </c>
      <c r="V118" s="415" t="s">
        <v>662</v>
      </c>
      <c r="W118" s="415" t="s">
        <v>610</v>
      </c>
      <c r="X118" s="415" t="s">
        <v>673</v>
      </c>
      <c r="Y118" s="415"/>
    </row>
    <row r="119" spans="1:25" hidden="1" x14ac:dyDescent="0.25">
      <c r="A119" s="415">
        <v>118</v>
      </c>
      <c r="B119" s="415">
        <v>34</v>
      </c>
      <c r="C119" s="415">
        <v>25703</v>
      </c>
      <c r="D119" s="416" t="s">
        <v>752</v>
      </c>
      <c r="E119" s="416" t="s">
        <v>413</v>
      </c>
      <c r="F119" s="416" t="s">
        <v>423</v>
      </c>
      <c r="G119" s="416" t="s">
        <v>749</v>
      </c>
      <c r="H119" s="416" t="s">
        <v>753</v>
      </c>
      <c r="I119" s="416" t="s">
        <v>753</v>
      </c>
      <c r="J119" s="415" t="s">
        <v>661</v>
      </c>
      <c r="K119" s="417">
        <v>-9.4970490000000005</v>
      </c>
      <c r="L119" s="417">
        <v>-77.008033999999995</v>
      </c>
      <c r="M119" s="418">
        <v>30</v>
      </c>
      <c r="N119" s="418" t="s">
        <v>2310</v>
      </c>
      <c r="O119" s="418" t="s">
        <v>2411</v>
      </c>
      <c r="P119" s="415">
        <v>2</v>
      </c>
      <c r="Q119" s="415">
        <v>30</v>
      </c>
      <c r="R119" s="415">
        <v>5</v>
      </c>
      <c r="S119" s="415">
        <f t="shared" si="3"/>
        <v>5</v>
      </c>
      <c r="T119" s="419">
        <f t="shared" si="4"/>
        <v>0.83333333333333337</v>
      </c>
      <c r="U119" s="419">
        <f t="shared" si="5"/>
        <v>5.833333333333333</v>
      </c>
      <c r="V119" s="415" t="s">
        <v>662</v>
      </c>
      <c r="W119" s="415" t="s">
        <v>610</v>
      </c>
      <c r="X119" s="415" t="s">
        <v>673</v>
      </c>
      <c r="Y119" s="415"/>
    </row>
    <row r="120" spans="1:25" hidden="1" x14ac:dyDescent="0.25">
      <c r="A120" s="415">
        <v>119</v>
      </c>
      <c r="B120" s="415">
        <v>35</v>
      </c>
      <c r="C120" s="415">
        <v>26095</v>
      </c>
      <c r="D120" s="416" t="s">
        <v>2466</v>
      </c>
      <c r="E120" s="416" t="s">
        <v>413</v>
      </c>
      <c r="F120" s="416" t="s">
        <v>424</v>
      </c>
      <c r="G120" s="416" t="s">
        <v>424</v>
      </c>
      <c r="H120" s="416" t="s">
        <v>2467</v>
      </c>
      <c r="I120" s="416" t="s">
        <v>2468</v>
      </c>
      <c r="J120" s="415" t="s">
        <v>661</v>
      </c>
      <c r="K120" s="417">
        <v>-10.102978</v>
      </c>
      <c r="L120" s="417">
        <v>-78.166420000000002</v>
      </c>
      <c r="M120" s="418">
        <v>30</v>
      </c>
      <c r="N120" s="418" t="s">
        <v>2310</v>
      </c>
      <c r="O120" s="418" t="s">
        <v>2411</v>
      </c>
      <c r="P120" s="415">
        <v>2</v>
      </c>
      <c r="Q120" s="415">
        <v>30</v>
      </c>
      <c r="R120" s="415">
        <v>5</v>
      </c>
      <c r="S120" s="415">
        <f t="shared" si="3"/>
        <v>5</v>
      </c>
      <c r="T120" s="419">
        <f t="shared" si="4"/>
        <v>0.83333333333333337</v>
      </c>
      <c r="U120" s="419">
        <f t="shared" si="5"/>
        <v>5.833333333333333</v>
      </c>
      <c r="V120" s="415" t="s">
        <v>662</v>
      </c>
      <c r="W120" s="415" t="s">
        <v>610</v>
      </c>
      <c r="X120" s="415" t="s">
        <v>673</v>
      </c>
      <c r="Y120" s="415"/>
    </row>
    <row r="121" spans="1:25" hidden="1" x14ac:dyDescent="0.25">
      <c r="A121" s="415">
        <v>120</v>
      </c>
      <c r="B121" s="415">
        <v>36</v>
      </c>
      <c r="C121" s="415">
        <v>26849</v>
      </c>
      <c r="D121" s="416" t="s">
        <v>2469</v>
      </c>
      <c r="E121" s="416" t="s">
        <v>413</v>
      </c>
      <c r="F121" s="416" t="s">
        <v>425</v>
      </c>
      <c r="G121" s="416" t="s">
        <v>755</v>
      </c>
      <c r="H121" s="416" t="s">
        <v>2470</v>
      </c>
      <c r="I121" s="416" t="s">
        <v>2470</v>
      </c>
      <c r="J121" s="415" t="s">
        <v>661</v>
      </c>
      <c r="K121" s="417">
        <v>-9.0724999999999998</v>
      </c>
      <c r="L121" s="417">
        <v>-77.7821</v>
      </c>
      <c r="M121" s="418">
        <v>30</v>
      </c>
      <c r="N121" s="418" t="s">
        <v>2310</v>
      </c>
      <c r="O121" s="418" t="s">
        <v>2411</v>
      </c>
      <c r="P121" s="415">
        <v>2</v>
      </c>
      <c r="Q121" s="415">
        <v>30</v>
      </c>
      <c r="R121" s="415">
        <v>5</v>
      </c>
      <c r="S121" s="415">
        <f t="shared" si="3"/>
        <v>5</v>
      </c>
      <c r="T121" s="419">
        <f t="shared" si="4"/>
        <v>0.83333333333333337</v>
      </c>
      <c r="U121" s="419">
        <f t="shared" si="5"/>
        <v>5.833333333333333</v>
      </c>
      <c r="V121" s="415" t="s">
        <v>662</v>
      </c>
      <c r="W121" s="415" t="s">
        <v>616</v>
      </c>
      <c r="X121" s="415" t="s">
        <v>666</v>
      </c>
      <c r="Y121" s="415"/>
    </row>
    <row r="122" spans="1:25" hidden="1" x14ac:dyDescent="0.25">
      <c r="A122" s="415">
        <v>121</v>
      </c>
      <c r="B122" s="415">
        <v>37</v>
      </c>
      <c r="C122" s="415">
        <v>26774</v>
      </c>
      <c r="D122" s="416" t="s">
        <v>2471</v>
      </c>
      <c r="E122" s="416" t="s">
        <v>413</v>
      </c>
      <c r="F122" s="416" t="s">
        <v>425</v>
      </c>
      <c r="G122" s="416" t="s">
        <v>755</v>
      </c>
      <c r="H122" s="416" t="s">
        <v>778</v>
      </c>
      <c r="I122" s="416" t="s">
        <v>778</v>
      </c>
      <c r="J122" s="415" t="s">
        <v>661</v>
      </c>
      <c r="K122" s="417">
        <v>-9.0856999999999992</v>
      </c>
      <c r="L122" s="417">
        <v>-77.817099999999996</v>
      </c>
      <c r="M122" s="418">
        <v>30</v>
      </c>
      <c r="N122" s="418" t="s">
        <v>2310</v>
      </c>
      <c r="O122" s="418" t="s">
        <v>2411</v>
      </c>
      <c r="P122" s="415">
        <v>2</v>
      </c>
      <c r="Q122" s="415">
        <v>30</v>
      </c>
      <c r="R122" s="415">
        <v>5</v>
      </c>
      <c r="S122" s="415">
        <f t="shared" si="3"/>
        <v>5</v>
      </c>
      <c r="T122" s="419">
        <f t="shared" si="4"/>
        <v>0.83333333333333337</v>
      </c>
      <c r="U122" s="419">
        <f t="shared" si="5"/>
        <v>5.833333333333333</v>
      </c>
      <c r="V122" s="415" t="s">
        <v>662</v>
      </c>
      <c r="W122" s="415" t="s">
        <v>616</v>
      </c>
      <c r="X122" s="415" t="s">
        <v>666</v>
      </c>
      <c r="Y122" s="415"/>
    </row>
    <row r="123" spans="1:25" hidden="1" x14ac:dyDescent="0.25">
      <c r="A123" s="415">
        <v>122</v>
      </c>
      <c r="B123" s="415">
        <v>38</v>
      </c>
      <c r="C123" s="415">
        <v>26745</v>
      </c>
      <c r="D123" s="416" t="s">
        <v>2472</v>
      </c>
      <c r="E123" s="416" t="s">
        <v>413</v>
      </c>
      <c r="F123" s="416" t="s">
        <v>425</v>
      </c>
      <c r="G123" s="416" t="s">
        <v>755</v>
      </c>
      <c r="H123" s="416" t="s">
        <v>2473</v>
      </c>
      <c r="I123" s="416" t="s">
        <v>2474</v>
      </c>
      <c r="J123" s="415" t="s">
        <v>661</v>
      </c>
      <c r="K123" s="417">
        <v>-9.0501210000000007</v>
      </c>
      <c r="L123" s="417">
        <v>-77.751407999999998</v>
      </c>
      <c r="M123" s="418">
        <v>30</v>
      </c>
      <c r="N123" s="418" t="s">
        <v>2310</v>
      </c>
      <c r="O123" s="418" t="s">
        <v>2411</v>
      </c>
      <c r="P123" s="415">
        <v>2</v>
      </c>
      <c r="Q123" s="415">
        <v>30</v>
      </c>
      <c r="R123" s="415">
        <v>5</v>
      </c>
      <c r="S123" s="415">
        <f t="shared" si="3"/>
        <v>5</v>
      </c>
      <c r="T123" s="419">
        <f t="shared" si="4"/>
        <v>0.83333333333333337</v>
      </c>
      <c r="U123" s="419">
        <f t="shared" si="5"/>
        <v>5.833333333333333</v>
      </c>
      <c r="V123" s="415" t="s">
        <v>662</v>
      </c>
      <c r="W123" s="415" t="s">
        <v>616</v>
      </c>
      <c r="X123" s="415" t="s">
        <v>666</v>
      </c>
      <c r="Y123" s="415"/>
    </row>
    <row r="124" spans="1:25" hidden="1" x14ac:dyDescent="0.25">
      <c r="A124" s="415">
        <v>123</v>
      </c>
      <c r="B124" s="415">
        <v>39</v>
      </c>
      <c r="C124" s="415">
        <v>26707</v>
      </c>
      <c r="D124" s="416" t="s">
        <v>2475</v>
      </c>
      <c r="E124" s="416" t="s">
        <v>413</v>
      </c>
      <c r="F124" s="416" t="s">
        <v>425</v>
      </c>
      <c r="G124" s="416" t="s">
        <v>755</v>
      </c>
      <c r="H124" s="416" t="s">
        <v>2476</v>
      </c>
      <c r="I124" s="416" t="s">
        <v>2476</v>
      </c>
      <c r="J124" s="415" t="s">
        <v>661</v>
      </c>
      <c r="K124" s="417">
        <v>-9.0340930000000004</v>
      </c>
      <c r="L124" s="417">
        <v>-77.766431999999995</v>
      </c>
      <c r="M124" s="418">
        <v>30</v>
      </c>
      <c r="N124" s="418" t="s">
        <v>2310</v>
      </c>
      <c r="O124" s="418" t="s">
        <v>2411</v>
      </c>
      <c r="P124" s="415">
        <v>2</v>
      </c>
      <c r="Q124" s="415">
        <v>30</v>
      </c>
      <c r="R124" s="415">
        <v>5</v>
      </c>
      <c r="S124" s="415">
        <f t="shared" si="3"/>
        <v>5</v>
      </c>
      <c r="T124" s="419">
        <f t="shared" si="4"/>
        <v>0.83333333333333337</v>
      </c>
      <c r="U124" s="419">
        <f t="shared" si="5"/>
        <v>5.833333333333333</v>
      </c>
      <c r="V124" s="415" t="s">
        <v>662</v>
      </c>
      <c r="W124" s="415" t="s">
        <v>616</v>
      </c>
      <c r="X124" s="415" t="s">
        <v>666</v>
      </c>
      <c r="Y124" s="415"/>
    </row>
    <row r="125" spans="1:25" hidden="1" x14ac:dyDescent="0.25">
      <c r="A125" s="415">
        <v>124</v>
      </c>
      <c r="B125" s="415">
        <v>40</v>
      </c>
      <c r="C125" s="415">
        <v>26651</v>
      </c>
      <c r="D125" s="416" t="s">
        <v>754</v>
      </c>
      <c r="E125" s="416" t="s">
        <v>413</v>
      </c>
      <c r="F125" s="416" t="s">
        <v>425</v>
      </c>
      <c r="G125" s="416" t="s">
        <v>755</v>
      </c>
      <c r="H125" s="416" t="s">
        <v>756</v>
      </c>
      <c r="I125" s="416" t="s">
        <v>756</v>
      </c>
      <c r="J125" s="415" t="s">
        <v>661</v>
      </c>
      <c r="K125" s="417">
        <v>-9.0626569999999997</v>
      </c>
      <c r="L125" s="417">
        <v>-77.843427000000005</v>
      </c>
      <c r="M125" s="418">
        <v>30</v>
      </c>
      <c r="N125" s="418" t="s">
        <v>2310</v>
      </c>
      <c r="O125" s="418" t="s">
        <v>2411</v>
      </c>
      <c r="P125" s="415">
        <v>2</v>
      </c>
      <c r="Q125" s="415">
        <v>30</v>
      </c>
      <c r="R125" s="415">
        <v>5</v>
      </c>
      <c r="S125" s="415">
        <f t="shared" si="3"/>
        <v>5</v>
      </c>
      <c r="T125" s="419">
        <f t="shared" si="4"/>
        <v>0.83333333333333337</v>
      </c>
      <c r="U125" s="419">
        <f t="shared" si="5"/>
        <v>5.833333333333333</v>
      </c>
      <c r="V125" s="415" t="s">
        <v>662</v>
      </c>
      <c r="W125" s="415" t="s">
        <v>616</v>
      </c>
      <c r="X125" s="415" t="s">
        <v>666</v>
      </c>
      <c r="Y125" s="415"/>
    </row>
    <row r="126" spans="1:25" hidden="1" x14ac:dyDescent="0.25">
      <c r="A126" s="415">
        <v>125</v>
      </c>
      <c r="B126" s="415">
        <v>41</v>
      </c>
      <c r="C126" s="415">
        <v>27226</v>
      </c>
      <c r="D126" s="416" t="s">
        <v>757</v>
      </c>
      <c r="E126" s="416" t="s">
        <v>413</v>
      </c>
      <c r="F126" s="416" t="s">
        <v>425</v>
      </c>
      <c r="G126" s="416" t="s">
        <v>425</v>
      </c>
      <c r="H126" s="416" t="s">
        <v>425</v>
      </c>
      <c r="I126" s="416" t="s">
        <v>758</v>
      </c>
      <c r="J126" s="415" t="s">
        <v>661</v>
      </c>
      <c r="K126" s="417">
        <v>-8.8696000000000002</v>
      </c>
      <c r="L126" s="417">
        <v>-77.890600000000006</v>
      </c>
      <c r="M126" s="418">
        <v>30</v>
      </c>
      <c r="N126" s="418" t="s">
        <v>2310</v>
      </c>
      <c r="O126" s="418" t="s">
        <v>2411</v>
      </c>
      <c r="P126" s="415">
        <v>2</v>
      </c>
      <c r="Q126" s="415">
        <v>30</v>
      </c>
      <c r="R126" s="415">
        <v>5</v>
      </c>
      <c r="S126" s="415">
        <f t="shared" si="3"/>
        <v>5</v>
      </c>
      <c r="T126" s="419">
        <f t="shared" si="4"/>
        <v>0.83333333333333337</v>
      </c>
      <c r="U126" s="419">
        <f t="shared" si="5"/>
        <v>5.833333333333333</v>
      </c>
      <c r="V126" s="415" t="s">
        <v>662</v>
      </c>
      <c r="W126" s="415" t="s">
        <v>616</v>
      </c>
      <c r="X126" s="415" t="s">
        <v>666</v>
      </c>
      <c r="Y126" s="415"/>
    </row>
    <row r="127" spans="1:25" hidden="1" x14ac:dyDescent="0.25">
      <c r="A127" s="415">
        <v>126</v>
      </c>
      <c r="B127" s="415">
        <v>42</v>
      </c>
      <c r="C127" s="415">
        <v>27269</v>
      </c>
      <c r="D127" s="416" t="s">
        <v>1522</v>
      </c>
      <c r="E127" s="416" t="s">
        <v>413</v>
      </c>
      <c r="F127" s="416" t="s">
        <v>425</v>
      </c>
      <c r="G127" s="416" t="s">
        <v>425</v>
      </c>
      <c r="H127" s="416" t="s">
        <v>425</v>
      </c>
      <c r="I127" s="416" t="s">
        <v>2477</v>
      </c>
      <c r="J127" s="415" t="s">
        <v>661</v>
      </c>
      <c r="K127" s="417">
        <v>-8.8729999999999993</v>
      </c>
      <c r="L127" s="417">
        <v>-77.902000000000001</v>
      </c>
      <c r="M127" s="418">
        <v>30</v>
      </c>
      <c r="N127" s="418" t="s">
        <v>2310</v>
      </c>
      <c r="O127" s="418" t="s">
        <v>2411</v>
      </c>
      <c r="P127" s="415">
        <v>2</v>
      </c>
      <c r="Q127" s="415">
        <v>30</v>
      </c>
      <c r="R127" s="415">
        <v>5</v>
      </c>
      <c r="S127" s="415">
        <f t="shared" si="3"/>
        <v>5</v>
      </c>
      <c r="T127" s="419">
        <f t="shared" si="4"/>
        <v>0.83333333333333337</v>
      </c>
      <c r="U127" s="419">
        <f t="shared" si="5"/>
        <v>5.833333333333333</v>
      </c>
      <c r="V127" s="415" t="s">
        <v>662</v>
      </c>
      <c r="W127" s="415" t="s">
        <v>616</v>
      </c>
      <c r="X127" s="415" t="s">
        <v>666</v>
      </c>
      <c r="Y127" s="415"/>
    </row>
    <row r="128" spans="1:25" hidden="1" x14ac:dyDescent="0.25">
      <c r="A128" s="415">
        <v>127</v>
      </c>
      <c r="B128" s="415">
        <v>43</v>
      </c>
      <c r="C128" s="415">
        <v>27306</v>
      </c>
      <c r="D128" s="416" t="s">
        <v>759</v>
      </c>
      <c r="E128" s="416" t="s">
        <v>413</v>
      </c>
      <c r="F128" s="416" t="s">
        <v>425</v>
      </c>
      <c r="G128" s="416" t="s">
        <v>760</v>
      </c>
      <c r="H128" s="416" t="s">
        <v>761</v>
      </c>
      <c r="I128" s="416" t="s">
        <v>762</v>
      </c>
      <c r="J128" s="415" t="s">
        <v>661</v>
      </c>
      <c r="K128" s="417">
        <v>-8.9610000000000003</v>
      </c>
      <c r="L128" s="417">
        <v>-77.840999999999994</v>
      </c>
      <c r="M128" s="418">
        <v>30</v>
      </c>
      <c r="N128" s="418" t="s">
        <v>2310</v>
      </c>
      <c r="O128" s="418" t="s">
        <v>2411</v>
      </c>
      <c r="P128" s="415">
        <v>2</v>
      </c>
      <c r="Q128" s="415">
        <v>30</v>
      </c>
      <c r="R128" s="415">
        <v>5</v>
      </c>
      <c r="S128" s="415">
        <f t="shared" si="3"/>
        <v>5</v>
      </c>
      <c r="T128" s="419">
        <f t="shared" si="4"/>
        <v>0.83333333333333337</v>
      </c>
      <c r="U128" s="419">
        <f t="shared" si="5"/>
        <v>5.833333333333333</v>
      </c>
      <c r="V128" s="415" t="s">
        <v>662</v>
      </c>
      <c r="W128" s="415" t="s">
        <v>616</v>
      </c>
      <c r="X128" s="415" t="s">
        <v>666</v>
      </c>
      <c r="Y128" s="415"/>
    </row>
    <row r="129" spans="1:25" hidden="1" x14ac:dyDescent="0.25">
      <c r="A129" s="415">
        <v>128</v>
      </c>
      <c r="B129" s="415">
        <v>44</v>
      </c>
      <c r="C129" s="415">
        <v>27561</v>
      </c>
      <c r="D129" s="416" t="s">
        <v>763</v>
      </c>
      <c r="E129" s="416" t="s">
        <v>413</v>
      </c>
      <c r="F129" s="416" t="s">
        <v>425</v>
      </c>
      <c r="G129" s="416" t="s">
        <v>764</v>
      </c>
      <c r="H129" s="416" t="s">
        <v>765</v>
      </c>
      <c r="I129" s="416" t="s">
        <v>765</v>
      </c>
      <c r="J129" s="415" t="s">
        <v>661</v>
      </c>
      <c r="K129" s="417">
        <v>-9.1910109999999996</v>
      </c>
      <c r="L129" s="417">
        <v>-78.041703999999996</v>
      </c>
      <c r="M129" s="418">
        <v>30</v>
      </c>
      <c r="N129" s="418" t="s">
        <v>2310</v>
      </c>
      <c r="O129" s="418" t="s">
        <v>2411</v>
      </c>
      <c r="P129" s="415">
        <v>2</v>
      </c>
      <c r="Q129" s="415">
        <v>30</v>
      </c>
      <c r="R129" s="415">
        <v>5</v>
      </c>
      <c r="S129" s="415">
        <f t="shared" si="3"/>
        <v>5</v>
      </c>
      <c r="T129" s="419">
        <f t="shared" si="4"/>
        <v>0.83333333333333337</v>
      </c>
      <c r="U129" s="419">
        <f t="shared" si="5"/>
        <v>5.833333333333333</v>
      </c>
      <c r="V129" s="415" t="s">
        <v>662</v>
      </c>
      <c r="W129" s="415" t="s">
        <v>616</v>
      </c>
      <c r="X129" s="415" t="s">
        <v>666</v>
      </c>
      <c r="Y129" s="415"/>
    </row>
    <row r="130" spans="1:25" hidden="1" x14ac:dyDescent="0.25">
      <c r="A130" s="415">
        <v>129</v>
      </c>
      <c r="B130" s="415">
        <v>45</v>
      </c>
      <c r="C130" s="415">
        <v>27815</v>
      </c>
      <c r="D130" s="416" t="s">
        <v>2478</v>
      </c>
      <c r="E130" s="416" t="s">
        <v>413</v>
      </c>
      <c r="F130" s="416" t="s">
        <v>425</v>
      </c>
      <c r="G130" s="416" t="s">
        <v>1730</v>
      </c>
      <c r="H130" s="416" t="s">
        <v>2479</v>
      </c>
      <c r="I130" s="416" t="s">
        <v>2479</v>
      </c>
      <c r="J130" s="415" t="s">
        <v>661</v>
      </c>
      <c r="K130" s="417">
        <v>-9.0981430000000003</v>
      </c>
      <c r="L130" s="417">
        <v>-77.802591000000007</v>
      </c>
      <c r="M130" s="418">
        <v>30</v>
      </c>
      <c r="N130" s="418" t="s">
        <v>2310</v>
      </c>
      <c r="O130" s="418" t="s">
        <v>2411</v>
      </c>
      <c r="P130" s="415">
        <v>2</v>
      </c>
      <c r="Q130" s="415">
        <v>30</v>
      </c>
      <c r="R130" s="415">
        <v>5</v>
      </c>
      <c r="S130" s="415">
        <f t="shared" si="3"/>
        <v>5</v>
      </c>
      <c r="T130" s="419">
        <f t="shared" si="4"/>
        <v>0.83333333333333337</v>
      </c>
      <c r="U130" s="419">
        <f t="shared" si="5"/>
        <v>5.833333333333333</v>
      </c>
      <c r="V130" s="415" t="s">
        <v>662</v>
      </c>
      <c r="W130" s="415" t="s">
        <v>616</v>
      </c>
      <c r="X130" s="415" t="s">
        <v>666</v>
      </c>
      <c r="Y130" s="415"/>
    </row>
    <row r="131" spans="1:25" hidden="1" x14ac:dyDescent="0.25">
      <c r="A131" s="415">
        <v>130</v>
      </c>
      <c r="B131" s="415">
        <v>46</v>
      </c>
      <c r="C131" s="415">
        <v>27863</v>
      </c>
      <c r="D131" s="416" t="s">
        <v>2480</v>
      </c>
      <c r="E131" s="416" t="s">
        <v>413</v>
      </c>
      <c r="F131" s="416" t="s">
        <v>425</v>
      </c>
      <c r="G131" s="416" t="s">
        <v>1730</v>
      </c>
      <c r="H131" s="416" t="s">
        <v>2481</v>
      </c>
      <c r="I131" s="416" t="s">
        <v>2482</v>
      </c>
      <c r="J131" s="415" t="s">
        <v>661</v>
      </c>
      <c r="K131" s="417">
        <v>-9.0874310000000005</v>
      </c>
      <c r="L131" s="417">
        <v>-77.794041000000007</v>
      </c>
      <c r="M131" s="418">
        <v>30</v>
      </c>
      <c r="N131" s="418" t="s">
        <v>2310</v>
      </c>
      <c r="O131" s="418" t="s">
        <v>2411</v>
      </c>
      <c r="P131" s="415">
        <v>2</v>
      </c>
      <c r="Q131" s="415">
        <v>30</v>
      </c>
      <c r="R131" s="415">
        <v>5</v>
      </c>
      <c r="S131" s="415">
        <f t="shared" ref="S131:S194" si="6">Q131/$AB$1</f>
        <v>5</v>
      </c>
      <c r="T131" s="419">
        <f t="shared" ref="T131:T194" si="7">R131/$AB$1</f>
        <v>0.83333333333333337</v>
      </c>
      <c r="U131" s="419">
        <f t="shared" ref="U131:U194" si="8">S131+T131</f>
        <v>5.833333333333333</v>
      </c>
      <c r="V131" s="415" t="s">
        <v>662</v>
      </c>
      <c r="W131" s="415" t="s">
        <v>616</v>
      </c>
      <c r="X131" s="415" t="s">
        <v>666</v>
      </c>
      <c r="Y131" s="415"/>
    </row>
    <row r="132" spans="1:25" hidden="1" x14ac:dyDescent="0.25">
      <c r="A132" s="415">
        <v>131</v>
      </c>
      <c r="B132" s="415">
        <v>47</v>
      </c>
      <c r="C132" s="415">
        <v>28075</v>
      </c>
      <c r="D132" s="416" t="s">
        <v>2483</v>
      </c>
      <c r="E132" s="416" t="s">
        <v>413</v>
      </c>
      <c r="F132" s="416" t="s">
        <v>425</v>
      </c>
      <c r="G132" s="416" t="s">
        <v>474</v>
      </c>
      <c r="H132" s="416" t="s">
        <v>2484</v>
      </c>
      <c r="I132" s="416" t="s">
        <v>2485</v>
      </c>
      <c r="J132" s="415" t="s">
        <v>661</v>
      </c>
      <c r="K132" s="417">
        <v>-8.9499250000000004</v>
      </c>
      <c r="L132" s="417">
        <v>-77.814082999999997</v>
      </c>
      <c r="M132" s="418">
        <v>30</v>
      </c>
      <c r="N132" s="418" t="s">
        <v>2310</v>
      </c>
      <c r="O132" s="418" t="s">
        <v>2411</v>
      </c>
      <c r="P132" s="415">
        <v>2</v>
      </c>
      <c r="Q132" s="415">
        <v>30</v>
      </c>
      <c r="R132" s="415">
        <v>5</v>
      </c>
      <c r="S132" s="415">
        <f t="shared" si="6"/>
        <v>5</v>
      </c>
      <c r="T132" s="419">
        <f t="shared" si="7"/>
        <v>0.83333333333333337</v>
      </c>
      <c r="U132" s="419">
        <f t="shared" si="8"/>
        <v>5.833333333333333</v>
      </c>
      <c r="V132" s="415" t="s">
        <v>662</v>
      </c>
      <c r="W132" s="415" t="s">
        <v>616</v>
      </c>
      <c r="X132" s="415" t="s">
        <v>666</v>
      </c>
      <c r="Y132" s="415"/>
    </row>
    <row r="133" spans="1:25" hidden="1" x14ac:dyDescent="0.25">
      <c r="A133" s="415">
        <v>132</v>
      </c>
      <c r="B133" s="415">
        <v>48</v>
      </c>
      <c r="C133" s="415">
        <v>28706</v>
      </c>
      <c r="D133" s="416" t="s">
        <v>766</v>
      </c>
      <c r="E133" s="416" t="s">
        <v>413</v>
      </c>
      <c r="F133" s="416" t="s">
        <v>426</v>
      </c>
      <c r="G133" s="416" t="s">
        <v>767</v>
      </c>
      <c r="H133" s="416" t="s">
        <v>768</v>
      </c>
      <c r="I133" s="416" t="s">
        <v>768</v>
      </c>
      <c r="J133" s="415" t="s">
        <v>661</v>
      </c>
      <c r="K133" s="417">
        <v>-8.8530300000000004</v>
      </c>
      <c r="L133" s="417">
        <v>-77.400205999999997</v>
      </c>
      <c r="M133" s="418">
        <v>30</v>
      </c>
      <c r="N133" s="418" t="s">
        <v>2310</v>
      </c>
      <c r="O133" s="418" t="s">
        <v>2411</v>
      </c>
      <c r="P133" s="415">
        <v>2</v>
      </c>
      <c r="Q133" s="415">
        <v>30</v>
      </c>
      <c r="R133" s="415">
        <v>5</v>
      </c>
      <c r="S133" s="415">
        <f t="shared" si="6"/>
        <v>5</v>
      </c>
      <c r="T133" s="419">
        <f t="shared" si="7"/>
        <v>0.83333333333333337</v>
      </c>
      <c r="U133" s="419">
        <f t="shared" si="8"/>
        <v>5.833333333333333</v>
      </c>
      <c r="V133" s="415" t="s">
        <v>662</v>
      </c>
      <c r="W133" s="415" t="s">
        <v>616</v>
      </c>
      <c r="X133" s="415" t="s">
        <v>666</v>
      </c>
      <c r="Y133" s="415"/>
    </row>
    <row r="134" spans="1:25" hidden="1" x14ac:dyDescent="0.25">
      <c r="A134" s="415">
        <v>133</v>
      </c>
      <c r="B134" s="415">
        <v>49</v>
      </c>
      <c r="C134" s="415">
        <v>28589</v>
      </c>
      <c r="D134" s="416" t="s">
        <v>2486</v>
      </c>
      <c r="E134" s="416" t="s">
        <v>413</v>
      </c>
      <c r="F134" s="416" t="s">
        <v>426</v>
      </c>
      <c r="G134" s="416" t="s">
        <v>767</v>
      </c>
      <c r="H134" s="416" t="s">
        <v>2487</v>
      </c>
      <c r="I134" s="416" t="s">
        <v>2487</v>
      </c>
      <c r="J134" s="415" t="s">
        <v>661</v>
      </c>
      <c r="K134" s="417">
        <v>-8.8184380000000004</v>
      </c>
      <c r="L134" s="417">
        <v>-77.418936000000002</v>
      </c>
      <c r="M134" s="418">
        <v>30</v>
      </c>
      <c r="N134" s="418" t="s">
        <v>2310</v>
      </c>
      <c r="O134" s="418" t="s">
        <v>2411</v>
      </c>
      <c r="P134" s="415">
        <v>2</v>
      </c>
      <c r="Q134" s="415">
        <v>30</v>
      </c>
      <c r="R134" s="415">
        <v>5</v>
      </c>
      <c r="S134" s="415">
        <f t="shared" si="6"/>
        <v>5</v>
      </c>
      <c r="T134" s="419">
        <f t="shared" si="7"/>
        <v>0.83333333333333337</v>
      </c>
      <c r="U134" s="419">
        <f t="shared" si="8"/>
        <v>5.833333333333333</v>
      </c>
      <c r="V134" s="415" t="s">
        <v>662</v>
      </c>
      <c r="W134" s="415" t="s">
        <v>616</v>
      </c>
      <c r="X134" s="415" t="s">
        <v>666</v>
      </c>
      <c r="Y134" s="415"/>
    </row>
    <row r="135" spans="1:25" hidden="1" x14ac:dyDescent="0.25">
      <c r="A135" s="415">
        <v>134</v>
      </c>
      <c r="B135" s="415">
        <v>50</v>
      </c>
      <c r="C135" s="415">
        <v>29490</v>
      </c>
      <c r="D135" s="416" t="s">
        <v>472</v>
      </c>
      <c r="E135" s="416" t="s">
        <v>413</v>
      </c>
      <c r="F135" s="416" t="s">
        <v>426</v>
      </c>
      <c r="G135" s="416" t="s">
        <v>770</v>
      </c>
      <c r="H135" s="416" t="s">
        <v>771</v>
      </c>
      <c r="I135" s="416" t="s">
        <v>772</v>
      </c>
      <c r="J135" s="415" t="s">
        <v>661</v>
      </c>
      <c r="K135" s="417">
        <v>-8.9168029999999998</v>
      </c>
      <c r="L135" s="417">
        <v>-77.404471000000001</v>
      </c>
      <c r="M135" s="418">
        <v>30</v>
      </c>
      <c r="N135" s="418" t="s">
        <v>2310</v>
      </c>
      <c r="O135" s="418" t="s">
        <v>2411</v>
      </c>
      <c r="P135" s="415">
        <v>2</v>
      </c>
      <c r="Q135" s="415">
        <v>30</v>
      </c>
      <c r="R135" s="415">
        <v>5</v>
      </c>
      <c r="S135" s="415">
        <f t="shared" si="6"/>
        <v>5</v>
      </c>
      <c r="T135" s="419">
        <f t="shared" si="7"/>
        <v>0.83333333333333337</v>
      </c>
      <c r="U135" s="419">
        <f t="shared" si="8"/>
        <v>5.833333333333333</v>
      </c>
      <c r="V135" s="415" t="s">
        <v>662</v>
      </c>
      <c r="W135" s="415" t="s">
        <v>616</v>
      </c>
      <c r="X135" s="415" t="s">
        <v>666</v>
      </c>
      <c r="Y135" s="415"/>
    </row>
    <row r="136" spans="1:25" hidden="1" x14ac:dyDescent="0.25">
      <c r="A136" s="415">
        <v>135</v>
      </c>
      <c r="B136" s="415">
        <v>51</v>
      </c>
      <c r="C136" s="415">
        <v>28508</v>
      </c>
      <c r="D136" s="416" t="s">
        <v>2488</v>
      </c>
      <c r="E136" s="416" t="s">
        <v>413</v>
      </c>
      <c r="F136" s="416" t="s">
        <v>426</v>
      </c>
      <c r="G136" s="416" t="s">
        <v>2488</v>
      </c>
      <c r="H136" s="416" t="s">
        <v>2488</v>
      </c>
      <c r="I136" s="416" t="s">
        <v>2489</v>
      </c>
      <c r="J136" s="415" t="s">
        <v>661</v>
      </c>
      <c r="K136" s="417">
        <v>-8.8680389999999996</v>
      </c>
      <c r="L136" s="417">
        <v>-77.355214000000004</v>
      </c>
      <c r="M136" s="418">
        <v>30</v>
      </c>
      <c r="N136" s="418" t="s">
        <v>2310</v>
      </c>
      <c r="O136" s="418" t="s">
        <v>2411</v>
      </c>
      <c r="P136" s="415">
        <v>2</v>
      </c>
      <c r="Q136" s="415">
        <v>30</v>
      </c>
      <c r="R136" s="415">
        <v>5</v>
      </c>
      <c r="S136" s="415">
        <f t="shared" si="6"/>
        <v>5</v>
      </c>
      <c r="T136" s="419">
        <f t="shared" si="7"/>
        <v>0.83333333333333337</v>
      </c>
      <c r="U136" s="419">
        <f t="shared" si="8"/>
        <v>5.833333333333333</v>
      </c>
      <c r="V136" s="415" t="s">
        <v>662</v>
      </c>
      <c r="W136" s="415" t="s">
        <v>616</v>
      </c>
      <c r="X136" s="415" t="s">
        <v>666</v>
      </c>
      <c r="Y136" s="415"/>
    </row>
    <row r="137" spans="1:25" hidden="1" x14ac:dyDescent="0.25">
      <c r="A137" s="415">
        <v>136</v>
      </c>
      <c r="B137" s="415">
        <v>52</v>
      </c>
      <c r="C137" s="415">
        <v>30040</v>
      </c>
      <c r="D137" s="416" t="s">
        <v>2490</v>
      </c>
      <c r="E137" s="416" t="s">
        <v>413</v>
      </c>
      <c r="F137" s="416" t="s">
        <v>428</v>
      </c>
      <c r="G137" s="416" t="s">
        <v>2491</v>
      </c>
      <c r="H137" s="416" t="s">
        <v>2491</v>
      </c>
      <c r="I137" s="416" t="s">
        <v>2492</v>
      </c>
      <c r="J137" s="415" t="s">
        <v>661</v>
      </c>
      <c r="K137" s="417">
        <v>-8.3967530000000004</v>
      </c>
      <c r="L137" s="417">
        <v>-78.005769999999998</v>
      </c>
      <c r="M137" s="418">
        <v>30</v>
      </c>
      <c r="N137" s="418" t="s">
        <v>2310</v>
      </c>
      <c r="O137" s="418" t="s">
        <v>2411</v>
      </c>
      <c r="P137" s="415">
        <v>2</v>
      </c>
      <c r="Q137" s="415">
        <v>30</v>
      </c>
      <c r="R137" s="415">
        <v>5</v>
      </c>
      <c r="S137" s="415">
        <f t="shared" si="6"/>
        <v>5</v>
      </c>
      <c r="T137" s="419">
        <f t="shared" si="7"/>
        <v>0.83333333333333337</v>
      </c>
      <c r="U137" s="419">
        <f t="shared" si="8"/>
        <v>5.833333333333333</v>
      </c>
      <c r="V137" s="415" t="s">
        <v>662</v>
      </c>
      <c r="W137" s="415" t="s">
        <v>616</v>
      </c>
      <c r="X137" s="415" t="s">
        <v>666</v>
      </c>
      <c r="Y137" s="415"/>
    </row>
    <row r="138" spans="1:25" hidden="1" x14ac:dyDescent="0.25">
      <c r="A138" s="415">
        <v>137</v>
      </c>
      <c r="B138" s="415">
        <v>53</v>
      </c>
      <c r="C138" s="415">
        <v>299953</v>
      </c>
      <c r="D138" s="416" t="s">
        <v>2491</v>
      </c>
      <c r="E138" s="416" t="s">
        <v>413</v>
      </c>
      <c r="F138" s="416" t="s">
        <v>428</v>
      </c>
      <c r="G138" s="416" t="s">
        <v>2491</v>
      </c>
      <c r="H138" s="416" t="s">
        <v>2491</v>
      </c>
      <c r="I138" s="416" t="s">
        <v>2492</v>
      </c>
      <c r="J138" s="415" t="s">
        <v>661</v>
      </c>
      <c r="K138" s="417">
        <v>-8.3962400000000006</v>
      </c>
      <c r="L138" s="417">
        <v>-78.003529999999998</v>
      </c>
      <c r="M138" s="418">
        <v>30</v>
      </c>
      <c r="N138" s="418" t="s">
        <v>2310</v>
      </c>
      <c r="O138" s="418" t="s">
        <v>2411</v>
      </c>
      <c r="P138" s="415">
        <v>2</v>
      </c>
      <c r="Q138" s="415">
        <v>30</v>
      </c>
      <c r="R138" s="415">
        <v>5</v>
      </c>
      <c r="S138" s="415">
        <f t="shared" si="6"/>
        <v>5</v>
      </c>
      <c r="T138" s="419">
        <f t="shared" si="7"/>
        <v>0.83333333333333337</v>
      </c>
      <c r="U138" s="419">
        <f t="shared" si="8"/>
        <v>5.833333333333333</v>
      </c>
      <c r="V138" s="415" t="s">
        <v>662</v>
      </c>
      <c r="W138" s="415" t="s">
        <v>616</v>
      </c>
      <c r="X138" s="415" t="s">
        <v>666</v>
      </c>
      <c r="Y138" s="415"/>
    </row>
    <row r="139" spans="1:25" hidden="1" x14ac:dyDescent="0.25">
      <c r="A139" s="415">
        <v>138</v>
      </c>
      <c r="B139" s="415">
        <v>54</v>
      </c>
      <c r="C139" s="415">
        <v>30356</v>
      </c>
      <c r="D139" s="416" t="s">
        <v>774</v>
      </c>
      <c r="E139" s="416" t="s">
        <v>413</v>
      </c>
      <c r="F139" s="416" t="s">
        <v>428</v>
      </c>
      <c r="G139" s="416" t="s">
        <v>773</v>
      </c>
      <c r="H139" s="416" t="s">
        <v>775</v>
      </c>
      <c r="I139" s="416" t="s">
        <v>776</v>
      </c>
      <c r="J139" s="415" t="s">
        <v>661</v>
      </c>
      <c r="K139" s="417">
        <v>-8.2754999999999992</v>
      </c>
      <c r="L139" s="417">
        <v>-77.666809999999998</v>
      </c>
      <c r="M139" s="418">
        <v>30</v>
      </c>
      <c r="N139" s="418" t="s">
        <v>2310</v>
      </c>
      <c r="O139" s="418" t="s">
        <v>2411</v>
      </c>
      <c r="P139" s="415">
        <v>2</v>
      </c>
      <c r="Q139" s="415">
        <v>30</v>
      </c>
      <c r="R139" s="415">
        <v>5</v>
      </c>
      <c r="S139" s="415">
        <f t="shared" si="6"/>
        <v>5</v>
      </c>
      <c r="T139" s="419">
        <f t="shared" si="7"/>
        <v>0.83333333333333337</v>
      </c>
      <c r="U139" s="419">
        <f t="shared" si="8"/>
        <v>5.833333333333333</v>
      </c>
      <c r="V139" s="415" t="s">
        <v>662</v>
      </c>
      <c r="W139" s="415" t="s">
        <v>616</v>
      </c>
      <c r="X139" s="415" t="s">
        <v>666</v>
      </c>
      <c r="Y139" s="415"/>
    </row>
    <row r="140" spans="1:25" hidden="1" x14ac:dyDescent="0.25">
      <c r="A140" s="415">
        <v>139</v>
      </c>
      <c r="B140" s="415">
        <v>55</v>
      </c>
      <c r="C140" s="415">
        <v>32666</v>
      </c>
      <c r="D140" s="416" t="s">
        <v>780</v>
      </c>
      <c r="E140" s="416" t="s">
        <v>413</v>
      </c>
      <c r="F140" s="416" t="s">
        <v>429</v>
      </c>
      <c r="G140" s="416" t="s">
        <v>779</v>
      </c>
      <c r="H140" s="416" t="s">
        <v>781</v>
      </c>
      <c r="I140" s="416" t="s">
        <v>782</v>
      </c>
      <c r="J140" s="415" t="s">
        <v>661</v>
      </c>
      <c r="K140" s="417">
        <v>-8.5880379999999992</v>
      </c>
      <c r="L140" s="417">
        <v>-77.333929999999995</v>
      </c>
      <c r="M140" s="418">
        <v>30</v>
      </c>
      <c r="N140" s="418" t="s">
        <v>2310</v>
      </c>
      <c r="O140" s="418" t="s">
        <v>2411</v>
      </c>
      <c r="P140" s="415">
        <v>2</v>
      </c>
      <c r="Q140" s="415">
        <v>30</v>
      </c>
      <c r="R140" s="415">
        <v>5</v>
      </c>
      <c r="S140" s="415">
        <f t="shared" si="6"/>
        <v>5</v>
      </c>
      <c r="T140" s="419">
        <f t="shared" si="7"/>
        <v>0.83333333333333337</v>
      </c>
      <c r="U140" s="419">
        <f t="shared" si="8"/>
        <v>5.833333333333333</v>
      </c>
      <c r="V140" s="415" t="s">
        <v>662</v>
      </c>
      <c r="W140" s="415" t="s">
        <v>616</v>
      </c>
      <c r="X140" s="415" t="s">
        <v>666</v>
      </c>
      <c r="Y140" s="415"/>
    </row>
    <row r="141" spans="1:25" hidden="1" x14ac:dyDescent="0.25">
      <c r="A141" s="415">
        <v>140</v>
      </c>
      <c r="B141" s="415">
        <v>56</v>
      </c>
      <c r="C141" s="415">
        <v>31600</v>
      </c>
      <c r="D141" s="416" t="s">
        <v>2493</v>
      </c>
      <c r="E141" s="416" t="s">
        <v>413</v>
      </c>
      <c r="F141" s="416" t="s">
        <v>429</v>
      </c>
      <c r="G141" s="416" t="s">
        <v>429</v>
      </c>
      <c r="H141" s="416" t="s">
        <v>2494</v>
      </c>
      <c r="I141" s="416" t="s">
        <v>2495</v>
      </c>
      <c r="J141" s="415" t="s">
        <v>661</v>
      </c>
      <c r="K141" s="417">
        <v>-8.8211510000000004</v>
      </c>
      <c r="L141" s="417">
        <v>-77.482760999999996</v>
      </c>
      <c r="M141" s="418">
        <v>30</v>
      </c>
      <c r="N141" s="418" t="s">
        <v>2310</v>
      </c>
      <c r="O141" s="418" t="s">
        <v>2411</v>
      </c>
      <c r="P141" s="415">
        <v>2</v>
      </c>
      <c r="Q141" s="415">
        <v>30</v>
      </c>
      <c r="R141" s="415">
        <v>5</v>
      </c>
      <c r="S141" s="415">
        <f t="shared" si="6"/>
        <v>5</v>
      </c>
      <c r="T141" s="419">
        <f t="shared" si="7"/>
        <v>0.83333333333333337</v>
      </c>
      <c r="U141" s="419">
        <f t="shared" si="8"/>
        <v>5.833333333333333</v>
      </c>
      <c r="V141" s="415" t="s">
        <v>662</v>
      </c>
      <c r="W141" s="415" t="s">
        <v>616</v>
      </c>
      <c r="X141" s="415" t="s">
        <v>666</v>
      </c>
      <c r="Y141" s="415"/>
    </row>
    <row r="142" spans="1:25" hidden="1" x14ac:dyDescent="0.25">
      <c r="A142" s="415">
        <v>141</v>
      </c>
      <c r="B142" s="415">
        <v>57</v>
      </c>
      <c r="C142" s="415">
        <v>31879</v>
      </c>
      <c r="D142" s="416" t="s">
        <v>2496</v>
      </c>
      <c r="E142" s="416" t="s">
        <v>413</v>
      </c>
      <c r="F142" s="416" t="s">
        <v>429</v>
      </c>
      <c r="G142" s="416" t="s">
        <v>429</v>
      </c>
      <c r="H142" s="416" t="s">
        <v>2494</v>
      </c>
      <c r="I142" s="416" t="s">
        <v>2497</v>
      </c>
      <c r="J142" s="415" t="s">
        <v>661</v>
      </c>
      <c r="K142" s="417">
        <v>-8.8208579999999994</v>
      </c>
      <c r="L142" s="417">
        <v>-77.482945000000001</v>
      </c>
      <c r="M142" s="418">
        <v>30</v>
      </c>
      <c r="N142" s="418" t="s">
        <v>2310</v>
      </c>
      <c r="O142" s="418" t="s">
        <v>2411</v>
      </c>
      <c r="P142" s="415">
        <v>2</v>
      </c>
      <c r="Q142" s="415">
        <v>30</v>
      </c>
      <c r="R142" s="415">
        <v>5</v>
      </c>
      <c r="S142" s="415">
        <f t="shared" si="6"/>
        <v>5</v>
      </c>
      <c r="T142" s="419">
        <f t="shared" si="7"/>
        <v>0.83333333333333337</v>
      </c>
      <c r="U142" s="419">
        <f t="shared" si="8"/>
        <v>5.833333333333333</v>
      </c>
      <c r="V142" s="415" t="s">
        <v>662</v>
      </c>
      <c r="W142" s="415" t="s">
        <v>616</v>
      </c>
      <c r="X142" s="415" t="s">
        <v>666</v>
      </c>
      <c r="Y142" s="415"/>
    </row>
    <row r="143" spans="1:25" hidden="1" x14ac:dyDescent="0.25">
      <c r="A143" s="415">
        <v>142</v>
      </c>
      <c r="B143" s="415">
        <v>58</v>
      </c>
      <c r="C143" s="415">
        <v>31657</v>
      </c>
      <c r="D143" s="416" t="s">
        <v>2498</v>
      </c>
      <c r="E143" s="416" t="s">
        <v>413</v>
      </c>
      <c r="F143" s="416" t="s">
        <v>429</v>
      </c>
      <c r="G143" s="416" t="s">
        <v>429</v>
      </c>
      <c r="H143" s="416" t="s">
        <v>2499</v>
      </c>
      <c r="I143" s="416" t="s">
        <v>2500</v>
      </c>
      <c r="J143" s="415" t="s">
        <v>661</v>
      </c>
      <c r="K143" s="417">
        <v>-8.8079680000000007</v>
      </c>
      <c r="L143" s="417">
        <v>-77.471630000000005</v>
      </c>
      <c r="M143" s="418">
        <v>30</v>
      </c>
      <c r="N143" s="418" t="s">
        <v>2310</v>
      </c>
      <c r="O143" s="418" t="s">
        <v>2411</v>
      </c>
      <c r="P143" s="415">
        <v>2</v>
      </c>
      <c r="Q143" s="415">
        <v>30</v>
      </c>
      <c r="R143" s="415">
        <v>5</v>
      </c>
      <c r="S143" s="415">
        <f t="shared" si="6"/>
        <v>5</v>
      </c>
      <c r="T143" s="419">
        <f t="shared" si="7"/>
        <v>0.83333333333333337</v>
      </c>
      <c r="U143" s="419">
        <f t="shared" si="8"/>
        <v>5.833333333333333</v>
      </c>
      <c r="V143" s="415" t="s">
        <v>662</v>
      </c>
      <c r="W143" s="415" t="s">
        <v>616</v>
      </c>
      <c r="X143" s="415" t="s">
        <v>666</v>
      </c>
      <c r="Y143" s="415"/>
    </row>
    <row r="144" spans="1:25" hidden="1" x14ac:dyDescent="0.25">
      <c r="A144" s="415">
        <v>143</v>
      </c>
      <c r="B144" s="415">
        <v>59</v>
      </c>
      <c r="C144" s="415">
        <v>33190</v>
      </c>
      <c r="D144" s="416" t="s">
        <v>2501</v>
      </c>
      <c r="E144" s="416" t="s">
        <v>413</v>
      </c>
      <c r="F144" s="416" t="s">
        <v>430</v>
      </c>
      <c r="G144" s="416" t="s">
        <v>2502</v>
      </c>
      <c r="H144" s="416" t="s">
        <v>2503</v>
      </c>
      <c r="I144" s="416" t="s">
        <v>2503</v>
      </c>
      <c r="J144" s="415" t="s">
        <v>661</v>
      </c>
      <c r="K144" s="417">
        <v>-9.8345020000000005</v>
      </c>
      <c r="L144" s="417">
        <v>-77.413116000000002</v>
      </c>
      <c r="M144" s="418">
        <v>30</v>
      </c>
      <c r="N144" s="418" t="s">
        <v>2310</v>
      </c>
      <c r="O144" s="418" t="s">
        <v>2411</v>
      </c>
      <c r="P144" s="415">
        <v>2</v>
      </c>
      <c r="Q144" s="415">
        <v>30</v>
      </c>
      <c r="R144" s="415">
        <v>5</v>
      </c>
      <c r="S144" s="415">
        <f t="shared" si="6"/>
        <v>5</v>
      </c>
      <c r="T144" s="419">
        <f t="shared" si="7"/>
        <v>0.83333333333333337</v>
      </c>
      <c r="U144" s="419">
        <f t="shared" si="8"/>
        <v>5.833333333333333</v>
      </c>
      <c r="V144" s="415" t="s">
        <v>662</v>
      </c>
      <c r="W144" s="415" t="s">
        <v>610</v>
      </c>
      <c r="X144" s="415" t="s">
        <v>673</v>
      </c>
      <c r="Y144" s="415"/>
    </row>
    <row r="145" spans="1:25" hidden="1" x14ac:dyDescent="0.25">
      <c r="A145" s="415">
        <v>144</v>
      </c>
      <c r="B145" s="415">
        <v>60</v>
      </c>
      <c r="C145" s="415">
        <v>33171</v>
      </c>
      <c r="D145" s="416" t="s">
        <v>2504</v>
      </c>
      <c r="E145" s="416" t="s">
        <v>413</v>
      </c>
      <c r="F145" s="416" t="s">
        <v>430</v>
      </c>
      <c r="G145" s="416" t="s">
        <v>2502</v>
      </c>
      <c r="H145" s="416" t="s">
        <v>2505</v>
      </c>
      <c r="I145" s="416" t="s">
        <v>2506</v>
      </c>
      <c r="J145" s="415" t="s">
        <v>661</v>
      </c>
      <c r="K145" s="417">
        <v>-9.8226589999999998</v>
      </c>
      <c r="L145" s="417">
        <v>-77.422341000000003</v>
      </c>
      <c r="M145" s="418">
        <v>30</v>
      </c>
      <c r="N145" s="418" t="s">
        <v>2310</v>
      </c>
      <c r="O145" s="418" t="s">
        <v>2411</v>
      </c>
      <c r="P145" s="415">
        <v>2</v>
      </c>
      <c r="Q145" s="415">
        <v>30</v>
      </c>
      <c r="R145" s="415">
        <v>5</v>
      </c>
      <c r="S145" s="415">
        <f t="shared" si="6"/>
        <v>5</v>
      </c>
      <c r="T145" s="419">
        <f t="shared" si="7"/>
        <v>0.83333333333333337</v>
      </c>
      <c r="U145" s="419">
        <f t="shared" si="8"/>
        <v>5.833333333333333</v>
      </c>
      <c r="V145" s="415" t="s">
        <v>662</v>
      </c>
      <c r="W145" s="415" t="s">
        <v>610</v>
      </c>
      <c r="X145" s="415" t="s">
        <v>673</v>
      </c>
      <c r="Y145" s="415"/>
    </row>
    <row r="146" spans="1:25" hidden="1" x14ac:dyDescent="0.25">
      <c r="A146" s="415">
        <v>145</v>
      </c>
      <c r="B146" s="415">
        <v>61</v>
      </c>
      <c r="C146" s="415">
        <v>33029</v>
      </c>
      <c r="D146" s="416" t="s">
        <v>785</v>
      </c>
      <c r="E146" s="416" t="s">
        <v>413</v>
      </c>
      <c r="F146" s="416" t="s">
        <v>430</v>
      </c>
      <c r="G146" s="416" t="s">
        <v>430</v>
      </c>
      <c r="H146" s="416" t="s">
        <v>786</v>
      </c>
      <c r="I146" s="416" t="s">
        <v>786</v>
      </c>
      <c r="J146" s="415" t="s">
        <v>661</v>
      </c>
      <c r="K146" s="417">
        <v>-9.7011420000000008</v>
      </c>
      <c r="L146" s="417">
        <v>-77.445470999999998</v>
      </c>
      <c r="M146" s="418">
        <v>30</v>
      </c>
      <c r="N146" s="418" t="s">
        <v>2310</v>
      </c>
      <c r="O146" s="418" t="s">
        <v>2411</v>
      </c>
      <c r="P146" s="415">
        <v>2</v>
      </c>
      <c r="Q146" s="415">
        <v>30</v>
      </c>
      <c r="R146" s="415">
        <v>5</v>
      </c>
      <c r="S146" s="415">
        <f t="shared" si="6"/>
        <v>5</v>
      </c>
      <c r="T146" s="419">
        <f t="shared" si="7"/>
        <v>0.83333333333333337</v>
      </c>
      <c r="U146" s="419">
        <f t="shared" si="8"/>
        <v>5.833333333333333</v>
      </c>
      <c r="V146" s="415" t="s">
        <v>662</v>
      </c>
      <c r="W146" s="415" t="s">
        <v>610</v>
      </c>
      <c r="X146" s="415" t="s">
        <v>673</v>
      </c>
      <c r="Y146" s="415"/>
    </row>
    <row r="147" spans="1:25" hidden="1" x14ac:dyDescent="0.25">
      <c r="A147" s="415">
        <v>146</v>
      </c>
      <c r="B147" s="415">
        <v>62</v>
      </c>
      <c r="C147" s="415">
        <v>33053</v>
      </c>
      <c r="D147" s="416" t="s">
        <v>787</v>
      </c>
      <c r="E147" s="416" t="s">
        <v>413</v>
      </c>
      <c r="F147" s="416" t="s">
        <v>430</v>
      </c>
      <c r="G147" s="416" t="s">
        <v>430</v>
      </c>
      <c r="H147" s="416" t="s">
        <v>788</v>
      </c>
      <c r="I147" s="416" t="s">
        <v>788</v>
      </c>
      <c r="J147" s="415" t="s">
        <v>661</v>
      </c>
      <c r="K147" s="417">
        <v>-9.7195769999999992</v>
      </c>
      <c r="L147" s="417">
        <v>-77.436232000000004</v>
      </c>
      <c r="M147" s="418">
        <v>30</v>
      </c>
      <c r="N147" s="418" t="s">
        <v>2310</v>
      </c>
      <c r="O147" s="418" t="s">
        <v>2411</v>
      </c>
      <c r="P147" s="415">
        <v>2</v>
      </c>
      <c r="Q147" s="415">
        <v>30</v>
      </c>
      <c r="R147" s="415">
        <v>5</v>
      </c>
      <c r="S147" s="415">
        <f t="shared" si="6"/>
        <v>5</v>
      </c>
      <c r="T147" s="419">
        <f t="shared" si="7"/>
        <v>0.83333333333333337</v>
      </c>
      <c r="U147" s="419">
        <f t="shared" si="8"/>
        <v>5.833333333333333</v>
      </c>
      <c r="V147" s="415" t="s">
        <v>662</v>
      </c>
      <c r="W147" s="415" t="s">
        <v>610</v>
      </c>
      <c r="X147" s="415" t="s">
        <v>673</v>
      </c>
      <c r="Y147" s="415"/>
    </row>
    <row r="148" spans="1:25" hidden="1" x14ac:dyDescent="0.25">
      <c r="A148" s="415">
        <v>147</v>
      </c>
      <c r="B148" s="415">
        <v>63</v>
      </c>
      <c r="C148" s="415">
        <v>32987</v>
      </c>
      <c r="D148" s="416" t="s">
        <v>783</v>
      </c>
      <c r="E148" s="416" t="s">
        <v>413</v>
      </c>
      <c r="F148" s="416" t="s">
        <v>430</v>
      </c>
      <c r="G148" s="416" t="s">
        <v>430</v>
      </c>
      <c r="H148" s="416" t="s">
        <v>784</v>
      </c>
      <c r="I148" s="416" t="s">
        <v>784</v>
      </c>
      <c r="J148" s="415" t="s">
        <v>661</v>
      </c>
      <c r="K148" s="417">
        <v>-9.7011660000000006</v>
      </c>
      <c r="L148" s="417">
        <v>-77.479427000000001</v>
      </c>
      <c r="M148" s="418">
        <v>30</v>
      </c>
      <c r="N148" s="418" t="s">
        <v>2310</v>
      </c>
      <c r="O148" s="418" t="s">
        <v>2411</v>
      </c>
      <c r="P148" s="415">
        <v>2</v>
      </c>
      <c r="Q148" s="415">
        <v>30</v>
      </c>
      <c r="R148" s="415">
        <v>5</v>
      </c>
      <c r="S148" s="415">
        <f t="shared" si="6"/>
        <v>5</v>
      </c>
      <c r="T148" s="419">
        <f t="shared" si="7"/>
        <v>0.83333333333333337</v>
      </c>
      <c r="U148" s="419">
        <f t="shared" si="8"/>
        <v>5.833333333333333</v>
      </c>
      <c r="V148" s="415" t="s">
        <v>662</v>
      </c>
      <c r="W148" s="415" t="s">
        <v>610</v>
      </c>
      <c r="X148" s="415" t="s">
        <v>673</v>
      </c>
      <c r="Y148" s="415"/>
    </row>
    <row r="149" spans="1:25" hidden="1" x14ac:dyDescent="0.25">
      <c r="A149" s="415">
        <v>148</v>
      </c>
      <c r="B149" s="415">
        <v>64</v>
      </c>
      <c r="C149" s="415">
        <v>529218</v>
      </c>
      <c r="D149" s="416" t="s">
        <v>2507</v>
      </c>
      <c r="E149" s="416" t="s">
        <v>413</v>
      </c>
      <c r="F149" s="416" t="s">
        <v>430</v>
      </c>
      <c r="G149" s="416" t="s">
        <v>430</v>
      </c>
      <c r="H149" s="416" t="s">
        <v>2508</v>
      </c>
      <c r="I149" s="416" t="s">
        <v>2508</v>
      </c>
      <c r="J149" s="415" t="s">
        <v>661</v>
      </c>
      <c r="K149" s="417">
        <v>-9.7415280000000006</v>
      </c>
      <c r="L149" s="417">
        <v>-77.463476</v>
      </c>
      <c r="M149" s="418">
        <v>30</v>
      </c>
      <c r="N149" s="418" t="s">
        <v>2310</v>
      </c>
      <c r="O149" s="418" t="s">
        <v>2411</v>
      </c>
      <c r="P149" s="415">
        <v>2</v>
      </c>
      <c r="Q149" s="415">
        <v>30</v>
      </c>
      <c r="R149" s="415">
        <v>5</v>
      </c>
      <c r="S149" s="415">
        <f t="shared" si="6"/>
        <v>5</v>
      </c>
      <c r="T149" s="419">
        <f t="shared" si="7"/>
        <v>0.83333333333333337</v>
      </c>
      <c r="U149" s="419">
        <f t="shared" si="8"/>
        <v>5.833333333333333</v>
      </c>
      <c r="V149" s="415" t="s">
        <v>662</v>
      </c>
      <c r="W149" s="415" t="s">
        <v>610</v>
      </c>
      <c r="X149" s="415" t="s">
        <v>673</v>
      </c>
      <c r="Y149" s="415"/>
    </row>
    <row r="150" spans="1:25" hidden="1" x14ac:dyDescent="0.25">
      <c r="A150" s="415">
        <v>149</v>
      </c>
      <c r="B150" s="415">
        <v>65</v>
      </c>
      <c r="C150" s="415">
        <v>33760</v>
      </c>
      <c r="D150" s="416" t="s">
        <v>792</v>
      </c>
      <c r="E150" s="416" t="s">
        <v>413</v>
      </c>
      <c r="F150" s="416" t="s">
        <v>430</v>
      </c>
      <c r="G150" s="416" t="s">
        <v>790</v>
      </c>
      <c r="H150" s="416" t="s">
        <v>793</v>
      </c>
      <c r="I150" s="416" t="s">
        <v>793</v>
      </c>
      <c r="J150" s="415" t="s">
        <v>661</v>
      </c>
      <c r="K150" s="417">
        <v>-9.7702650000000002</v>
      </c>
      <c r="L150" s="417">
        <v>-77.417508999999995</v>
      </c>
      <c r="M150" s="418">
        <v>30</v>
      </c>
      <c r="N150" s="418" t="s">
        <v>2310</v>
      </c>
      <c r="O150" s="418" t="s">
        <v>2411</v>
      </c>
      <c r="P150" s="415">
        <v>2</v>
      </c>
      <c r="Q150" s="415">
        <v>30</v>
      </c>
      <c r="R150" s="415">
        <v>5</v>
      </c>
      <c r="S150" s="415">
        <f t="shared" si="6"/>
        <v>5</v>
      </c>
      <c r="T150" s="419">
        <f t="shared" si="7"/>
        <v>0.83333333333333337</v>
      </c>
      <c r="U150" s="419">
        <f t="shared" si="8"/>
        <v>5.833333333333333</v>
      </c>
      <c r="V150" s="415" t="s">
        <v>662</v>
      </c>
      <c r="W150" s="415" t="s">
        <v>610</v>
      </c>
      <c r="X150" s="415" t="s">
        <v>673</v>
      </c>
      <c r="Y150" s="415"/>
    </row>
    <row r="151" spans="1:25" hidden="1" x14ac:dyDescent="0.25">
      <c r="A151" s="415">
        <v>150</v>
      </c>
      <c r="B151" s="415">
        <v>66</v>
      </c>
      <c r="C151" s="415">
        <v>33717</v>
      </c>
      <c r="D151" s="416" t="s">
        <v>2509</v>
      </c>
      <c r="E151" s="416" t="s">
        <v>413</v>
      </c>
      <c r="F151" s="416" t="s">
        <v>430</v>
      </c>
      <c r="G151" s="416" t="s">
        <v>790</v>
      </c>
      <c r="H151" s="416" t="s">
        <v>2510</v>
      </c>
      <c r="I151" s="416" t="s">
        <v>2511</v>
      </c>
      <c r="J151" s="415" t="s">
        <v>661</v>
      </c>
      <c r="K151" s="417">
        <v>-9.7718690000000006</v>
      </c>
      <c r="L151" s="417">
        <v>-77.441483000000005</v>
      </c>
      <c r="M151" s="418">
        <v>30</v>
      </c>
      <c r="N151" s="418" t="s">
        <v>2310</v>
      </c>
      <c r="O151" s="418" t="s">
        <v>2411</v>
      </c>
      <c r="P151" s="415">
        <v>2</v>
      </c>
      <c r="Q151" s="415">
        <v>30</v>
      </c>
      <c r="R151" s="415">
        <v>5</v>
      </c>
      <c r="S151" s="415">
        <f t="shared" si="6"/>
        <v>5</v>
      </c>
      <c r="T151" s="419">
        <f t="shared" si="7"/>
        <v>0.83333333333333337</v>
      </c>
      <c r="U151" s="419">
        <f t="shared" si="8"/>
        <v>5.833333333333333</v>
      </c>
      <c r="V151" s="415" t="s">
        <v>662</v>
      </c>
      <c r="W151" s="415" t="s">
        <v>610</v>
      </c>
      <c r="X151" s="415" t="s">
        <v>673</v>
      </c>
      <c r="Y151" s="415"/>
    </row>
    <row r="152" spans="1:25" hidden="1" x14ac:dyDescent="0.25">
      <c r="A152" s="415">
        <v>151</v>
      </c>
      <c r="B152" s="415">
        <v>67</v>
      </c>
      <c r="C152" s="415">
        <v>33755</v>
      </c>
      <c r="D152" s="416" t="s">
        <v>2512</v>
      </c>
      <c r="E152" s="416" t="s">
        <v>413</v>
      </c>
      <c r="F152" s="416" t="s">
        <v>430</v>
      </c>
      <c r="G152" s="416" t="s">
        <v>790</v>
      </c>
      <c r="H152" s="416" t="s">
        <v>2513</v>
      </c>
      <c r="I152" s="416" t="s">
        <v>2513</v>
      </c>
      <c r="J152" s="415" t="s">
        <v>661</v>
      </c>
      <c r="K152" s="417">
        <v>-9.7509879999999995</v>
      </c>
      <c r="L152" s="417">
        <v>-77.441497999999996</v>
      </c>
      <c r="M152" s="418">
        <v>30</v>
      </c>
      <c r="N152" s="418" t="s">
        <v>2310</v>
      </c>
      <c r="O152" s="418" t="s">
        <v>2411</v>
      </c>
      <c r="P152" s="415">
        <v>2</v>
      </c>
      <c r="Q152" s="415">
        <v>30</v>
      </c>
      <c r="R152" s="415">
        <v>5</v>
      </c>
      <c r="S152" s="415">
        <f t="shared" si="6"/>
        <v>5</v>
      </c>
      <c r="T152" s="419">
        <f t="shared" si="7"/>
        <v>0.83333333333333337</v>
      </c>
      <c r="U152" s="419">
        <f t="shared" si="8"/>
        <v>5.833333333333333</v>
      </c>
      <c r="V152" s="415" t="s">
        <v>662</v>
      </c>
      <c r="W152" s="415" t="s">
        <v>610</v>
      </c>
      <c r="X152" s="415" t="s">
        <v>673</v>
      </c>
      <c r="Y152" s="415"/>
    </row>
    <row r="153" spans="1:25" hidden="1" x14ac:dyDescent="0.25">
      <c r="A153" s="415">
        <v>152</v>
      </c>
      <c r="B153" s="415">
        <v>68</v>
      </c>
      <c r="C153" s="415">
        <v>33703</v>
      </c>
      <c r="D153" s="416" t="s">
        <v>2514</v>
      </c>
      <c r="E153" s="416" t="s">
        <v>413</v>
      </c>
      <c r="F153" s="416" t="s">
        <v>430</v>
      </c>
      <c r="G153" s="416" t="s">
        <v>790</v>
      </c>
      <c r="H153" s="416" t="s">
        <v>790</v>
      </c>
      <c r="I153" s="416" t="s">
        <v>2515</v>
      </c>
      <c r="J153" s="415" t="s">
        <v>661</v>
      </c>
      <c r="K153" s="417">
        <v>-9.7535229999999995</v>
      </c>
      <c r="L153" s="417">
        <v>-77.447528000000005</v>
      </c>
      <c r="M153" s="418">
        <v>30</v>
      </c>
      <c r="N153" s="418" t="s">
        <v>2310</v>
      </c>
      <c r="O153" s="418" t="s">
        <v>2411</v>
      </c>
      <c r="P153" s="415">
        <v>2</v>
      </c>
      <c r="Q153" s="415">
        <v>30</v>
      </c>
      <c r="R153" s="415">
        <v>5</v>
      </c>
      <c r="S153" s="415">
        <f t="shared" si="6"/>
        <v>5</v>
      </c>
      <c r="T153" s="419">
        <f t="shared" si="7"/>
        <v>0.83333333333333337</v>
      </c>
      <c r="U153" s="419">
        <f t="shared" si="8"/>
        <v>5.833333333333333</v>
      </c>
      <c r="V153" s="415" t="s">
        <v>662</v>
      </c>
      <c r="W153" s="415" t="s">
        <v>610</v>
      </c>
      <c r="X153" s="415" t="s">
        <v>673</v>
      </c>
      <c r="Y153" s="415"/>
    </row>
    <row r="154" spans="1:25" hidden="1" x14ac:dyDescent="0.25">
      <c r="A154" s="415">
        <v>153</v>
      </c>
      <c r="B154" s="415">
        <v>69</v>
      </c>
      <c r="C154" s="415">
        <v>33741</v>
      </c>
      <c r="D154" s="416" t="s">
        <v>789</v>
      </c>
      <c r="E154" s="416" t="s">
        <v>413</v>
      </c>
      <c r="F154" s="416" t="s">
        <v>430</v>
      </c>
      <c r="G154" s="416" t="s">
        <v>790</v>
      </c>
      <c r="H154" s="416" t="s">
        <v>791</v>
      </c>
      <c r="I154" s="416" t="s">
        <v>791</v>
      </c>
      <c r="J154" s="415" t="s">
        <v>661</v>
      </c>
      <c r="K154" s="417">
        <v>-9.7639429999999994</v>
      </c>
      <c r="L154" s="417">
        <v>-77.428163999999995</v>
      </c>
      <c r="M154" s="418">
        <v>30</v>
      </c>
      <c r="N154" s="418" t="s">
        <v>2310</v>
      </c>
      <c r="O154" s="418" t="s">
        <v>2411</v>
      </c>
      <c r="P154" s="415">
        <v>2</v>
      </c>
      <c r="Q154" s="415">
        <v>30</v>
      </c>
      <c r="R154" s="415">
        <v>5</v>
      </c>
      <c r="S154" s="415">
        <f t="shared" si="6"/>
        <v>5</v>
      </c>
      <c r="T154" s="419">
        <f t="shared" si="7"/>
        <v>0.83333333333333337</v>
      </c>
      <c r="U154" s="419">
        <f t="shared" si="8"/>
        <v>5.833333333333333</v>
      </c>
      <c r="V154" s="415" t="s">
        <v>662</v>
      </c>
      <c r="W154" s="415" t="s">
        <v>610</v>
      </c>
      <c r="X154" s="415" t="s">
        <v>673</v>
      </c>
      <c r="Y154" s="415"/>
    </row>
    <row r="155" spans="1:25" hidden="1" x14ac:dyDescent="0.25">
      <c r="A155" s="415">
        <v>154</v>
      </c>
      <c r="B155" s="415">
        <v>70</v>
      </c>
      <c r="C155" s="415">
        <v>36400</v>
      </c>
      <c r="D155" s="416" t="s">
        <v>794</v>
      </c>
      <c r="E155" s="416" t="s">
        <v>413</v>
      </c>
      <c r="F155" s="416" t="s">
        <v>431</v>
      </c>
      <c r="G155" s="416" t="s">
        <v>795</v>
      </c>
      <c r="H155" s="416" t="s">
        <v>796</v>
      </c>
      <c r="I155" s="416" t="s">
        <v>796</v>
      </c>
      <c r="J155" s="415" t="s">
        <v>661</v>
      </c>
      <c r="K155" s="417">
        <v>-8.7636459999999996</v>
      </c>
      <c r="L155" s="417">
        <v>-78.092540999999997</v>
      </c>
      <c r="M155" s="418">
        <v>30</v>
      </c>
      <c r="N155" s="418" t="s">
        <v>2310</v>
      </c>
      <c r="O155" s="418" t="s">
        <v>2411</v>
      </c>
      <c r="P155" s="415">
        <v>2</v>
      </c>
      <c r="Q155" s="415">
        <v>30</v>
      </c>
      <c r="R155" s="415">
        <v>5</v>
      </c>
      <c r="S155" s="415">
        <f t="shared" si="6"/>
        <v>5</v>
      </c>
      <c r="T155" s="419">
        <f t="shared" si="7"/>
        <v>0.83333333333333337</v>
      </c>
      <c r="U155" s="419">
        <f t="shared" si="8"/>
        <v>5.833333333333333</v>
      </c>
      <c r="V155" s="415" t="s">
        <v>662</v>
      </c>
      <c r="W155" s="415" t="s">
        <v>616</v>
      </c>
      <c r="X155" s="415" t="s">
        <v>666</v>
      </c>
      <c r="Y155" s="415"/>
    </row>
    <row r="156" spans="1:25" hidden="1" x14ac:dyDescent="0.25">
      <c r="A156" s="415">
        <v>155</v>
      </c>
      <c r="B156" s="415">
        <v>71</v>
      </c>
      <c r="C156" s="415">
        <v>36886</v>
      </c>
      <c r="D156" s="416" t="s">
        <v>2516</v>
      </c>
      <c r="E156" s="416" t="s">
        <v>413</v>
      </c>
      <c r="F156" s="416" t="s">
        <v>431</v>
      </c>
      <c r="G156" s="416" t="s">
        <v>798</v>
      </c>
      <c r="H156" s="416" t="s">
        <v>2517</v>
      </c>
      <c r="I156" s="416" t="s">
        <v>2517</v>
      </c>
      <c r="J156" s="415" t="s">
        <v>661</v>
      </c>
      <c r="K156" s="417">
        <v>-9.1430209999999992</v>
      </c>
      <c r="L156" s="417">
        <v>-78.168368000000001</v>
      </c>
      <c r="M156" s="418">
        <v>30</v>
      </c>
      <c r="N156" s="418" t="s">
        <v>2310</v>
      </c>
      <c r="O156" s="418" t="s">
        <v>2411</v>
      </c>
      <c r="P156" s="415">
        <v>2</v>
      </c>
      <c r="Q156" s="415">
        <v>30</v>
      </c>
      <c r="R156" s="415">
        <v>5</v>
      </c>
      <c r="S156" s="415">
        <f t="shared" si="6"/>
        <v>5</v>
      </c>
      <c r="T156" s="419">
        <f t="shared" si="7"/>
        <v>0.83333333333333337</v>
      </c>
      <c r="U156" s="419">
        <f t="shared" si="8"/>
        <v>5.833333333333333</v>
      </c>
      <c r="V156" s="415" t="s">
        <v>662</v>
      </c>
      <c r="W156" s="415" t="s">
        <v>616</v>
      </c>
      <c r="X156" s="415" t="s">
        <v>666</v>
      </c>
      <c r="Y156" s="415"/>
    </row>
    <row r="157" spans="1:25" hidden="1" x14ac:dyDescent="0.25">
      <c r="A157" s="415">
        <v>156</v>
      </c>
      <c r="B157" s="415">
        <v>72</v>
      </c>
      <c r="C157" s="415">
        <v>36867</v>
      </c>
      <c r="D157" s="416" t="s">
        <v>797</v>
      </c>
      <c r="E157" s="416" t="s">
        <v>413</v>
      </c>
      <c r="F157" s="416" t="s">
        <v>431</v>
      </c>
      <c r="G157" s="416" t="s">
        <v>798</v>
      </c>
      <c r="H157" s="416" t="s">
        <v>799</v>
      </c>
      <c r="I157" s="416" t="s">
        <v>799</v>
      </c>
      <c r="J157" s="415" t="s">
        <v>661</v>
      </c>
      <c r="K157" s="417">
        <v>-9.1489689999999992</v>
      </c>
      <c r="L157" s="417">
        <v>-78.127510000000001</v>
      </c>
      <c r="M157" s="418">
        <v>30</v>
      </c>
      <c r="N157" s="418" t="s">
        <v>2310</v>
      </c>
      <c r="O157" s="418" t="s">
        <v>2411</v>
      </c>
      <c r="P157" s="415">
        <v>2</v>
      </c>
      <c r="Q157" s="415">
        <v>30</v>
      </c>
      <c r="R157" s="415">
        <v>5</v>
      </c>
      <c r="S157" s="415">
        <f t="shared" si="6"/>
        <v>5</v>
      </c>
      <c r="T157" s="419">
        <f t="shared" si="7"/>
        <v>0.83333333333333337</v>
      </c>
      <c r="U157" s="419">
        <f t="shared" si="8"/>
        <v>5.833333333333333</v>
      </c>
      <c r="V157" s="415" t="s">
        <v>662</v>
      </c>
      <c r="W157" s="415" t="s">
        <v>616</v>
      </c>
      <c r="X157" s="415" t="s">
        <v>666</v>
      </c>
      <c r="Y157" s="415"/>
    </row>
    <row r="158" spans="1:25" hidden="1" x14ac:dyDescent="0.25">
      <c r="A158" s="415">
        <v>157</v>
      </c>
      <c r="B158" s="415">
        <v>73</v>
      </c>
      <c r="C158" s="415">
        <v>37112</v>
      </c>
      <c r="D158" s="416" t="s">
        <v>800</v>
      </c>
      <c r="E158" s="416" t="s">
        <v>413</v>
      </c>
      <c r="F158" s="416" t="s">
        <v>431</v>
      </c>
      <c r="G158" s="416" t="s">
        <v>801</v>
      </c>
      <c r="H158" s="416" t="s">
        <v>802</v>
      </c>
      <c r="I158" s="416" t="s">
        <v>802</v>
      </c>
      <c r="J158" s="415" t="s">
        <v>661</v>
      </c>
      <c r="K158" s="417">
        <v>-9.2013459999999991</v>
      </c>
      <c r="L158" s="417">
        <v>-78.379945000000006</v>
      </c>
      <c r="M158" s="418">
        <v>30</v>
      </c>
      <c r="N158" s="418" t="s">
        <v>2310</v>
      </c>
      <c r="O158" s="418" t="s">
        <v>2411</v>
      </c>
      <c r="P158" s="415">
        <v>2</v>
      </c>
      <c r="Q158" s="415">
        <v>30</v>
      </c>
      <c r="R158" s="415">
        <v>5</v>
      </c>
      <c r="S158" s="415">
        <f t="shared" si="6"/>
        <v>5</v>
      </c>
      <c r="T158" s="419">
        <f t="shared" si="7"/>
        <v>0.83333333333333337</v>
      </c>
      <c r="U158" s="419">
        <f t="shared" si="8"/>
        <v>5.833333333333333</v>
      </c>
      <c r="V158" s="415" t="s">
        <v>662</v>
      </c>
      <c r="W158" s="415" t="s">
        <v>616</v>
      </c>
      <c r="X158" s="415" t="s">
        <v>666</v>
      </c>
      <c r="Y158" s="415"/>
    </row>
    <row r="159" spans="1:25" hidden="1" x14ac:dyDescent="0.25">
      <c r="A159" s="415">
        <v>158</v>
      </c>
      <c r="B159" s="415">
        <v>74</v>
      </c>
      <c r="C159" s="415">
        <v>37089</v>
      </c>
      <c r="D159" s="416" t="s">
        <v>2518</v>
      </c>
      <c r="E159" s="416" t="s">
        <v>413</v>
      </c>
      <c r="F159" s="416" t="s">
        <v>431</v>
      </c>
      <c r="G159" s="416" t="s">
        <v>801</v>
      </c>
      <c r="H159" s="416" t="s">
        <v>2519</v>
      </c>
      <c r="I159" s="416" t="s">
        <v>2520</v>
      </c>
      <c r="J159" s="415" t="s">
        <v>661</v>
      </c>
      <c r="K159" s="417">
        <v>-9.1840589999999995</v>
      </c>
      <c r="L159" s="417">
        <v>-78.341665000000006</v>
      </c>
      <c r="M159" s="418">
        <v>30</v>
      </c>
      <c r="N159" s="418" t="s">
        <v>2310</v>
      </c>
      <c r="O159" s="418" t="s">
        <v>2411</v>
      </c>
      <c r="P159" s="415">
        <v>2</v>
      </c>
      <c r="Q159" s="415">
        <v>30</v>
      </c>
      <c r="R159" s="415">
        <v>5</v>
      </c>
      <c r="S159" s="415">
        <f t="shared" si="6"/>
        <v>5</v>
      </c>
      <c r="T159" s="419">
        <f t="shared" si="7"/>
        <v>0.83333333333333337</v>
      </c>
      <c r="U159" s="419">
        <f t="shared" si="8"/>
        <v>5.833333333333333</v>
      </c>
      <c r="V159" s="415" t="s">
        <v>662</v>
      </c>
      <c r="W159" s="415" t="s">
        <v>616</v>
      </c>
      <c r="X159" s="415" t="s">
        <v>666</v>
      </c>
      <c r="Y159" s="415"/>
    </row>
    <row r="160" spans="1:25" hidden="1" x14ac:dyDescent="0.25">
      <c r="A160" s="415">
        <v>159</v>
      </c>
      <c r="B160" s="415">
        <v>75</v>
      </c>
      <c r="C160" s="415">
        <v>38060</v>
      </c>
      <c r="D160" s="416" t="s">
        <v>2521</v>
      </c>
      <c r="E160" s="416" t="s">
        <v>413</v>
      </c>
      <c r="F160" s="416" t="s">
        <v>431</v>
      </c>
      <c r="G160" s="416" t="s">
        <v>2522</v>
      </c>
      <c r="H160" s="416" t="s">
        <v>1824</v>
      </c>
      <c r="I160" s="416" t="s">
        <v>2523</v>
      </c>
      <c r="J160" s="415" t="s">
        <v>747</v>
      </c>
      <c r="K160" s="417">
        <v>-9.1290999999999993</v>
      </c>
      <c r="L160" s="417">
        <v>-78.508430000000004</v>
      </c>
      <c r="M160" s="418">
        <v>30</v>
      </c>
      <c r="N160" s="418" t="s">
        <v>2310</v>
      </c>
      <c r="O160" s="418" t="s">
        <v>2411</v>
      </c>
      <c r="P160" s="415">
        <v>2</v>
      </c>
      <c r="Q160" s="415">
        <v>30</v>
      </c>
      <c r="R160" s="415">
        <v>5</v>
      </c>
      <c r="S160" s="415">
        <f t="shared" si="6"/>
        <v>5</v>
      </c>
      <c r="T160" s="419">
        <f t="shared" si="7"/>
        <v>0.83333333333333337</v>
      </c>
      <c r="U160" s="419">
        <f t="shared" si="8"/>
        <v>5.833333333333333</v>
      </c>
      <c r="V160" s="415" t="s">
        <v>662</v>
      </c>
      <c r="W160" s="415" t="s">
        <v>616</v>
      </c>
      <c r="X160" s="415" t="s">
        <v>666</v>
      </c>
      <c r="Y160" s="415"/>
    </row>
    <row r="161" spans="1:25" hidden="1" x14ac:dyDescent="0.25">
      <c r="A161" s="415">
        <v>160</v>
      </c>
      <c r="B161" s="415">
        <v>76</v>
      </c>
      <c r="C161" s="415">
        <v>37433</v>
      </c>
      <c r="D161" s="416" t="s">
        <v>2524</v>
      </c>
      <c r="E161" s="416" t="s">
        <v>413</v>
      </c>
      <c r="F161" s="416" t="s">
        <v>431</v>
      </c>
      <c r="G161" s="416" t="s">
        <v>431</v>
      </c>
      <c r="H161" s="416" t="s">
        <v>2525</v>
      </c>
      <c r="I161" s="416" t="s">
        <v>2526</v>
      </c>
      <c r="J161" s="415" t="s">
        <v>661</v>
      </c>
      <c r="K161" s="417">
        <v>-8.9773940000000003</v>
      </c>
      <c r="L161" s="417">
        <v>-78.621955999999997</v>
      </c>
      <c r="M161" s="418">
        <v>30</v>
      </c>
      <c r="N161" s="418" t="s">
        <v>2310</v>
      </c>
      <c r="O161" s="418" t="s">
        <v>2411</v>
      </c>
      <c r="P161" s="415">
        <v>2</v>
      </c>
      <c r="Q161" s="415">
        <v>30</v>
      </c>
      <c r="R161" s="415">
        <v>5</v>
      </c>
      <c r="S161" s="415">
        <f t="shared" si="6"/>
        <v>5</v>
      </c>
      <c r="T161" s="419">
        <f t="shared" si="7"/>
        <v>0.83333333333333337</v>
      </c>
      <c r="U161" s="419">
        <f t="shared" si="8"/>
        <v>5.833333333333333</v>
      </c>
      <c r="V161" s="415" t="s">
        <v>662</v>
      </c>
      <c r="W161" s="415" t="s">
        <v>616</v>
      </c>
      <c r="X161" s="415" t="s">
        <v>666</v>
      </c>
      <c r="Y161" s="415"/>
    </row>
    <row r="162" spans="1:25" hidden="1" x14ac:dyDescent="0.25">
      <c r="A162" s="415">
        <v>161</v>
      </c>
      <c r="B162" s="415">
        <v>77</v>
      </c>
      <c r="C162" s="415">
        <v>39875</v>
      </c>
      <c r="D162" s="416" t="s">
        <v>2527</v>
      </c>
      <c r="E162" s="416" t="s">
        <v>413</v>
      </c>
      <c r="F162" s="416" t="s">
        <v>432</v>
      </c>
      <c r="G162" s="416" t="s">
        <v>803</v>
      </c>
      <c r="H162" s="416" t="s">
        <v>803</v>
      </c>
      <c r="I162" s="416" t="s">
        <v>2528</v>
      </c>
      <c r="J162" s="415" t="s">
        <v>661</v>
      </c>
      <c r="K162" s="417">
        <v>-8.5324080000000002</v>
      </c>
      <c r="L162" s="417">
        <v>-77.665079000000006</v>
      </c>
      <c r="M162" s="418">
        <v>30</v>
      </c>
      <c r="N162" s="418" t="s">
        <v>2310</v>
      </c>
      <c r="O162" s="418" t="s">
        <v>2411</v>
      </c>
      <c r="P162" s="415">
        <v>2</v>
      </c>
      <c r="Q162" s="415">
        <v>30</v>
      </c>
      <c r="R162" s="415">
        <v>5</v>
      </c>
      <c r="S162" s="415">
        <f t="shared" si="6"/>
        <v>5</v>
      </c>
      <c r="T162" s="419">
        <f t="shared" si="7"/>
        <v>0.83333333333333337</v>
      </c>
      <c r="U162" s="419">
        <f t="shared" si="8"/>
        <v>5.833333333333333</v>
      </c>
      <c r="V162" s="415" t="s">
        <v>662</v>
      </c>
      <c r="W162" s="415" t="s">
        <v>616</v>
      </c>
      <c r="X162" s="415" t="s">
        <v>666</v>
      </c>
      <c r="Y162" s="415"/>
    </row>
    <row r="163" spans="1:25" hidden="1" x14ac:dyDescent="0.25">
      <c r="A163" s="415">
        <v>162</v>
      </c>
      <c r="B163" s="415">
        <v>78</v>
      </c>
      <c r="C163" s="415">
        <v>40082</v>
      </c>
      <c r="D163" s="416" t="s">
        <v>806</v>
      </c>
      <c r="E163" s="416" t="s">
        <v>413</v>
      </c>
      <c r="F163" s="416" t="s">
        <v>432</v>
      </c>
      <c r="G163" s="416" t="s">
        <v>805</v>
      </c>
      <c r="H163" s="416" t="s">
        <v>807</v>
      </c>
      <c r="I163" s="416" t="s">
        <v>807</v>
      </c>
      <c r="J163" s="415" t="s">
        <v>661</v>
      </c>
      <c r="K163" s="417">
        <v>-8.6721360000000001</v>
      </c>
      <c r="L163" s="417">
        <v>-77.602762999999996</v>
      </c>
      <c r="M163" s="418">
        <v>30</v>
      </c>
      <c r="N163" s="418" t="s">
        <v>2310</v>
      </c>
      <c r="O163" s="418" t="s">
        <v>2411</v>
      </c>
      <c r="P163" s="415">
        <v>2</v>
      </c>
      <c r="Q163" s="415">
        <v>30</v>
      </c>
      <c r="R163" s="415">
        <v>5</v>
      </c>
      <c r="S163" s="415">
        <f t="shared" si="6"/>
        <v>5</v>
      </c>
      <c r="T163" s="419">
        <f t="shared" si="7"/>
        <v>0.83333333333333337</v>
      </c>
      <c r="U163" s="419">
        <f t="shared" si="8"/>
        <v>5.833333333333333</v>
      </c>
      <c r="V163" s="415" t="s">
        <v>662</v>
      </c>
      <c r="W163" s="415" t="s">
        <v>616</v>
      </c>
      <c r="X163" s="415" t="s">
        <v>666</v>
      </c>
      <c r="Y163" s="415"/>
    </row>
    <row r="164" spans="1:25" hidden="1" x14ac:dyDescent="0.25">
      <c r="A164" s="415">
        <v>163</v>
      </c>
      <c r="B164" s="415">
        <v>79</v>
      </c>
      <c r="C164" s="415">
        <v>40015</v>
      </c>
      <c r="D164" s="416" t="s">
        <v>2529</v>
      </c>
      <c r="E164" s="416" t="s">
        <v>413</v>
      </c>
      <c r="F164" s="416" t="s">
        <v>432</v>
      </c>
      <c r="G164" s="416" t="s">
        <v>805</v>
      </c>
      <c r="H164" s="416" t="s">
        <v>2530</v>
      </c>
      <c r="I164" s="416" t="s">
        <v>2530</v>
      </c>
      <c r="J164" s="415" t="s">
        <v>661</v>
      </c>
      <c r="K164" s="417">
        <v>-8.6141000000000005</v>
      </c>
      <c r="L164" s="417">
        <v>-77.636150000000001</v>
      </c>
      <c r="M164" s="418">
        <v>30</v>
      </c>
      <c r="N164" s="418" t="s">
        <v>2310</v>
      </c>
      <c r="O164" s="418" t="s">
        <v>2411</v>
      </c>
      <c r="P164" s="415">
        <v>2</v>
      </c>
      <c r="Q164" s="415">
        <v>30</v>
      </c>
      <c r="R164" s="415">
        <v>5</v>
      </c>
      <c r="S164" s="415">
        <f t="shared" si="6"/>
        <v>5</v>
      </c>
      <c r="T164" s="419">
        <f t="shared" si="7"/>
        <v>0.83333333333333337</v>
      </c>
      <c r="U164" s="419">
        <f t="shared" si="8"/>
        <v>5.833333333333333</v>
      </c>
      <c r="V164" s="415" t="s">
        <v>662</v>
      </c>
      <c r="W164" s="415" t="s">
        <v>616</v>
      </c>
      <c r="X164" s="415" t="s">
        <v>666</v>
      </c>
      <c r="Y164" s="415"/>
    </row>
    <row r="165" spans="1:25" hidden="1" x14ac:dyDescent="0.25">
      <c r="A165" s="415">
        <v>164</v>
      </c>
      <c r="B165" s="415">
        <v>80</v>
      </c>
      <c r="C165" s="415">
        <v>38866</v>
      </c>
      <c r="D165" s="416" t="s">
        <v>2531</v>
      </c>
      <c r="E165" s="416" t="s">
        <v>413</v>
      </c>
      <c r="F165" s="416" t="s">
        <v>432</v>
      </c>
      <c r="G165" s="416" t="s">
        <v>432</v>
      </c>
      <c r="H165" s="416" t="s">
        <v>432</v>
      </c>
      <c r="I165" s="416" t="s">
        <v>2532</v>
      </c>
      <c r="J165" s="415" t="s">
        <v>747</v>
      </c>
      <c r="K165" s="417">
        <v>-8.5533090000000005</v>
      </c>
      <c r="L165" s="417">
        <v>-77.634817999999996</v>
      </c>
      <c r="M165" s="418">
        <v>30</v>
      </c>
      <c r="N165" s="418" t="s">
        <v>2310</v>
      </c>
      <c r="O165" s="418" t="s">
        <v>2411</v>
      </c>
      <c r="P165" s="415">
        <v>2</v>
      </c>
      <c r="Q165" s="415">
        <v>30</v>
      </c>
      <c r="R165" s="415">
        <v>5</v>
      </c>
      <c r="S165" s="415">
        <f t="shared" si="6"/>
        <v>5</v>
      </c>
      <c r="T165" s="419">
        <f t="shared" si="7"/>
        <v>0.83333333333333337</v>
      </c>
      <c r="U165" s="419">
        <f t="shared" si="8"/>
        <v>5.833333333333333</v>
      </c>
      <c r="V165" s="415" t="s">
        <v>662</v>
      </c>
      <c r="W165" s="415" t="s">
        <v>616</v>
      </c>
      <c r="X165" s="415" t="s">
        <v>666</v>
      </c>
      <c r="Y165" s="415"/>
    </row>
    <row r="166" spans="1:25" hidden="1" x14ac:dyDescent="0.25">
      <c r="A166" s="415">
        <v>165</v>
      </c>
      <c r="B166" s="415">
        <v>81</v>
      </c>
      <c r="C166" s="415">
        <v>40874</v>
      </c>
      <c r="D166" s="416" t="s">
        <v>815</v>
      </c>
      <c r="E166" s="416" t="s">
        <v>413</v>
      </c>
      <c r="F166" s="416" t="s">
        <v>433</v>
      </c>
      <c r="G166" s="416" t="s">
        <v>813</v>
      </c>
      <c r="H166" s="416" t="s">
        <v>816</v>
      </c>
      <c r="I166" s="416" t="s">
        <v>816</v>
      </c>
      <c r="J166" s="415" t="s">
        <v>661</v>
      </c>
      <c r="K166" s="417">
        <v>-9.3916710000000005</v>
      </c>
      <c r="L166" s="417">
        <v>-77.906332000000006</v>
      </c>
      <c r="M166" s="418">
        <v>30</v>
      </c>
      <c r="N166" s="418" t="s">
        <v>2310</v>
      </c>
      <c r="O166" s="418" t="s">
        <v>2411</v>
      </c>
      <c r="P166" s="415">
        <v>2</v>
      </c>
      <c r="Q166" s="415">
        <v>30</v>
      </c>
      <c r="R166" s="415">
        <v>5</v>
      </c>
      <c r="S166" s="415">
        <f t="shared" si="6"/>
        <v>5</v>
      </c>
      <c r="T166" s="419">
        <f t="shared" si="7"/>
        <v>0.83333333333333337</v>
      </c>
      <c r="U166" s="419">
        <f t="shared" si="8"/>
        <v>5.833333333333333</v>
      </c>
      <c r="V166" s="415" t="s">
        <v>662</v>
      </c>
      <c r="W166" s="415" t="s">
        <v>616</v>
      </c>
      <c r="X166" s="415" t="s">
        <v>666</v>
      </c>
      <c r="Y166" s="415"/>
    </row>
    <row r="167" spans="1:25" hidden="1" x14ac:dyDescent="0.25">
      <c r="A167" s="415">
        <v>166</v>
      </c>
      <c r="B167" s="415">
        <v>82</v>
      </c>
      <c r="C167" s="415">
        <v>40845</v>
      </c>
      <c r="D167" s="416" t="s">
        <v>812</v>
      </c>
      <c r="E167" s="416" t="s">
        <v>413</v>
      </c>
      <c r="F167" s="416" t="s">
        <v>433</v>
      </c>
      <c r="G167" s="416" t="s">
        <v>813</v>
      </c>
      <c r="H167" s="416" t="s">
        <v>814</v>
      </c>
      <c r="I167" s="416" t="s">
        <v>814</v>
      </c>
      <c r="J167" s="415" t="s">
        <v>661</v>
      </c>
      <c r="K167" s="417">
        <v>-9.2283720000000002</v>
      </c>
      <c r="L167" s="417">
        <v>-77.752010999999996</v>
      </c>
      <c r="M167" s="418">
        <v>30</v>
      </c>
      <c r="N167" s="418" t="s">
        <v>2310</v>
      </c>
      <c r="O167" s="418" t="s">
        <v>2411</v>
      </c>
      <c r="P167" s="415">
        <v>2</v>
      </c>
      <c r="Q167" s="415">
        <v>30</v>
      </c>
      <c r="R167" s="415">
        <v>5</v>
      </c>
      <c r="S167" s="415">
        <f t="shared" si="6"/>
        <v>5</v>
      </c>
      <c r="T167" s="419">
        <f t="shared" si="7"/>
        <v>0.83333333333333337</v>
      </c>
      <c r="U167" s="419">
        <f t="shared" si="8"/>
        <v>5.833333333333333</v>
      </c>
      <c r="V167" s="415" t="s">
        <v>662</v>
      </c>
      <c r="W167" s="415" t="s">
        <v>616</v>
      </c>
      <c r="X167" s="415" t="s">
        <v>666</v>
      </c>
      <c r="Y167" s="415"/>
    </row>
    <row r="168" spans="1:25" hidden="1" x14ac:dyDescent="0.25">
      <c r="A168" s="415">
        <v>167</v>
      </c>
      <c r="B168" s="415">
        <v>83</v>
      </c>
      <c r="C168" s="415">
        <v>40992</v>
      </c>
      <c r="D168" s="416" t="s">
        <v>2533</v>
      </c>
      <c r="E168" s="416" t="s">
        <v>413</v>
      </c>
      <c r="F168" s="416" t="s">
        <v>433</v>
      </c>
      <c r="G168" s="416" t="s">
        <v>2534</v>
      </c>
      <c r="H168" s="416" t="s">
        <v>2535</v>
      </c>
      <c r="I168" s="416" t="s">
        <v>2536</v>
      </c>
      <c r="J168" s="415" t="s">
        <v>661</v>
      </c>
      <c r="K168" s="417">
        <v>-9.1891879999999997</v>
      </c>
      <c r="L168" s="417">
        <v>-77.649152000000001</v>
      </c>
      <c r="M168" s="418">
        <v>30</v>
      </c>
      <c r="N168" s="418" t="s">
        <v>2310</v>
      </c>
      <c r="O168" s="418" t="s">
        <v>2411</v>
      </c>
      <c r="P168" s="415">
        <v>2</v>
      </c>
      <c r="Q168" s="415">
        <v>30</v>
      </c>
      <c r="R168" s="415">
        <v>5</v>
      </c>
      <c r="S168" s="415">
        <f t="shared" si="6"/>
        <v>5</v>
      </c>
      <c r="T168" s="419">
        <f t="shared" si="7"/>
        <v>0.83333333333333337</v>
      </c>
      <c r="U168" s="419">
        <f t="shared" si="8"/>
        <v>5.833333333333333</v>
      </c>
      <c r="V168" s="415" t="s">
        <v>662</v>
      </c>
      <c r="W168" s="415" t="s">
        <v>616</v>
      </c>
      <c r="X168" s="415" t="s">
        <v>666</v>
      </c>
      <c r="Y168" s="415"/>
    </row>
    <row r="169" spans="1:25" hidden="1" x14ac:dyDescent="0.25">
      <c r="A169" s="415">
        <v>168</v>
      </c>
      <c r="B169" s="415">
        <v>84</v>
      </c>
      <c r="C169" s="415">
        <v>41618</v>
      </c>
      <c r="D169" s="416" t="s">
        <v>2537</v>
      </c>
      <c r="E169" s="416" t="s">
        <v>413</v>
      </c>
      <c r="F169" s="416" t="s">
        <v>433</v>
      </c>
      <c r="G169" s="416" t="s">
        <v>818</v>
      </c>
      <c r="H169" s="416" t="s">
        <v>2538</v>
      </c>
      <c r="I169" s="416" t="s">
        <v>2538</v>
      </c>
      <c r="J169" s="415" t="s">
        <v>661</v>
      </c>
      <c r="K169" s="417">
        <v>-9.3551500000000001</v>
      </c>
      <c r="L169" s="417">
        <v>-77.948899999999995</v>
      </c>
      <c r="M169" s="418">
        <v>30</v>
      </c>
      <c r="N169" s="418" t="s">
        <v>2310</v>
      </c>
      <c r="O169" s="418" t="s">
        <v>2411</v>
      </c>
      <c r="P169" s="415">
        <v>2</v>
      </c>
      <c r="Q169" s="415">
        <v>30</v>
      </c>
      <c r="R169" s="415">
        <v>5</v>
      </c>
      <c r="S169" s="415">
        <f t="shared" si="6"/>
        <v>5</v>
      </c>
      <c r="T169" s="419">
        <f t="shared" si="7"/>
        <v>0.83333333333333337</v>
      </c>
      <c r="U169" s="419">
        <f t="shared" si="8"/>
        <v>5.833333333333333</v>
      </c>
      <c r="V169" s="415" t="s">
        <v>662</v>
      </c>
      <c r="W169" s="415" t="s">
        <v>616</v>
      </c>
      <c r="X169" s="415" t="s">
        <v>666</v>
      </c>
      <c r="Y169" s="415"/>
    </row>
    <row r="170" spans="1:25" hidden="1" x14ac:dyDescent="0.25">
      <c r="A170" s="415">
        <v>169</v>
      </c>
      <c r="B170" s="415">
        <v>85</v>
      </c>
      <c r="C170" s="415">
        <v>41393</v>
      </c>
      <c r="D170" s="416" t="s">
        <v>820</v>
      </c>
      <c r="E170" s="416" t="s">
        <v>413</v>
      </c>
      <c r="F170" s="416" t="s">
        <v>433</v>
      </c>
      <c r="G170" s="416" t="s">
        <v>818</v>
      </c>
      <c r="H170" s="416" t="s">
        <v>821</v>
      </c>
      <c r="I170" s="416" t="s">
        <v>821</v>
      </c>
      <c r="J170" s="415" t="s">
        <v>661</v>
      </c>
      <c r="K170" s="417">
        <v>-9.2994959999999995</v>
      </c>
      <c r="L170" s="417">
        <v>-77.915186000000006</v>
      </c>
      <c r="M170" s="418">
        <v>30</v>
      </c>
      <c r="N170" s="418" t="s">
        <v>2310</v>
      </c>
      <c r="O170" s="418" t="s">
        <v>2411</v>
      </c>
      <c r="P170" s="415">
        <v>2</v>
      </c>
      <c r="Q170" s="415">
        <v>30</v>
      </c>
      <c r="R170" s="415">
        <v>5</v>
      </c>
      <c r="S170" s="415">
        <f t="shared" si="6"/>
        <v>5</v>
      </c>
      <c r="T170" s="419">
        <f t="shared" si="7"/>
        <v>0.83333333333333337</v>
      </c>
      <c r="U170" s="419">
        <f t="shared" si="8"/>
        <v>5.833333333333333</v>
      </c>
      <c r="V170" s="415" t="s">
        <v>662</v>
      </c>
      <c r="W170" s="415" t="s">
        <v>616</v>
      </c>
      <c r="X170" s="415" t="s">
        <v>666</v>
      </c>
      <c r="Y170" s="415"/>
    </row>
    <row r="171" spans="1:25" hidden="1" x14ac:dyDescent="0.25">
      <c r="A171" s="415">
        <v>170</v>
      </c>
      <c r="B171" s="415">
        <v>86</v>
      </c>
      <c r="C171" s="415">
        <v>41312</v>
      </c>
      <c r="D171" s="416" t="s">
        <v>817</v>
      </c>
      <c r="E171" s="416" t="s">
        <v>413</v>
      </c>
      <c r="F171" s="416" t="s">
        <v>433</v>
      </c>
      <c r="G171" s="416" t="s">
        <v>818</v>
      </c>
      <c r="H171" s="416" t="s">
        <v>819</v>
      </c>
      <c r="I171" s="416" t="s">
        <v>819</v>
      </c>
      <c r="J171" s="415" t="s">
        <v>661</v>
      </c>
      <c r="K171" s="417">
        <v>-9.3085070000000005</v>
      </c>
      <c r="L171" s="417">
        <v>-77.967270999999997</v>
      </c>
      <c r="M171" s="418">
        <v>30</v>
      </c>
      <c r="N171" s="418" t="s">
        <v>2310</v>
      </c>
      <c r="O171" s="418" t="s">
        <v>2411</v>
      </c>
      <c r="P171" s="415">
        <v>2</v>
      </c>
      <c r="Q171" s="415">
        <v>30</v>
      </c>
      <c r="R171" s="415">
        <v>5</v>
      </c>
      <c r="S171" s="415">
        <f t="shared" si="6"/>
        <v>5</v>
      </c>
      <c r="T171" s="419">
        <f t="shared" si="7"/>
        <v>0.83333333333333337</v>
      </c>
      <c r="U171" s="419">
        <f t="shared" si="8"/>
        <v>5.833333333333333</v>
      </c>
      <c r="V171" s="415" t="s">
        <v>662</v>
      </c>
      <c r="W171" s="415" t="s">
        <v>616</v>
      </c>
      <c r="X171" s="415" t="s">
        <v>666</v>
      </c>
      <c r="Y171" s="415"/>
    </row>
    <row r="172" spans="1:25" hidden="1" x14ac:dyDescent="0.25">
      <c r="A172" s="415">
        <v>171</v>
      </c>
      <c r="B172" s="415">
        <v>87</v>
      </c>
      <c r="C172" s="415">
        <v>686232</v>
      </c>
      <c r="D172" s="416" t="s">
        <v>2539</v>
      </c>
      <c r="E172" s="416" t="s">
        <v>413</v>
      </c>
      <c r="F172" s="416" t="s">
        <v>433</v>
      </c>
      <c r="G172" s="416" t="s">
        <v>2540</v>
      </c>
      <c r="H172" s="416" t="s">
        <v>2540</v>
      </c>
      <c r="I172" s="416" t="s">
        <v>2541</v>
      </c>
      <c r="J172" s="415" t="s">
        <v>661</v>
      </c>
      <c r="K172" s="417">
        <v>-9.1726910000000004</v>
      </c>
      <c r="L172" s="417">
        <v>-77.723325000000003</v>
      </c>
      <c r="M172" s="418">
        <v>30</v>
      </c>
      <c r="N172" s="418" t="s">
        <v>2310</v>
      </c>
      <c r="O172" s="418" t="s">
        <v>2411</v>
      </c>
      <c r="P172" s="415">
        <v>2</v>
      </c>
      <c r="Q172" s="415">
        <v>30</v>
      </c>
      <c r="R172" s="415">
        <v>5</v>
      </c>
      <c r="S172" s="415">
        <f t="shared" si="6"/>
        <v>5</v>
      </c>
      <c r="T172" s="419">
        <f t="shared" si="7"/>
        <v>0.83333333333333337</v>
      </c>
      <c r="U172" s="419">
        <f t="shared" si="8"/>
        <v>5.833333333333333</v>
      </c>
      <c r="V172" s="415" t="s">
        <v>662</v>
      </c>
      <c r="W172" s="415" t="s">
        <v>616</v>
      </c>
      <c r="X172" s="415" t="s">
        <v>666</v>
      </c>
      <c r="Y172" s="415"/>
    </row>
    <row r="173" spans="1:25" hidden="1" x14ac:dyDescent="0.25">
      <c r="A173" s="415">
        <v>172</v>
      </c>
      <c r="B173" s="415">
        <v>88</v>
      </c>
      <c r="C173" s="415">
        <v>41755</v>
      </c>
      <c r="D173" s="416" t="s">
        <v>823</v>
      </c>
      <c r="E173" s="416" t="s">
        <v>413</v>
      </c>
      <c r="F173" s="416" t="s">
        <v>433</v>
      </c>
      <c r="G173" s="416" t="s">
        <v>822</v>
      </c>
      <c r="H173" s="416" t="s">
        <v>824</v>
      </c>
      <c r="I173" s="416" t="s">
        <v>824</v>
      </c>
      <c r="J173" s="415" t="s">
        <v>661</v>
      </c>
      <c r="K173" s="417">
        <v>-9.2602740000000008</v>
      </c>
      <c r="L173" s="417">
        <v>-77.741318000000007</v>
      </c>
      <c r="M173" s="418">
        <v>30</v>
      </c>
      <c r="N173" s="418" t="s">
        <v>2310</v>
      </c>
      <c r="O173" s="418" t="s">
        <v>2411</v>
      </c>
      <c r="P173" s="415">
        <v>2</v>
      </c>
      <c r="Q173" s="415">
        <v>30</v>
      </c>
      <c r="R173" s="415">
        <v>5</v>
      </c>
      <c r="S173" s="415">
        <f t="shared" si="6"/>
        <v>5</v>
      </c>
      <c r="T173" s="419">
        <f t="shared" si="7"/>
        <v>0.83333333333333337</v>
      </c>
      <c r="U173" s="419">
        <f t="shared" si="8"/>
        <v>5.833333333333333</v>
      </c>
      <c r="V173" s="415" t="s">
        <v>662</v>
      </c>
      <c r="W173" s="415" t="s">
        <v>616</v>
      </c>
      <c r="X173" s="415" t="s">
        <v>666</v>
      </c>
      <c r="Y173" s="415"/>
    </row>
    <row r="174" spans="1:25" hidden="1" x14ac:dyDescent="0.25">
      <c r="A174" s="415">
        <v>173</v>
      </c>
      <c r="B174" s="415">
        <v>89</v>
      </c>
      <c r="C174" s="415">
        <v>786689</v>
      </c>
      <c r="D174" s="416" t="s">
        <v>2542</v>
      </c>
      <c r="E174" s="416" t="s">
        <v>413</v>
      </c>
      <c r="F174" s="416" t="s">
        <v>433</v>
      </c>
      <c r="G174" s="416" t="s">
        <v>951</v>
      </c>
      <c r="H174" s="416" t="s">
        <v>2543</v>
      </c>
      <c r="I174" s="416" t="s">
        <v>2544</v>
      </c>
      <c r="J174" s="415" t="s">
        <v>661</v>
      </c>
      <c r="K174" s="417">
        <v>-8.9983599999999999</v>
      </c>
      <c r="L174" s="417">
        <v>-77.430729999999997</v>
      </c>
      <c r="M174" s="418">
        <v>30</v>
      </c>
      <c r="N174" s="418" t="s">
        <v>2310</v>
      </c>
      <c r="O174" s="418" t="s">
        <v>2411</v>
      </c>
      <c r="P174" s="415">
        <v>2</v>
      </c>
      <c r="Q174" s="415">
        <v>30</v>
      </c>
      <c r="R174" s="415">
        <v>5</v>
      </c>
      <c r="S174" s="415">
        <f t="shared" si="6"/>
        <v>5</v>
      </c>
      <c r="T174" s="419">
        <f t="shared" si="7"/>
        <v>0.83333333333333337</v>
      </c>
      <c r="U174" s="419">
        <f t="shared" si="8"/>
        <v>5.833333333333333</v>
      </c>
      <c r="V174" s="415" t="s">
        <v>662</v>
      </c>
      <c r="W174" s="415" t="s">
        <v>616</v>
      </c>
      <c r="X174" s="415" t="s">
        <v>666</v>
      </c>
      <c r="Y174" s="415"/>
    </row>
    <row r="175" spans="1:25" hidden="1" x14ac:dyDescent="0.25">
      <c r="A175" s="415">
        <v>174</v>
      </c>
      <c r="B175" s="415">
        <v>90</v>
      </c>
      <c r="C175" s="415">
        <v>40567</v>
      </c>
      <c r="D175" s="416" t="s">
        <v>2545</v>
      </c>
      <c r="E175" s="416" t="s">
        <v>413</v>
      </c>
      <c r="F175" s="416" t="s">
        <v>433</v>
      </c>
      <c r="G175" s="416" t="s">
        <v>433</v>
      </c>
      <c r="H175" s="416" t="s">
        <v>2546</v>
      </c>
      <c r="I175" s="416" t="s">
        <v>2546</v>
      </c>
      <c r="J175" s="415" t="s">
        <v>661</v>
      </c>
      <c r="K175" s="417">
        <v>-9.1115899999999996</v>
      </c>
      <c r="L175" s="417">
        <v>-77.718727000000001</v>
      </c>
      <c r="M175" s="418">
        <v>30</v>
      </c>
      <c r="N175" s="418" t="s">
        <v>2310</v>
      </c>
      <c r="O175" s="418" t="s">
        <v>2411</v>
      </c>
      <c r="P175" s="415">
        <v>2</v>
      </c>
      <c r="Q175" s="415">
        <v>30</v>
      </c>
      <c r="R175" s="415">
        <v>5</v>
      </c>
      <c r="S175" s="415">
        <f t="shared" si="6"/>
        <v>5</v>
      </c>
      <c r="T175" s="419">
        <f t="shared" si="7"/>
        <v>0.83333333333333337</v>
      </c>
      <c r="U175" s="419">
        <f t="shared" si="8"/>
        <v>5.833333333333333</v>
      </c>
      <c r="V175" s="415" t="s">
        <v>662</v>
      </c>
      <c r="W175" s="415" t="s">
        <v>616</v>
      </c>
      <c r="X175" s="415" t="s">
        <v>666</v>
      </c>
      <c r="Y175" s="415"/>
    </row>
    <row r="176" spans="1:25" hidden="1" x14ac:dyDescent="0.25">
      <c r="A176" s="415">
        <v>175</v>
      </c>
      <c r="B176" s="415">
        <v>91</v>
      </c>
      <c r="C176" s="415">
        <v>40553</v>
      </c>
      <c r="D176" s="416" t="s">
        <v>2547</v>
      </c>
      <c r="E176" s="416" t="s">
        <v>413</v>
      </c>
      <c r="F176" s="416" t="s">
        <v>433</v>
      </c>
      <c r="G176" s="416" t="s">
        <v>433</v>
      </c>
      <c r="H176" s="416" t="s">
        <v>2548</v>
      </c>
      <c r="I176" s="416" t="s">
        <v>2549</v>
      </c>
      <c r="J176" s="415" t="s">
        <v>661</v>
      </c>
      <c r="K176" s="417">
        <v>-9.1108250000000002</v>
      </c>
      <c r="L176" s="417">
        <v>-77.736339999999998</v>
      </c>
      <c r="M176" s="418">
        <v>30</v>
      </c>
      <c r="N176" s="418" t="s">
        <v>2310</v>
      </c>
      <c r="O176" s="418" t="s">
        <v>2411</v>
      </c>
      <c r="P176" s="415">
        <v>2</v>
      </c>
      <c r="Q176" s="415">
        <v>30</v>
      </c>
      <c r="R176" s="415">
        <v>5</v>
      </c>
      <c r="S176" s="415">
        <f t="shared" si="6"/>
        <v>5</v>
      </c>
      <c r="T176" s="419">
        <f t="shared" si="7"/>
        <v>0.83333333333333337</v>
      </c>
      <c r="U176" s="419">
        <f t="shared" si="8"/>
        <v>5.833333333333333</v>
      </c>
      <c r="V176" s="415" t="s">
        <v>662</v>
      </c>
      <c r="W176" s="415" t="s">
        <v>616</v>
      </c>
      <c r="X176" s="415" t="s">
        <v>666</v>
      </c>
      <c r="Y176" s="415"/>
    </row>
    <row r="177" spans="1:25" hidden="1" x14ac:dyDescent="0.25">
      <c r="A177" s="415">
        <v>176</v>
      </c>
      <c r="B177" s="415">
        <v>92</v>
      </c>
      <c r="C177" s="415">
        <v>40548</v>
      </c>
      <c r="D177" s="416" t="s">
        <v>2550</v>
      </c>
      <c r="E177" s="416" t="s">
        <v>413</v>
      </c>
      <c r="F177" s="416" t="s">
        <v>433</v>
      </c>
      <c r="G177" s="416" t="s">
        <v>433</v>
      </c>
      <c r="H177" s="416" t="s">
        <v>2551</v>
      </c>
      <c r="I177" s="416" t="s">
        <v>2551</v>
      </c>
      <c r="J177" s="415" t="s">
        <v>661</v>
      </c>
      <c r="K177" s="417">
        <v>-9.131551</v>
      </c>
      <c r="L177" s="417">
        <v>-77.718376000000006</v>
      </c>
      <c r="M177" s="418">
        <v>30</v>
      </c>
      <c r="N177" s="418" t="s">
        <v>2310</v>
      </c>
      <c r="O177" s="418" t="s">
        <v>2411</v>
      </c>
      <c r="P177" s="415">
        <v>2</v>
      </c>
      <c r="Q177" s="415">
        <v>30</v>
      </c>
      <c r="R177" s="415">
        <v>5</v>
      </c>
      <c r="S177" s="415">
        <f t="shared" si="6"/>
        <v>5</v>
      </c>
      <c r="T177" s="419">
        <f t="shared" si="7"/>
        <v>0.83333333333333337</v>
      </c>
      <c r="U177" s="419">
        <f t="shared" si="8"/>
        <v>5.833333333333333</v>
      </c>
      <c r="V177" s="415" t="s">
        <v>662</v>
      </c>
      <c r="W177" s="415" t="s">
        <v>616</v>
      </c>
      <c r="X177" s="415" t="s">
        <v>666</v>
      </c>
      <c r="Y177" s="415"/>
    </row>
    <row r="178" spans="1:25" hidden="1" x14ac:dyDescent="0.25">
      <c r="A178" s="415">
        <v>177</v>
      </c>
      <c r="B178" s="415">
        <v>93</v>
      </c>
      <c r="C178" s="415">
        <v>40505</v>
      </c>
      <c r="D178" s="416" t="s">
        <v>808</v>
      </c>
      <c r="E178" s="416" t="s">
        <v>413</v>
      </c>
      <c r="F178" s="416" t="s">
        <v>433</v>
      </c>
      <c r="G178" s="416" t="s">
        <v>433</v>
      </c>
      <c r="H178" s="416" t="s">
        <v>809</v>
      </c>
      <c r="I178" s="416" t="s">
        <v>809</v>
      </c>
      <c r="J178" s="415" t="s">
        <v>661</v>
      </c>
      <c r="K178" s="417">
        <v>-9.0995840000000001</v>
      </c>
      <c r="L178" s="417">
        <v>-77.731164000000007</v>
      </c>
      <c r="M178" s="418">
        <v>30</v>
      </c>
      <c r="N178" s="418" t="s">
        <v>2310</v>
      </c>
      <c r="O178" s="418" t="s">
        <v>2411</v>
      </c>
      <c r="P178" s="415">
        <v>2</v>
      </c>
      <c r="Q178" s="415">
        <v>30</v>
      </c>
      <c r="R178" s="415">
        <v>5</v>
      </c>
      <c r="S178" s="415">
        <f t="shared" si="6"/>
        <v>5</v>
      </c>
      <c r="T178" s="419">
        <f t="shared" si="7"/>
        <v>0.83333333333333337</v>
      </c>
      <c r="U178" s="419">
        <f t="shared" si="8"/>
        <v>5.833333333333333</v>
      </c>
      <c r="V178" s="415" t="s">
        <v>662</v>
      </c>
      <c r="W178" s="415" t="s">
        <v>616</v>
      </c>
      <c r="X178" s="415" t="s">
        <v>666</v>
      </c>
      <c r="Y178" s="415"/>
    </row>
    <row r="179" spans="1:25" hidden="1" x14ac:dyDescent="0.25">
      <c r="A179" s="415">
        <v>178</v>
      </c>
      <c r="B179" s="415">
        <v>94</v>
      </c>
      <c r="C179" s="415">
        <v>40497</v>
      </c>
      <c r="D179" s="416" t="s">
        <v>2552</v>
      </c>
      <c r="E179" s="416" t="s">
        <v>413</v>
      </c>
      <c r="F179" s="416" t="s">
        <v>433</v>
      </c>
      <c r="G179" s="416" t="s">
        <v>433</v>
      </c>
      <c r="H179" s="416" t="s">
        <v>2553</v>
      </c>
      <c r="I179" s="416" t="s">
        <v>2250</v>
      </c>
      <c r="J179" s="415" t="s">
        <v>661</v>
      </c>
      <c r="K179" s="417">
        <v>-9.128368</v>
      </c>
      <c r="L179" s="417">
        <v>-77.747433999999998</v>
      </c>
      <c r="M179" s="418">
        <v>30</v>
      </c>
      <c r="N179" s="418" t="s">
        <v>2310</v>
      </c>
      <c r="O179" s="418" t="s">
        <v>2411</v>
      </c>
      <c r="P179" s="415">
        <v>2</v>
      </c>
      <c r="Q179" s="415">
        <v>30</v>
      </c>
      <c r="R179" s="415">
        <v>5</v>
      </c>
      <c r="S179" s="415">
        <f t="shared" si="6"/>
        <v>5</v>
      </c>
      <c r="T179" s="419">
        <f t="shared" si="7"/>
        <v>0.83333333333333337</v>
      </c>
      <c r="U179" s="419">
        <f t="shared" si="8"/>
        <v>5.833333333333333</v>
      </c>
      <c r="V179" s="415" t="s">
        <v>662</v>
      </c>
      <c r="W179" s="415" t="s">
        <v>616</v>
      </c>
      <c r="X179" s="415" t="s">
        <v>666</v>
      </c>
      <c r="Y179" s="415"/>
    </row>
    <row r="180" spans="1:25" hidden="1" x14ac:dyDescent="0.25">
      <c r="A180" s="415">
        <v>179</v>
      </c>
      <c r="B180" s="415">
        <v>95</v>
      </c>
      <c r="C180" s="415">
        <v>40591</v>
      </c>
      <c r="D180" s="416" t="s">
        <v>810</v>
      </c>
      <c r="E180" s="416" t="s">
        <v>413</v>
      </c>
      <c r="F180" s="416" t="s">
        <v>433</v>
      </c>
      <c r="G180" s="416" t="s">
        <v>433</v>
      </c>
      <c r="H180" s="416" t="s">
        <v>811</v>
      </c>
      <c r="I180" s="416" t="s">
        <v>811</v>
      </c>
      <c r="J180" s="415" t="s">
        <v>661</v>
      </c>
      <c r="K180" s="417">
        <v>-9.1078050000000008</v>
      </c>
      <c r="L180" s="417">
        <v>-77.759626999999995</v>
      </c>
      <c r="M180" s="418">
        <v>30</v>
      </c>
      <c r="N180" s="418" t="s">
        <v>2310</v>
      </c>
      <c r="O180" s="418" t="s">
        <v>2411</v>
      </c>
      <c r="P180" s="415">
        <v>2</v>
      </c>
      <c r="Q180" s="415">
        <v>30</v>
      </c>
      <c r="R180" s="415">
        <v>5</v>
      </c>
      <c r="S180" s="415">
        <f t="shared" si="6"/>
        <v>5</v>
      </c>
      <c r="T180" s="419">
        <f t="shared" si="7"/>
        <v>0.83333333333333337</v>
      </c>
      <c r="U180" s="419">
        <f t="shared" si="8"/>
        <v>5.833333333333333</v>
      </c>
      <c r="V180" s="415" t="s">
        <v>662</v>
      </c>
      <c r="W180" s="415" t="s">
        <v>616</v>
      </c>
      <c r="X180" s="415" t="s">
        <v>666</v>
      </c>
      <c r="Y180" s="415"/>
    </row>
    <row r="181" spans="1:25" hidden="1" x14ac:dyDescent="0.25">
      <c r="A181" s="415">
        <v>180</v>
      </c>
      <c r="B181" s="415">
        <v>96</v>
      </c>
      <c r="C181" s="415">
        <v>175815</v>
      </c>
      <c r="D181" s="416" t="s">
        <v>2554</v>
      </c>
      <c r="E181" s="416" t="s">
        <v>489</v>
      </c>
      <c r="F181" s="416" t="s">
        <v>492</v>
      </c>
      <c r="G181" s="416" t="s">
        <v>492</v>
      </c>
      <c r="H181" s="416" t="s">
        <v>2555</v>
      </c>
      <c r="I181" s="416" t="s">
        <v>2556</v>
      </c>
      <c r="J181" s="415" t="s">
        <v>661</v>
      </c>
      <c r="K181" s="417">
        <v>-12.8146</v>
      </c>
      <c r="L181" s="417">
        <v>-74.575900000000004</v>
      </c>
      <c r="M181" s="418">
        <v>30</v>
      </c>
      <c r="N181" s="418" t="s">
        <v>2310</v>
      </c>
      <c r="O181" s="418" t="s">
        <v>2411</v>
      </c>
      <c r="P181" s="415">
        <v>2</v>
      </c>
      <c r="Q181" s="415">
        <v>30</v>
      </c>
      <c r="R181" s="415">
        <v>5</v>
      </c>
      <c r="S181" s="415">
        <f t="shared" si="6"/>
        <v>5</v>
      </c>
      <c r="T181" s="419">
        <f t="shared" si="7"/>
        <v>0.83333333333333337</v>
      </c>
      <c r="U181" s="419">
        <f t="shared" si="8"/>
        <v>5.833333333333333</v>
      </c>
      <c r="V181" s="415" t="s">
        <v>662</v>
      </c>
      <c r="W181" s="415" t="s">
        <v>612</v>
      </c>
      <c r="X181" s="415" t="s">
        <v>671</v>
      </c>
      <c r="Y181" s="415"/>
    </row>
    <row r="182" spans="1:25" hidden="1" x14ac:dyDescent="0.25">
      <c r="A182" s="415">
        <v>181</v>
      </c>
      <c r="B182" s="415">
        <v>97</v>
      </c>
      <c r="C182" s="415">
        <v>175877</v>
      </c>
      <c r="D182" s="416" t="s">
        <v>587</v>
      </c>
      <c r="E182" s="416" t="s">
        <v>489</v>
      </c>
      <c r="F182" s="416" t="s">
        <v>492</v>
      </c>
      <c r="G182" s="416" t="s">
        <v>492</v>
      </c>
      <c r="H182" s="416" t="s">
        <v>1280</v>
      </c>
      <c r="I182" s="416" t="s">
        <v>1281</v>
      </c>
      <c r="J182" s="415" t="s">
        <v>661</v>
      </c>
      <c r="K182" s="417">
        <v>-12.803100000000001</v>
      </c>
      <c r="L182" s="417">
        <v>-74.537000000000006</v>
      </c>
      <c r="M182" s="418">
        <v>30</v>
      </c>
      <c r="N182" s="418" t="s">
        <v>2310</v>
      </c>
      <c r="O182" s="418" t="s">
        <v>2411</v>
      </c>
      <c r="P182" s="415">
        <v>2</v>
      </c>
      <c r="Q182" s="415">
        <v>30</v>
      </c>
      <c r="R182" s="415">
        <v>5</v>
      </c>
      <c r="S182" s="415">
        <f t="shared" si="6"/>
        <v>5</v>
      </c>
      <c r="T182" s="419">
        <f t="shared" si="7"/>
        <v>0.83333333333333337</v>
      </c>
      <c r="U182" s="419">
        <f t="shared" si="8"/>
        <v>5.833333333333333</v>
      </c>
      <c r="V182" s="415" t="s">
        <v>662</v>
      </c>
      <c r="W182" s="415" t="s">
        <v>612</v>
      </c>
      <c r="X182" s="415" t="s">
        <v>671</v>
      </c>
      <c r="Y182" s="415"/>
    </row>
    <row r="183" spans="1:25" hidden="1" x14ac:dyDescent="0.25">
      <c r="A183" s="415">
        <v>182</v>
      </c>
      <c r="B183" s="415">
        <v>98</v>
      </c>
      <c r="C183" s="415">
        <v>176546</v>
      </c>
      <c r="D183" s="416" t="s">
        <v>1282</v>
      </c>
      <c r="E183" s="416" t="s">
        <v>489</v>
      </c>
      <c r="F183" s="416" t="s">
        <v>492</v>
      </c>
      <c r="G183" s="416" t="s">
        <v>1283</v>
      </c>
      <c r="H183" s="416" t="s">
        <v>1284</v>
      </c>
      <c r="I183" s="416" t="s">
        <v>915</v>
      </c>
      <c r="J183" s="415" t="s">
        <v>661</v>
      </c>
      <c r="K183" s="417">
        <v>-12.707599999999999</v>
      </c>
      <c r="L183" s="417">
        <v>-74.685599999999994</v>
      </c>
      <c r="M183" s="418">
        <v>30</v>
      </c>
      <c r="N183" s="418" t="s">
        <v>2310</v>
      </c>
      <c r="O183" s="418" t="s">
        <v>2411</v>
      </c>
      <c r="P183" s="415">
        <v>2</v>
      </c>
      <c r="Q183" s="415">
        <v>30</v>
      </c>
      <c r="R183" s="415">
        <v>5</v>
      </c>
      <c r="S183" s="415">
        <f t="shared" si="6"/>
        <v>5</v>
      </c>
      <c r="T183" s="419">
        <f t="shared" si="7"/>
        <v>0.83333333333333337</v>
      </c>
      <c r="U183" s="419">
        <f t="shared" si="8"/>
        <v>5.833333333333333</v>
      </c>
      <c r="V183" s="415" t="s">
        <v>662</v>
      </c>
      <c r="W183" s="415" t="s">
        <v>612</v>
      </c>
      <c r="X183" s="415" t="s">
        <v>671</v>
      </c>
      <c r="Y183" s="415"/>
    </row>
    <row r="184" spans="1:25" hidden="1" x14ac:dyDescent="0.25">
      <c r="A184" s="415">
        <v>183</v>
      </c>
      <c r="B184" s="415">
        <v>99</v>
      </c>
      <c r="C184" s="415">
        <v>176928</v>
      </c>
      <c r="D184" s="416" t="s">
        <v>1285</v>
      </c>
      <c r="E184" s="416" t="s">
        <v>489</v>
      </c>
      <c r="F184" s="416" t="s">
        <v>492</v>
      </c>
      <c r="G184" s="416" t="s">
        <v>1286</v>
      </c>
      <c r="H184" s="416" t="s">
        <v>1287</v>
      </c>
      <c r="I184" s="416" t="s">
        <v>915</v>
      </c>
      <c r="J184" s="415" t="s">
        <v>661</v>
      </c>
      <c r="K184" s="417">
        <v>-12.7691</v>
      </c>
      <c r="L184" s="417">
        <v>-74.603499999999997</v>
      </c>
      <c r="M184" s="418">
        <v>30</v>
      </c>
      <c r="N184" s="418" t="s">
        <v>2310</v>
      </c>
      <c r="O184" s="418" t="s">
        <v>2411</v>
      </c>
      <c r="P184" s="415">
        <v>2</v>
      </c>
      <c r="Q184" s="415">
        <v>30</v>
      </c>
      <c r="R184" s="415">
        <v>5</v>
      </c>
      <c r="S184" s="415">
        <f t="shared" si="6"/>
        <v>5</v>
      </c>
      <c r="T184" s="419">
        <f t="shared" si="7"/>
        <v>0.83333333333333337</v>
      </c>
      <c r="U184" s="419">
        <f t="shared" si="8"/>
        <v>5.833333333333333</v>
      </c>
      <c r="V184" s="415" t="s">
        <v>662</v>
      </c>
      <c r="W184" s="415" t="s">
        <v>612</v>
      </c>
      <c r="X184" s="415" t="s">
        <v>671</v>
      </c>
      <c r="Y184" s="415"/>
    </row>
    <row r="185" spans="1:25" hidden="1" x14ac:dyDescent="0.25">
      <c r="A185" s="415">
        <v>184</v>
      </c>
      <c r="B185" s="415">
        <v>100</v>
      </c>
      <c r="C185" s="415">
        <v>646528</v>
      </c>
      <c r="D185" s="416" t="s">
        <v>2557</v>
      </c>
      <c r="E185" s="416" t="s">
        <v>489</v>
      </c>
      <c r="F185" s="416" t="s">
        <v>493</v>
      </c>
      <c r="G185" s="416" t="s">
        <v>2558</v>
      </c>
      <c r="H185" s="416" t="s">
        <v>2559</v>
      </c>
      <c r="I185" s="416" t="s">
        <v>2559</v>
      </c>
      <c r="J185" s="415" t="s">
        <v>661</v>
      </c>
      <c r="K185" s="417">
        <v>-12.892200000000001</v>
      </c>
      <c r="L185" s="417">
        <v>-74.693799999999996</v>
      </c>
      <c r="M185" s="418">
        <v>30</v>
      </c>
      <c r="N185" s="418" t="s">
        <v>2310</v>
      </c>
      <c r="O185" s="418" t="s">
        <v>2411</v>
      </c>
      <c r="P185" s="415">
        <v>2</v>
      </c>
      <c r="Q185" s="415">
        <v>30</v>
      </c>
      <c r="R185" s="415">
        <v>5</v>
      </c>
      <c r="S185" s="415">
        <f t="shared" si="6"/>
        <v>5</v>
      </c>
      <c r="T185" s="419">
        <f t="shared" si="7"/>
        <v>0.83333333333333337</v>
      </c>
      <c r="U185" s="419">
        <f t="shared" si="8"/>
        <v>5.833333333333333</v>
      </c>
      <c r="V185" s="415" t="s">
        <v>662</v>
      </c>
      <c r="W185" s="415" t="s">
        <v>612</v>
      </c>
      <c r="X185" s="415" t="s">
        <v>671</v>
      </c>
      <c r="Y185" s="415"/>
    </row>
    <row r="186" spans="1:25" hidden="1" x14ac:dyDescent="0.25">
      <c r="A186" s="415">
        <v>185</v>
      </c>
      <c r="B186" s="415">
        <v>101</v>
      </c>
      <c r="C186" s="415">
        <v>178116</v>
      </c>
      <c r="D186" s="416" t="s">
        <v>1292</v>
      </c>
      <c r="E186" s="416" t="s">
        <v>489</v>
      </c>
      <c r="F186" s="416" t="s">
        <v>493</v>
      </c>
      <c r="G186" s="416" t="s">
        <v>1293</v>
      </c>
      <c r="H186" s="416" t="s">
        <v>1294</v>
      </c>
      <c r="I186" s="416" t="s">
        <v>860</v>
      </c>
      <c r="J186" s="415" t="s">
        <v>661</v>
      </c>
      <c r="K186" s="417">
        <v>-12.9541</v>
      </c>
      <c r="L186" s="417">
        <v>-74.747100000000003</v>
      </c>
      <c r="M186" s="418">
        <v>30</v>
      </c>
      <c r="N186" s="418" t="s">
        <v>2310</v>
      </c>
      <c r="O186" s="418" t="s">
        <v>2411</v>
      </c>
      <c r="P186" s="415">
        <v>2</v>
      </c>
      <c r="Q186" s="415">
        <v>30</v>
      </c>
      <c r="R186" s="415">
        <v>5</v>
      </c>
      <c r="S186" s="415">
        <f t="shared" si="6"/>
        <v>5</v>
      </c>
      <c r="T186" s="419">
        <f t="shared" si="7"/>
        <v>0.83333333333333337</v>
      </c>
      <c r="U186" s="419">
        <f t="shared" si="8"/>
        <v>5.833333333333333</v>
      </c>
      <c r="V186" s="415" t="s">
        <v>662</v>
      </c>
      <c r="W186" s="415" t="s">
        <v>612</v>
      </c>
      <c r="X186" s="415" t="s">
        <v>671</v>
      </c>
      <c r="Y186" s="415"/>
    </row>
    <row r="187" spans="1:25" hidden="1" x14ac:dyDescent="0.25">
      <c r="A187" s="415">
        <v>186</v>
      </c>
      <c r="B187" s="415">
        <v>102</v>
      </c>
      <c r="C187" s="415">
        <v>177249</v>
      </c>
      <c r="D187" s="416" t="s">
        <v>2560</v>
      </c>
      <c r="E187" s="416" t="s">
        <v>489</v>
      </c>
      <c r="F187" s="416" t="s">
        <v>493</v>
      </c>
      <c r="G187" s="416" t="s">
        <v>1288</v>
      </c>
      <c r="H187" s="416" t="s">
        <v>2561</v>
      </c>
      <c r="I187" s="416" t="s">
        <v>2561</v>
      </c>
      <c r="J187" s="415" t="s">
        <v>661</v>
      </c>
      <c r="K187" s="417">
        <v>-12.9704</v>
      </c>
      <c r="L187" s="417">
        <v>-74.735299999999995</v>
      </c>
      <c r="M187" s="418">
        <v>30</v>
      </c>
      <c r="N187" s="418" t="s">
        <v>2310</v>
      </c>
      <c r="O187" s="418" t="s">
        <v>2411</v>
      </c>
      <c r="P187" s="415">
        <v>2</v>
      </c>
      <c r="Q187" s="415">
        <v>30</v>
      </c>
      <c r="R187" s="415">
        <v>5</v>
      </c>
      <c r="S187" s="415">
        <f t="shared" si="6"/>
        <v>5</v>
      </c>
      <c r="T187" s="419">
        <f t="shared" si="7"/>
        <v>0.83333333333333337</v>
      </c>
      <c r="U187" s="419">
        <f t="shared" si="8"/>
        <v>5.833333333333333</v>
      </c>
      <c r="V187" s="415" t="s">
        <v>662</v>
      </c>
      <c r="W187" s="415" t="s">
        <v>612</v>
      </c>
      <c r="X187" s="415" t="s">
        <v>671</v>
      </c>
      <c r="Y187" s="415"/>
    </row>
    <row r="188" spans="1:25" hidden="1" x14ac:dyDescent="0.25">
      <c r="A188" s="415">
        <v>187</v>
      </c>
      <c r="B188" s="415">
        <v>103</v>
      </c>
      <c r="C188" s="415">
        <v>177678</v>
      </c>
      <c r="D188" s="416" t="s">
        <v>1014</v>
      </c>
      <c r="E188" s="416" t="s">
        <v>489</v>
      </c>
      <c r="F188" s="416" t="s">
        <v>493</v>
      </c>
      <c r="G188" s="416" t="s">
        <v>1288</v>
      </c>
      <c r="H188" s="416" t="s">
        <v>1289</v>
      </c>
      <c r="I188" s="416" t="s">
        <v>860</v>
      </c>
      <c r="J188" s="415" t="s">
        <v>661</v>
      </c>
      <c r="K188" s="417">
        <v>-13.072526</v>
      </c>
      <c r="L188" s="417">
        <v>-74.642296000000002</v>
      </c>
      <c r="M188" s="418">
        <v>30</v>
      </c>
      <c r="N188" s="418" t="s">
        <v>2310</v>
      </c>
      <c r="O188" s="418" t="s">
        <v>2411</v>
      </c>
      <c r="P188" s="415">
        <v>2</v>
      </c>
      <c r="Q188" s="415">
        <v>30</v>
      </c>
      <c r="R188" s="415">
        <v>5</v>
      </c>
      <c r="S188" s="415">
        <f t="shared" si="6"/>
        <v>5</v>
      </c>
      <c r="T188" s="419">
        <f t="shared" si="7"/>
        <v>0.83333333333333337</v>
      </c>
      <c r="U188" s="419">
        <f t="shared" si="8"/>
        <v>5.833333333333333</v>
      </c>
      <c r="V188" s="415" t="s">
        <v>662</v>
      </c>
      <c r="W188" s="415" t="s">
        <v>612</v>
      </c>
      <c r="X188" s="415" t="s">
        <v>671</v>
      </c>
      <c r="Y188" s="415"/>
    </row>
    <row r="189" spans="1:25" hidden="1" x14ac:dyDescent="0.25">
      <c r="A189" s="415">
        <v>188</v>
      </c>
      <c r="B189" s="415">
        <v>104</v>
      </c>
      <c r="C189" s="415">
        <v>177254</v>
      </c>
      <c r="D189" s="416" t="s">
        <v>2562</v>
      </c>
      <c r="E189" s="416" t="s">
        <v>489</v>
      </c>
      <c r="F189" s="416" t="s">
        <v>493</v>
      </c>
      <c r="G189" s="416" t="s">
        <v>1288</v>
      </c>
      <c r="H189" s="416" t="s">
        <v>2563</v>
      </c>
      <c r="I189" s="416" t="s">
        <v>2564</v>
      </c>
      <c r="J189" s="415" t="s">
        <v>661</v>
      </c>
      <c r="K189" s="417">
        <v>-13.0244</v>
      </c>
      <c r="L189" s="417">
        <v>-74.793700000000001</v>
      </c>
      <c r="M189" s="418">
        <v>30</v>
      </c>
      <c r="N189" s="418" t="s">
        <v>2310</v>
      </c>
      <c r="O189" s="418" t="s">
        <v>2411</v>
      </c>
      <c r="P189" s="415">
        <v>2</v>
      </c>
      <c r="Q189" s="415">
        <v>30</v>
      </c>
      <c r="R189" s="415">
        <v>5</v>
      </c>
      <c r="S189" s="415">
        <f t="shared" si="6"/>
        <v>5</v>
      </c>
      <c r="T189" s="419">
        <f t="shared" si="7"/>
        <v>0.83333333333333337</v>
      </c>
      <c r="U189" s="419">
        <f t="shared" si="8"/>
        <v>5.833333333333333</v>
      </c>
      <c r="V189" s="415" t="s">
        <v>662</v>
      </c>
      <c r="W189" s="415" t="s">
        <v>612</v>
      </c>
      <c r="X189" s="415" t="s">
        <v>671</v>
      </c>
      <c r="Y189" s="415"/>
    </row>
    <row r="190" spans="1:25" hidden="1" x14ac:dyDescent="0.25">
      <c r="A190" s="415">
        <v>189</v>
      </c>
      <c r="B190" s="415">
        <v>105</v>
      </c>
      <c r="C190" s="415">
        <v>177598</v>
      </c>
      <c r="D190" s="416" t="s">
        <v>2565</v>
      </c>
      <c r="E190" s="416" t="s">
        <v>489</v>
      </c>
      <c r="F190" s="416" t="s">
        <v>493</v>
      </c>
      <c r="G190" s="416" t="s">
        <v>1288</v>
      </c>
      <c r="H190" s="416" t="s">
        <v>2566</v>
      </c>
      <c r="I190" s="416" t="s">
        <v>2567</v>
      </c>
      <c r="J190" s="415" t="s">
        <v>661</v>
      </c>
      <c r="K190" s="417">
        <v>-13.0207</v>
      </c>
      <c r="L190" s="417">
        <v>-74.784800000000004</v>
      </c>
      <c r="M190" s="418">
        <v>30</v>
      </c>
      <c r="N190" s="418" t="s">
        <v>2310</v>
      </c>
      <c r="O190" s="418" t="s">
        <v>2411</v>
      </c>
      <c r="P190" s="415">
        <v>2</v>
      </c>
      <c r="Q190" s="415">
        <v>30</v>
      </c>
      <c r="R190" s="415">
        <v>5</v>
      </c>
      <c r="S190" s="415">
        <f t="shared" si="6"/>
        <v>5</v>
      </c>
      <c r="T190" s="419">
        <f t="shared" si="7"/>
        <v>0.83333333333333337</v>
      </c>
      <c r="U190" s="419">
        <f t="shared" si="8"/>
        <v>5.833333333333333</v>
      </c>
      <c r="V190" s="415" t="s">
        <v>662</v>
      </c>
      <c r="W190" s="415" t="s">
        <v>612</v>
      </c>
      <c r="X190" s="415" t="s">
        <v>671</v>
      </c>
      <c r="Y190" s="415"/>
    </row>
    <row r="191" spans="1:25" hidden="1" x14ac:dyDescent="0.25">
      <c r="A191" s="415">
        <v>190</v>
      </c>
      <c r="B191" s="415">
        <v>106</v>
      </c>
      <c r="C191" s="415">
        <v>177447</v>
      </c>
      <c r="D191" s="416" t="s">
        <v>1290</v>
      </c>
      <c r="E191" s="416" t="s">
        <v>489</v>
      </c>
      <c r="F191" s="416" t="s">
        <v>493</v>
      </c>
      <c r="G191" s="416" t="s">
        <v>1288</v>
      </c>
      <c r="H191" s="416" t="s">
        <v>1291</v>
      </c>
      <c r="I191" s="416" t="s">
        <v>860</v>
      </c>
      <c r="J191" s="415" t="s">
        <v>661</v>
      </c>
      <c r="K191" s="417">
        <v>-13.133599999999999</v>
      </c>
      <c r="L191" s="417">
        <v>-74.675200000000004</v>
      </c>
      <c r="M191" s="418">
        <v>30</v>
      </c>
      <c r="N191" s="418" t="s">
        <v>2310</v>
      </c>
      <c r="O191" s="418" t="s">
        <v>2411</v>
      </c>
      <c r="P191" s="415">
        <v>2</v>
      </c>
      <c r="Q191" s="415">
        <v>30</v>
      </c>
      <c r="R191" s="415">
        <v>5</v>
      </c>
      <c r="S191" s="415">
        <f t="shared" si="6"/>
        <v>5</v>
      </c>
      <c r="T191" s="419">
        <f t="shared" si="7"/>
        <v>0.83333333333333337</v>
      </c>
      <c r="U191" s="419">
        <f t="shared" si="8"/>
        <v>5.833333333333333</v>
      </c>
      <c r="V191" s="415" t="s">
        <v>662</v>
      </c>
      <c r="W191" s="415" t="s">
        <v>612</v>
      </c>
      <c r="X191" s="415" t="s">
        <v>671</v>
      </c>
      <c r="Y191" s="415"/>
    </row>
    <row r="192" spans="1:25" hidden="1" x14ac:dyDescent="0.25">
      <c r="A192" s="415">
        <v>191</v>
      </c>
      <c r="B192" s="415">
        <v>107</v>
      </c>
      <c r="C192" s="415">
        <v>179229</v>
      </c>
      <c r="D192" s="416" t="s">
        <v>2568</v>
      </c>
      <c r="E192" s="416" t="s">
        <v>489</v>
      </c>
      <c r="F192" s="416" t="s">
        <v>493</v>
      </c>
      <c r="G192" s="416" t="s">
        <v>1295</v>
      </c>
      <c r="H192" s="416" t="s">
        <v>2569</v>
      </c>
      <c r="I192" s="416" t="s">
        <v>2570</v>
      </c>
      <c r="J192" s="415" t="s">
        <v>661</v>
      </c>
      <c r="K192" s="417">
        <v>-13.082100000000001</v>
      </c>
      <c r="L192" s="417">
        <v>-74.606947000000005</v>
      </c>
      <c r="M192" s="418">
        <v>30</v>
      </c>
      <c r="N192" s="418" t="s">
        <v>2310</v>
      </c>
      <c r="O192" s="418" t="s">
        <v>2411</v>
      </c>
      <c r="P192" s="415">
        <v>2</v>
      </c>
      <c r="Q192" s="415">
        <v>30</v>
      </c>
      <c r="R192" s="415">
        <v>5</v>
      </c>
      <c r="S192" s="415">
        <f t="shared" si="6"/>
        <v>5</v>
      </c>
      <c r="T192" s="419">
        <f t="shared" si="7"/>
        <v>0.83333333333333337</v>
      </c>
      <c r="U192" s="419">
        <f t="shared" si="8"/>
        <v>5.833333333333333</v>
      </c>
      <c r="V192" s="415" t="s">
        <v>662</v>
      </c>
      <c r="W192" s="415" t="s">
        <v>612</v>
      </c>
      <c r="X192" s="415" t="s">
        <v>671</v>
      </c>
      <c r="Y192" s="415"/>
    </row>
    <row r="193" spans="1:25" hidden="1" x14ac:dyDescent="0.25">
      <c r="A193" s="415">
        <v>192</v>
      </c>
      <c r="B193" s="415">
        <v>108</v>
      </c>
      <c r="C193" s="415">
        <v>179168</v>
      </c>
      <c r="D193" s="416" t="s">
        <v>1296</v>
      </c>
      <c r="E193" s="416" t="s">
        <v>489</v>
      </c>
      <c r="F193" s="416" t="s">
        <v>493</v>
      </c>
      <c r="G193" s="416" t="s">
        <v>1295</v>
      </c>
      <c r="H193" s="416" t="s">
        <v>1297</v>
      </c>
      <c r="I193" s="416" t="s">
        <v>860</v>
      </c>
      <c r="J193" s="415" t="s">
        <v>661</v>
      </c>
      <c r="K193" s="417">
        <v>-13.113899999999999</v>
      </c>
      <c r="L193" s="417">
        <v>-74.593800000000002</v>
      </c>
      <c r="M193" s="418">
        <v>30</v>
      </c>
      <c r="N193" s="418" t="s">
        <v>2310</v>
      </c>
      <c r="O193" s="418" t="s">
        <v>2411</v>
      </c>
      <c r="P193" s="415">
        <v>2</v>
      </c>
      <c r="Q193" s="415">
        <v>30</v>
      </c>
      <c r="R193" s="415">
        <v>5</v>
      </c>
      <c r="S193" s="415">
        <f t="shared" si="6"/>
        <v>5</v>
      </c>
      <c r="T193" s="419">
        <f t="shared" si="7"/>
        <v>0.83333333333333337</v>
      </c>
      <c r="U193" s="419">
        <f t="shared" si="8"/>
        <v>5.833333333333333</v>
      </c>
      <c r="V193" s="415" t="s">
        <v>662</v>
      </c>
      <c r="W193" s="415" t="s">
        <v>612</v>
      </c>
      <c r="X193" s="415" t="s">
        <v>671</v>
      </c>
      <c r="Y193" s="415"/>
    </row>
    <row r="194" spans="1:25" hidden="1" x14ac:dyDescent="0.25">
      <c r="A194" s="415">
        <v>193</v>
      </c>
      <c r="B194" s="415">
        <v>109</v>
      </c>
      <c r="C194" s="415">
        <v>179173</v>
      </c>
      <c r="D194" s="416" t="s">
        <v>1298</v>
      </c>
      <c r="E194" s="416" t="s">
        <v>489</v>
      </c>
      <c r="F194" s="416" t="s">
        <v>493</v>
      </c>
      <c r="G194" s="416" t="s">
        <v>1295</v>
      </c>
      <c r="H194" s="416" t="s">
        <v>1299</v>
      </c>
      <c r="I194" s="416" t="s">
        <v>860</v>
      </c>
      <c r="J194" s="415" t="s">
        <v>661</v>
      </c>
      <c r="K194" s="417">
        <v>-13.135999999999999</v>
      </c>
      <c r="L194" s="417">
        <v>-74.523600000000002</v>
      </c>
      <c r="M194" s="418">
        <v>30</v>
      </c>
      <c r="N194" s="418" t="s">
        <v>2310</v>
      </c>
      <c r="O194" s="418" t="s">
        <v>2411</v>
      </c>
      <c r="P194" s="415">
        <v>2</v>
      </c>
      <c r="Q194" s="415">
        <v>30</v>
      </c>
      <c r="R194" s="415">
        <v>5</v>
      </c>
      <c r="S194" s="415">
        <f t="shared" si="6"/>
        <v>5</v>
      </c>
      <c r="T194" s="419">
        <f t="shared" si="7"/>
        <v>0.83333333333333337</v>
      </c>
      <c r="U194" s="419">
        <f t="shared" si="8"/>
        <v>5.833333333333333</v>
      </c>
      <c r="V194" s="415" t="s">
        <v>662</v>
      </c>
      <c r="W194" s="415" t="s">
        <v>612</v>
      </c>
      <c r="X194" s="415" t="s">
        <v>671</v>
      </c>
      <c r="Y194" s="415"/>
    </row>
    <row r="195" spans="1:25" hidden="1" x14ac:dyDescent="0.25">
      <c r="A195" s="415">
        <v>194</v>
      </c>
      <c r="B195" s="415">
        <v>110</v>
      </c>
      <c r="C195" s="415">
        <v>179955</v>
      </c>
      <c r="D195" s="416" t="s">
        <v>1007</v>
      </c>
      <c r="E195" s="416" t="s">
        <v>489</v>
      </c>
      <c r="F195" s="416" t="s">
        <v>1300</v>
      </c>
      <c r="G195" s="416" t="s">
        <v>1301</v>
      </c>
      <c r="H195" s="416" t="s">
        <v>1302</v>
      </c>
      <c r="I195" s="416" t="s">
        <v>954</v>
      </c>
      <c r="J195" s="415" t="s">
        <v>661</v>
      </c>
      <c r="K195" s="417">
        <v>-12.990399999999999</v>
      </c>
      <c r="L195" s="417">
        <v>-75.507599999999996</v>
      </c>
      <c r="M195" s="418">
        <v>30</v>
      </c>
      <c r="N195" s="418" t="s">
        <v>2310</v>
      </c>
      <c r="O195" s="418" t="s">
        <v>2411</v>
      </c>
      <c r="P195" s="415">
        <v>2</v>
      </c>
      <c r="Q195" s="415">
        <v>30</v>
      </c>
      <c r="R195" s="415">
        <v>5</v>
      </c>
      <c r="S195" s="415">
        <f t="shared" ref="S195:S258" si="9">Q195/$AB$1</f>
        <v>5</v>
      </c>
      <c r="T195" s="419">
        <f t="shared" ref="T195:T258" si="10">R195/$AB$1</f>
        <v>0.83333333333333337</v>
      </c>
      <c r="U195" s="419">
        <f t="shared" ref="U195:U258" si="11">S195+T195</f>
        <v>5.833333333333333</v>
      </c>
      <c r="V195" s="415" t="s">
        <v>662</v>
      </c>
      <c r="W195" s="415" t="s">
        <v>612</v>
      </c>
      <c r="X195" s="415" t="s">
        <v>671</v>
      </c>
      <c r="Y195" s="415"/>
    </row>
    <row r="196" spans="1:25" hidden="1" x14ac:dyDescent="0.25">
      <c r="A196" s="415">
        <v>195</v>
      </c>
      <c r="B196" s="415">
        <v>111</v>
      </c>
      <c r="C196" s="415">
        <v>181835</v>
      </c>
      <c r="D196" s="416" t="s">
        <v>1627</v>
      </c>
      <c r="E196" s="416" t="s">
        <v>489</v>
      </c>
      <c r="F196" s="416" t="s">
        <v>491</v>
      </c>
      <c r="G196" s="416" t="s">
        <v>943</v>
      </c>
      <c r="H196" s="416" t="s">
        <v>2571</v>
      </c>
      <c r="I196" s="416" t="s">
        <v>2572</v>
      </c>
      <c r="J196" s="415" t="s">
        <v>661</v>
      </c>
      <c r="K196" s="417">
        <v>-12.714499999999999</v>
      </c>
      <c r="L196" s="417">
        <v>-74.551000000000002</v>
      </c>
      <c r="M196" s="418">
        <v>30</v>
      </c>
      <c r="N196" s="418" t="s">
        <v>2310</v>
      </c>
      <c r="O196" s="418" t="s">
        <v>2411</v>
      </c>
      <c r="P196" s="415">
        <v>2</v>
      </c>
      <c r="Q196" s="415">
        <v>30</v>
      </c>
      <c r="R196" s="415">
        <v>5</v>
      </c>
      <c r="S196" s="415">
        <f t="shared" si="9"/>
        <v>5</v>
      </c>
      <c r="T196" s="419">
        <f t="shared" si="10"/>
        <v>0.83333333333333337</v>
      </c>
      <c r="U196" s="419">
        <f t="shared" si="11"/>
        <v>5.833333333333333</v>
      </c>
      <c r="V196" s="415" t="s">
        <v>662</v>
      </c>
      <c r="W196" s="415" t="s">
        <v>612</v>
      </c>
      <c r="X196" s="415" t="s">
        <v>671</v>
      </c>
      <c r="Y196" s="415"/>
    </row>
    <row r="197" spans="1:25" hidden="1" x14ac:dyDescent="0.25">
      <c r="A197" s="415">
        <v>196</v>
      </c>
      <c r="B197" s="415">
        <v>112</v>
      </c>
      <c r="C197" s="415">
        <v>555467</v>
      </c>
      <c r="D197" s="416" t="s">
        <v>1931</v>
      </c>
      <c r="E197" s="416" t="s">
        <v>489</v>
      </c>
      <c r="F197" s="416" t="s">
        <v>491</v>
      </c>
      <c r="G197" s="416" t="s">
        <v>491</v>
      </c>
      <c r="H197" s="416" t="s">
        <v>2218</v>
      </c>
      <c r="I197" s="416" t="s">
        <v>2219</v>
      </c>
      <c r="J197" s="415" t="s">
        <v>661</v>
      </c>
      <c r="K197" s="417">
        <v>-12.694341</v>
      </c>
      <c r="L197" s="417">
        <v>-74.429635000000005</v>
      </c>
      <c r="M197" s="418">
        <v>30</v>
      </c>
      <c r="N197" s="418" t="s">
        <v>2310</v>
      </c>
      <c r="O197" s="418" t="s">
        <v>2411</v>
      </c>
      <c r="P197" s="415">
        <v>2</v>
      </c>
      <c r="Q197" s="415">
        <v>30</v>
      </c>
      <c r="R197" s="415">
        <v>5</v>
      </c>
      <c r="S197" s="415">
        <f t="shared" si="9"/>
        <v>5</v>
      </c>
      <c r="T197" s="419">
        <f t="shared" si="10"/>
        <v>0.83333333333333337</v>
      </c>
      <c r="U197" s="419">
        <f t="shared" si="11"/>
        <v>5.833333333333333</v>
      </c>
      <c r="V197" s="415" t="s">
        <v>662</v>
      </c>
      <c r="W197" s="415" t="s">
        <v>612</v>
      </c>
      <c r="X197" s="415" t="s">
        <v>671</v>
      </c>
      <c r="Y197" s="415"/>
    </row>
    <row r="198" spans="1:25" hidden="1" x14ac:dyDescent="0.25">
      <c r="A198" s="415">
        <v>197</v>
      </c>
      <c r="B198" s="415">
        <v>113</v>
      </c>
      <c r="C198" s="415">
        <v>182081</v>
      </c>
      <c r="D198" s="416" t="s">
        <v>1303</v>
      </c>
      <c r="E198" s="416" t="s">
        <v>489</v>
      </c>
      <c r="F198" s="416" t="s">
        <v>491</v>
      </c>
      <c r="G198" s="416" t="s">
        <v>1304</v>
      </c>
      <c r="H198" s="416" t="s">
        <v>1305</v>
      </c>
      <c r="I198" s="416" t="s">
        <v>1306</v>
      </c>
      <c r="J198" s="415" t="s">
        <v>661</v>
      </c>
      <c r="K198" s="417">
        <v>-12.718181</v>
      </c>
      <c r="L198" s="417">
        <v>-74.508978999999997</v>
      </c>
      <c r="M198" s="418">
        <v>30</v>
      </c>
      <c r="N198" s="418" t="s">
        <v>2310</v>
      </c>
      <c r="O198" s="418" t="s">
        <v>2411</v>
      </c>
      <c r="P198" s="415">
        <v>2</v>
      </c>
      <c r="Q198" s="415">
        <v>30</v>
      </c>
      <c r="R198" s="415">
        <v>5</v>
      </c>
      <c r="S198" s="415">
        <f t="shared" si="9"/>
        <v>5</v>
      </c>
      <c r="T198" s="419">
        <f t="shared" si="10"/>
        <v>0.83333333333333337</v>
      </c>
      <c r="U198" s="419">
        <f t="shared" si="11"/>
        <v>5.833333333333333</v>
      </c>
      <c r="V198" s="415" t="s">
        <v>662</v>
      </c>
      <c r="W198" s="415" t="s">
        <v>612</v>
      </c>
      <c r="X198" s="415" t="s">
        <v>671</v>
      </c>
      <c r="Y198" s="415"/>
    </row>
    <row r="199" spans="1:25" hidden="1" x14ac:dyDescent="0.25">
      <c r="A199" s="415">
        <v>198</v>
      </c>
      <c r="B199" s="415">
        <v>114</v>
      </c>
      <c r="C199" s="415">
        <v>172138</v>
      </c>
      <c r="D199" s="416" t="s">
        <v>1269</v>
      </c>
      <c r="E199" s="416" t="s">
        <v>489</v>
      </c>
      <c r="F199" s="416" t="s">
        <v>489</v>
      </c>
      <c r="G199" s="416" t="s">
        <v>1270</v>
      </c>
      <c r="H199" s="416" t="s">
        <v>1271</v>
      </c>
      <c r="I199" s="416" t="s">
        <v>1272</v>
      </c>
      <c r="J199" s="415" t="s">
        <v>661</v>
      </c>
      <c r="K199" s="417">
        <v>-12.6716</v>
      </c>
      <c r="L199" s="417">
        <v>-75.208680000000001</v>
      </c>
      <c r="M199" s="418">
        <v>30</v>
      </c>
      <c r="N199" s="418" t="s">
        <v>2310</v>
      </c>
      <c r="O199" s="418" t="s">
        <v>2411</v>
      </c>
      <c r="P199" s="415">
        <v>2</v>
      </c>
      <c r="Q199" s="415">
        <v>30</v>
      </c>
      <c r="R199" s="415">
        <v>5</v>
      </c>
      <c r="S199" s="415">
        <f t="shared" si="9"/>
        <v>5</v>
      </c>
      <c r="T199" s="419">
        <f t="shared" si="10"/>
        <v>0.83333333333333337</v>
      </c>
      <c r="U199" s="419">
        <f t="shared" si="11"/>
        <v>5.833333333333333</v>
      </c>
      <c r="V199" s="415" t="s">
        <v>662</v>
      </c>
      <c r="W199" s="415" t="s">
        <v>612</v>
      </c>
      <c r="X199" s="415" t="s">
        <v>671</v>
      </c>
      <c r="Y199" s="415"/>
    </row>
    <row r="200" spans="1:25" hidden="1" x14ac:dyDescent="0.25">
      <c r="A200" s="415">
        <v>199</v>
      </c>
      <c r="B200" s="415">
        <v>115</v>
      </c>
      <c r="C200" s="415">
        <v>173557</v>
      </c>
      <c r="D200" s="416" t="s">
        <v>1274</v>
      </c>
      <c r="E200" s="416" t="s">
        <v>489</v>
      </c>
      <c r="F200" s="416" t="s">
        <v>489</v>
      </c>
      <c r="G200" s="416" t="s">
        <v>1275</v>
      </c>
      <c r="H200" s="416" t="s">
        <v>1276</v>
      </c>
      <c r="I200" s="416" t="s">
        <v>1273</v>
      </c>
      <c r="J200" s="415" t="s">
        <v>661</v>
      </c>
      <c r="K200" s="417">
        <v>-12.492289</v>
      </c>
      <c r="L200" s="417">
        <v>-75.051642000000001</v>
      </c>
      <c r="M200" s="418">
        <v>30</v>
      </c>
      <c r="N200" s="418" t="s">
        <v>2310</v>
      </c>
      <c r="O200" s="418" t="s">
        <v>2411</v>
      </c>
      <c r="P200" s="415">
        <v>2</v>
      </c>
      <c r="Q200" s="415">
        <v>30</v>
      </c>
      <c r="R200" s="415">
        <v>5</v>
      </c>
      <c r="S200" s="415">
        <f t="shared" si="9"/>
        <v>5</v>
      </c>
      <c r="T200" s="419">
        <f t="shared" si="10"/>
        <v>0.83333333333333337</v>
      </c>
      <c r="U200" s="419">
        <f t="shared" si="11"/>
        <v>5.833333333333333</v>
      </c>
      <c r="V200" s="415" t="s">
        <v>662</v>
      </c>
      <c r="W200" s="415" t="s">
        <v>612</v>
      </c>
      <c r="X200" s="415" t="s">
        <v>671</v>
      </c>
      <c r="Y200" s="415"/>
    </row>
    <row r="201" spans="1:25" hidden="1" x14ac:dyDescent="0.25">
      <c r="A201" s="415">
        <v>200</v>
      </c>
      <c r="B201" s="415">
        <v>116</v>
      </c>
      <c r="C201" s="415">
        <v>171624</v>
      </c>
      <c r="D201" s="416" t="s">
        <v>1265</v>
      </c>
      <c r="E201" s="416" t="s">
        <v>489</v>
      </c>
      <c r="F201" s="416" t="s">
        <v>489</v>
      </c>
      <c r="G201" s="416" t="s">
        <v>489</v>
      </c>
      <c r="H201" s="416" t="s">
        <v>1266</v>
      </c>
      <c r="I201" s="416" t="s">
        <v>1267</v>
      </c>
      <c r="J201" s="415" t="s">
        <v>661</v>
      </c>
      <c r="K201" s="417">
        <v>-12.782249999999999</v>
      </c>
      <c r="L201" s="417">
        <v>-75.033175</v>
      </c>
      <c r="M201" s="418">
        <v>30</v>
      </c>
      <c r="N201" s="418" t="s">
        <v>2310</v>
      </c>
      <c r="O201" s="418" t="s">
        <v>2411</v>
      </c>
      <c r="P201" s="415">
        <v>2</v>
      </c>
      <c r="Q201" s="415">
        <v>30</v>
      </c>
      <c r="R201" s="415">
        <v>5</v>
      </c>
      <c r="S201" s="415">
        <f t="shared" si="9"/>
        <v>5</v>
      </c>
      <c r="T201" s="419">
        <f t="shared" si="10"/>
        <v>0.83333333333333337</v>
      </c>
      <c r="U201" s="419">
        <f t="shared" si="11"/>
        <v>5.833333333333333</v>
      </c>
      <c r="V201" s="415" t="s">
        <v>662</v>
      </c>
      <c r="W201" s="415" t="s">
        <v>612</v>
      </c>
      <c r="X201" s="415" t="s">
        <v>671</v>
      </c>
      <c r="Y201" s="415"/>
    </row>
    <row r="202" spans="1:25" hidden="1" x14ac:dyDescent="0.25">
      <c r="A202" s="415">
        <v>201</v>
      </c>
      <c r="B202" s="415">
        <v>117</v>
      </c>
      <c r="C202" s="415">
        <v>171596</v>
      </c>
      <c r="D202" s="416" t="s">
        <v>1263</v>
      </c>
      <c r="E202" s="416" t="s">
        <v>489</v>
      </c>
      <c r="F202" s="416" t="s">
        <v>489</v>
      </c>
      <c r="G202" s="416" t="s">
        <v>489</v>
      </c>
      <c r="H202" s="416" t="s">
        <v>1264</v>
      </c>
      <c r="I202" s="416" t="s">
        <v>860</v>
      </c>
      <c r="J202" s="415" t="s">
        <v>661</v>
      </c>
      <c r="K202" s="417">
        <v>-12.8988</v>
      </c>
      <c r="L202" s="417">
        <v>-74.934209999999993</v>
      </c>
      <c r="M202" s="418">
        <v>30</v>
      </c>
      <c r="N202" s="418" t="s">
        <v>2310</v>
      </c>
      <c r="O202" s="418" t="s">
        <v>2411</v>
      </c>
      <c r="P202" s="415">
        <v>2</v>
      </c>
      <c r="Q202" s="415">
        <v>30</v>
      </c>
      <c r="R202" s="415">
        <v>5</v>
      </c>
      <c r="S202" s="415">
        <f t="shared" si="9"/>
        <v>5</v>
      </c>
      <c r="T202" s="419">
        <f t="shared" si="10"/>
        <v>0.83333333333333337</v>
      </c>
      <c r="U202" s="419">
        <f t="shared" si="11"/>
        <v>5.833333333333333</v>
      </c>
      <c r="V202" s="415" t="s">
        <v>662</v>
      </c>
      <c r="W202" s="415" t="s">
        <v>612</v>
      </c>
      <c r="X202" s="415" t="s">
        <v>671</v>
      </c>
      <c r="Y202" s="415"/>
    </row>
    <row r="203" spans="1:25" hidden="1" x14ac:dyDescent="0.25">
      <c r="A203" s="415">
        <v>202</v>
      </c>
      <c r="B203" s="415">
        <v>118</v>
      </c>
      <c r="C203" s="415">
        <v>174024</v>
      </c>
      <c r="D203" s="416" t="s">
        <v>2573</v>
      </c>
      <c r="E203" s="416" t="s">
        <v>489</v>
      </c>
      <c r="F203" s="416" t="s">
        <v>489</v>
      </c>
      <c r="G203" s="416" t="s">
        <v>1277</v>
      </c>
      <c r="H203" s="416" t="s">
        <v>2574</v>
      </c>
      <c r="I203" s="416" t="s">
        <v>2574</v>
      </c>
      <c r="J203" s="415" t="s">
        <v>661</v>
      </c>
      <c r="K203" s="417">
        <v>-12.563330000000001</v>
      </c>
      <c r="L203" s="417">
        <v>-75.048490000000001</v>
      </c>
      <c r="M203" s="418">
        <v>30</v>
      </c>
      <c r="N203" s="418" t="s">
        <v>2310</v>
      </c>
      <c r="O203" s="418" t="s">
        <v>2411</v>
      </c>
      <c r="P203" s="415">
        <v>2</v>
      </c>
      <c r="Q203" s="415">
        <v>30</v>
      </c>
      <c r="R203" s="415">
        <v>5</v>
      </c>
      <c r="S203" s="415">
        <f t="shared" si="9"/>
        <v>5</v>
      </c>
      <c r="T203" s="419">
        <f t="shared" si="10"/>
        <v>0.83333333333333337</v>
      </c>
      <c r="U203" s="419">
        <f t="shared" si="11"/>
        <v>5.833333333333333</v>
      </c>
      <c r="V203" s="415" t="s">
        <v>662</v>
      </c>
      <c r="W203" s="415" t="s">
        <v>612</v>
      </c>
      <c r="X203" s="415" t="s">
        <v>671</v>
      </c>
      <c r="Y203" s="415"/>
    </row>
    <row r="204" spans="1:25" hidden="1" x14ac:dyDescent="0.25">
      <c r="A204" s="415">
        <v>203</v>
      </c>
      <c r="B204" s="415">
        <v>119</v>
      </c>
      <c r="C204" s="415">
        <v>174458</v>
      </c>
      <c r="D204" s="416" t="s">
        <v>1278</v>
      </c>
      <c r="E204" s="416" t="s">
        <v>489</v>
      </c>
      <c r="F204" s="416" t="s">
        <v>489</v>
      </c>
      <c r="G204" s="416" t="s">
        <v>1279</v>
      </c>
      <c r="H204" s="416" t="s">
        <v>551</v>
      </c>
      <c r="I204" s="416" t="s">
        <v>915</v>
      </c>
      <c r="J204" s="415" t="s">
        <v>661</v>
      </c>
      <c r="K204" s="417">
        <v>-12.654377</v>
      </c>
      <c r="L204" s="417">
        <v>-75.094870999999998</v>
      </c>
      <c r="M204" s="418">
        <v>30</v>
      </c>
      <c r="N204" s="418" t="s">
        <v>2310</v>
      </c>
      <c r="O204" s="418" t="s">
        <v>2411</v>
      </c>
      <c r="P204" s="415">
        <v>2</v>
      </c>
      <c r="Q204" s="415">
        <v>30</v>
      </c>
      <c r="R204" s="415">
        <v>5</v>
      </c>
      <c r="S204" s="415">
        <f t="shared" si="9"/>
        <v>5</v>
      </c>
      <c r="T204" s="419">
        <f t="shared" si="10"/>
        <v>0.83333333333333337</v>
      </c>
      <c r="U204" s="419">
        <f t="shared" si="11"/>
        <v>5.833333333333333</v>
      </c>
      <c r="V204" s="415" t="s">
        <v>662</v>
      </c>
      <c r="W204" s="415" t="s">
        <v>612</v>
      </c>
      <c r="X204" s="415" t="s">
        <v>671</v>
      </c>
      <c r="Y204" s="415"/>
    </row>
    <row r="205" spans="1:25" hidden="1" x14ac:dyDescent="0.25">
      <c r="A205" s="415">
        <v>204</v>
      </c>
      <c r="B205" s="415">
        <v>120</v>
      </c>
      <c r="C205" s="415">
        <v>174420</v>
      </c>
      <c r="D205" s="416" t="s">
        <v>2575</v>
      </c>
      <c r="E205" s="416" t="s">
        <v>489</v>
      </c>
      <c r="F205" s="416" t="s">
        <v>489</v>
      </c>
      <c r="G205" s="416" t="s">
        <v>1279</v>
      </c>
      <c r="H205" s="416" t="s">
        <v>2576</v>
      </c>
      <c r="I205" s="416" t="s">
        <v>915</v>
      </c>
      <c r="J205" s="415" t="s">
        <v>661</v>
      </c>
      <c r="K205" s="417">
        <v>-12.713941</v>
      </c>
      <c r="L205" s="417">
        <v>-75.171504999999996</v>
      </c>
      <c r="M205" s="418">
        <v>30</v>
      </c>
      <c r="N205" s="418" t="s">
        <v>2310</v>
      </c>
      <c r="O205" s="418" t="s">
        <v>2411</v>
      </c>
      <c r="P205" s="415">
        <v>2</v>
      </c>
      <c r="Q205" s="415">
        <v>30</v>
      </c>
      <c r="R205" s="415">
        <v>5</v>
      </c>
      <c r="S205" s="415">
        <f t="shared" si="9"/>
        <v>5</v>
      </c>
      <c r="T205" s="419">
        <f t="shared" si="10"/>
        <v>0.83333333333333337</v>
      </c>
      <c r="U205" s="419">
        <f t="shared" si="11"/>
        <v>5.833333333333333</v>
      </c>
      <c r="V205" s="415" t="s">
        <v>662</v>
      </c>
      <c r="W205" s="415" t="s">
        <v>612</v>
      </c>
      <c r="X205" s="415" t="s">
        <v>671</v>
      </c>
      <c r="Y205" s="415"/>
    </row>
    <row r="206" spans="1:25" hidden="1" x14ac:dyDescent="0.25">
      <c r="A206" s="415">
        <v>205</v>
      </c>
      <c r="B206" s="415">
        <v>121</v>
      </c>
      <c r="C206" s="415">
        <v>176669</v>
      </c>
      <c r="D206" s="416" t="s">
        <v>1009</v>
      </c>
      <c r="E206" s="416" t="s">
        <v>489</v>
      </c>
      <c r="F206" s="416" t="s">
        <v>489</v>
      </c>
      <c r="G206" s="416" t="s">
        <v>517</v>
      </c>
      <c r="H206" s="416" t="s">
        <v>2577</v>
      </c>
      <c r="I206" s="416" t="s">
        <v>860</v>
      </c>
      <c r="J206" s="415" t="s">
        <v>661</v>
      </c>
      <c r="K206" s="417">
        <v>-12.764994</v>
      </c>
      <c r="L206" s="417">
        <v>-74.742755000000002</v>
      </c>
      <c r="M206" s="418">
        <v>30</v>
      </c>
      <c r="N206" s="418" t="s">
        <v>2310</v>
      </c>
      <c r="O206" s="418" t="s">
        <v>2411</v>
      </c>
      <c r="P206" s="415">
        <v>2</v>
      </c>
      <c r="Q206" s="415">
        <v>30</v>
      </c>
      <c r="R206" s="415">
        <v>5</v>
      </c>
      <c r="S206" s="415">
        <f t="shared" si="9"/>
        <v>5</v>
      </c>
      <c r="T206" s="419">
        <f t="shared" si="10"/>
        <v>0.83333333333333337</v>
      </c>
      <c r="U206" s="419">
        <f t="shared" si="11"/>
        <v>5.833333333333333</v>
      </c>
      <c r="V206" s="415" t="s">
        <v>662</v>
      </c>
      <c r="W206" s="415" t="s">
        <v>612</v>
      </c>
      <c r="X206" s="415" t="s">
        <v>671</v>
      </c>
      <c r="Y206" s="415"/>
    </row>
    <row r="207" spans="1:25" hidden="1" x14ac:dyDescent="0.25">
      <c r="A207" s="415">
        <v>206</v>
      </c>
      <c r="B207" s="415">
        <v>122</v>
      </c>
      <c r="C207" s="415">
        <v>175311</v>
      </c>
      <c r="D207" s="416" t="s">
        <v>2578</v>
      </c>
      <c r="E207" s="416" t="s">
        <v>489</v>
      </c>
      <c r="F207" s="416" t="s">
        <v>489</v>
      </c>
      <c r="G207" s="416" t="s">
        <v>517</v>
      </c>
      <c r="H207" s="416" t="s">
        <v>2579</v>
      </c>
      <c r="I207" s="416" t="s">
        <v>860</v>
      </c>
      <c r="J207" s="415" t="s">
        <v>661</v>
      </c>
      <c r="K207" s="417">
        <v>-12.760619999999999</v>
      </c>
      <c r="L207" s="417">
        <v>-74.80686</v>
      </c>
      <c r="M207" s="418">
        <v>30</v>
      </c>
      <c r="N207" s="418" t="s">
        <v>2310</v>
      </c>
      <c r="O207" s="418" t="s">
        <v>2411</v>
      </c>
      <c r="P207" s="415">
        <v>2</v>
      </c>
      <c r="Q207" s="415">
        <v>30</v>
      </c>
      <c r="R207" s="415">
        <v>5</v>
      </c>
      <c r="S207" s="415">
        <f t="shared" si="9"/>
        <v>5</v>
      </c>
      <c r="T207" s="419">
        <f t="shared" si="10"/>
        <v>0.83333333333333337</v>
      </c>
      <c r="U207" s="419">
        <f t="shared" si="11"/>
        <v>5.833333333333333</v>
      </c>
      <c r="V207" s="415" t="s">
        <v>662</v>
      </c>
      <c r="W207" s="415" t="s">
        <v>612</v>
      </c>
      <c r="X207" s="415" t="s">
        <v>671</v>
      </c>
      <c r="Y207" s="415"/>
    </row>
    <row r="208" spans="1:25" hidden="1" x14ac:dyDescent="0.25">
      <c r="A208" s="415">
        <v>207</v>
      </c>
      <c r="B208" s="415">
        <v>123</v>
      </c>
      <c r="C208" s="415">
        <v>175293</v>
      </c>
      <c r="D208" s="416" t="s">
        <v>2580</v>
      </c>
      <c r="E208" s="416" t="s">
        <v>489</v>
      </c>
      <c r="F208" s="416" t="s">
        <v>489</v>
      </c>
      <c r="G208" s="416" t="s">
        <v>517</v>
      </c>
      <c r="H208" s="416" t="s">
        <v>2213</v>
      </c>
      <c r="I208" s="416" t="s">
        <v>1307</v>
      </c>
      <c r="J208" s="415" t="s">
        <v>661</v>
      </c>
      <c r="K208" s="417">
        <v>-12.867068</v>
      </c>
      <c r="L208" s="417">
        <v>-74.835554999999999</v>
      </c>
      <c r="M208" s="418">
        <v>30</v>
      </c>
      <c r="N208" s="418" t="s">
        <v>2310</v>
      </c>
      <c r="O208" s="418" t="s">
        <v>2411</v>
      </c>
      <c r="P208" s="415">
        <v>2</v>
      </c>
      <c r="Q208" s="415">
        <v>30</v>
      </c>
      <c r="R208" s="415">
        <v>5</v>
      </c>
      <c r="S208" s="415">
        <f t="shared" si="9"/>
        <v>5</v>
      </c>
      <c r="T208" s="419">
        <f t="shared" si="10"/>
        <v>0.83333333333333337</v>
      </c>
      <c r="U208" s="419">
        <f t="shared" si="11"/>
        <v>5.833333333333333</v>
      </c>
      <c r="V208" s="415" t="s">
        <v>662</v>
      </c>
      <c r="W208" s="415" t="s">
        <v>612</v>
      </c>
      <c r="X208" s="415" t="s">
        <v>671</v>
      </c>
      <c r="Y208" s="415"/>
    </row>
    <row r="209" spans="1:25" hidden="1" x14ac:dyDescent="0.25">
      <c r="A209" s="415">
        <v>208</v>
      </c>
      <c r="B209" s="415">
        <v>124</v>
      </c>
      <c r="C209" s="415">
        <v>184481</v>
      </c>
      <c r="D209" s="416" t="s">
        <v>716</v>
      </c>
      <c r="E209" s="416" t="s">
        <v>489</v>
      </c>
      <c r="F209" s="416" t="s">
        <v>494</v>
      </c>
      <c r="G209" s="416" t="s">
        <v>1308</v>
      </c>
      <c r="H209" s="416" t="s">
        <v>1309</v>
      </c>
      <c r="I209" s="416" t="s">
        <v>892</v>
      </c>
      <c r="J209" s="415" t="s">
        <v>661</v>
      </c>
      <c r="K209" s="417">
        <v>-13.477</v>
      </c>
      <c r="L209" s="417">
        <v>-75.275099999999995</v>
      </c>
      <c r="M209" s="418">
        <v>30</v>
      </c>
      <c r="N209" s="418" t="s">
        <v>2310</v>
      </c>
      <c r="O209" s="418" t="s">
        <v>2411</v>
      </c>
      <c r="P209" s="415">
        <v>2</v>
      </c>
      <c r="Q209" s="415">
        <v>30</v>
      </c>
      <c r="R209" s="415">
        <v>5</v>
      </c>
      <c r="S209" s="415">
        <f t="shared" si="9"/>
        <v>5</v>
      </c>
      <c r="T209" s="419">
        <f t="shared" si="10"/>
        <v>0.83333333333333337</v>
      </c>
      <c r="U209" s="419">
        <f t="shared" si="11"/>
        <v>5.833333333333333</v>
      </c>
      <c r="V209" s="415" t="s">
        <v>662</v>
      </c>
      <c r="W209" s="415" t="s">
        <v>612</v>
      </c>
      <c r="X209" s="415" t="s">
        <v>671</v>
      </c>
      <c r="Y209" s="415"/>
    </row>
    <row r="210" spans="1:25" hidden="1" x14ac:dyDescent="0.25">
      <c r="A210" s="415">
        <v>209</v>
      </c>
      <c r="B210" s="415">
        <v>125</v>
      </c>
      <c r="C210" s="415">
        <v>185819</v>
      </c>
      <c r="D210" s="416" t="s">
        <v>1310</v>
      </c>
      <c r="E210" s="416" t="s">
        <v>489</v>
      </c>
      <c r="F210" s="416" t="s">
        <v>490</v>
      </c>
      <c r="G210" s="416" t="s">
        <v>1311</v>
      </c>
      <c r="H210" s="416" t="s">
        <v>1311</v>
      </c>
      <c r="I210" s="416" t="s">
        <v>1312</v>
      </c>
      <c r="J210" s="415" t="s">
        <v>661</v>
      </c>
      <c r="K210" s="417">
        <v>-12.356999999999999</v>
      </c>
      <c r="L210" s="417">
        <v>-75.0578</v>
      </c>
      <c r="M210" s="418">
        <v>30</v>
      </c>
      <c r="N210" s="418" t="s">
        <v>2310</v>
      </c>
      <c r="O210" s="418" t="s">
        <v>2411</v>
      </c>
      <c r="P210" s="415">
        <v>2</v>
      </c>
      <c r="Q210" s="415">
        <v>30</v>
      </c>
      <c r="R210" s="415">
        <v>5</v>
      </c>
      <c r="S210" s="415">
        <f t="shared" si="9"/>
        <v>5</v>
      </c>
      <c r="T210" s="419">
        <f t="shared" si="10"/>
        <v>0.83333333333333337</v>
      </c>
      <c r="U210" s="419">
        <f t="shared" si="11"/>
        <v>5.833333333333333</v>
      </c>
      <c r="V210" s="415" t="s">
        <v>662</v>
      </c>
      <c r="W210" s="415" t="s">
        <v>612</v>
      </c>
      <c r="X210" s="415" t="s">
        <v>671</v>
      </c>
      <c r="Y210" s="415"/>
    </row>
    <row r="211" spans="1:25" hidden="1" x14ac:dyDescent="0.25">
      <c r="A211" s="415">
        <v>210</v>
      </c>
      <c r="B211" s="415">
        <v>126</v>
      </c>
      <c r="C211" s="415">
        <v>185720</v>
      </c>
      <c r="D211" s="416" t="s">
        <v>2581</v>
      </c>
      <c r="E211" s="416" t="s">
        <v>489</v>
      </c>
      <c r="F211" s="416" t="s">
        <v>490</v>
      </c>
      <c r="G211" s="416" t="s">
        <v>1311</v>
      </c>
      <c r="H211" s="416" t="s">
        <v>713</v>
      </c>
      <c r="I211" s="416" t="s">
        <v>860</v>
      </c>
      <c r="J211" s="415" t="s">
        <v>661</v>
      </c>
      <c r="K211" s="417">
        <v>-12.363007</v>
      </c>
      <c r="L211" s="417">
        <v>-75.043094999999994</v>
      </c>
      <c r="M211" s="418">
        <v>30</v>
      </c>
      <c r="N211" s="418" t="s">
        <v>2310</v>
      </c>
      <c r="O211" s="418" t="s">
        <v>2411</v>
      </c>
      <c r="P211" s="415">
        <v>2</v>
      </c>
      <c r="Q211" s="415">
        <v>30</v>
      </c>
      <c r="R211" s="415">
        <v>5</v>
      </c>
      <c r="S211" s="415">
        <f t="shared" si="9"/>
        <v>5</v>
      </c>
      <c r="T211" s="419">
        <f t="shared" si="10"/>
        <v>0.83333333333333337</v>
      </c>
      <c r="U211" s="419">
        <f t="shared" si="11"/>
        <v>5.833333333333333</v>
      </c>
      <c r="V211" s="415" t="s">
        <v>662</v>
      </c>
      <c r="W211" s="415" t="s">
        <v>612</v>
      </c>
      <c r="X211" s="415" t="s">
        <v>671</v>
      </c>
      <c r="Y211" s="415"/>
    </row>
    <row r="212" spans="1:25" hidden="1" x14ac:dyDescent="0.25">
      <c r="A212" s="415">
        <v>211</v>
      </c>
      <c r="B212" s="415">
        <v>127</v>
      </c>
      <c r="C212" s="415">
        <v>186461</v>
      </c>
      <c r="D212" s="416" t="s">
        <v>1313</v>
      </c>
      <c r="E212" s="416" t="s">
        <v>489</v>
      </c>
      <c r="F212" s="416" t="s">
        <v>490</v>
      </c>
      <c r="G212" s="416" t="s">
        <v>1314</v>
      </c>
      <c r="H212" s="416" t="s">
        <v>1315</v>
      </c>
      <c r="I212" s="416" t="s">
        <v>860</v>
      </c>
      <c r="J212" s="415" t="s">
        <v>661</v>
      </c>
      <c r="K212" s="417">
        <v>-12.3565</v>
      </c>
      <c r="L212" s="417">
        <v>-74.580600000000004</v>
      </c>
      <c r="M212" s="418">
        <v>30</v>
      </c>
      <c r="N212" s="418" t="s">
        <v>2310</v>
      </c>
      <c r="O212" s="418" t="s">
        <v>2411</v>
      </c>
      <c r="P212" s="415">
        <v>2</v>
      </c>
      <c r="Q212" s="415">
        <v>30</v>
      </c>
      <c r="R212" s="415">
        <v>5</v>
      </c>
      <c r="S212" s="415">
        <f t="shared" si="9"/>
        <v>5</v>
      </c>
      <c r="T212" s="419">
        <f t="shared" si="10"/>
        <v>0.83333333333333337</v>
      </c>
      <c r="U212" s="419">
        <f t="shared" si="11"/>
        <v>5.833333333333333</v>
      </c>
      <c r="V212" s="415" t="s">
        <v>662</v>
      </c>
      <c r="W212" s="415" t="s">
        <v>612</v>
      </c>
      <c r="X212" s="415" t="s">
        <v>671</v>
      </c>
      <c r="Y212" s="415"/>
    </row>
    <row r="213" spans="1:25" hidden="1" x14ac:dyDescent="0.25">
      <c r="A213" s="415">
        <v>212</v>
      </c>
      <c r="B213" s="415">
        <v>128</v>
      </c>
      <c r="C213" s="415">
        <v>189596</v>
      </c>
      <c r="D213" s="416" t="s">
        <v>1326</v>
      </c>
      <c r="E213" s="416" t="s">
        <v>489</v>
      </c>
      <c r="F213" s="416" t="s">
        <v>490</v>
      </c>
      <c r="G213" s="416" t="s">
        <v>1327</v>
      </c>
      <c r="H213" s="416" t="s">
        <v>1328</v>
      </c>
      <c r="I213" s="416" t="s">
        <v>867</v>
      </c>
      <c r="J213" s="415" t="s">
        <v>661</v>
      </c>
      <c r="K213" s="417">
        <v>-12.193099999999999</v>
      </c>
      <c r="L213" s="417">
        <v>-74.514499999999998</v>
      </c>
      <c r="M213" s="418">
        <v>30</v>
      </c>
      <c r="N213" s="418" t="s">
        <v>2310</v>
      </c>
      <c r="O213" s="418" t="s">
        <v>2411</v>
      </c>
      <c r="P213" s="415">
        <v>2</v>
      </c>
      <c r="Q213" s="415">
        <v>30</v>
      </c>
      <c r="R213" s="415">
        <v>5</v>
      </c>
      <c r="S213" s="415">
        <f t="shared" si="9"/>
        <v>5</v>
      </c>
      <c r="T213" s="419">
        <f t="shared" si="10"/>
        <v>0.83333333333333337</v>
      </c>
      <c r="U213" s="419">
        <f t="shared" si="11"/>
        <v>5.833333333333333</v>
      </c>
      <c r="V213" s="415" t="s">
        <v>662</v>
      </c>
      <c r="W213" s="415" t="s">
        <v>612</v>
      </c>
      <c r="X213" s="415" t="s">
        <v>671</v>
      </c>
      <c r="Y213" s="415"/>
    </row>
    <row r="214" spans="1:25" hidden="1" x14ac:dyDescent="0.25">
      <c r="A214" s="415">
        <v>213</v>
      </c>
      <c r="B214" s="415">
        <v>129</v>
      </c>
      <c r="C214" s="415">
        <v>186847</v>
      </c>
      <c r="D214" s="416" t="s">
        <v>1938</v>
      </c>
      <c r="E214" s="416" t="s">
        <v>489</v>
      </c>
      <c r="F214" s="416" t="s">
        <v>490</v>
      </c>
      <c r="G214" s="416" t="s">
        <v>769</v>
      </c>
      <c r="H214" s="416" t="s">
        <v>2582</v>
      </c>
      <c r="I214" s="416" t="s">
        <v>2398</v>
      </c>
      <c r="J214" s="415" t="s">
        <v>661</v>
      </c>
      <c r="K214" s="417">
        <v>-12.3927</v>
      </c>
      <c r="L214" s="417">
        <v>-74.750100000000003</v>
      </c>
      <c r="M214" s="418">
        <v>30</v>
      </c>
      <c r="N214" s="418" t="s">
        <v>2310</v>
      </c>
      <c r="O214" s="418" t="s">
        <v>2411</v>
      </c>
      <c r="P214" s="415">
        <v>2</v>
      </c>
      <c r="Q214" s="415">
        <v>30</v>
      </c>
      <c r="R214" s="415">
        <v>5</v>
      </c>
      <c r="S214" s="415">
        <f t="shared" si="9"/>
        <v>5</v>
      </c>
      <c r="T214" s="419">
        <f t="shared" si="10"/>
        <v>0.83333333333333337</v>
      </c>
      <c r="U214" s="419">
        <f t="shared" si="11"/>
        <v>5.833333333333333</v>
      </c>
      <c r="V214" s="415" t="s">
        <v>662</v>
      </c>
      <c r="W214" s="415" t="s">
        <v>612</v>
      </c>
      <c r="X214" s="415" t="s">
        <v>671</v>
      </c>
      <c r="Y214" s="415"/>
    </row>
    <row r="215" spans="1:25" hidden="1" x14ac:dyDescent="0.25">
      <c r="A215" s="415">
        <v>214</v>
      </c>
      <c r="B215" s="415">
        <v>130</v>
      </c>
      <c r="C215" s="415">
        <v>186951</v>
      </c>
      <c r="D215" s="416" t="s">
        <v>1316</v>
      </c>
      <c r="E215" s="416" t="s">
        <v>489</v>
      </c>
      <c r="F215" s="416" t="s">
        <v>490</v>
      </c>
      <c r="G215" s="416" t="s">
        <v>769</v>
      </c>
      <c r="H215" s="416" t="s">
        <v>1317</v>
      </c>
      <c r="I215" s="416" t="s">
        <v>1318</v>
      </c>
      <c r="J215" s="415" t="s">
        <v>661</v>
      </c>
      <c r="K215" s="417">
        <v>-12.449299999999999</v>
      </c>
      <c r="L215" s="417">
        <v>-74.651600000000002</v>
      </c>
      <c r="M215" s="418">
        <v>30</v>
      </c>
      <c r="N215" s="418" t="s">
        <v>2310</v>
      </c>
      <c r="O215" s="418" t="s">
        <v>2411</v>
      </c>
      <c r="P215" s="415">
        <v>2</v>
      </c>
      <c r="Q215" s="415">
        <v>30</v>
      </c>
      <c r="R215" s="415">
        <v>5</v>
      </c>
      <c r="S215" s="415">
        <f t="shared" si="9"/>
        <v>5</v>
      </c>
      <c r="T215" s="419">
        <f t="shared" si="10"/>
        <v>0.83333333333333337</v>
      </c>
      <c r="U215" s="419">
        <f t="shared" si="11"/>
        <v>5.833333333333333</v>
      </c>
      <c r="V215" s="415" t="s">
        <v>662</v>
      </c>
      <c r="W215" s="415" t="s">
        <v>612</v>
      </c>
      <c r="X215" s="415" t="s">
        <v>671</v>
      </c>
      <c r="Y215" s="415"/>
    </row>
    <row r="216" spans="1:25" hidden="1" x14ac:dyDescent="0.25">
      <c r="A216" s="415">
        <v>215</v>
      </c>
      <c r="B216" s="415">
        <v>131</v>
      </c>
      <c r="C216" s="415">
        <v>187917</v>
      </c>
      <c r="D216" s="416" t="s">
        <v>2583</v>
      </c>
      <c r="E216" s="416" t="s">
        <v>489</v>
      </c>
      <c r="F216" s="416" t="s">
        <v>490</v>
      </c>
      <c r="G216" s="416" t="s">
        <v>1319</v>
      </c>
      <c r="H216" s="416" t="s">
        <v>2584</v>
      </c>
      <c r="I216" s="416" t="s">
        <v>2585</v>
      </c>
      <c r="J216" s="415" t="s">
        <v>661</v>
      </c>
      <c r="K216" s="417">
        <v>-12.251238000000001</v>
      </c>
      <c r="L216" s="417">
        <v>-74.887691000000004</v>
      </c>
      <c r="M216" s="418">
        <v>30</v>
      </c>
      <c r="N216" s="418" t="s">
        <v>2310</v>
      </c>
      <c r="O216" s="418" t="s">
        <v>2411</v>
      </c>
      <c r="P216" s="415">
        <v>2</v>
      </c>
      <c r="Q216" s="415">
        <v>30</v>
      </c>
      <c r="R216" s="415">
        <v>5</v>
      </c>
      <c r="S216" s="415">
        <f t="shared" si="9"/>
        <v>5</v>
      </c>
      <c r="T216" s="419">
        <f t="shared" si="10"/>
        <v>0.83333333333333337</v>
      </c>
      <c r="U216" s="419">
        <f t="shared" si="11"/>
        <v>5.833333333333333</v>
      </c>
      <c r="V216" s="415" t="s">
        <v>662</v>
      </c>
      <c r="W216" s="415" t="s">
        <v>612</v>
      </c>
      <c r="X216" s="415" t="s">
        <v>671</v>
      </c>
      <c r="Y216" s="415"/>
    </row>
    <row r="217" spans="1:25" hidden="1" x14ac:dyDescent="0.25">
      <c r="A217" s="415">
        <v>216</v>
      </c>
      <c r="B217" s="415">
        <v>132</v>
      </c>
      <c r="C217" s="415">
        <v>188182</v>
      </c>
      <c r="D217" s="416" t="s">
        <v>2586</v>
      </c>
      <c r="E217" s="416" t="s">
        <v>489</v>
      </c>
      <c r="F217" s="416" t="s">
        <v>490</v>
      </c>
      <c r="G217" s="416" t="s">
        <v>2587</v>
      </c>
      <c r="H217" s="416" t="s">
        <v>2588</v>
      </c>
      <c r="I217" s="416" t="s">
        <v>2589</v>
      </c>
      <c r="J217" s="415" t="s">
        <v>661</v>
      </c>
      <c r="K217" s="417">
        <v>-12.3161</v>
      </c>
      <c r="L217" s="417">
        <v>-75.076999999999998</v>
      </c>
      <c r="M217" s="418">
        <v>30</v>
      </c>
      <c r="N217" s="418" t="s">
        <v>2310</v>
      </c>
      <c r="O217" s="418" t="s">
        <v>2411</v>
      </c>
      <c r="P217" s="415">
        <v>2</v>
      </c>
      <c r="Q217" s="415">
        <v>30</v>
      </c>
      <c r="R217" s="415">
        <v>5</v>
      </c>
      <c r="S217" s="415">
        <f t="shared" si="9"/>
        <v>5</v>
      </c>
      <c r="T217" s="419">
        <f t="shared" si="10"/>
        <v>0.83333333333333337</v>
      </c>
      <c r="U217" s="419">
        <f t="shared" si="11"/>
        <v>5.833333333333333</v>
      </c>
      <c r="V217" s="415" t="s">
        <v>662</v>
      </c>
      <c r="W217" s="415" t="s">
        <v>612</v>
      </c>
      <c r="X217" s="415" t="s">
        <v>671</v>
      </c>
      <c r="Y217" s="415"/>
    </row>
    <row r="218" spans="1:25" hidden="1" x14ac:dyDescent="0.25">
      <c r="A218" s="415">
        <v>217</v>
      </c>
      <c r="B218" s="415">
        <v>133</v>
      </c>
      <c r="C218" s="415">
        <v>188342</v>
      </c>
      <c r="D218" s="416" t="s">
        <v>2590</v>
      </c>
      <c r="E218" s="416" t="s">
        <v>489</v>
      </c>
      <c r="F218" s="416" t="s">
        <v>490</v>
      </c>
      <c r="G218" s="416" t="s">
        <v>2591</v>
      </c>
      <c r="H218" s="416" t="s">
        <v>2592</v>
      </c>
      <c r="I218" s="416" t="s">
        <v>2593</v>
      </c>
      <c r="J218" s="415" t="s">
        <v>661</v>
      </c>
      <c r="K218" s="417">
        <v>-12.2896</v>
      </c>
      <c r="L218" s="417">
        <v>-75.029600000000002</v>
      </c>
      <c r="M218" s="418">
        <v>30</v>
      </c>
      <c r="N218" s="418" t="s">
        <v>2310</v>
      </c>
      <c r="O218" s="418" t="s">
        <v>2411</v>
      </c>
      <c r="P218" s="415">
        <v>2</v>
      </c>
      <c r="Q218" s="415">
        <v>30</v>
      </c>
      <c r="R218" s="415">
        <v>5</v>
      </c>
      <c r="S218" s="415">
        <f t="shared" si="9"/>
        <v>5</v>
      </c>
      <c r="T218" s="419">
        <f t="shared" si="10"/>
        <v>0.83333333333333337</v>
      </c>
      <c r="U218" s="419">
        <f t="shared" si="11"/>
        <v>5.833333333333333</v>
      </c>
      <c r="V218" s="415" t="s">
        <v>662</v>
      </c>
      <c r="W218" s="415" t="s">
        <v>612</v>
      </c>
      <c r="X218" s="415" t="s">
        <v>671</v>
      </c>
      <c r="Y218" s="415"/>
    </row>
    <row r="219" spans="1:25" hidden="1" x14ac:dyDescent="0.25">
      <c r="A219" s="415">
        <v>218</v>
      </c>
      <c r="B219" s="415">
        <v>134</v>
      </c>
      <c r="C219" s="415">
        <v>188549</v>
      </c>
      <c r="D219" s="416" t="s">
        <v>2594</v>
      </c>
      <c r="E219" s="416" t="s">
        <v>489</v>
      </c>
      <c r="F219" s="416" t="s">
        <v>490</v>
      </c>
      <c r="G219" s="416" t="s">
        <v>2591</v>
      </c>
      <c r="H219" s="416" t="s">
        <v>2595</v>
      </c>
      <c r="I219" s="416" t="s">
        <v>2596</v>
      </c>
      <c r="J219" s="415" t="s">
        <v>661</v>
      </c>
      <c r="K219" s="417">
        <v>-12.300800000000001</v>
      </c>
      <c r="L219" s="417">
        <v>-75.041300000000007</v>
      </c>
      <c r="M219" s="418">
        <v>30</v>
      </c>
      <c r="N219" s="418" t="s">
        <v>2310</v>
      </c>
      <c r="O219" s="418" t="s">
        <v>2411</v>
      </c>
      <c r="P219" s="415">
        <v>2</v>
      </c>
      <c r="Q219" s="415">
        <v>30</v>
      </c>
      <c r="R219" s="415">
        <v>5</v>
      </c>
      <c r="S219" s="415">
        <f t="shared" si="9"/>
        <v>5</v>
      </c>
      <c r="T219" s="419">
        <f t="shared" si="10"/>
        <v>0.83333333333333337</v>
      </c>
      <c r="U219" s="419">
        <f t="shared" si="11"/>
        <v>5.833333333333333</v>
      </c>
      <c r="V219" s="415" t="s">
        <v>662</v>
      </c>
      <c r="W219" s="415" t="s">
        <v>612</v>
      </c>
      <c r="X219" s="415" t="s">
        <v>671</v>
      </c>
      <c r="Y219" s="415"/>
    </row>
    <row r="220" spans="1:25" hidden="1" x14ac:dyDescent="0.25">
      <c r="A220" s="415">
        <v>219</v>
      </c>
      <c r="B220" s="415">
        <v>135</v>
      </c>
      <c r="C220" s="415">
        <v>188460</v>
      </c>
      <c r="D220" s="416" t="s">
        <v>2597</v>
      </c>
      <c r="E220" s="416" t="s">
        <v>489</v>
      </c>
      <c r="F220" s="416" t="s">
        <v>490</v>
      </c>
      <c r="G220" s="416" t="s">
        <v>2591</v>
      </c>
      <c r="H220" s="416" t="s">
        <v>2598</v>
      </c>
      <c r="I220" s="416" t="s">
        <v>2598</v>
      </c>
      <c r="J220" s="415" t="s">
        <v>661</v>
      </c>
      <c r="K220" s="417">
        <v>-12.299206999999999</v>
      </c>
      <c r="L220" s="417">
        <v>-75.005913000000007</v>
      </c>
      <c r="M220" s="418">
        <v>30</v>
      </c>
      <c r="N220" s="418" t="s">
        <v>2310</v>
      </c>
      <c r="O220" s="418" t="s">
        <v>2411</v>
      </c>
      <c r="P220" s="415">
        <v>2</v>
      </c>
      <c r="Q220" s="415">
        <v>30</v>
      </c>
      <c r="R220" s="415">
        <v>5</v>
      </c>
      <c r="S220" s="415">
        <f t="shared" si="9"/>
        <v>5</v>
      </c>
      <c r="T220" s="419">
        <f t="shared" si="10"/>
        <v>0.83333333333333337</v>
      </c>
      <c r="U220" s="419">
        <f t="shared" si="11"/>
        <v>5.833333333333333</v>
      </c>
      <c r="V220" s="415" t="s">
        <v>662</v>
      </c>
      <c r="W220" s="415" t="s">
        <v>612</v>
      </c>
      <c r="X220" s="415" t="s">
        <v>671</v>
      </c>
      <c r="Y220" s="415"/>
    </row>
    <row r="221" spans="1:25" hidden="1" x14ac:dyDescent="0.25">
      <c r="A221" s="415">
        <v>220</v>
      </c>
      <c r="B221" s="415">
        <v>136</v>
      </c>
      <c r="C221" s="415">
        <v>188667</v>
      </c>
      <c r="D221" s="416" t="s">
        <v>1322</v>
      </c>
      <c r="E221" s="416" t="s">
        <v>489</v>
      </c>
      <c r="F221" s="416" t="s">
        <v>490</v>
      </c>
      <c r="G221" s="416" t="s">
        <v>1320</v>
      </c>
      <c r="H221" s="416" t="s">
        <v>707</v>
      </c>
      <c r="I221" s="416" t="s">
        <v>860</v>
      </c>
      <c r="J221" s="415" t="s">
        <v>661</v>
      </c>
      <c r="K221" s="417">
        <v>-12.1754</v>
      </c>
      <c r="L221" s="417">
        <v>-74.782700000000006</v>
      </c>
      <c r="M221" s="418">
        <v>30</v>
      </c>
      <c r="N221" s="418" t="s">
        <v>2310</v>
      </c>
      <c r="O221" s="418" t="s">
        <v>2411</v>
      </c>
      <c r="P221" s="415">
        <v>2</v>
      </c>
      <c r="Q221" s="415">
        <v>30</v>
      </c>
      <c r="R221" s="415">
        <v>5</v>
      </c>
      <c r="S221" s="415">
        <f t="shared" si="9"/>
        <v>5</v>
      </c>
      <c r="T221" s="419">
        <f t="shared" si="10"/>
        <v>0.83333333333333337</v>
      </c>
      <c r="U221" s="419">
        <f t="shared" si="11"/>
        <v>5.833333333333333</v>
      </c>
      <c r="V221" s="415" t="s">
        <v>662</v>
      </c>
      <c r="W221" s="415" t="s">
        <v>612</v>
      </c>
      <c r="X221" s="415" t="s">
        <v>671</v>
      </c>
      <c r="Y221" s="415"/>
    </row>
    <row r="222" spans="1:25" hidden="1" x14ac:dyDescent="0.25">
      <c r="A222" s="415">
        <v>221</v>
      </c>
      <c r="B222" s="415">
        <v>137</v>
      </c>
      <c r="C222" s="415">
        <v>189214</v>
      </c>
      <c r="D222" s="416" t="s">
        <v>990</v>
      </c>
      <c r="E222" s="416" t="s">
        <v>489</v>
      </c>
      <c r="F222" s="416" t="s">
        <v>490</v>
      </c>
      <c r="G222" s="416" t="s">
        <v>1323</v>
      </c>
      <c r="H222" s="416" t="s">
        <v>1324</v>
      </c>
      <c r="I222" s="416" t="s">
        <v>1325</v>
      </c>
      <c r="J222" s="415" t="s">
        <v>661</v>
      </c>
      <c r="K222" s="417">
        <v>-12.080465</v>
      </c>
      <c r="L222" s="417">
        <v>-74.865506999999994</v>
      </c>
      <c r="M222" s="418">
        <v>30</v>
      </c>
      <c r="N222" s="418" t="s">
        <v>2310</v>
      </c>
      <c r="O222" s="418" t="s">
        <v>2411</v>
      </c>
      <c r="P222" s="415">
        <v>2</v>
      </c>
      <c r="Q222" s="415">
        <v>30</v>
      </c>
      <c r="R222" s="415">
        <v>5</v>
      </c>
      <c r="S222" s="415">
        <f t="shared" si="9"/>
        <v>5</v>
      </c>
      <c r="T222" s="419">
        <f t="shared" si="10"/>
        <v>0.83333333333333337</v>
      </c>
      <c r="U222" s="419">
        <f t="shared" si="11"/>
        <v>5.833333333333333</v>
      </c>
      <c r="V222" s="415" t="s">
        <v>662</v>
      </c>
      <c r="W222" s="415" t="s">
        <v>612</v>
      </c>
      <c r="X222" s="415" t="s">
        <v>671</v>
      </c>
      <c r="Y222" s="415"/>
    </row>
    <row r="223" spans="1:25" hidden="1" x14ac:dyDescent="0.25">
      <c r="A223" s="415">
        <v>222</v>
      </c>
      <c r="B223" s="415">
        <v>138</v>
      </c>
      <c r="C223" s="415">
        <v>194710</v>
      </c>
      <c r="D223" s="416" t="s">
        <v>2599</v>
      </c>
      <c r="E223" s="416" t="s">
        <v>496</v>
      </c>
      <c r="F223" s="416" t="s">
        <v>497</v>
      </c>
      <c r="G223" s="416" t="s">
        <v>497</v>
      </c>
      <c r="H223" s="416" t="s">
        <v>2600</v>
      </c>
      <c r="I223" s="416" t="s">
        <v>2600</v>
      </c>
      <c r="J223" s="415" t="s">
        <v>661</v>
      </c>
      <c r="K223" s="417">
        <v>-10.098000000000001</v>
      </c>
      <c r="L223" s="417">
        <v>-76.204899999999995</v>
      </c>
      <c r="M223" s="418">
        <v>30</v>
      </c>
      <c r="N223" s="418" t="s">
        <v>2310</v>
      </c>
      <c r="O223" s="418" t="s">
        <v>2411</v>
      </c>
      <c r="P223" s="415">
        <v>2</v>
      </c>
      <c r="Q223" s="415">
        <v>30</v>
      </c>
      <c r="R223" s="415">
        <v>5</v>
      </c>
      <c r="S223" s="415">
        <f t="shared" si="9"/>
        <v>5</v>
      </c>
      <c r="T223" s="419">
        <f t="shared" si="10"/>
        <v>0.83333333333333337</v>
      </c>
      <c r="U223" s="419">
        <f t="shared" si="11"/>
        <v>5.833333333333333</v>
      </c>
      <c r="V223" s="415" t="s">
        <v>662</v>
      </c>
      <c r="W223" s="415" t="s">
        <v>610</v>
      </c>
      <c r="X223" s="415" t="s">
        <v>673</v>
      </c>
      <c r="Y223" s="415"/>
    </row>
    <row r="224" spans="1:25" hidden="1" x14ac:dyDescent="0.25">
      <c r="A224" s="415">
        <v>223</v>
      </c>
      <c r="B224" s="415">
        <v>139</v>
      </c>
      <c r="C224" s="415">
        <v>194593</v>
      </c>
      <c r="D224" s="416" t="s">
        <v>1372</v>
      </c>
      <c r="E224" s="416" t="s">
        <v>496</v>
      </c>
      <c r="F224" s="416" t="s">
        <v>497</v>
      </c>
      <c r="G224" s="416" t="s">
        <v>497</v>
      </c>
      <c r="H224" s="416" t="s">
        <v>1373</v>
      </c>
      <c r="I224" s="416" t="s">
        <v>1374</v>
      </c>
      <c r="J224" s="415" t="s">
        <v>661</v>
      </c>
      <c r="K224" s="417">
        <v>-10.215999999999999</v>
      </c>
      <c r="L224" s="417">
        <v>-76.201120000000003</v>
      </c>
      <c r="M224" s="418">
        <v>30</v>
      </c>
      <c r="N224" s="418" t="s">
        <v>2310</v>
      </c>
      <c r="O224" s="418" t="s">
        <v>2411</v>
      </c>
      <c r="P224" s="415">
        <v>2</v>
      </c>
      <c r="Q224" s="415">
        <v>30</v>
      </c>
      <c r="R224" s="415">
        <v>5</v>
      </c>
      <c r="S224" s="415">
        <f t="shared" si="9"/>
        <v>5</v>
      </c>
      <c r="T224" s="419">
        <f t="shared" si="10"/>
        <v>0.83333333333333337</v>
      </c>
      <c r="U224" s="419">
        <f t="shared" si="11"/>
        <v>5.833333333333333</v>
      </c>
      <c r="V224" s="415" t="s">
        <v>662</v>
      </c>
      <c r="W224" s="415" t="s">
        <v>610</v>
      </c>
      <c r="X224" s="415" t="s">
        <v>673</v>
      </c>
      <c r="Y224" s="415"/>
    </row>
    <row r="225" spans="1:25" hidden="1" x14ac:dyDescent="0.25">
      <c r="A225" s="415">
        <v>224</v>
      </c>
      <c r="B225" s="415">
        <v>140</v>
      </c>
      <c r="C225" s="415">
        <v>194499</v>
      </c>
      <c r="D225" s="416" t="s">
        <v>1369</v>
      </c>
      <c r="E225" s="416" t="s">
        <v>496</v>
      </c>
      <c r="F225" s="416" t="s">
        <v>497</v>
      </c>
      <c r="G225" s="416" t="s">
        <v>497</v>
      </c>
      <c r="H225" s="416" t="s">
        <v>1370</v>
      </c>
      <c r="I225" s="416" t="s">
        <v>1371</v>
      </c>
      <c r="J225" s="415" t="s">
        <v>661</v>
      </c>
      <c r="K225" s="417">
        <v>-10.1495</v>
      </c>
      <c r="L225" s="417">
        <v>-76.189400000000006</v>
      </c>
      <c r="M225" s="418">
        <v>30</v>
      </c>
      <c r="N225" s="418" t="s">
        <v>2310</v>
      </c>
      <c r="O225" s="418" t="s">
        <v>2411</v>
      </c>
      <c r="P225" s="415">
        <v>2</v>
      </c>
      <c r="Q225" s="415">
        <v>30</v>
      </c>
      <c r="R225" s="415">
        <v>5</v>
      </c>
      <c r="S225" s="415">
        <f t="shared" si="9"/>
        <v>5</v>
      </c>
      <c r="T225" s="419">
        <f t="shared" si="10"/>
        <v>0.83333333333333337</v>
      </c>
      <c r="U225" s="419">
        <f t="shared" si="11"/>
        <v>5.833333333333333</v>
      </c>
      <c r="V225" s="415" t="s">
        <v>662</v>
      </c>
      <c r="W225" s="415" t="s">
        <v>610</v>
      </c>
      <c r="X225" s="415" t="s">
        <v>673</v>
      </c>
      <c r="Y225" s="415"/>
    </row>
    <row r="226" spans="1:25" hidden="1" x14ac:dyDescent="0.25">
      <c r="A226" s="415">
        <v>225</v>
      </c>
      <c r="B226" s="415">
        <v>141</v>
      </c>
      <c r="C226" s="415">
        <v>194668</v>
      </c>
      <c r="D226" s="416" t="s">
        <v>1375</v>
      </c>
      <c r="E226" s="416" t="s">
        <v>496</v>
      </c>
      <c r="F226" s="416" t="s">
        <v>497</v>
      </c>
      <c r="G226" s="416" t="s">
        <v>497</v>
      </c>
      <c r="H226" s="416" t="s">
        <v>1376</v>
      </c>
      <c r="I226" s="416" t="s">
        <v>1376</v>
      </c>
      <c r="J226" s="415" t="s">
        <v>661</v>
      </c>
      <c r="K226" s="417">
        <v>-10.169600000000001</v>
      </c>
      <c r="L226" s="417">
        <v>-76.109099999999998</v>
      </c>
      <c r="M226" s="418">
        <v>30</v>
      </c>
      <c r="N226" s="418" t="s">
        <v>2310</v>
      </c>
      <c r="O226" s="418" t="s">
        <v>2411</v>
      </c>
      <c r="P226" s="415">
        <v>2</v>
      </c>
      <c r="Q226" s="415">
        <v>30</v>
      </c>
      <c r="R226" s="415">
        <v>5</v>
      </c>
      <c r="S226" s="415">
        <f t="shared" si="9"/>
        <v>5</v>
      </c>
      <c r="T226" s="419">
        <f t="shared" si="10"/>
        <v>0.83333333333333337</v>
      </c>
      <c r="U226" s="419">
        <f t="shared" si="11"/>
        <v>5.833333333333333</v>
      </c>
      <c r="V226" s="415" t="s">
        <v>662</v>
      </c>
      <c r="W226" s="415" t="s">
        <v>610</v>
      </c>
      <c r="X226" s="415" t="s">
        <v>673</v>
      </c>
      <c r="Y226" s="415"/>
    </row>
    <row r="227" spans="1:25" hidden="1" x14ac:dyDescent="0.25">
      <c r="A227" s="415">
        <v>226</v>
      </c>
      <c r="B227" s="415">
        <v>142</v>
      </c>
      <c r="C227" s="415">
        <v>195328</v>
      </c>
      <c r="D227" s="416" t="s">
        <v>2601</v>
      </c>
      <c r="E227" s="416" t="s">
        <v>496</v>
      </c>
      <c r="F227" s="416" t="s">
        <v>497</v>
      </c>
      <c r="G227" s="416" t="s">
        <v>2602</v>
      </c>
      <c r="H227" s="416" t="s">
        <v>2603</v>
      </c>
      <c r="I227" s="416" t="s">
        <v>2603</v>
      </c>
      <c r="J227" s="415" t="s">
        <v>661</v>
      </c>
      <c r="K227" s="417">
        <v>-10.0916</v>
      </c>
      <c r="L227" s="417">
        <v>-76.307599999999994</v>
      </c>
      <c r="M227" s="418">
        <v>30</v>
      </c>
      <c r="N227" s="418" t="s">
        <v>2310</v>
      </c>
      <c r="O227" s="418" t="s">
        <v>2411</v>
      </c>
      <c r="P227" s="415">
        <v>2</v>
      </c>
      <c r="Q227" s="415">
        <v>30</v>
      </c>
      <c r="R227" s="415">
        <v>5</v>
      </c>
      <c r="S227" s="415">
        <f t="shared" si="9"/>
        <v>5</v>
      </c>
      <c r="T227" s="419">
        <f t="shared" si="10"/>
        <v>0.83333333333333337</v>
      </c>
      <c r="U227" s="419">
        <f t="shared" si="11"/>
        <v>5.833333333333333</v>
      </c>
      <c r="V227" s="415" t="s">
        <v>662</v>
      </c>
      <c r="W227" s="415" t="s">
        <v>610</v>
      </c>
      <c r="X227" s="415" t="s">
        <v>673</v>
      </c>
      <c r="Y227" s="415"/>
    </row>
    <row r="228" spans="1:25" hidden="1" x14ac:dyDescent="0.25">
      <c r="A228" s="415">
        <v>227</v>
      </c>
      <c r="B228" s="415">
        <v>143</v>
      </c>
      <c r="C228" s="415">
        <v>368550</v>
      </c>
      <c r="D228" s="416" t="s">
        <v>1825</v>
      </c>
      <c r="E228" s="416" t="s">
        <v>496</v>
      </c>
      <c r="F228" s="416" t="s">
        <v>497</v>
      </c>
      <c r="G228" s="416" t="s">
        <v>1078</v>
      </c>
      <c r="H228" s="416" t="s">
        <v>1826</v>
      </c>
      <c r="I228" s="416" t="s">
        <v>1827</v>
      </c>
      <c r="J228" s="415" t="s">
        <v>661</v>
      </c>
      <c r="K228" s="417">
        <v>-10.294423</v>
      </c>
      <c r="L228" s="417">
        <v>-76.332914000000002</v>
      </c>
      <c r="M228" s="418">
        <v>30</v>
      </c>
      <c r="N228" s="418" t="s">
        <v>2310</v>
      </c>
      <c r="O228" s="418" t="s">
        <v>2411</v>
      </c>
      <c r="P228" s="415">
        <v>2</v>
      </c>
      <c r="Q228" s="415">
        <v>30</v>
      </c>
      <c r="R228" s="415">
        <v>5</v>
      </c>
      <c r="S228" s="415">
        <f t="shared" si="9"/>
        <v>5</v>
      </c>
      <c r="T228" s="419">
        <f t="shared" si="10"/>
        <v>0.83333333333333337</v>
      </c>
      <c r="U228" s="419">
        <f t="shared" si="11"/>
        <v>5.833333333333333</v>
      </c>
      <c r="V228" s="415" t="s">
        <v>662</v>
      </c>
      <c r="W228" s="415" t="s">
        <v>610</v>
      </c>
      <c r="X228" s="415" t="s">
        <v>673</v>
      </c>
      <c r="Y228" s="415"/>
    </row>
    <row r="229" spans="1:25" hidden="1" x14ac:dyDescent="0.25">
      <c r="A229" s="415">
        <v>228</v>
      </c>
      <c r="B229" s="415">
        <v>144</v>
      </c>
      <c r="C229" s="415">
        <v>196219</v>
      </c>
      <c r="D229" s="416" t="s">
        <v>2604</v>
      </c>
      <c r="E229" s="416" t="s">
        <v>496</v>
      </c>
      <c r="F229" s="416" t="s">
        <v>497</v>
      </c>
      <c r="G229" s="416" t="s">
        <v>1377</v>
      </c>
      <c r="H229" s="416" t="s">
        <v>2605</v>
      </c>
      <c r="I229" s="416" t="s">
        <v>2605</v>
      </c>
      <c r="J229" s="415" t="s">
        <v>661</v>
      </c>
      <c r="K229" s="417">
        <v>-10.374226</v>
      </c>
      <c r="L229" s="417">
        <v>-76.201178999999996</v>
      </c>
      <c r="M229" s="418">
        <v>30</v>
      </c>
      <c r="N229" s="418" t="s">
        <v>2310</v>
      </c>
      <c r="O229" s="418" t="s">
        <v>2411</v>
      </c>
      <c r="P229" s="415">
        <v>2</v>
      </c>
      <c r="Q229" s="415">
        <v>30</v>
      </c>
      <c r="R229" s="415">
        <v>5</v>
      </c>
      <c r="S229" s="415">
        <f t="shared" si="9"/>
        <v>5</v>
      </c>
      <c r="T229" s="419">
        <f t="shared" si="10"/>
        <v>0.83333333333333337</v>
      </c>
      <c r="U229" s="419">
        <f t="shared" si="11"/>
        <v>5.833333333333333</v>
      </c>
      <c r="V229" s="415" t="s">
        <v>662</v>
      </c>
      <c r="W229" s="415" t="s">
        <v>610</v>
      </c>
      <c r="X229" s="415" t="s">
        <v>673</v>
      </c>
      <c r="Y229" s="415"/>
    </row>
    <row r="230" spans="1:25" hidden="1" x14ac:dyDescent="0.25">
      <c r="A230" s="415">
        <v>229</v>
      </c>
      <c r="B230" s="415">
        <v>145</v>
      </c>
      <c r="C230" s="415">
        <v>196016</v>
      </c>
      <c r="D230" s="416" t="s">
        <v>1378</v>
      </c>
      <c r="E230" s="416" t="s">
        <v>496</v>
      </c>
      <c r="F230" s="416" t="s">
        <v>497</v>
      </c>
      <c r="G230" s="416" t="s">
        <v>1377</v>
      </c>
      <c r="H230" s="416" t="s">
        <v>1379</v>
      </c>
      <c r="I230" s="416" t="s">
        <v>1379</v>
      </c>
      <c r="J230" s="415" t="s">
        <v>661</v>
      </c>
      <c r="K230" s="417">
        <v>-10.329000000000001</v>
      </c>
      <c r="L230" s="417">
        <v>-76.110500000000002</v>
      </c>
      <c r="M230" s="418">
        <v>30</v>
      </c>
      <c r="N230" s="418" t="s">
        <v>2310</v>
      </c>
      <c r="O230" s="418" t="s">
        <v>2411</v>
      </c>
      <c r="P230" s="415">
        <v>2</v>
      </c>
      <c r="Q230" s="415">
        <v>30</v>
      </c>
      <c r="R230" s="415">
        <v>5</v>
      </c>
      <c r="S230" s="415">
        <f t="shared" si="9"/>
        <v>5</v>
      </c>
      <c r="T230" s="419">
        <f t="shared" si="10"/>
        <v>0.83333333333333337</v>
      </c>
      <c r="U230" s="419">
        <f t="shared" si="11"/>
        <v>5.833333333333333</v>
      </c>
      <c r="V230" s="415" t="s">
        <v>662</v>
      </c>
      <c r="W230" s="415" t="s">
        <v>610</v>
      </c>
      <c r="X230" s="415" t="s">
        <v>673</v>
      </c>
      <c r="Y230" s="415"/>
    </row>
    <row r="231" spans="1:25" hidden="1" x14ac:dyDescent="0.25">
      <c r="A231" s="415">
        <v>230</v>
      </c>
      <c r="B231" s="415">
        <v>146</v>
      </c>
      <c r="C231" s="415">
        <v>196035</v>
      </c>
      <c r="D231" s="416" t="s">
        <v>1380</v>
      </c>
      <c r="E231" s="416" t="s">
        <v>496</v>
      </c>
      <c r="F231" s="416" t="s">
        <v>497</v>
      </c>
      <c r="G231" s="416" t="s">
        <v>1377</v>
      </c>
      <c r="H231" s="416" t="s">
        <v>1381</v>
      </c>
      <c r="I231" s="416" t="s">
        <v>1381</v>
      </c>
      <c r="J231" s="415" t="s">
        <v>661</v>
      </c>
      <c r="K231" s="417">
        <v>-10.3714</v>
      </c>
      <c r="L231" s="417">
        <v>-76.102500000000006</v>
      </c>
      <c r="M231" s="418">
        <v>30</v>
      </c>
      <c r="N231" s="418" t="s">
        <v>2310</v>
      </c>
      <c r="O231" s="418" t="s">
        <v>2411</v>
      </c>
      <c r="P231" s="415">
        <v>2</v>
      </c>
      <c r="Q231" s="415">
        <v>30</v>
      </c>
      <c r="R231" s="415">
        <v>5</v>
      </c>
      <c r="S231" s="415">
        <f t="shared" si="9"/>
        <v>5</v>
      </c>
      <c r="T231" s="419">
        <f t="shared" si="10"/>
        <v>0.83333333333333337</v>
      </c>
      <c r="U231" s="419">
        <f t="shared" si="11"/>
        <v>5.833333333333333</v>
      </c>
      <c r="V231" s="415" t="s">
        <v>662</v>
      </c>
      <c r="W231" s="415" t="s">
        <v>610</v>
      </c>
      <c r="X231" s="415" t="s">
        <v>673</v>
      </c>
      <c r="Y231" s="415"/>
    </row>
    <row r="232" spans="1:25" hidden="1" x14ac:dyDescent="0.25">
      <c r="A232" s="415">
        <v>231</v>
      </c>
      <c r="B232" s="415">
        <v>147</v>
      </c>
      <c r="C232" s="415">
        <v>195903</v>
      </c>
      <c r="D232" s="416" t="s">
        <v>2606</v>
      </c>
      <c r="E232" s="416" t="s">
        <v>496</v>
      </c>
      <c r="F232" s="416" t="s">
        <v>497</v>
      </c>
      <c r="G232" s="416" t="s">
        <v>1377</v>
      </c>
      <c r="H232" s="416" t="s">
        <v>2607</v>
      </c>
      <c r="I232" s="416" t="s">
        <v>2608</v>
      </c>
      <c r="J232" s="415" t="s">
        <v>661</v>
      </c>
      <c r="K232" s="417">
        <v>-10.340400000000001</v>
      </c>
      <c r="L232" s="417">
        <v>-76.168099999999995</v>
      </c>
      <c r="M232" s="418">
        <v>30</v>
      </c>
      <c r="N232" s="418" t="s">
        <v>2310</v>
      </c>
      <c r="O232" s="418" t="s">
        <v>2411</v>
      </c>
      <c r="P232" s="415">
        <v>2</v>
      </c>
      <c r="Q232" s="415">
        <v>30</v>
      </c>
      <c r="R232" s="415">
        <v>5</v>
      </c>
      <c r="S232" s="415">
        <f t="shared" si="9"/>
        <v>5</v>
      </c>
      <c r="T232" s="419">
        <f t="shared" si="10"/>
        <v>0.83333333333333337</v>
      </c>
      <c r="U232" s="419">
        <f t="shared" si="11"/>
        <v>5.833333333333333</v>
      </c>
      <c r="V232" s="415" t="s">
        <v>662</v>
      </c>
      <c r="W232" s="415" t="s">
        <v>610</v>
      </c>
      <c r="X232" s="415" t="s">
        <v>673</v>
      </c>
      <c r="Y232" s="415"/>
    </row>
    <row r="233" spans="1:25" hidden="1" x14ac:dyDescent="0.25">
      <c r="A233" s="415">
        <v>232</v>
      </c>
      <c r="B233" s="415">
        <v>148</v>
      </c>
      <c r="C233" s="415">
        <v>195941</v>
      </c>
      <c r="D233" s="416" t="s">
        <v>2609</v>
      </c>
      <c r="E233" s="416" t="s">
        <v>496</v>
      </c>
      <c r="F233" s="416" t="s">
        <v>497</v>
      </c>
      <c r="G233" s="416" t="s">
        <v>1377</v>
      </c>
      <c r="H233" s="416" t="s">
        <v>2610</v>
      </c>
      <c r="I233" s="416" t="s">
        <v>2610</v>
      </c>
      <c r="J233" s="415" t="s">
        <v>661</v>
      </c>
      <c r="K233" s="417">
        <v>-10.2742</v>
      </c>
      <c r="L233" s="417">
        <v>-76.126800000000003</v>
      </c>
      <c r="M233" s="418">
        <v>30</v>
      </c>
      <c r="N233" s="418" t="s">
        <v>2310</v>
      </c>
      <c r="O233" s="418" t="s">
        <v>2411</v>
      </c>
      <c r="P233" s="415">
        <v>2</v>
      </c>
      <c r="Q233" s="415">
        <v>30</v>
      </c>
      <c r="R233" s="415">
        <v>5</v>
      </c>
      <c r="S233" s="415">
        <f t="shared" si="9"/>
        <v>5</v>
      </c>
      <c r="T233" s="419">
        <f t="shared" si="10"/>
        <v>0.83333333333333337</v>
      </c>
      <c r="U233" s="419">
        <f t="shared" si="11"/>
        <v>5.833333333333333</v>
      </c>
      <c r="V233" s="415" t="s">
        <v>662</v>
      </c>
      <c r="W233" s="415" t="s">
        <v>610</v>
      </c>
      <c r="X233" s="415" t="s">
        <v>673</v>
      </c>
      <c r="Y233" s="415"/>
    </row>
    <row r="234" spans="1:25" hidden="1" x14ac:dyDescent="0.25">
      <c r="A234" s="415">
        <v>233</v>
      </c>
      <c r="B234" s="415">
        <v>149</v>
      </c>
      <c r="C234" s="415">
        <v>196808</v>
      </c>
      <c r="D234" s="416" t="s">
        <v>1386</v>
      </c>
      <c r="E234" s="416" t="s">
        <v>496</v>
      </c>
      <c r="F234" s="416" t="s">
        <v>498</v>
      </c>
      <c r="G234" s="416" t="s">
        <v>1382</v>
      </c>
      <c r="H234" s="416" t="s">
        <v>1387</v>
      </c>
      <c r="I234" s="416" t="s">
        <v>1387</v>
      </c>
      <c r="J234" s="415" t="s">
        <v>661</v>
      </c>
      <c r="K234" s="417">
        <v>-9.3589780000000005</v>
      </c>
      <c r="L234" s="417">
        <v>-76.402935999999997</v>
      </c>
      <c r="M234" s="418">
        <v>30</v>
      </c>
      <c r="N234" s="418" t="s">
        <v>2310</v>
      </c>
      <c r="O234" s="418" t="s">
        <v>2411</v>
      </c>
      <c r="P234" s="415">
        <v>2</v>
      </c>
      <c r="Q234" s="415">
        <v>30</v>
      </c>
      <c r="R234" s="415">
        <v>5</v>
      </c>
      <c r="S234" s="415">
        <f t="shared" si="9"/>
        <v>5</v>
      </c>
      <c r="T234" s="419">
        <f t="shared" si="10"/>
        <v>0.83333333333333337</v>
      </c>
      <c r="U234" s="419">
        <f t="shared" si="11"/>
        <v>5.833333333333333</v>
      </c>
      <c r="V234" s="415" t="s">
        <v>662</v>
      </c>
      <c r="W234" s="415" t="s">
        <v>610</v>
      </c>
      <c r="X234" s="415" t="s">
        <v>673</v>
      </c>
      <c r="Y234" s="415"/>
    </row>
    <row r="235" spans="1:25" hidden="1" x14ac:dyDescent="0.25">
      <c r="A235" s="415">
        <v>234</v>
      </c>
      <c r="B235" s="415">
        <v>150</v>
      </c>
      <c r="C235" s="415">
        <v>196733</v>
      </c>
      <c r="D235" s="416" t="s">
        <v>1384</v>
      </c>
      <c r="E235" s="416" t="s">
        <v>496</v>
      </c>
      <c r="F235" s="416" t="s">
        <v>498</v>
      </c>
      <c r="G235" s="416" t="s">
        <v>1382</v>
      </c>
      <c r="H235" s="416" t="s">
        <v>1385</v>
      </c>
      <c r="I235" s="416" t="s">
        <v>1385</v>
      </c>
      <c r="J235" s="415" t="s">
        <v>661</v>
      </c>
      <c r="K235" s="417">
        <v>-9.5327610000000007</v>
      </c>
      <c r="L235" s="417">
        <v>-76.364000000000004</v>
      </c>
      <c r="M235" s="418">
        <v>30</v>
      </c>
      <c r="N235" s="418" t="s">
        <v>2310</v>
      </c>
      <c r="O235" s="418" t="s">
        <v>2411</v>
      </c>
      <c r="P235" s="415">
        <v>2</v>
      </c>
      <c r="Q235" s="415">
        <v>30</v>
      </c>
      <c r="R235" s="415">
        <v>5</v>
      </c>
      <c r="S235" s="415">
        <f t="shared" si="9"/>
        <v>5</v>
      </c>
      <c r="T235" s="419">
        <f t="shared" si="10"/>
        <v>0.83333333333333337</v>
      </c>
      <c r="U235" s="419">
        <f t="shared" si="11"/>
        <v>5.833333333333333</v>
      </c>
      <c r="V235" s="415" t="s">
        <v>662</v>
      </c>
      <c r="W235" s="415" t="s">
        <v>610</v>
      </c>
      <c r="X235" s="415" t="s">
        <v>673</v>
      </c>
      <c r="Y235" s="415"/>
    </row>
    <row r="236" spans="1:25" hidden="1" x14ac:dyDescent="0.25">
      <c r="A236" s="415">
        <v>235</v>
      </c>
      <c r="B236" s="415">
        <v>151</v>
      </c>
      <c r="C236" s="415">
        <v>196686</v>
      </c>
      <c r="D236" s="416" t="s">
        <v>830</v>
      </c>
      <c r="E236" s="416" t="s">
        <v>496</v>
      </c>
      <c r="F236" s="416" t="s">
        <v>498</v>
      </c>
      <c r="G236" s="416" t="s">
        <v>1382</v>
      </c>
      <c r="H236" s="416" t="s">
        <v>1383</v>
      </c>
      <c r="I236" s="416" t="s">
        <v>1383</v>
      </c>
      <c r="J236" s="415" t="s">
        <v>661</v>
      </c>
      <c r="K236" s="417">
        <v>-9.6044999999999998</v>
      </c>
      <c r="L236" s="417">
        <v>-76.499610000000004</v>
      </c>
      <c r="M236" s="418">
        <v>30</v>
      </c>
      <c r="N236" s="418" t="s">
        <v>2310</v>
      </c>
      <c r="O236" s="418" t="s">
        <v>2411</v>
      </c>
      <c r="P236" s="415">
        <v>2</v>
      </c>
      <c r="Q236" s="415">
        <v>30</v>
      </c>
      <c r="R236" s="415">
        <v>5</v>
      </c>
      <c r="S236" s="415">
        <f t="shared" si="9"/>
        <v>5</v>
      </c>
      <c r="T236" s="419">
        <f t="shared" si="10"/>
        <v>0.83333333333333337</v>
      </c>
      <c r="U236" s="419">
        <f t="shared" si="11"/>
        <v>5.833333333333333</v>
      </c>
      <c r="V236" s="415" t="s">
        <v>662</v>
      </c>
      <c r="W236" s="415" t="s">
        <v>610</v>
      </c>
      <c r="X236" s="415" t="s">
        <v>673</v>
      </c>
      <c r="Y236" s="415"/>
    </row>
    <row r="237" spans="1:25" hidden="1" x14ac:dyDescent="0.25">
      <c r="A237" s="415">
        <v>236</v>
      </c>
      <c r="B237" s="415">
        <v>152</v>
      </c>
      <c r="C237" s="415">
        <v>197025</v>
      </c>
      <c r="D237" s="416" t="s">
        <v>1388</v>
      </c>
      <c r="E237" s="416" t="s">
        <v>496</v>
      </c>
      <c r="F237" s="416" t="s">
        <v>498</v>
      </c>
      <c r="G237" s="416" t="s">
        <v>1389</v>
      </c>
      <c r="H237" s="416" t="s">
        <v>1390</v>
      </c>
      <c r="I237" s="416" t="s">
        <v>1391</v>
      </c>
      <c r="J237" s="415" t="s">
        <v>661</v>
      </c>
      <c r="K237" s="417">
        <v>-9.6924620000000008</v>
      </c>
      <c r="L237" s="417">
        <v>-76.758645999999999</v>
      </c>
      <c r="M237" s="418">
        <v>30</v>
      </c>
      <c r="N237" s="418" t="s">
        <v>2310</v>
      </c>
      <c r="O237" s="418" t="s">
        <v>2411</v>
      </c>
      <c r="P237" s="415">
        <v>2</v>
      </c>
      <c r="Q237" s="415">
        <v>30</v>
      </c>
      <c r="R237" s="415">
        <v>5</v>
      </c>
      <c r="S237" s="415">
        <f t="shared" si="9"/>
        <v>5</v>
      </c>
      <c r="T237" s="419">
        <f t="shared" si="10"/>
        <v>0.83333333333333337</v>
      </c>
      <c r="U237" s="419">
        <f t="shared" si="11"/>
        <v>5.833333333333333</v>
      </c>
      <c r="V237" s="415" t="s">
        <v>662</v>
      </c>
      <c r="W237" s="415" t="s">
        <v>610</v>
      </c>
      <c r="X237" s="415" t="s">
        <v>673</v>
      </c>
      <c r="Y237" s="415"/>
    </row>
    <row r="238" spans="1:25" hidden="1" x14ac:dyDescent="0.25">
      <c r="A238" s="415">
        <v>237</v>
      </c>
      <c r="B238" s="415">
        <v>153</v>
      </c>
      <c r="C238" s="415">
        <v>197412</v>
      </c>
      <c r="D238" s="416" t="s">
        <v>1393</v>
      </c>
      <c r="E238" s="416" t="s">
        <v>496</v>
      </c>
      <c r="F238" s="416" t="s">
        <v>498</v>
      </c>
      <c r="G238" s="416" t="s">
        <v>1392</v>
      </c>
      <c r="H238" s="416" t="s">
        <v>1394</v>
      </c>
      <c r="I238" s="416" t="s">
        <v>1394</v>
      </c>
      <c r="J238" s="415" t="s">
        <v>661</v>
      </c>
      <c r="K238" s="417">
        <v>-9.807105</v>
      </c>
      <c r="L238" s="417">
        <v>-76.801145000000005</v>
      </c>
      <c r="M238" s="418">
        <v>30</v>
      </c>
      <c r="N238" s="418" t="s">
        <v>2310</v>
      </c>
      <c r="O238" s="418" t="s">
        <v>2411</v>
      </c>
      <c r="P238" s="415">
        <v>2</v>
      </c>
      <c r="Q238" s="415">
        <v>30</v>
      </c>
      <c r="R238" s="415">
        <v>5</v>
      </c>
      <c r="S238" s="415">
        <f t="shared" si="9"/>
        <v>5</v>
      </c>
      <c r="T238" s="419">
        <f t="shared" si="10"/>
        <v>0.83333333333333337</v>
      </c>
      <c r="U238" s="419">
        <f t="shared" si="11"/>
        <v>5.833333333333333</v>
      </c>
      <c r="V238" s="415" t="s">
        <v>662</v>
      </c>
      <c r="W238" s="415" t="s">
        <v>610</v>
      </c>
      <c r="X238" s="415" t="s">
        <v>673</v>
      </c>
      <c r="Y238" s="415"/>
    </row>
    <row r="239" spans="1:25" hidden="1" x14ac:dyDescent="0.25">
      <c r="A239" s="415">
        <v>238</v>
      </c>
      <c r="B239" s="415">
        <v>154</v>
      </c>
      <c r="C239" s="415">
        <v>198708</v>
      </c>
      <c r="D239" s="416" t="s">
        <v>2611</v>
      </c>
      <c r="E239" s="416" t="s">
        <v>496</v>
      </c>
      <c r="F239" s="416" t="s">
        <v>499</v>
      </c>
      <c r="G239" s="416" t="s">
        <v>1396</v>
      </c>
      <c r="H239" s="416" t="s">
        <v>2612</v>
      </c>
      <c r="I239" s="416" t="s">
        <v>2612</v>
      </c>
      <c r="J239" s="415" t="s">
        <v>661</v>
      </c>
      <c r="K239" s="417">
        <v>-8.9219000000000008</v>
      </c>
      <c r="L239" s="417">
        <v>-76.993799999999993</v>
      </c>
      <c r="M239" s="418">
        <v>30</v>
      </c>
      <c r="N239" s="418" t="s">
        <v>2310</v>
      </c>
      <c r="O239" s="418" t="s">
        <v>2411</v>
      </c>
      <c r="P239" s="415">
        <v>2</v>
      </c>
      <c r="Q239" s="415">
        <v>30</v>
      </c>
      <c r="R239" s="415">
        <v>5</v>
      </c>
      <c r="S239" s="415">
        <f t="shared" si="9"/>
        <v>5</v>
      </c>
      <c r="T239" s="419">
        <f t="shared" si="10"/>
        <v>0.83333333333333337</v>
      </c>
      <c r="U239" s="419">
        <f t="shared" si="11"/>
        <v>5.833333333333333</v>
      </c>
      <c r="V239" s="415" t="s">
        <v>662</v>
      </c>
      <c r="W239" s="415" t="s">
        <v>616</v>
      </c>
      <c r="X239" s="415" t="s">
        <v>666</v>
      </c>
      <c r="Y239" s="415"/>
    </row>
    <row r="240" spans="1:25" hidden="1" x14ac:dyDescent="0.25">
      <c r="A240" s="415">
        <v>239</v>
      </c>
      <c r="B240" s="415">
        <v>155</v>
      </c>
      <c r="C240" s="415">
        <v>198666</v>
      </c>
      <c r="D240" s="416" t="s">
        <v>1395</v>
      </c>
      <c r="E240" s="416" t="s">
        <v>496</v>
      </c>
      <c r="F240" s="416" t="s">
        <v>499</v>
      </c>
      <c r="G240" s="416" t="s">
        <v>1396</v>
      </c>
      <c r="H240" s="416" t="s">
        <v>1078</v>
      </c>
      <c r="I240" s="416" t="s">
        <v>1078</v>
      </c>
      <c r="J240" s="415" t="s">
        <v>661</v>
      </c>
      <c r="K240" s="417">
        <v>-8.9062000000000001</v>
      </c>
      <c r="L240" s="417">
        <v>-76.9893</v>
      </c>
      <c r="M240" s="418">
        <v>30</v>
      </c>
      <c r="N240" s="418" t="s">
        <v>2310</v>
      </c>
      <c r="O240" s="418" t="s">
        <v>2411</v>
      </c>
      <c r="P240" s="415">
        <v>2</v>
      </c>
      <c r="Q240" s="415">
        <v>30</v>
      </c>
      <c r="R240" s="415">
        <v>5</v>
      </c>
      <c r="S240" s="415">
        <f t="shared" si="9"/>
        <v>5</v>
      </c>
      <c r="T240" s="419">
        <f t="shared" si="10"/>
        <v>0.83333333333333337</v>
      </c>
      <c r="U240" s="419">
        <f t="shared" si="11"/>
        <v>5.833333333333333</v>
      </c>
      <c r="V240" s="415" t="s">
        <v>662</v>
      </c>
      <c r="W240" s="415" t="s">
        <v>616</v>
      </c>
      <c r="X240" s="415" t="s">
        <v>666</v>
      </c>
      <c r="Y240" s="415"/>
    </row>
    <row r="241" spans="1:25" hidden="1" x14ac:dyDescent="0.25">
      <c r="A241" s="415">
        <v>240</v>
      </c>
      <c r="B241" s="415">
        <v>156</v>
      </c>
      <c r="C241" s="415">
        <v>199152</v>
      </c>
      <c r="D241" s="416" t="s">
        <v>1399</v>
      </c>
      <c r="E241" s="416" t="s">
        <v>496</v>
      </c>
      <c r="F241" s="416" t="s">
        <v>500</v>
      </c>
      <c r="G241" s="416" t="s">
        <v>1397</v>
      </c>
      <c r="H241" s="416" t="s">
        <v>1400</v>
      </c>
      <c r="I241" s="416" t="s">
        <v>1401</v>
      </c>
      <c r="J241" s="415" t="s">
        <v>661</v>
      </c>
      <c r="K241" s="417">
        <v>-9.5271539999999995</v>
      </c>
      <c r="L241" s="417">
        <v>-76.827324000000004</v>
      </c>
      <c r="M241" s="418">
        <v>30</v>
      </c>
      <c r="N241" s="418" t="s">
        <v>2310</v>
      </c>
      <c r="O241" s="418" t="s">
        <v>2411</v>
      </c>
      <c r="P241" s="415">
        <v>2</v>
      </c>
      <c r="Q241" s="415">
        <v>30</v>
      </c>
      <c r="R241" s="415">
        <v>5</v>
      </c>
      <c r="S241" s="415">
        <f t="shared" si="9"/>
        <v>5</v>
      </c>
      <c r="T241" s="419">
        <f t="shared" si="10"/>
        <v>0.83333333333333337</v>
      </c>
      <c r="U241" s="419">
        <f t="shared" si="11"/>
        <v>5.833333333333333</v>
      </c>
      <c r="V241" s="415" t="s">
        <v>662</v>
      </c>
      <c r="W241" s="415" t="s">
        <v>610</v>
      </c>
      <c r="X241" s="415" t="s">
        <v>673</v>
      </c>
      <c r="Y241" s="415"/>
    </row>
    <row r="242" spans="1:25" hidden="1" x14ac:dyDescent="0.25">
      <c r="A242" s="415">
        <v>241</v>
      </c>
      <c r="B242" s="415">
        <v>157</v>
      </c>
      <c r="C242" s="415">
        <v>191146</v>
      </c>
      <c r="D242" s="416" t="s">
        <v>1331</v>
      </c>
      <c r="E242" s="416" t="s">
        <v>496</v>
      </c>
      <c r="F242" s="416" t="s">
        <v>496</v>
      </c>
      <c r="G242" s="416" t="s">
        <v>1332</v>
      </c>
      <c r="H242" s="416" t="s">
        <v>1333</v>
      </c>
      <c r="I242" s="416" t="s">
        <v>1333</v>
      </c>
      <c r="J242" s="415" t="s">
        <v>661</v>
      </c>
      <c r="K242" s="417">
        <v>-9.9187999999999992</v>
      </c>
      <c r="L242" s="417">
        <v>-76.191400000000002</v>
      </c>
      <c r="M242" s="418">
        <v>30</v>
      </c>
      <c r="N242" s="418" t="s">
        <v>2310</v>
      </c>
      <c r="O242" s="418" t="s">
        <v>2411</v>
      </c>
      <c r="P242" s="415">
        <v>2</v>
      </c>
      <c r="Q242" s="415">
        <v>30</v>
      </c>
      <c r="R242" s="415">
        <v>5</v>
      </c>
      <c r="S242" s="415">
        <f t="shared" si="9"/>
        <v>5</v>
      </c>
      <c r="T242" s="419">
        <f t="shared" si="10"/>
        <v>0.83333333333333337</v>
      </c>
      <c r="U242" s="419">
        <f t="shared" si="11"/>
        <v>5.833333333333333</v>
      </c>
      <c r="V242" s="415" t="s">
        <v>662</v>
      </c>
      <c r="W242" s="415" t="s">
        <v>610</v>
      </c>
      <c r="X242" s="415" t="s">
        <v>673</v>
      </c>
      <c r="Y242" s="415"/>
    </row>
    <row r="243" spans="1:25" hidden="1" x14ac:dyDescent="0.25">
      <c r="A243" s="415">
        <v>242</v>
      </c>
      <c r="B243" s="415">
        <v>158</v>
      </c>
      <c r="C243" s="415">
        <v>191212</v>
      </c>
      <c r="D243" s="416" t="s">
        <v>2613</v>
      </c>
      <c r="E243" s="416" t="s">
        <v>496</v>
      </c>
      <c r="F243" s="416" t="s">
        <v>496</v>
      </c>
      <c r="G243" s="416" t="s">
        <v>1332</v>
      </c>
      <c r="H243" s="416" t="s">
        <v>2614</v>
      </c>
      <c r="I243" s="416" t="s">
        <v>2614</v>
      </c>
      <c r="J243" s="415" t="s">
        <v>661</v>
      </c>
      <c r="K243" s="417">
        <v>-9.9428999999999998</v>
      </c>
      <c r="L243" s="417">
        <v>-76.157600000000002</v>
      </c>
      <c r="M243" s="418">
        <v>30</v>
      </c>
      <c r="N243" s="418" t="s">
        <v>2310</v>
      </c>
      <c r="O243" s="418" t="s">
        <v>2411</v>
      </c>
      <c r="P243" s="415">
        <v>2</v>
      </c>
      <c r="Q243" s="415">
        <v>30</v>
      </c>
      <c r="R243" s="415">
        <v>5</v>
      </c>
      <c r="S243" s="415">
        <f t="shared" si="9"/>
        <v>5</v>
      </c>
      <c r="T243" s="419">
        <f t="shared" si="10"/>
        <v>0.83333333333333337</v>
      </c>
      <c r="U243" s="419">
        <f t="shared" si="11"/>
        <v>5.833333333333333</v>
      </c>
      <c r="V243" s="415" t="s">
        <v>662</v>
      </c>
      <c r="W243" s="415" t="s">
        <v>610</v>
      </c>
      <c r="X243" s="415" t="s">
        <v>673</v>
      </c>
      <c r="Y243" s="415"/>
    </row>
    <row r="244" spans="1:25" hidden="1" x14ac:dyDescent="0.25">
      <c r="A244" s="415">
        <v>243</v>
      </c>
      <c r="B244" s="415">
        <v>159</v>
      </c>
      <c r="C244" s="415">
        <v>191165</v>
      </c>
      <c r="D244" s="416" t="s">
        <v>2615</v>
      </c>
      <c r="E244" s="416" t="s">
        <v>496</v>
      </c>
      <c r="F244" s="416" t="s">
        <v>496</v>
      </c>
      <c r="G244" s="416" t="s">
        <v>1332</v>
      </c>
      <c r="H244" s="416" t="s">
        <v>2616</v>
      </c>
      <c r="I244" s="416" t="s">
        <v>2616</v>
      </c>
      <c r="J244" s="415" t="s">
        <v>661</v>
      </c>
      <c r="K244" s="417">
        <v>-9.9114000000000004</v>
      </c>
      <c r="L244" s="417">
        <v>-76.2012</v>
      </c>
      <c r="M244" s="418">
        <v>30</v>
      </c>
      <c r="N244" s="418" t="s">
        <v>2310</v>
      </c>
      <c r="O244" s="418" t="s">
        <v>2411</v>
      </c>
      <c r="P244" s="415">
        <v>2</v>
      </c>
      <c r="Q244" s="415">
        <v>30</v>
      </c>
      <c r="R244" s="415">
        <v>5</v>
      </c>
      <c r="S244" s="415">
        <f t="shared" si="9"/>
        <v>5</v>
      </c>
      <c r="T244" s="419">
        <f t="shared" si="10"/>
        <v>0.83333333333333337</v>
      </c>
      <c r="U244" s="419">
        <f t="shared" si="11"/>
        <v>5.833333333333333</v>
      </c>
      <c r="V244" s="415" t="s">
        <v>662</v>
      </c>
      <c r="W244" s="415" t="s">
        <v>610</v>
      </c>
      <c r="X244" s="415" t="s">
        <v>673</v>
      </c>
      <c r="Y244" s="415"/>
    </row>
    <row r="245" spans="1:25" hidden="1" x14ac:dyDescent="0.25">
      <c r="A245" s="415">
        <v>244</v>
      </c>
      <c r="B245" s="415">
        <v>160</v>
      </c>
      <c r="C245" s="415">
        <v>192297</v>
      </c>
      <c r="D245" s="416" t="s">
        <v>1339</v>
      </c>
      <c r="E245" s="416" t="s">
        <v>496</v>
      </c>
      <c r="F245" s="416" t="s">
        <v>496</v>
      </c>
      <c r="G245" s="416" t="s">
        <v>1334</v>
      </c>
      <c r="H245" s="416" t="s">
        <v>482</v>
      </c>
      <c r="I245" s="416" t="s">
        <v>1340</v>
      </c>
      <c r="J245" s="415" t="s">
        <v>747</v>
      </c>
      <c r="K245" s="417">
        <v>-9.8005890000000004</v>
      </c>
      <c r="L245" s="417">
        <v>-76.073184999999995</v>
      </c>
      <c r="M245" s="418">
        <v>30</v>
      </c>
      <c r="N245" s="418" t="s">
        <v>2310</v>
      </c>
      <c r="O245" s="418" t="s">
        <v>2411</v>
      </c>
      <c r="P245" s="415">
        <v>2</v>
      </c>
      <c r="Q245" s="415">
        <v>30</v>
      </c>
      <c r="R245" s="415">
        <v>5</v>
      </c>
      <c r="S245" s="415">
        <f t="shared" si="9"/>
        <v>5</v>
      </c>
      <c r="T245" s="419">
        <f t="shared" si="10"/>
        <v>0.83333333333333337</v>
      </c>
      <c r="U245" s="419">
        <f t="shared" si="11"/>
        <v>5.833333333333333</v>
      </c>
      <c r="V245" s="415" t="s">
        <v>662</v>
      </c>
      <c r="W245" s="415" t="s">
        <v>610</v>
      </c>
      <c r="X245" s="415" t="s">
        <v>673</v>
      </c>
      <c r="Y245" s="415"/>
    </row>
    <row r="246" spans="1:25" hidden="1" x14ac:dyDescent="0.25">
      <c r="A246" s="415">
        <v>245</v>
      </c>
      <c r="B246" s="415">
        <v>161</v>
      </c>
      <c r="C246" s="415">
        <v>191976</v>
      </c>
      <c r="D246" s="416" t="s">
        <v>1336</v>
      </c>
      <c r="E246" s="416" t="s">
        <v>496</v>
      </c>
      <c r="F246" s="416" t="s">
        <v>496</v>
      </c>
      <c r="G246" s="416" t="s">
        <v>1334</v>
      </c>
      <c r="H246" s="416" t="s">
        <v>1337</v>
      </c>
      <c r="I246" s="416" t="s">
        <v>1338</v>
      </c>
      <c r="J246" s="415" t="s">
        <v>661</v>
      </c>
      <c r="K246" s="417">
        <v>-9.5885400000000001</v>
      </c>
      <c r="L246" s="417">
        <v>-76.028779999999998</v>
      </c>
      <c r="M246" s="418">
        <v>30</v>
      </c>
      <c r="N246" s="418" t="s">
        <v>2310</v>
      </c>
      <c r="O246" s="418" t="s">
        <v>2411</v>
      </c>
      <c r="P246" s="415">
        <v>2</v>
      </c>
      <c r="Q246" s="415">
        <v>30</v>
      </c>
      <c r="R246" s="415">
        <v>5</v>
      </c>
      <c r="S246" s="415">
        <f t="shared" si="9"/>
        <v>5</v>
      </c>
      <c r="T246" s="419">
        <f t="shared" si="10"/>
        <v>0.83333333333333337</v>
      </c>
      <c r="U246" s="419">
        <f t="shared" si="11"/>
        <v>5.833333333333333</v>
      </c>
      <c r="V246" s="415" t="s">
        <v>662</v>
      </c>
      <c r="W246" s="415" t="s">
        <v>610</v>
      </c>
      <c r="X246" s="415" t="s">
        <v>673</v>
      </c>
      <c r="Y246" s="415"/>
    </row>
    <row r="247" spans="1:25" hidden="1" x14ac:dyDescent="0.25">
      <c r="A247" s="415">
        <v>246</v>
      </c>
      <c r="B247" s="415">
        <v>162</v>
      </c>
      <c r="C247" s="415">
        <v>191797</v>
      </c>
      <c r="D247" s="416" t="s">
        <v>2617</v>
      </c>
      <c r="E247" s="416" t="s">
        <v>496</v>
      </c>
      <c r="F247" s="416" t="s">
        <v>496</v>
      </c>
      <c r="G247" s="416" t="s">
        <v>1334</v>
      </c>
      <c r="H247" s="416" t="s">
        <v>2618</v>
      </c>
      <c r="I247" s="416" t="s">
        <v>2618</v>
      </c>
      <c r="J247" s="415" t="s">
        <v>661</v>
      </c>
      <c r="K247" s="417">
        <v>-9.5581999999999994</v>
      </c>
      <c r="L247" s="417">
        <v>-76.017169999999993</v>
      </c>
      <c r="M247" s="418">
        <v>30</v>
      </c>
      <c r="N247" s="418" t="s">
        <v>2310</v>
      </c>
      <c r="O247" s="418" t="s">
        <v>2411</v>
      </c>
      <c r="P247" s="415">
        <v>2</v>
      </c>
      <c r="Q247" s="415">
        <v>30</v>
      </c>
      <c r="R247" s="415">
        <v>5</v>
      </c>
      <c r="S247" s="415">
        <f t="shared" si="9"/>
        <v>5</v>
      </c>
      <c r="T247" s="419">
        <f t="shared" si="10"/>
        <v>0.83333333333333337</v>
      </c>
      <c r="U247" s="419">
        <f t="shared" si="11"/>
        <v>5.833333333333333</v>
      </c>
      <c r="V247" s="415" t="s">
        <v>662</v>
      </c>
      <c r="W247" s="415" t="s">
        <v>610</v>
      </c>
      <c r="X247" s="415" t="s">
        <v>673</v>
      </c>
      <c r="Y247" s="415"/>
    </row>
    <row r="248" spans="1:25" hidden="1" x14ac:dyDescent="0.25">
      <c r="A248" s="415">
        <v>247</v>
      </c>
      <c r="B248" s="415">
        <v>163</v>
      </c>
      <c r="C248" s="415">
        <v>191957</v>
      </c>
      <c r="D248" s="416" t="s">
        <v>1335</v>
      </c>
      <c r="E248" s="416" t="s">
        <v>496</v>
      </c>
      <c r="F248" s="416" t="s">
        <v>496</v>
      </c>
      <c r="G248" s="416" t="s">
        <v>1334</v>
      </c>
      <c r="H248" s="416" t="s">
        <v>472</v>
      </c>
      <c r="I248" s="416" t="s">
        <v>472</v>
      </c>
      <c r="J248" s="415" t="s">
        <v>661</v>
      </c>
      <c r="K248" s="417">
        <v>-9.4983310000000003</v>
      </c>
      <c r="L248" s="417">
        <v>-75.910600000000002</v>
      </c>
      <c r="M248" s="418">
        <v>30</v>
      </c>
      <c r="N248" s="418" t="s">
        <v>2310</v>
      </c>
      <c r="O248" s="418" t="s">
        <v>2411</v>
      </c>
      <c r="P248" s="415">
        <v>2</v>
      </c>
      <c r="Q248" s="415">
        <v>30</v>
      </c>
      <c r="R248" s="415">
        <v>5</v>
      </c>
      <c r="S248" s="415">
        <f t="shared" si="9"/>
        <v>5</v>
      </c>
      <c r="T248" s="419">
        <f t="shared" si="10"/>
        <v>0.83333333333333337</v>
      </c>
      <c r="U248" s="419">
        <f t="shared" si="11"/>
        <v>5.833333333333333</v>
      </c>
      <c r="V248" s="415" t="s">
        <v>662</v>
      </c>
      <c r="W248" s="415" t="s">
        <v>610</v>
      </c>
      <c r="X248" s="415" t="s">
        <v>673</v>
      </c>
      <c r="Y248" s="415"/>
    </row>
    <row r="249" spans="1:25" hidden="1" x14ac:dyDescent="0.25">
      <c r="A249" s="415">
        <v>248</v>
      </c>
      <c r="B249" s="415">
        <v>164</v>
      </c>
      <c r="C249" s="415">
        <v>192400</v>
      </c>
      <c r="D249" s="416" t="s">
        <v>2619</v>
      </c>
      <c r="E249" s="416" t="s">
        <v>496</v>
      </c>
      <c r="F249" s="416" t="s">
        <v>496</v>
      </c>
      <c r="G249" s="416" t="s">
        <v>1342</v>
      </c>
      <c r="H249" s="416" t="s">
        <v>2620</v>
      </c>
      <c r="I249" s="416" t="s">
        <v>2620</v>
      </c>
      <c r="J249" s="415" t="s">
        <v>661</v>
      </c>
      <c r="K249" s="417">
        <v>-9.8376000000000001</v>
      </c>
      <c r="L249" s="417">
        <v>-76.123800000000003</v>
      </c>
      <c r="M249" s="418">
        <v>30</v>
      </c>
      <c r="N249" s="418" t="s">
        <v>2310</v>
      </c>
      <c r="O249" s="418" t="s">
        <v>2411</v>
      </c>
      <c r="P249" s="415">
        <v>2</v>
      </c>
      <c r="Q249" s="415">
        <v>30</v>
      </c>
      <c r="R249" s="415">
        <v>5</v>
      </c>
      <c r="S249" s="415">
        <f t="shared" si="9"/>
        <v>5</v>
      </c>
      <c r="T249" s="419">
        <f t="shared" si="10"/>
        <v>0.83333333333333337</v>
      </c>
      <c r="U249" s="419">
        <f t="shared" si="11"/>
        <v>5.833333333333333</v>
      </c>
      <c r="V249" s="415" t="s">
        <v>662</v>
      </c>
      <c r="W249" s="415" t="s">
        <v>610</v>
      </c>
      <c r="X249" s="415" t="s">
        <v>673</v>
      </c>
      <c r="Y249" s="415"/>
    </row>
    <row r="250" spans="1:25" hidden="1" x14ac:dyDescent="0.25">
      <c r="A250" s="415">
        <v>249</v>
      </c>
      <c r="B250" s="415">
        <v>165</v>
      </c>
      <c r="C250" s="415">
        <v>192688</v>
      </c>
      <c r="D250" s="416" t="s">
        <v>1609</v>
      </c>
      <c r="E250" s="416" t="s">
        <v>496</v>
      </c>
      <c r="F250" s="416" t="s">
        <v>496</v>
      </c>
      <c r="G250" s="416" t="s">
        <v>1342</v>
      </c>
      <c r="H250" s="416" t="s">
        <v>2621</v>
      </c>
      <c r="I250" s="416" t="s">
        <v>1342</v>
      </c>
      <c r="J250" s="415" t="s">
        <v>661</v>
      </c>
      <c r="K250" s="417">
        <v>-9.8307260000000003</v>
      </c>
      <c r="L250" s="417">
        <v>-76.136047000000005</v>
      </c>
      <c r="M250" s="418">
        <v>30</v>
      </c>
      <c r="N250" s="418" t="s">
        <v>2310</v>
      </c>
      <c r="O250" s="418" t="s">
        <v>2411</v>
      </c>
      <c r="P250" s="415">
        <v>2</v>
      </c>
      <c r="Q250" s="415">
        <v>30</v>
      </c>
      <c r="R250" s="415">
        <v>5</v>
      </c>
      <c r="S250" s="415">
        <f t="shared" si="9"/>
        <v>5</v>
      </c>
      <c r="T250" s="419">
        <f t="shared" si="10"/>
        <v>0.83333333333333337</v>
      </c>
      <c r="U250" s="419">
        <f t="shared" si="11"/>
        <v>5.833333333333333</v>
      </c>
      <c r="V250" s="415" t="s">
        <v>662</v>
      </c>
      <c r="W250" s="415" t="s">
        <v>610</v>
      </c>
      <c r="X250" s="415" t="s">
        <v>673</v>
      </c>
      <c r="Y250" s="415"/>
    </row>
    <row r="251" spans="1:25" hidden="1" x14ac:dyDescent="0.25">
      <c r="A251" s="415">
        <v>250</v>
      </c>
      <c r="B251" s="415">
        <v>166</v>
      </c>
      <c r="C251" s="415">
        <v>192594</v>
      </c>
      <c r="D251" s="416" t="s">
        <v>2622</v>
      </c>
      <c r="E251" s="416" t="s">
        <v>496</v>
      </c>
      <c r="F251" s="416" t="s">
        <v>496</v>
      </c>
      <c r="G251" s="416" t="s">
        <v>1342</v>
      </c>
      <c r="H251" s="416" t="s">
        <v>2623</v>
      </c>
      <c r="I251" s="416" t="s">
        <v>2624</v>
      </c>
      <c r="J251" s="415" t="s">
        <v>661</v>
      </c>
      <c r="K251" s="417">
        <v>-9.7916000000000007</v>
      </c>
      <c r="L251" s="417">
        <v>-76.223100000000002</v>
      </c>
      <c r="M251" s="418">
        <v>30</v>
      </c>
      <c r="N251" s="418" t="s">
        <v>2310</v>
      </c>
      <c r="O251" s="418" t="s">
        <v>2411</v>
      </c>
      <c r="P251" s="415">
        <v>2</v>
      </c>
      <c r="Q251" s="415">
        <v>30</v>
      </c>
      <c r="R251" s="415">
        <v>5</v>
      </c>
      <c r="S251" s="415">
        <f t="shared" si="9"/>
        <v>5</v>
      </c>
      <c r="T251" s="419">
        <f t="shared" si="10"/>
        <v>0.83333333333333337</v>
      </c>
      <c r="U251" s="419">
        <f t="shared" si="11"/>
        <v>5.833333333333333</v>
      </c>
      <c r="V251" s="415" t="s">
        <v>662</v>
      </c>
      <c r="W251" s="415" t="s">
        <v>610</v>
      </c>
      <c r="X251" s="415" t="s">
        <v>673</v>
      </c>
      <c r="Y251" s="415"/>
    </row>
    <row r="252" spans="1:25" hidden="1" x14ac:dyDescent="0.25">
      <c r="A252" s="415">
        <v>251</v>
      </c>
      <c r="B252" s="415">
        <v>167</v>
      </c>
      <c r="C252" s="415">
        <v>192693</v>
      </c>
      <c r="D252" s="416" t="s">
        <v>1344</v>
      </c>
      <c r="E252" s="416" t="s">
        <v>496</v>
      </c>
      <c r="F252" s="416" t="s">
        <v>496</v>
      </c>
      <c r="G252" s="416" t="s">
        <v>1342</v>
      </c>
      <c r="H252" s="416" t="s">
        <v>1345</v>
      </c>
      <c r="I252" s="416" t="s">
        <v>1345</v>
      </c>
      <c r="J252" s="415" t="s">
        <v>661</v>
      </c>
      <c r="K252" s="417">
        <v>-9.7749469999999992</v>
      </c>
      <c r="L252" s="417">
        <v>-76.226073</v>
      </c>
      <c r="M252" s="418">
        <v>30</v>
      </c>
      <c r="N252" s="418" t="s">
        <v>2310</v>
      </c>
      <c r="O252" s="418" t="s">
        <v>2411</v>
      </c>
      <c r="P252" s="415">
        <v>2</v>
      </c>
      <c r="Q252" s="415">
        <v>30</v>
      </c>
      <c r="R252" s="415">
        <v>5</v>
      </c>
      <c r="S252" s="415">
        <f t="shared" si="9"/>
        <v>5</v>
      </c>
      <c r="T252" s="419">
        <f t="shared" si="10"/>
        <v>0.83333333333333337</v>
      </c>
      <c r="U252" s="419">
        <f t="shared" si="11"/>
        <v>5.833333333333333</v>
      </c>
      <c r="V252" s="415" t="s">
        <v>662</v>
      </c>
      <c r="W252" s="415" t="s">
        <v>610</v>
      </c>
      <c r="X252" s="415" t="s">
        <v>673</v>
      </c>
      <c r="Y252" s="415"/>
    </row>
    <row r="253" spans="1:25" hidden="1" x14ac:dyDescent="0.25">
      <c r="A253" s="415">
        <v>252</v>
      </c>
      <c r="B253" s="415">
        <v>168</v>
      </c>
      <c r="C253" s="415">
        <v>192457</v>
      </c>
      <c r="D253" s="416" t="s">
        <v>1341</v>
      </c>
      <c r="E253" s="416" t="s">
        <v>496</v>
      </c>
      <c r="F253" s="416" t="s">
        <v>496</v>
      </c>
      <c r="G253" s="416" t="s">
        <v>1342</v>
      </c>
      <c r="H253" s="416" t="s">
        <v>1343</v>
      </c>
      <c r="I253" s="416" t="s">
        <v>1343</v>
      </c>
      <c r="J253" s="415" t="s">
        <v>661</v>
      </c>
      <c r="K253" s="417">
        <v>-9.7662239999999994</v>
      </c>
      <c r="L253" s="417">
        <v>-76.214149000000006</v>
      </c>
      <c r="M253" s="418">
        <v>30</v>
      </c>
      <c r="N253" s="418" t="s">
        <v>2310</v>
      </c>
      <c r="O253" s="418" t="s">
        <v>2411</v>
      </c>
      <c r="P253" s="415">
        <v>2</v>
      </c>
      <c r="Q253" s="415">
        <v>30</v>
      </c>
      <c r="R253" s="415">
        <v>5</v>
      </c>
      <c r="S253" s="415">
        <f t="shared" si="9"/>
        <v>5</v>
      </c>
      <c r="T253" s="419">
        <f t="shared" si="10"/>
        <v>0.83333333333333337</v>
      </c>
      <c r="U253" s="419">
        <f t="shared" si="11"/>
        <v>5.833333333333333</v>
      </c>
      <c r="V253" s="415" t="s">
        <v>662</v>
      </c>
      <c r="W253" s="415" t="s">
        <v>610</v>
      </c>
      <c r="X253" s="415" t="s">
        <v>673</v>
      </c>
      <c r="Y253" s="415"/>
    </row>
    <row r="254" spans="1:25" hidden="1" x14ac:dyDescent="0.25">
      <c r="A254" s="415">
        <v>253</v>
      </c>
      <c r="B254" s="415">
        <v>169</v>
      </c>
      <c r="C254" s="415">
        <v>190024</v>
      </c>
      <c r="D254" s="416" t="s">
        <v>1329</v>
      </c>
      <c r="E254" s="416" t="s">
        <v>496</v>
      </c>
      <c r="F254" s="416" t="s">
        <v>496</v>
      </c>
      <c r="G254" s="416" t="s">
        <v>496</v>
      </c>
      <c r="H254" s="416" t="s">
        <v>1330</v>
      </c>
      <c r="I254" s="416" t="s">
        <v>1330</v>
      </c>
      <c r="J254" s="415" t="s">
        <v>661</v>
      </c>
      <c r="K254" s="417">
        <v>-9.9227240000000005</v>
      </c>
      <c r="L254" s="417">
        <v>-76.294341000000003</v>
      </c>
      <c r="M254" s="418">
        <v>30</v>
      </c>
      <c r="N254" s="418" t="s">
        <v>2310</v>
      </c>
      <c r="O254" s="418" t="s">
        <v>2411</v>
      </c>
      <c r="P254" s="415">
        <v>2</v>
      </c>
      <c r="Q254" s="415">
        <v>30</v>
      </c>
      <c r="R254" s="415">
        <v>5</v>
      </c>
      <c r="S254" s="415">
        <f t="shared" si="9"/>
        <v>5</v>
      </c>
      <c r="T254" s="419">
        <f t="shared" si="10"/>
        <v>0.83333333333333337</v>
      </c>
      <c r="U254" s="419">
        <f t="shared" si="11"/>
        <v>5.833333333333333</v>
      </c>
      <c r="V254" s="415" t="s">
        <v>662</v>
      </c>
      <c r="W254" s="415" t="s">
        <v>610</v>
      </c>
      <c r="X254" s="415" t="s">
        <v>673</v>
      </c>
      <c r="Y254" s="415"/>
    </row>
    <row r="255" spans="1:25" hidden="1" x14ac:dyDescent="0.25">
      <c r="A255" s="415">
        <v>254</v>
      </c>
      <c r="B255" s="415">
        <v>170</v>
      </c>
      <c r="C255" s="415">
        <v>190241</v>
      </c>
      <c r="D255" s="416" t="s">
        <v>2276</v>
      </c>
      <c r="E255" s="416" t="s">
        <v>496</v>
      </c>
      <c r="F255" s="416" t="s">
        <v>496</v>
      </c>
      <c r="G255" s="416" t="s">
        <v>2625</v>
      </c>
      <c r="H255" s="416" t="s">
        <v>2626</v>
      </c>
      <c r="I255" s="416" t="s">
        <v>2626</v>
      </c>
      <c r="J255" s="415" t="s">
        <v>661</v>
      </c>
      <c r="K255" s="417">
        <v>-10.02566</v>
      </c>
      <c r="L255" s="417">
        <v>-76.23415</v>
      </c>
      <c r="M255" s="418">
        <v>30</v>
      </c>
      <c r="N255" s="418" t="s">
        <v>2310</v>
      </c>
      <c r="O255" s="418" t="s">
        <v>2411</v>
      </c>
      <c r="P255" s="415">
        <v>2</v>
      </c>
      <c r="Q255" s="415">
        <v>30</v>
      </c>
      <c r="R255" s="415">
        <v>5</v>
      </c>
      <c r="S255" s="415">
        <f t="shared" si="9"/>
        <v>5</v>
      </c>
      <c r="T255" s="419">
        <f t="shared" si="10"/>
        <v>0.83333333333333337</v>
      </c>
      <c r="U255" s="419">
        <f t="shared" si="11"/>
        <v>5.833333333333333</v>
      </c>
      <c r="V255" s="415" t="s">
        <v>662</v>
      </c>
      <c r="W255" s="415" t="s">
        <v>610</v>
      </c>
      <c r="X255" s="415" t="s">
        <v>673</v>
      </c>
      <c r="Y255" s="415"/>
    </row>
    <row r="256" spans="1:25" hidden="1" x14ac:dyDescent="0.25">
      <c r="A256" s="415">
        <v>255</v>
      </c>
      <c r="B256" s="415">
        <v>171</v>
      </c>
      <c r="C256" s="415">
        <v>190062</v>
      </c>
      <c r="D256" s="416" t="s">
        <v>2627</v>
      </c>
      <c r="E256" s="416" t="s">
        <v>496</v>
      </c>
      <c r="F256" s="416" t="s">
        <v>496</v>
      </c>
      <c r="G256" s="416" t="s">
        <v>1347</v>
      </c>
      <c r="H256" s="416" t="s">
        <v>2628</v>
      </c>
      <c r="I256" s="416" t="s">
        <v>2629</v>
      </c>
      <c r="J256" s="415" t="s">
        <v>661</v>
      </c>
      <c r="K256" s="417">
        <v>-9.9237769999999994</v>
      </c>
      <c r="L256" s="417">
        <v>-76.352467000000004</v>
      </c>
      <c r="M256" s="418">
        <v>30</v>
      </c>
      <c r="N256" s="418" t="s">
        <v>2310</v>
      </c>
      <c r="O256" s="418" t="s">
        <v>2411</v>
      </c>
      <c r="P256" s="415">
        <v>2</v>
      </c>
      <c r="Q256" s="415">
        <v>30</v>
      </c>
      <c r="R256" s="415">
        <v>5</v>
      </c>
      <c r="S256" s="415">
        <f t="shared" si="9"/>
        <v>5</v>
      </c>
      <c r="T256" s="419">
        <f t="shared" si="10"/>
        <v>0.83333333333333337</v>
      </c>
      <c r="U256" s="419">
        <f t="shared" si="11"/>
        <v>5.833333333333333</v>
      </c>
      <c r="V256" s="415" t="s">
        <v>662</v>
      </c>
      <c r="W256" s="415" t="s">
        <v>610</v>
      </c>
      <c r="X256" s="415" t="s">
        <v>673</v>
      </c>
      <c r="Y256" s="415"/>
    </row>
    <row r="257" spans="1:25" hidden="1" x14ac:dyDescent="0.25">
      <c r="A257" s="415">
        <v>256</v>
      </c>
      <c r="B257" s="415">
        <v>172</v>
      </c>
      <c r="C257" s="415">
        <v>193348</v>
      </c>
      <c r="D257" s="416" t="s">
        <v>1346</v>
      </c>
      <c r="E257" s="416" t="s">
        <v>496</v>
      </c>
      <c r="F257" s="416" t="s">
        <v>496</v>
      </c>
      <c r="G257" s="416" t="s">
        <v>1347</v>
      </c>
      <c r="H257" s="416" t="s">
        <v>1348</v>
      </c>
      <c r="I257" s="416" t="s">
        <v>1348</v>
      </c>
      <c r="J257" s="415" t="s">
        <v>661</v>
      </c>
      <c r="K257" s="417">
        <v>-9.8899740000000005</v>
      </c>
      <c r="L257" s="417">
        <v>-76.427205000000001</v>
      </c>
      <c r="M257" s="418">
        <v>30</v>
      </c>
      <c r="N257" s="418" t="s">
        <v>2310</v>
      </c>
      <c r="O257" s="418" t="s">
        <v>2411</v>
      </c>
      <c r="P257" s="415">
        <v>2</v>
      </c>
      <c r="Q257" s="415">
        <v>30</v>
      </c>
      <c r="R257" s="415">
        <v>5</v>
      </c>
      <c r="S257" s="415">
        <f t="shared" si="9"/>
        <v>5</v>
      </c>
      <c r="T257" s="419">
        <f t="shared" si="10"/>
        <v>0.83333333333333337</v>
      </c>
      <c r="U257" s="419">
        <f t="shared" si="11"/>
        <v>5.833333333333333</v>
      </c>
      <c r="V257" s="415" t="s">
        <v>662</v>
      </c>
      <c r="W257" s="415" t="s">
        <v>610</v>
      </c>
      <c r="X257" s="415" t="s">
        <v>673</v>
      </c>
      <c r="Y257" s="415"/>
    </row>
    <row r="258" spans="1:25" hidden="1" x14ac:dyDescent="0.25">
      <c r="A258" s="415">
        <v>257</v>
      </c>
      <c r="B258" s="415">
        <v>173</v>
      </c>
      <c r="C258" s="415">
        <v>193447</v>
      </c>
      <c r="D258" s="416" t="s">
        <v>1349</v>
      </c>
      <c r="E258" s="416" t="s">
        <v>496</v>
      </c>
      <c r="F258" s="416" t="s">
        <v>496</v>
      </c>
      <c r="G258" s="416" t="s">
        <v>1350</v>
      </c>
      <c r="H258" s="416" t="s">
        <v>1351</v>
      </c>
      <c r="I258" s="416" t="s">
        <v>1349</v>
      </c>
      <c r="J258" s="415" t="s">
        <v>661</v>
      </c>
      <c r="K258" s="417">
        <v>-9.9859500000000008</v>
      </c>
      <c r="L258" s="417">
        <v>-76.385580000000004</v>
      </c>
      <c r="M258" s="418">
        <v>30</v>
      </c>
      <c r="N258" s="418" t="s">
        <v>2310</v>
      </c>
      <c r="O258" s="418" t="s">
        <v>2411</v>
      </c>
      <c r="P258" s="415">
        <v>2</v>
      </c>
      <c r="Q258" s="415">
        <v>30</v>
      </c>
      <c r="R258" s="415">
        <v>5</v>
      </c>
      <c r="S258" s="415">
        <f t="shared" si="9"/>
        <v>5</v>
      </c>
      <c r="T258" s="419">
        <f t="shared" si="10"/>
        <v>0.83333333333333337</v>
      </c>
      <c r="U258" s="419">
        <f t="shared" si="11"/>
        <v>5.833333333333333</v>
      </c>
      <c r="V258" s="415" t="s">
        <v>662</v>
      </c>
      <c r="W258" s="415" t="s">
        <v>610</v>
      </c>
      <c r="X258" s="415" t="s">
        <v>673</v>
      </c>
      <c r="Y258" s="415"/>
    </row>
    <row r="259" spans="1:25" hidden="1" x14ac:dyDescent="0.25">
      <c r="A259" s="415">
        <v>258</v>
      </c>
      <c r="B259" s="415">
        <v>174</v>
      </c>
      <c r="C259" s="415">
        <v>194003</v>
      </c>
      <c r="D259" s="416" t="s">
        <v>1364</v>
      </c>
      <c r="E259" s="416" t="s">
        <v>496</v>
      </c>
      <c r="F259" s="416" t="s">
        <v>496</v>
      </c>
      <c r="G259" s="416" t="s">
        <v>1353</v>
      </c>
      <c r="H259" s="416" t="s">
        <v>1365</v>
      </c>
      <c r="I259" s="416" t="s">
        <v>1365</v>
      </c>
      <c r="J259" s="415" t="s">
        <v>661</v>
      </c>
      <c r="K259" s="417">
        <v>-9.8590020000000003</v>
      </c>
      <c r="L259" s="417">
        <v>-76.189099999999996</v>
      </c>
      <c r="M259" s="418">
        <v>30</v>
      </c>
      <c r="N259" s="418" t="s">
        <v>2310</v>
      </c>
      <c r="O259" s="418" t="s">
        <v>2411</v>
      </c>
      <c r="P259" s="415">
        <v>2</v>
      </c>
      <c r="Q259" s="415">
        <v>30</v>
      </c>
      <c r="R259" s="415">
        <v>5</v>
      </c>
      <c r="S259" s="415">
        <f t="shared" ref="S259:S322" si="12">Q259/$AB$1</f>
        <v>5</v>
      </c>
      <c r="T259" s="419">
        <f t="shared" ref="T259:T322" si="13">R259/$AB$1</f>
        <v>0.83333333333333337</v>
      </c>
      <c r="U259" s="419">
        <f t="shared" ref="U259:U322" si="14">S259+T259</f>
        <v>5.833333333333333</v>
      </c>
      <c r="V259" s="415" t="s">
        <v>662</v>
      </c>
      <c r="W259" s="415" t="s">
        <v>610</v>
      </c>
      <c r="X259" s="415" t="s">
        <v>673</v>
      </c>
      <c r="Y259" s="415"/>
    </row>
    <row r="260" spans="1:25" hidden="1" x14ac:dyDescent="0.25">
      <c r="A260" s="415">
        <v>259</v>
      </c>
      <c r="B260" s="415">
        <v>175</v>
      </c>
      <c r="C260" s="415">
        <v>193857</v>
      </c>
      <c r="D260" s="416" t="s">
        <v>1361</v>
      </c>
      <c r="E260" s="416" t="s">
        <v>496</v>
      </c>
      <c r="F260" s="416" t="s">
        <v>496</v>
      </c>
      <c r="G260" s="416" t="s">
        <v>1353</v>
      </c>
      <c r="H260" s="416" t="s">
        <v>1362</v>
      </c>
      <c r="I260" s="416" t="s">
        <v>1363</v>
      </c>
      <c r="J260" s="415" t="s">
        <v>661</v>
      </c>
      <c r="K260" s="417">
        <v>-9.7927909999999994</v>
      </c>
      <c r="L260" s="417">
        <v>-76.354731999999998</v>
      </c>
      <c r="M260" s="418">
        <v>30</v>
      </c>
      <c r="N260" s="418" t="s">
        <v>2310</v>
      </c>
      <c r="O260" s="418" t="s">
        <v>2411</v>
      </c>
      <c r="P260" s="415">
        <v>2</v>
      </c>
      <c r="Q260" s="415">
        <v>30</v>
      </c>
      <c r="R260" s="415">
        <v>5</v>
      </c>
      <c r="S260" s="415">
        <f t="shared" si="12"/>
        <v>5</v>
      </c>
      <c r="T260" s="419">
        <f t="shared" si="13"/>
        <v>0.83333333333333337</v>
      </c>
      <c r="U260" s="419">
        <f t="shared" si="14"/>
        <v>5.833333333333333</v>
      </c>
      <c r="V260" s="415" t="s">
        <v>662</v>
      </c>
      <c r="W260" s="415" t="s">
        <v>610</v>
      </c>
      <c r="X260" s="415" t="s">
        <v>673</v>
      </c>
      <c r="Y260" s="415"/>
    </row>
    <row r="261" spans="1:25" hidden="1" x14ac:dyDescent="0.25">
      <c r="A261" s="415">
        <v>260</v>
      </c>
      <c r="B261" s="415">
        <v>176</v>
      </c>
      <c r="C261" s="415">
        <v>193918</v>
      </c>
      <c r="D261" s="416" t="s">
        <v>2630</v>
      </c>
      <c r="E261" s="416" t="s">
        <v>496</v>
      </c>
      <c r="F261" s="416" t="s">
        <v>496</v>
      </c>
      <c r="G261" s="416" t="s">
        <v>1353</v>
      </c>
      <c r="H261" s="416" t="s">
        <v>2631</v>
      </c>
      <c r="I261" s="416" t="s">
        <v>2632</v>
      </c>
      <c r="J261" s="415" t="s">
        <v>661</v>
      </c>
      <c r="K261" s="417">
        <v>-9.8813999999999993</v>
      </c>
      <c r="L261" s="417">
        <v>-76.149100000000004</v>
      </c>
      <c r="M261" s="418">
        <v>30</v>
      </c>
      <c r="N261" s="418" t="s">
        <v>2310</v>
      </c>
      <c r="O261" s="418" t="s">
        <v>2411</v>
      </c>
      <c r="P261" s="415">
        <v>2</v>
      </c>
      <c r="Q261" s="415">
        <v>30</v>
      </c>
      <c r="R261" s="415">
        <v>5</v>
      </c>
      <c r="S261" s="415">
        <f t="shared" si="12"/>
        <v>5</v>
      </c>
      <c r="T261" s="419">
        <f t="shared" si="13"/>
        <v>0.83333333333333337</v>
      </c>
      <c r="U261" s="419">
        <f t="shared" si="14"/>
        <v>5.833333333333333</v>
      </c>
      <c r="V261" s="415" t="s">
        <v>662</v>
      </c>
      <c r="W261" s="415" t="s">
        <v>610</v>
      </c>
      <c r="X261" s="415" t="s">
        <v>673</v>
      </c>
      <c r="Y261" s="415"/>
    </row>
    <row r="262" spans="1:25" hidden="1" x14ac:dyDescent="0.25">
      <c r="A262" s="415">
        <v>261</v>
      </c>
      <c r="B262" s="415">
        <v>177</v>
      </c>
      <c r="C262" s="415">
        <v>193824</v>
      </c>
      <c r="D262" s="416" t="s">
        <v>1355</v>
      </c>
      <c r="E262" s="416" t="s">
        <v>496</v>
      </c>
      <c r="F262" s="416" t="s">
        <v>496</v>
      </c>
      <c r="G262" s="416" t="s">
        <v>1353</v>
      </c>
      <c r="H262" s="416" t="s">
        <v>1356</v>
      </c>
      <c r="I262" s="416" t="s">
        <v>1357</v>
      </c>
      <c r="J262" s="415" t="s">
        <v>661</v>
      </c>
      <c r="K262" s="417">
        <v>-9.8361099999999997</v>
      </c>
      <c r="L262" s="417">
        <v>-76.316699999999997</v>
      </c>
      <c r="M262" s="418">
        <v>30</v>
      </c>
      <c r="N262" s="418" t="s">
        <v>2310</v>
      </c>
      <c r="O262" s="418" t="s">
        <v>2411</v>
      </c>
      <c r="P262" s="415">
        <v>2</v>
      </c>
      <c r="Q262" s="415">
        <v>30</v>
      </c>
      <c r="R262" s="415">
        <v>5</v>
      </c>
      <c r="S262" s="415">
        <f t="shared" si="12"/>
        <v>5</v>
      </c>
      <c r="T262" s="419">
        <f t="shared" si="13"/>
        <v>0.83333333333333337</v>
      </c>
      <c r="U262" s="419">
        <f t="shared" si="14"/>
        <v>5.833333333333333</v>
      </c>
      <c r="V262" s="415" t="s">
        <v>662</v>
      </c>
      <c r="W262" s="415" t="s">
        <v>610</v>
      </c>
      <c r="X262" s="415" t="s">
        <v>673</v>
      </c>
      <c r="Y262" s="415"/>
    </row>
    <row r="263" spans="1:25" hidden="1" x14ac:dyDescent="0.25">
      <c r="A263" s="415">
        <v>262</v>
      </c>
      <c r="B263" s="415">
        <v>178</v>
      </c>
      <c r="C263" s="415">
        <v>193838</v>
      </c>
      <c r="D263" s="416" t="s">
        <v>1358</v>
      </c>
      <c r="E263" s="416" t="s">
        <v>496</v>
      </c>
      <c r="F263" s="416" t="s">
        <v>496</v>
      </c>
      <c r="G263" s="416" t="s">
        <v>1353</v>
      </c>
      <c r="H263" s="416" t="s">
        <v>1359</v>
      </c>
      <c r="I263" s="416" t="s">
        <v>1360</v>
      </c>
      <c r="J263" s="415" t="s">
        <v>661</v>
      </c>
      <c r="K263" s="417">
        <v>-9.8545999999999996</v>
      </c>
      <c r="L263" s="417">
        <v>-76.198099999999997</v>
      </c>
      <c r="M263" s="418">
        <v>30</v>
      </c>
      <c r="N263" s="418" t="s">
        <v>2310</v>
      </c>
      <c r="O263" s="418" t="s">
        <v>2411</v>
      </c>
      <c r="P263" s="415">
        <v>2</v>
      </c>
      <c r="Q263" s="415">
        <v>30</v>
      </c>
      <c r="R263" s="415">
        <v>5</v>
      </c>
      <c r="S263" s="415">
        <f t="shared" si="12"/>
        <v>5</v>
      </c>
      <c r="T263" s="419">
        <f t="shared" si="13"/>
        <v>0.83333333333333337</v>
      </c>
      <c r="U263" s="419">
        <f t="shared" si="14"/>
        <v>5.833333333333333</v>
      </c>
      <c r="V263" s="415" t="s">
        <v>662</v>
      </c>
      <c r="W263" s="415" t="s">
        <v>610</v>
      </c>
      <c r="X263" s="415" t="s">
        <v>673</v>
      </c>
      <c r="Y263" s="415"/>
    </row>
    <row r="264" spans="1:25" hidden="1" x14ac:dyDescent="0.25">
      <c r="A264" s="415">
        <v>263</v>
      </c>
      <c r="B264" s="415">
        <v>179</v>
      </c>
      <c r="C264" s="415">
        <v>193980</v>
      </c>
      <c r="D264" s="416" t="s">
        <v>2633</v>
      </c>
      <c r="E264" s="416" t="s">
        <v>496</v>
      </c>
      <c r="F264" s="416" t="s">
        <v>496</v>
      </c>
      <c r="G264" s="416" t="s">
        <v>1353</v>
      </c>
      <c r="H264" s="416" t="s">
        <v>2634</v>
      </c>
      <c r="I264" s="416" t="s">
        <v>2634</v>
      </c>
      <c r="J264" s="415" t="s">
        <v>661</v>
      </c>
      <c r="K264" s="417">
        <v>-9.8249999999999993</v>
      </c>
      <c r="L264" s="417">
        <v>-76.230800000000002</v>
      </c>
      <c r="M264" s="418">
        <v>30</v>
      </c>
      <c r="N264" s="418" t="s">
        <v>2310</v>
      </c>
      <c r="O264" s="418" t="s">
        <v>2411</v>
      </c>
      <c r="P264" s="415">
        <v>2</v>
      </c>
      <c r="Q264" s="415">
        <v>30</v>
      </c>
      <c r="R264" s="415">
        <v>5</v>
      </c>
      <c r="S264" s="415">
        <f t="shared" si="12"/>
        <v>5</v>
      </c>
      <c r="T264" s="419">
        <f t="shared" si="13"/>
        <v>0.83333333333333337</v>
      </c>
      <c r="U264" s="419">
        <f t="shared" si="14"/>
        <v>5.833333333333333</v>
      </c>
      <c r="V264" s="415" t="s">
        <v>662</v>
      </c>
      <c r="W264" s="415" t="s">
        <v>610</v>
      </c>
      <c r="X264" s="415" t="s">
        <v>673</v>
      </c>
      <c r="Y264" s="415"/>
    </row>
    <row r="265" spans="1:25" hidden="1" x14ac:dyDescent="0.25">
      <c r="A265" s="415">
        <v>264</v>
      </c>
      <c r="B265" s="415">
        <v>180</v>
      </c>
      <c r="C265" s="415">
        <v>193819</v>
      </c>
      <c r="D265" s="416" t="s">
        <v>1352</v>
      </c>
      <c r="E265" s="416" t="s">
        <v>496</v>
      </c>
      <c r="F265" s="416" t="s">
        <v>496</v>
      </c>
      <c r="G265" s="416" t="s">
        <v>1353</v>
      </c>
      <c r="H265" s="416" t="s">
        <v>1354</v>
      </c>
      <c r="I265" s="416" t="s">
        <v>1354</v>
      </c>
      <c r="J265" s="415" t="s">
        <v>661</v>
      </c>
      <c r="K265" s="417">
        <v>-9.8942999999999994</v>
      </c>
      <c r="L265" s="417">
        <v>-76.155799999999999</v>
      </c>
      <c r="M265" s="418">
        <v>30</v>
      </c>
      <c r="N265" s="418" t="s">
        <v>2310</v>
      </c>
      <c r="O265" s="418" t="s">
        <v>2411</v>
      </c>
      <c r="P265" s="415">
        <v>2</v>
      </c>
      <c r="Q265" s="415">
        <v>30</v>
      </c>
      <c r="R265" s="415">
        <v>5</v>
      </c>
      <c r="S265" s="415">
        <f t="shared" si="12"/>
        <v>5</v>
      </c>
      <c r="T265" s="419">
        <f t="shared" si="13"/>
        <v>0.83333333333333337</v>
      </c>
      <c r="U265" s="419">
        <f t="shared" si="14"/>
        <v>5.833333333333333</v>
      </c>
      <c r="V265" s="415" t="s">
        <v>662</v>
      </c>
      <c r="W265" s="415" t="s">
        <v>610</v>
      </c>
      <c r="X265" s="415" t="s">
        <v>673</v>
      </c>
      <c r="Y265" s="415"/>
    </row>
    <row r="266" spans="1:25" hidden="1" x14ac:dyDescent="0.25">
      <c r="A266" s="415">
        <v>265</v>
      </c>
      <c r="B266" s="415">
        <v>181</v>
      </c>
      <c r="C266" s="415">
        <v>194164</v>
      </c>
      <c r="D266" s="416" t="s">
        <v>592</v>
      </c>
      <c r="E266" s="416" t="s">
        <v>496</v>
      </c>
      <c r="F266" s="416" t="s">
        <v>496</v>
      </c>
      <c r="G266" s="416" t="s">
        <v>1353</v>
      </c>
      <c r="H266" s="416" t="s">
        <v>1353</v>
      </c>
      <c r="I266" s="416" t="s">
        <v>2635</v>
      </c>
      <c r="J266" s="415" t="s">
        <v>747</v>
      </c>
      <c r="K266" s="417">
        <v>-9.8621540000000003</v>
      </c>
      <c r="L266" s="417">
        <v>-76.170225000000002</v>
      </c>
      <c r="M266" s="418">
        <v>30</v>
      </c>
      <c r="N266" s="418" t="s">
        <v>2310</v>
      </c>
      <c r="O266" s="418" t="s">
        <v>2411</v>
      </c>
      <c r="P266" s="415">
        <v>2</v>
      </c>
      <c r="Q266" s="415">
        <v>30</v>
      </c>
      <c r="R266" s="415">
        <v>5</v>
      </c>
      <c r="S266" s="415">
        <f t="shared" si="12"/>
        <v>5</v>
      </c>
      <c r="T266" s="419">
        <f t="shared" si="13"/>
        <v>0.83333333333333337</v>
      </c>
      <c r="U266" s="419">
        <f t="shared" si="14"/>
        <v>5.833333333333333</v>
      </c>
      <c r="V266" s="415" t="s">
        <v>662</v>
      </c>
      <c r="W266" s="415" t="s">
        <v>610</v>
      </c>
      <c r="X266" s="415" t="s">
        <v>673</v>
      </c>
      <c r="Y266" s="415"/>
    </row>
    <row r="267" spans="1:25" hidden="1" x14ac:dyDescent="0.25">
      <c r="A267" s="415">
        <v>266</v>
      </c>
      <c r="B267" s="415">
        <v>182</v>
      </c>
      <c r="C267" s="415">
        <v>193800</v>
      </c>
      <c r="D267" s="416" t="s">
        <v>2636</v>
      </c>
      <c r="E267" s="416" t="s">
        <v>496</v>
      </c>
      <c r="F267" s="416" t="s">
        <v>496</v>
      </c>
      <c r="G267" s="416" t="s">
        <v>1353</v>
      </c>
      <c r="H267" s="416" t="s">
        <v>2637</v>
      </c>
      <c r="I267" s="416" t="s">
        <v>2637</v>
      </c>
      <c r="J267" s="415" t="s">
        <v>661</v>
      </c>
      <c r="K267" s="417">
        <v>-9.8496959999999998</v>
      </c>
      <c r="L267" s="417">
        <v>-76.146923999999999</v>
      </c>
      <c r="M267" s="418">
        <v>30</v>
      </c>
      <c r="N267" s="418" t="s">
        <v>2310</v>
      </c>
      <c r="O267" s="418" t="s">
        <v>2411</v>
      </c>
      <c r="P267" s="415">
        <v>2</v>
      </c>
      <c r="Q267" s="415">
        <v>30</v>
      </c>
      <c r="R267" s="415">
        <v>5</v>
      </c>
      <c r="S267" s="415">
        <f t="shared" si="12"/>
        <v>5</v>
      </c>
      <c r="T267" s="419">
        <f t="shared" si="13"/>
        <v>0.83333333333333337</v>
      </c>
      <c r="U267" s="419">
        <f t="shared" si="14"/>
        <v>5.833333333333333</v>
      </c>
      <c r="V267" s="415" t="s">
        <v>662</v>
      </c>
      <c r="W267" s="415" t="s">
        <v>610</v>
      </c>
      <c r="X267" s="415" t="s">
        <v>673</v>
      </c>
      <c r="Y267" s="415"/>
    </row>
    <row r="268" spans="1:25" hidden="1" x14ac:dyDescent="0.25">
      <c r="A268" s="415">
        <v>267</v>
      </c>
      <c r="B268" s="415">
        <v>183</v>
      </c>
      <c r="C268" s="415">
        <v>194376</v>
      </c>
      <c r="D268" s="416" t="s">
        <v>2638</v>
      </c>
      <c r="E268" s="416" t="s">
        <v>496</v>
      </c>
      <c r="F268" s="416" t="s">
        <v>496</v>
      </c>
      <c r="G268" s="416" t="s">
        <v>1367</v>
      </c>
      <c r="H268" s="416" t="s">
        <v>2639</v>
      </c>
      <c r="I268" s="416" t="s">
        <v>2640</v>
      </c>
      <c r="J268" s="415" t="s">
        <v>661</v>
      </c>
      <c r="K268" s="417">
        <v>-9.9415999999999993</v>
      </c>
      <c r="L268" s="417">
        <v>-76.420400000000001</v>
      </c>
      <c r="M268" s="418">
        <v>30</v>
      </c>
      <c r="N268" s="418" t="s">
        <v>2310</v>
      </c>
      <c r="O268" s="418" t="s">
        <v>2411</v>
      </c>
      <c r="P268" s="415">
        <v>2</v>
      </c>
      <c r="Q268" s="415">
        <v>30</v>
      </c>
      <c r="R268" s="415">
        <v>5</v>
      </c>
      <c r="S268" s="415">
        <f t="shared" si="12"/>
        <v>5</v>
      </c>
      <c r="T268" s="419">
        <f t="shared" si="13"/>
        <v>0.83333333333333337</v>
      </c>
      <c r="U268" s="419">
        <f t="shared" si="14"/>
        <v>5.833333333333333</v>
      </c>
      <c r="V268" s="415" t="s">
        <v>662</v>
      </c>
      <c r="W268" s="415" t="s">
        <v>610</v>
      </c>
      <c r="X268" s="415" t="s">
        <v>673</v>
      </c>
      <c r="Y268" s="415"/>
    </row>
    <row r="269" spans="1:25" hidden="1" x14ac:dyDescent="0.25">
      <c r="A269" s="415">
        <v>268</v>
      </c>
      <c r="B269" s="415">
        <v>184</v>
      </c>
      <c r="C269" s="415">
        <v>194437</v>
      </c>
      <c r="D269" s="416" t="s">
        <v>1366</v>
      </c>
      <c r="E269" s="416" t="s">
        <v>496</v>
      </c>
      <c r="F269" s="416" t="s">
        <v>496</v>
      </c>
      <c r="G269" s="416" t="s">
        <v>1367</v>
      </c>
      <c r="H269" s="416" t="s">
        <v>1368</v>
      </c>
      <c r="I269" s="416" t="s">
        <v>1368</v>
      </c>
      <c r="J269" s="415" t="s">
        <v>661</v>
      </c>
      <c r="K269" s="417">
        <v>-9.9704999999999995</v>
      </c>
      <c r="L269" s="417">
        <v>-76.433999999999997</v>
      </c>
      <c r="M269" s="418">
        <v>30</v>
      </c>
      <c r="N269" s="418" t="s">
        <v>2310</v>
      </c>
      <c r="O269" s="418" t="s">
        <v>2411</v>
      </c>
      <c r="P269" s="415">
        <v>2</v>
      </c>
      <c r="Q269" s="415">
        <v>30</v>
      </c>
      <c r="R269" s="415">
        <v>5</v>
      </c>
      <c r="S269" s="415">
        <f t="shared" si="12"/>
        <v>5</v>
      </c>
      <c r="T269" s="419">
        <f t="shared" si="13"/>
        <v>0.83333333333333337</v>
      </c>
      <c r="U269" s="419">
        <f t="shared" si="14"/>
        <v>5.833333333333333</v>
      </c>
      <c r="V269" s="415" t="s">
        <v>662</v>
      </c>
      <c r="W269" s="415" t="s">
        <v>610</v>
      </c>
      <c r="X269" s="415" t="s">
        <v>673</v>
      </c>
      <c r="Y269" s="415"/>
    </row>
    <row r="270" spans="1:25" hidden="1" x14ac:dyDescent="0.25">
      <c r="A270" s="415">
        <v>269</v>
      </c>
      <c r="B270" s="415">
        <v>185</v>
      </c>
      <c r="C270" s="415">
        <v>208514</v>
      </c>
      <c r="D270" s="416" t="s">
        <v>1436</v>
      </c>
      <c r="E270" s="416" t="s">
        <v>496</v>
      </c>
      <c r="F270" s="416" t="s">
        <v>505</v>
      </c>
      <c r="G270" s="416" t="s">
        <v>1437</v>
      </c>
      <c r="H270" s="416" t="s">
        <v>672</v>
      </c>
      <c r="I270" s="416" t="s">
        <v>672</v>
      </c>
      <c r="J270" s="415" t="s">
        <v>661</v>
      </c>
      <c r="K270" s="417">
        <v>-10.011699999999999</v>
      </c>
      <c r="L270" s="417">
        <v>-76.699399999999997</v>
      </c>
      <c r="M270" s="418">
        <v>30</v>
      </c>
      <c r="N270" s="418" t="s">
        <v>2310</v>
      </c>
      <c r="O270" s="418" t="s">
        <v>2411</v>
      </c>
      <c r="P270" s="415">
        <v>2</v>
      </c>
      <c r="Q270" s="415">
        <v>30</v>
      </c>
      <c r="R270" s="415">
        <v>5</v>
      </c>
      <c r="S270" s="415">
        <f t="shared" si="12"/>
        <v>5</v>
      </c>
      <c r="T270" s="419">
        <f t="shared" si="13"/>
        <v>0.83333333333333337</v>
      </c>
      <c r="U270" s="419">
        <f t="shared" si="14"/>
        <v>5.833333333333333</v>
      </c>
      <c r="V270" s="415" t="s">
        <v>662</v>
      </c>
      <c r="W270" s="415" t="s">
        <v>610</v>
      </c>
      <c r="X270" s="415" t="s">
        <v>673</v>
      </c>
      <c r="Y270" s="415"/>
    </row>
    <row r="271" spans="1:25" hidden="1" x14ac:dyDescent="0.25">
      <c r="A271" s="415">
        <v>270</v>
      </c>
      <c r="B271" s="415">
        <v>186</v>
      </c>
      <c r="C271" s="415">
        <v>202442</v>
      </c>
      <c r="D271" s="416" t="s">
        <v>1402</v>
      </c>
      <c r="E271" s="416" t="s">
        <v>496</v>
      </c>
      <c r="F271" s="416" t="s">
        <v>501</v>
      </c>
      <c r="G271" s="416" t="s">
        <v>1403</v>
      </c>
      <c r="H271" s="416" t="s">
        <v>1069</v>
      </c>
      <c r="I271" s="416" t="s">
        <v>1069</v>
      </c>
      <c r="J271" s="415" t="s">
        <v>661</v>
      </c>
      <c r="K271" s="417">
        <v>-9.1874009999999995</v>
      </c>
      <c r="L271" s="417">
        <v>-75.931633000000005</v>
      </c>
      <c r="M271" s="418">
        <v>30</v>
      </c>
      <c r="N271" s="418" t="s">
        <v>2310</v>
      </c>
      <c r="O271" s="418" t="s">
        <v>2411</v>
      </c>
      <c r="P271" s="415">
        <v>2</v>
      </c>
      <c r="Q271" s="415">
        <v>30</v>
      </c>
      <c r="R271" s="415">
        <v>5</v>
      </c>
      <c r="S271" s="415">
        <f t="shared" si="12"/>
        <v>5</v>
      </c>
      <c r="T271" s="419">
        <f t="shared" si="13"/>
        <v>0.83333333333333337</v>
      </c>
      <c r="U271" s="419">
        <f t="shared" si="14"/>
        <v>5.833333333333333</v>
      </c>
      <c r="V271" s="415" t="s">
        <v>662</v>
      </c>
      <c r="W271" s="415" t="s">
        <v>610</v>
      </c>
      <c r="X271" s="415" t="s">
        <v>673</v>
      </c>
      <c r="Y271" s="415"/>
    </row>
    <row r="272" spans="1:25" hidden="1" x14ac:dyDescent="0.25">
      <c r="A272" s="415">
        <v>271</v>
      </c>
      <c r="B272" s="415">
        <v>187</v>
      </c>
      <c r="C272" s="415">
        <v>202507</v>
      </c>
      <c r="D272" s="416" t="s">
        <v>2641</v>
      </c>
      <c r="E272" s="416" t="s">
        <v>496</v>
      </c>
      <c r="F272" s="416" t="s">
        <v>501</v>
      </c>
      <c r="G272" s="416" t="s">
        <v>1405</v>
      </c>
      <c r="H272" s="416" t="s">
        <v>1405</v>
      </c>
      <c r="I272" s="416" t="s">
        <v>1405</v>
      </c>
      <c r="J272" s="415" t="s">
        <v>661</v>
      </c>
      <c r="K272" s="417">
        <v>-9.2054170000000006</v>
      </c>
      <c r="L272" s="417">
        <v>-75.836511000000002</v>
      </c>
      <c r="M272" s="418">
        <v>30</v>
      </c>
      <c r="N272" s="418" t="s">
        <v>2310</v>
      </c>
      <c r="O272" s="418" t="s">
        <v>2411</v>
      </c>
      <c r="P272" s="415">
        <v>2</v>
      </c>
      <c r="Q272" s="415">
        <v>30</v>
      </c>
      <c r="R272" s="415">
        <v>5</v>
      </c>
      <c r="S272" s="415">
        <f t="shared" si="12"/>
        <v>5</v>
      </c>
      <c r="T272" s="419">
        <f t="shared" si="13"/>
        <v>0.83333333333333337</v>
      </c>
      <c r="U272" s="419">
        <f t="shared" si="14"/>
        <v>5.833333333333333</v>
      </c>
      <c r="V272" s="415" t="s">
        <v>662</v>
      </c>
      <c r="W272" s="415" t="s">
        <v>610</v>
      </c>
      <c r="X272" s="415" t="s">
        <v>673</v>
      </c>
      <c r="Y272" s="415"/>
    </row>
    <row r="273" spans="1:25" hidden="1" x14ac:dyDescent="0.25">
      <c r="A273" s="415">
        <v>272</v>
      </c>
      <c r="B273" s="415">
        <v>188</v>
      </c>
      <c r="C273" s="415">
        <v>202630</v>
      </c>
      <c r="D273" s="416" t="s">
        <v>2642</v>
      </c>
      <c r="E273" s="416" t="s">
        <v>496</v>
      </c>
      <c r="F273" s="416" t="s">
        <v>501</v>
      </c>
      <c r="G273" s="416" t="s">
        <v>1405</v>
      </c>
      <c r="H273" s="416" t="s">
        <v>2643</v>
      </c>
      <c r="I273" s="416" t="s">
        <v>2644</v>
      </c>
      <c r="J273" s="415" t="s">
        <v>661</v>
      </c>
      <c r="K273" s="417">
        <v>-9.191713</v>
      </c>
      <c r="L273" s="417">
        <v>-75.813064999999995</v>
      </c>
      <c r="M273" s="418">
        <v>30</v>
      </c>
      <c r="N273" s="418" t="s">
        <v>2310</v>
      </c>
      <c r="O273" s="418" t="s">
        <v>2411</v>
      </c>
      <c r="P273" s="415">
        <v>2</v>
      </c>
      <c r="Q273" s="415">
        <v>30</v>
      </c>
      <c r="R273" s="415">
        <v>5</v>
      </c>
      <c r="S273" s="415">
        <f t="shared" si="12"/>
        <v>5</v>
      </c>
      <c r="T273" s="419">
        <f t="shared" si="13"/>
        <v>0.83333333333333337</v>
      </c>
      <c r="U273" s="419">
        <f t="shared" si="14"/>
        <v>5.833333333333333</v>
      </c>
      <c r="V273" s="415" t="s">
        <v>662</v>
      </c>
      <c r="W273" s="415" t="s">
        <v>610</v>
      </c>
      <c r="X273" s="415" t="s">
        <v>673</v>
      </c>
      <c r="Y273" s="415"/>
    </row>
    <row r="274" spans="1:25" hidden="1" x14ac:dyDescent="0.25">
      <c r="A274" s="415">
        <v>273</v>
      </c>
      <c r="B274" s="415">
        <v>189</v>
      </c>
      <c r="C274" s="415">
        <v>202649</v>
      </c>
      <c r="D274" s="416" t="s">
        <v>1407</v>
      </c>
      <c r="E274" s="416" t="s">
        <v>496</v>
      </c>
      <c r="F274" s="416" t="s">
        <v>501</v>
      </c>
      <c r="G274" s="416" t="s">
        <v>1405</v>
      </c>
      <c r="H274" s="416" t="s">
        <v>1407</v>
      </c>
      <c r="I274" s="416" t="s">
        <v>1408</v>
      </c>
      <c r="J274" s="415" t="s">
        <v>661</v>
      </c>
      <c r="K274" s="417">
        <v>-9.2214880000000008</v>
      </c>
      <c r="L274" s="417">
        <v>-75.842442000000005</v>
      </c>
      <c r="M274" s="418">
        <v>30</v>
      </c>
      <c r="N274" s="418" t="s">
        <v>2310</v>
      </c>
      <c r="O274" s="418" t="s">
        <v>2411</v>
      </c>
      <c r="P274" s="415">
        <v>2</v>
      </c>
      <c r="Q274" s="415">
        <v>30</v>
      </c>
      <c r="R274" s="415">
        <v>5</v>
      </c>
      <c r="S274" s="415">
        <f t="shared" si="12"/>
        <v>5</v>
      </c>
      <c r="T274" s="419">
        <f t="shared" si="13"/>
        <v>0.83333333333333337</v>
      </c>
      <c r="U274" s="419">
        <f t="shared" si="14"/>
        <v>5.833333333333333</v>
      </c>
      <c r="V274" s="415" t="s">
        <v>662</v>
      </c>
      <c r="W274" s="415" t="s">
        <v>610</v>
      </c>
      <c r="X274" s="415" t="s">
        <v>673</v>
      </c>
      <c r="Y274" s="415"/>
    </row>
    <row r="275" spans="1:25" hidden="1" x14ac:dyDescent="0.25">
      <c r="A275" s="415">
        <v>274</v>
      </c>
      <c r="B275" s="415">
        <v>190</v>
      </c>
      <c r="C275" s="415">
        <v>202606</v>
      </c>
      <c r="D275" s="416" t="s">
        <v>2645</v>
      </c>
      <c r="E275" s="416" t="s">
        <v>496</v>
      </c>
      <c r="F275" s="416" t="s">
        <v>501</v>
      </c>
      <c r="G275" s="416" t="s">
        <v>1405</v>
      </c>
      <c r="H275" s="416" t="s">
        <v>1129</v>
      </c>
      <c r="I275" s="416" t="s">
        <v>2646</v>
      </c>
      <c r="J275" s="415" t="s">
        <v>661</v>
      </c>
      <c r="K275" s="417">
        <v>-9.1996830000000003</v>
      </c>
      <c r="L275" s="417">
        <v>-75.890213000000003</v>
      </c>
      <c r="M275" s="418">
        <v>30</v>
      </c>
      <c r="N275" s="418" t="s">
        <v>2310</v>
      </c>
      <c r="O275" s="418" t="s">
        <v>2411</v>
      </c>
      <c r="P275" s="415">
        <v>2</v>
      </c>
      <c r="Q275" s="415">
        <v>30</v>
      </c>
      <c r="R275" s="415">
        <v>5</v>
      </c>
      <c r="S275" s="415">
        <f t="shared" si="12"/>
        <v>5</v>
      </c>
      <c r="T275" s="419">
        <f t="shared" si="13"/>
        <v>0.83333333333333337</v>
      </c>
      <c r="U275" s="419">
        <f t="shared" si="14"/>
        <v>5.833333333333333</v>
      </c>
      <c r="V275" s="415" t="s">
        <v>662</v>
      </c>
      <c r="W275" s="415" t="s">
        <v>610</v>
      </c>
      <c r="X275" s="415" t="s">
        <v>673</v>
      </c>
      <c r="Y275" s="415"/>
    </row>
    <row r="276" spans="1:25" hidden="1" x14ac:dyDescent="0.25">
      <c r="A276" s="415">
        <v>275</v>
      </c>
      <c r="B276" s="415">
        <v>191</v>
      </c>
      <c r="C276" s="415">
        <v>202512</v>
      </c>
      <c r="D276" s="416" t="s">
        <v>1404</v>
      </c>
      <c r="E276" s="416" t="s">
        <v>496</v>
      </c>
      <c r="F276" s="416" t="s">
        <v>501</v>
      </c>
      <c r="G276" s="416" t="s">
        <v>1405</v>
      </c>
      <c r="H276" s="416" t="s">
        <v>1406</v>
      </c>
      <c r="I276" s="416" t="s">
        <v>1406</v>
      </c>
      <c r="J276" s="415" t="s">
        <v>661</v>
      </c>
      <c r="K276" s="417">
        <v>-9.1968969999999999</v>
      </c>
      <c r="L276" s="417">
        <v>-75.866040999999996</v>
      </c>
      <c r="M276" s="418">
        <v>30</v>
      </c>
      <c r="N276" s="418" t="s">
        <v>2310</v>
      </c>
      <c r="O276" s="418" t="s">
        <v>2411</v>
      </c>
      <c r="P276" s="415">
        <v>2</v>
      </c>
      <c r="Q276" s="415">
        <v>30</v>
      </c>
      <c r="R276" s="415">
        <v>5</v>
      </c>
      <c r="S276" s="415">
        <f t="shared" si="12"/>
        <v>5</v>
      </c>
      <c r="T276" s="419">
        <f t="shared" si="13"/>
        <v>0.83333333333333337</v>
      </c>
      <c r="U276" s="419">
        <f t="shared" si="14"/>
        <v>5.833333333333333</v>
      </c>
      <c r="V276" s="415" t="s">
        <v>662</v>
      </c>
      <c r="W276" s="415" t="s">
        <v>610</v>
      </c>
      <c r="X276" s="415" t="s">
        <v>673</v>
      </c>
      <c r="Y276" s="415"/>
    </row>
    <row r="277" spans="1:25" hidden="1" x14ac:dyDescent="0.25">
      <c r="A277" s="415">
        <v>276</v>
      </c>
      <c r="B277" s="415">
        <v>192</v>
      </c>
      <c r="C277" s="415">
        <v>203173</v>
      </c>
      <c r="D277" s="416" t="s">
        <v>1409</v>
      </c>
      <c r="E277" s="416" t="s">
        <v>496</v>
      </c>
      <c r="F277" s="416" t="s">
        <v>501</v>
      </c>
      <c r="G277" s="416" t="s">
        <v>1410</v>
      </c>
      <c r="H277" s="416" t="s">
        <v>1411</v>
      </c>
      <c r="I277" s="416" t="s">
        <v>1411</v>
      </c>
      <c r="J277" s="415" t="s">
        <v>661</v>
      </c>
      <c r="K277" s="417">
        <v>-8.9577609999999996</v>
      </c>
      <c r="L277" s="417">
        <v>-76.098169999999996</v>
      </c>
      <c r="M277" s="418">
        <v>30</v>
      </c>
      <c r="N277" s="418" t="s">
        <v>2310</v>
      </c>
      <c r="O277" s="418" t="s">
        <v>2411</v>
      </c>
      <c r="P277" s="415">
        <v>2</v>
      </c>
      <c r="Q277" s="415">
        <v>30</v>
      </c>
      <c r="R277" s="415">
        <v>5</v>
      </c>
      <c r="S277" s="415">
        <f t="shared" si="12"/>
        <v>5</v>
      </c>
      <c r="T277" s="419">
        <f t="shared" si="13"/>
        <v>0.83333333333333337</v>
      </c>
      <c r="U277" s="419">
        <f t="shared" si="14"/>
        <v>5.833333333333333</v>
      </c>
      <c r="V277" s="415" t="s">
        <v>662</v>
      </c>
      <c r="W277" s="415" t="s">
        <v>610</v>
      </c>
      <c r="X277" s="415" t="s">
        <v>673</v>
      </c>
      <c r="Y277" s="415"/>
    </row>
    <row r="278" spans="1:25" hidden="1" x14ac:dyDescent="0.25">
      <c r="A278" s="415">
        <v>277</v>
      </c>
      <c r="B278" s="415">
        <v>193</v>
      </c>
      <c r="C278" s="415">
        <v>216397</v>
      </c>
      <c r="D278" s="416" t="s">
        <v>1078</v>
      </c>
      <c r="E278" s="416" t="s">
        <v>496</v>
      </c>
      <c r="F278" s="416" t="s">
        <v>501</v>
      </c>
      <c r="G278" s="416" t="s">
        <v>1410</v>
      </c>
      <c r="H278" s="416" t="s">
        <v>1078</v>
      </c>
      <c r="I278" s="416" t="s">
        <v>1492</v>
      </c>
      <c r="J278" s="415" t="s">
        <v>661</v>
      </c>
      <c r="K278" s="417">
        <v>-8.9672400000000003</v>
      </c>
      <c r="L278" s="417">
        <v>-76.092612000000003</v>
      </c>
      <c r="M278" s="418">
        <v>30</v>
      </c>
      <c r="N278" s="418" t="s">
        <v>2310</v>
      </c>
      <c r="O278" s="418" t="s">
        <v>2411</v>
      </c>
      <c r="P278" s="415">
        <v>2</v>
      </c>
      <c r="Q278" s="415">
        <v>30</v>
      </c>
      <c r="R278" s="415">
        <v>5</v>
      </c>
      <c r="S278" s="415">
        <f t="shared" si="12"/>
        <v>5</v>
      </c>
      <c r="T278" s="419">
        <f t="shared" si="13"/>
        <v>0.83333333333333337</v>
      </c>
      <c r="U278" s="419">
        <f t="shared" si="14"/>
        <v>5.833333333333333</v>
      </c>
      <c r="V278" s="415" t="s">
        <v>662</v>
      </c>
      <c r="W278" s="415" t="s">
        <v>610</v>
      </c>
      <c r="X278" s="415" t="s">
        <v>673</v>
      </c>
      <c r="Y278" s="415"/>
    </row>
    <row r="279" spans="1:25" hidden="1" x14ac:dyDescent="0.25">
      <c r="A279" s="415">
        <v>278</v>
      </c>
      <c r="B279" s="415">
        <v>194</v>
      </c>
      <c r="C279" s="415">
        <v>203757</v>
      </c>
      <c r="D279" s="416" t="s">
        <v>1415</v>
      </c>
      <c r="E279" s="416" t="s">
        <v>496</v>
      </c>
      <c r="F279" s="416" t="s">
        <v>501</v>
      </c>
      <c r="G279" s="416" t="s">
        <v>1413</v>
      </c>
      <c r="H279" s="416" t="s">
        <v>1416</v>
      </c>
      <c r="I279" s="416" t="s">
        <v>1417</v>
      </c>
      <c r="J279" s="415" t="s">
        <v>661</v>
      </c>
      <c r="K279" s="417">
        <v>-9.3717500000000005</v>
      </c>
      <c r="L279" s="417">
        <v>-75.932259999999999</v>
      </c>
      <c r="M279" s="418">
        <v>30</v>
      </c>
      <c r="N279" s="418" t="s">
        <v>2310</v>
      </c>
      <c r="O279" s="418" t="s">
        <v>2411</v>
      </c>
      <c r="P279" s="415">
        <v>2</v>
      </c>
      <c r="Q279" s="415">
        <v>30</v>
      </c>
      <c r="R279" s="415">
        <v>5</v>
      </c>
      <c r="S279" s="415">
        <f t="shared" si="12"/>
        <v>5</v>
      </c>
      <c r="T279" s="419">
        <f t="shared" si="13"/>
        <v>0.83333333333333337</v>
      </c>
      <c r="U279" s="419">
        <f t="shared" si="14"/>
        <v>5.833333333333333</v>
      </c>
      <c r="V279" s="415" t="s">
        <v>662</v>
      </c>
      <c r="W279" s="415" t="s">
        <v>610</v>
      </c>
      <c r="X279" s="415" t="s">
        <v>673</v>
      </c>
      <c r="Y279" s="415"/>
    </row>
    <row r="280" spans="1:25" hidden="1" x14ac:dyDescent="0.25">
      <c r="A280" s="415">
        <v>279</v>
      </c>
      <c r="B280" s="415">
        <v>195</v>
      </c>
      <c r="C280" s="415">
        <v>203663</v>
      </c>
      <c r="D280" s="416" t="s">
        <v>1412</v>
      </c>
      <c r="E280" s="416" t="s">
        <v>496</v>
      </c>
      <c r="F280" s="416" t="s">
        <v>501</v>
      </c>
      <c r="G280" s="416" t="s">
        <v>1413</v>
      </c>
      <c r="H280" s="416" t="s">
        <v>1414</v>
      </c>
      <c r="I280" s="416" t="s">
        <v>1414</v>
      </c>
      <c r="J280" s="415" t="s">
        <v>661</v>
      </c>
      <c r="K280" s="417">
        <v>-9.4848750000000006</v>
      </c>
      <c r="L280" s="417">
        <v>-75.931791000000004</v>
      </c>
      <c r="M280" s="418">
        <v>30</v>
      </c>
      <c r="N280" s="418" t="s">
        <v>2310</v>
      </c>
      <c r="O280" s="418" t="s">
        <v>2411</v>
      </c>
      <c r="P280" s="415">
        <v>2</v>
      </c>
      <c r="Q280" s="415">
        <v>30</v>
      </c>
      <c r="R280" s="415">
        <v>5</v>
      </c>
      <c r="S280" s="415">
        <f t="shared" si="12"/>
        <v>5</v>
      </c>
      <c r="T280" s="419">
        <f t="shared" si="13"/>
        <v>0.83333333333333337</v>
      </c>
      <c r="U280" s="419">
        <f t="shared" si="14"/>
        <v>5.833333333333333</v>
      </c>
      <c r="V280" s="415" t="s">
        <v>662</v>
      </c>
      <c r="W280" s="415" t="s">
        <v>610</v>
      </c>
      <c r="X280" s="415" t="s">
        <v>673</v>
      </c>
      <c r="Y280" s="415"/>
    </row>
    <row r="281" spans="1:25" hidden="1" x14ac:dyDescent="0.25">
      <c r="A281" s="415">
        <v>280</v>
      </c>
      <c r="B281" s="415">
        <v>196</v>
      </c>
      <c r="C281" s="415">
        <v>203936</v>
      </c>
      <c r="D281" s="416" t="s">
        <v>1413</v>
      </c>
      <c r="E281" s="416" t="s">
        <v>496</v>
      </c>
      <c r="F281" s="416" t="s">
        <v>501</v>
      </c>
      <c r="G281" s="416" t="s">
        <v>1413</v>
      </c>
      <c r="H281" s="416" t="s">
        <v>2647</v>
      </c>
      <c r="I281" s="416" t="s">
        <v>2648</v>
      </c>
      <c r="J281" s="415" t="s">
        <v>661</v>
      </c>
      <c r="K281" s="417">
        <v>-9.4086079999999992</v>
      </c>
      <c r="L281" s="417">
        <v>-75.972662</v>
      </c>
      <c r="M281" s="418">
        <v>30</v>
      </c>
      <c r="N281" s="418" t="s">
        <v>2310</v>
      </c>
      <c r="O281" s="418" t="s">
        <v>2411</v>
      </c>
      <c r="P281" s="415">
        <v>2</v>
      </c>
      <c r="Q281" s="415">
        <v>30</v>
      </c>
      <c r="R281" s="415">
        <v>5</v>
      </c>
      <c r="S281" s="415">
        <f t="shared" si="12"/>
        <v>5</v>
      </c>
      <c r="T281" s="419">
        <f t="shared" si="13"/>
        <v>0.83333333333333337</v>
      </c>
      <c r="U281" s="419">
        <f t="shared" si="14"/>
        <v>5.833333333333333</v>
      </c>
      <c r="V281" s="415" t="s">
        <v>662</v>
      </c>
      <c r="W281" s="415" t="s">
        <v>610</v>
      </c>
      <c r="X281" s="415" t="s">
        <v>673</v>
      </c>
      <c r="Y281" s="415"/>
    </row>
    <row r="282" spans="1:25" hidden="1" x14ac:dyDescent="0.25">
      <c r="A282" s="415">
        <v>281</v>
      </c>
      <c r="B282" s="415">
        <v>197</v>
      </c>
      <c r="C282" s="415">
        <v>204243</v>
      </c>
      <c r="D282" s="416" t="s">
        <v>1419</v>
      </c>
      <c r="E282" s="416" t="s">
        <v>496</v>
      </c>
      <c r="F282" s="416" t="s">
        <v>502</v>
      </c>
      <c r="G282" s="416" t="s">
        <v>1420</v>
      </c>
      <c r="H282" s="416" t="s">
        <v>1421</v>
      </c>
      <c r="I282" s="416" t="s">
        <v>1421</v>
      </c>
      <c r="J282" s="415" t="s">
        <v>661</v>
      </c>
      <c r="K282" s="417">
        <v>-8.5293200000000002</v>
      </c>
      <c r="L282" s="417">
        <v>-77.126990000000006</v>
      </c>
      <c r="M282" s="418">
        <v>30</v>
      </c>
      <c r="N282" s="418" t="s">
        <v>2310</v>
      </c>
      <c r="O282" s="418" t="s">
        <v>2411</v>
      </c>
      <c r="P282" s="415">
        <v>2</v>
      </c>
      <c r="Q282" s="415">
        <v>30</v>
      </c>
      <c r="R282" s="415">
        <v>5</v>
      </c>
      <c r="S282" s="415">
        <f t="shared" si="12"/>
        <v>5</v>
      </c>
      <c r="T282" s="419">
        <f t="shared" si="13"/>
        <v>0.83333333333333337</v>
      </c>
      <c r="U282" s="419">
        <f t="shared" si="14"/>
        <v>5.833333333333333</v>
      </c>
      <c r="V282" s="415" t="s">
        <v>662</v>
      </c>
      <c r="W282" s="415" t="s">
        <v>616</v>
      </c>
      <c r="X282" s="415" t="s">
        <v>666</v>
      </c>
      <c r="Y282" s="415"/>
    </row>
    <row r="283" spans="1:25" hidden="1" x14ac:dyDescent="0.25">
      <c r="A283" s="415">
        <v>282</v>
      </c>
      <c r="B283" s="415">
        <v>198</v>
      </c>
      <c r="C283" s="415">
        <v>205596</v>
      </c>
      <c r="D283" s="416" t="s">
        <v>1427</v>
      </c>
      <c r="E283" s="416" t="s">
        <v>496</v>
      </c>
      <c r="F283" s="416" t="s">
        <v>503</v>
      </c>
      <c r="G283" s="416" t="s">
        <v>1418</v>
      </c>
      <c r="H283" s="416" t="s">
        <v>1428</v>
      </c>
      <c r="I283" s="416" t="s">
        <v>1429</v>
      </c>
      <c r="J283" s="415" t="s">
        <v>661</v>
      </c>
      <c r="K283" s="417">
        <v>-9.5336999999999996</v>
      </c>
      <c r="L283" s="417">
        <v>-75.925200000000004</v>
      </c>
      <c r="M283" s="418">
        <v>30</v>
      </c>
      <c r="N283" s="418" t="s">
        <v>2310</v>
      </c>
      <c r="O283" s="418" t="s">
        <v>2411</v>
      </c>
      <c r="P283" s="415">
        <v>2</v>
      </c>
      <c r="Q283" s="415">
        <v>30</v>
      </c>
      <c r="R283" s="415">
        <v>5</v>
      </c>
      <c r="S283" s="415">
        <f t="shared" si="12"/>
        <v>5</v>
      </c>
      <c r="T283" s="419">
        <f t="shared" si="13"/>
        <v>0.83333333333333337</v>
      </c>
      <c r="U283" s="419">
        <f t="shared" si="14"/>
        <v>5.833333333333333</v>
      </c>
      <c r="V283" s="415" t="s">
        <v>662</v>
      </c>
      <c r="W283" s="415" t="s">
        <v>610</v>
      </c>
      <c r="X283" s="415" t="s">
        <v>673</v>
      </c>
      <c r="Y283" s="415"/>
    </row>
    <row r="284" spans="1:25" hidden="1" x14ac:dyDescent="0.25">
      <c r="A284" s="415">
        <v>283</v>
      </c>
      <c r="B284" s="415">
        <v>199</v>
      </c>
      <c r="C284" s="415">
        <v>205209</v>
      </c>
      <c r="D284" s="416" t="s">
        <v>1424</v>
      </c>
      <c r="E284" s="416" t="s">
        <v>496</v>
      </c>
      <c r="F284" s="416" t="s">
        <v>503</v>
      </c>
      <c r="G284" s="416" t="s">
        <v>1423</v>
      </c>
      <c r="H284" s="416" t="s">
        <v>1425</v>
      </c>
      <c r="I284" s="416" t="s">
        <v>1426</v>
      </c>
      <c r="J284" s="415" t="s">
        <v>661</v>
      </c>
      <c r="K284" s="417">
        <v>-9.9109999999999996</v>
      </c>
      <c r="L284" s="417">
        <v>-75.981399999999994</v>
      </c>
      <c r="M284" s="418">
        <v>30</v>
      </c>
      <c r="N284" s="418" t="s">
        <v>2310</v>
      </c>
      <c r="O284" s="418" t="s">
        <v>2411</v>
      </c>
      <c r="P284" s="415">
        <v>2</v>
      </c>
      <c r="Q284" s="415">
        <v>30</v>
      </c>
      <c r="R284" s="415">
        <v>5</v>
      </c>
      <c r="S284" s="415">
        <f t="shared" si="12"/>
        <v>5</v>
      </c>
      <c r="T284" s="419">
        <f t="shared" si="13"/>
        <v>0.83333333333333337</v>
      </c>
      <c r="U284" s="419">
        <f t="shared" si="14"/>
        <v>5.833333333333333</v>
      </c>
      <c r="V284" s="415" t="s">
        <v>662</v>
      </c>
      <c r="W284" s="415" t="s">
        <v>610</v>
      </c>
      <c r="X284" s="415" t="s">
        <v>673</v>
      </c>
      <c r="Y284" s="415"/>
    </row>
    <row r="285" spans="1:25" hidden="1" x14ac:dyDescent="0.25">
      <c r="A285" s="415">
        <v>284</v>
      </c>
      <c r="B285" s="415">
        <v>200</v>
      </c>
      <c r="C285" s="415">
        <v>205134</v>
      </c>
      <c r="D285" s="416" t="s">
        <v>1422</v>
      </c>
      <c r="E285" s="416" t="s">
        <v>496</v>
      </c>
      <c r="F285" s="416" t="s">
        <v>503</v>
      </c>
      <c r="G285" s="416" t="s">
        <v>1423</v>
      </c>
      <c r="H285" s="416" t="s">
        <v>790</v>
      </c>
      <c r="I285" s="416" t="s">
        <v>790</v>
      </c>
      <c r="J285" s="415" t="s">
        <v>661</v>
      </c>
      <c r="K285" s="417">
        <v>-9.8902000000000001</v>
      </c>
      <c r="L285" s="417">
        <v>-75.969200000000001</v>
      </c>
      <c r="M285" s="418">
        <v>30</v>
      </c>
      <c r="N285" s="418" t="s">
        <v>2310</v>
      </c>
      <c r="O285" s="418" t="s">
        <v>2411</v>
      </c>
      <c r="P285" s="415">
        <v>2</v>
      </c>
      <c r="Q285" s="415">
        <v>30</v>
      </c>
      <c r="R285" s="415">
        <v>5</v>
      </c>
      <c r="S285" s="415">
        <f t="shared" si="12"/>
        <v>5</v>
      </c>
      <c r="T285" s="419">
        <f t="shared" si="13"/>
        <v>0.83333333333333337</v>
      </c>
      <c r="U285" s="419">
        <f t="shared" si="14"/>
        <v>5.833333333333333</v>
      </c>
      <c r="V285" s="415" t="s">
        <v>662</v>
      </c>
      <c r="W285" s="415" t="s">
        <v>610</v>
      </c>
      <c r="X285" s="415" t="s">
        <v>673</v>
      </c>
      <c r="Y285" s="415"/>
    </row>
    <row r="286" spans="1:25" hidden="1" x14ac:dyDescent="0.25">
      <c r="A286" s="415">
        <v>285</v>
      </c>
      <c r="B286" s="415">
        <v>201</v>
      </c>
      <c r="C286" s="415">
        <v>206223</v>
      </c>
      <c r="D286" s="416" t="s">
        <v>2649</v>
      </c>
      <c r="E286" s="416" t="s">
        <v>496</v>
      </c>
      <c r="F286" s="416" t="s">
        <v>503</v>
      </c>
      <c r="G286" s="416" t="s">
        <v>1431</v>
      </c>
      <c r="H286" s="416" t="s">
        <v>2650</v>
      </c>
      <c r="I286" s="416" t="s">
        <v>2651</v>
      </c>
      <c r="J286" s="415" t="s">
        <v>661</v>
      </c>
      <c r="K286" s="417">
        <v>-9.8948999999999998</v>
      </c>
      <c r="L286" s="417">
        <v>-76.020700000000005</v>
      </c>
      <c r="M286" s="418">
        <v>30</v>
      </c>
      <c r="N286" s="418" t="s">
        <v>2310</v>
      </c>
      <c r="O286" s="418" t="s">
        <v>2411</v>
      </c>
      <c r="P286" s="415">
        <v>2</v>
      </c>
      <c r="Q286" s="415">
        <v>30</v>
      </c>
      <c r="R286" s="415">
        <v>5</v>
      </c>
      <c r="S286" s="415">
        <f t="shared" si="12"/>
        <v>5</v>
      </c>
      <c r="T286" s="419">
        <f t="shared" si="13"/>
        <v>0.83333333333333337</v>
      </c>
      <c r="U286" s="419">
        <f t="shared" si="14"/>
        <v>5.833333333333333</v>
      </c>
      <c r="V286" s="415" t="s">
        <v>662</v>
      </c>
      <c r="W286" s="415" t="s">
        <v>610</v>
      </c>
      <c r="X286" s="415" t="s">
        <v>673</v>
      </c>
      <c r="Y286" s="415"/>
    </row>
    <row r="287" spans="1:25" hidden="1" x14ac:dyDescent="0.25">
      <c r="A287" s="415">
        <v>286</v>
      </c>
      <c r="B287" s="415">
        <v>202</v>
      </c>
      <c r="C287" s="415">
        <v>206379</v>
      </c>
      <c r="D287" s="416" t="s">
        <v>2652</v>
      </c>
      <c r="E287" s="416" t="s">
        <v>496</v>
      </c>
      <c r="F287" s="416" t="s">
        <v>503</v>
      </c>
      <c r="G287" s="416" t="s">
        <v>1431</v>
      </c>
      <c r="H287" s="416" t="s">
        <v>2653</v>
      </c>
      <c r="I287" s="416" t="s">
        <v>2653</v>
      </c>
      <c r="J287" s="415" t="s">
        <v>661</v>
      </c>
      <c r="K287" s="417">
        <v>-9.8618900000000007</v>
      </c>
      <c r="L287" s="417">
        <v>-76.003219999999999</v>
      </c>
      <c r="M287" s="418">
        <v>30</v>
      </c>
      <c r="N287" s="418" t="s">
        <v>2310</v>
      </c>
      <c r="O287" s="418" t="s">
        <v>2411</v>
      </c>
      <c r="P287" s="415">
        <v>2</v>
      </c>
      <c r="Q287" s="415">
        <v>30</v>
      </c>
      <c r="R287" s="415">
        <v>5</v>
      </c>
      <c r="S287" s="415">
        <f t="shared" si="12"/>
        <v>5</v>
      </c>
      <c r="T287" s="419">
        <f t="shared" si="13"/>
        <v>0.83333333333333337</v>
      </c>
      <c r="U287" s="419">
        <f t="shared" si="14"/>
        <v>5.833333333333333</v>
      </c>
      <c r="V287" s="415" t="s">
        <v>662</v>
      </c>
      <c r="W287" s="415" t="s">
        <v>610</v>
      </c>
      <c r="X287" s="415" t="s">
        <v>673</v>
      </c>
      <c r="Y287" s="415"/>
    </row>
    <row r="288" spans="1:25" hidden="1" x14ac:dyDescent="0.25">
      <c r="A288" s="415">
        <v>287</v>
      </c>
      <c r="B288" s="415">
        <v>203</v>
      </c>
      <c r="C288" s="415">
        <v>206195</v>
      </c>
      <c r="D288" s="416" t="s">
        <v>2654</v>
      </c>
      <c r="E288" s="416" t="s">
        <v>496</v>
      </c>
      <c r="F288" s="416" t="s">
        <v>503</v>
      </c>
      <c r="G288" s="416" t="s">
        <v>1431</v>
      </c>
      <c r="H288" s="416" t="s">
        <v>2655</v>
      </c>
      <c r="I288" s="416" t="s">
        <v>2655</v>
      </c>
      <c r="J288" s="415" t="s">
        <v>661</v>
      </c>
      <c r="K288" s="417">
        <v>-9.8513999999999999</v>
      </c>
      <c r="L288" s="417">
        <v>-76.0077</v>
      </c>
      <c r="M288" s="418">
        <v>30</v>
      </c>
      <c r="N288" s="418" t="s">
        <v>2310</v>
      </c>
      <c r="O288" s="418" t="s">
        <v>2411</v>
      </c>
      <c r="P288" s="415">
        <v>2</v>
      </c>
      <c r="Q288" s="415">
        <v>30</v>
      </c>
      <c r="R288" s="415">
        <v>5</v>
      </c>
      <c r="S288" s="415">
        <f t="shared" si="12"/>
        <v>5</v>
      </c>
      <c r="T288" s="419">
        <f t="shared" si="13"/>
        <v>0.83333333333333337</v>
      </c>
      <c r="U288" s="419">
        <f t="shared" si="14"/>
        <v>5.833333333333333</v>
      </c>
      <c r="V288" s="415" t="s">
        <v>662</v>
      </c>
      <c r="W288" s="415" t="s">
        <v>610</v>
      </c>
      <c r="X288" s="415" t="s">
        <v>673</v>
      </c>
      <c r="Y288" s="415"/>
    </row>
    <row r="289" spans="1:25" hidden="1" x14ac:dyDescent="0.25">
      <c r="A289" s="415">
        <v>288</v>
      </c>
      <c r="B289" s="415">
        <v>204</v>
      </c>
      <c r="C289" s="415">
        <v>206237</v>
      </c>
      <c r="D289" s="416" t="s">
        <v>2656</v>
      </c>
      <c r="E289" s="416" t="s">
        <v>496</v>
      </c>
      <c r="F289" s="416" t="s">
        <v>503</v>
      </c>
      <c r="G289" s="416" t="s">
        <v>1431</v>
      </c>
      <c r="H289" s="416" t="s">
        <v>2657</v>
      </c>
      <c r="I289" s="416" t="s">
        <v>2657</v>
      </c>
      <c r="J289" s="415" t="s">
        <v>661</v>
      </c>
      <c r="K289" s="417">
        <v>-9.8895440000000008</v>
      </c>
      <c r="L289" s="417">
        <v>-76.007973000000007</v>
      </c>
      <c r="M289" s="418">
        <v>30</v>
      </c>
      <c r="N289" s="418" t="s">
        <v>2310</v>
      </c>
      <c r="O289" s="418" t="s">
        <v>2411</v>
      </c>
      <c r="P289" s="415">
        <v>2</v>
      </c>
      <c r="Q289" s="415">
        <v>30</v>
      </c>
      <c r="R289" s="415">
        <v>5</v>
      </c>
      <c r="S289" s="415">
        <f t="shared" si="12"/>
        <v>5</v>
      </c>
      <c r="T289" s="419">
        <f t="shared" si="13"/>
        <v>0.83333333333333337</v>
      </c>
      <c r="U289" s="419">
        <f t="shared" si="14"/>
        <v>5.833333333333333</v>
      </c>
      <c r="V289" s="415" t="s">
        <v>662</v>
      </c>
      <c r="W289" s="415" t="s">
        <v>610</v>
      </c>
      <c r="X289" s="415" t="s">
        <v>673</v>
      </c>
      <c r="Y289" s="415"/>
    </row>
    <row r="290" spans="1:25" hidden="1" x14ac:dyDescent="0.25">
      <c r="A290" s="415">
        <v>289</v>
      </c>
      <c r="B290" s="415">
        <v>205</v>
      </c>
      <c r="C290" s="415">
        <v>206204</v>
      </c>
      <c r="D290" s="416" t="s">
        <v>2658</v>
      </c>
      <c r="E290" s="416" t="s">
        <v>496</v>
      </c>
      <c r="F290" s="416" t="s">
        <v>503</v>
      </c>
      <c r="G290" s="416" t="s">
        <v>1431</v>
      </c>
      <c r="H290" s="416" t="s">
        <v>2659</v>
      </c>
      <c r="I290" s="416" t="s">
        <v>2660</v>
      </c>
      <c r="J290" s="415" t="s">
        <v>661</v>
      </c>
      <c r="K290" s="417">
        <v>-9.8590999999999998</v>
      </c>
      <c r="L290" s="417">
        <v>-76.024100000000004</v>
      </c>
      <c r="M290" s="418">
        <v>30</v>
      </c>
      <c r="N290" s="418" t="s">
        <v>2310</v>
      </c>
      <c r="O290" s="418" t="s">
        <v>2411</v>
      </c>
      <c r="P290" s="415">
        <v>2</v>
      </c>
      <c r="Q290" s="415">
        <v>30</v>
      </c>
      <c r="R290" s="415">
        <v>5</v>
      </c>
      <c r="S290" s="415">
        <f t="shared" si="12"/>
        <v>5</v>
      </c>
      <c r="T290" s="419">
        <f t="shared" si="13"/>
        <v>0.83333333333333337</v>
      </c>
      <c r="U290" s="419">
        <f t="shared" si="14"/>
        <v>5.833333333333333</v>
      </c>
      <c r="V290" s="415" t="s">
        <v>662</v>
      </c>
      <c r="W290" s="415" t="s">
        <v>610</v>
      </c>
      <c r="X290" s="415" t="s">
        <v>673</v>
      </c>
      <c r="Y290" s="415"/>
    </row>
    <row r="291" spans="1:25" hidden="1" x14ac:dyDescent="0.25">
      <c r="A291" s="415">
        <v>290</v>
      </c>
      <c r="B291" s="415">
        <v>206</v>
      </c>
      <c r="C291" s="415">
        <v>206275</v>
      </c>
      <c r="D291" s="416" t="s">
        <v>2661</v>
      </c>
      <c r="E291" s="416" t="s">
        <v>496</v>
      </c>
      <c r="F291" s="416" t="s">
        <v>503</v>
      </c>
      <c r="G291" s="416" t="s">
        <v>1431</v>
      </c>
      <c r="H291" s="416" t="s">
        <v>2662</v>
      </c>
      <c r="I291" s="416" t="s">
        <v>2663</v>
      </c>
      <c r="J291" s="415" t="s">
        <v>661</v>
      </c>
      <c r="K291" s="417">
        <v>-9.8445</v>
      </c>
      <c r="L291" s="417">
        <v>-76.045100000000005</v>
      </c>
      <c r="M291" s="418">
        <v>30</v>
      </c>
      <c r="N291" s="418" t="s">
        <v>2310</v>
      </c>
      <c r="O291" s="418" t="s">
        <v>2411</v>
      </c>
      <c r="P291" s="415">
        <v>2</v>
      </c>
      <c r="Q291" s="415">
        <v>30</v>
      </c>
      <c r="R291" s="415">
        <v>5</v>
      </c>
      <c r="S291" s="415">
        <f t="shared" si="12"/>
        <v>5</v>
      </c>
      <c r="T291" s="419">
        <f t="shared" si="13"/>
        <v>0.83333333333333337</v>
      </c>
      <c r="U291" s="419">
        <f t="shared" si="14"/>
        <v>5.833333333333333</v>
      </c>
      <c r="V291" s="415" t="s">
        <v>662</v>
      </c>
      <c r="W291" s="415" t="s">
        <v>610</v>
      </c>
      <c r="X291" s="415" t="s">
        <v>673</v>
      </c>
      <c r="Y291" s="415"/>
    </row>
    <row r="292" spans="1:25" hidden="1" x14ac:dyDescent="0.25">
      <c r="A292" s="415">
        <v>291</v>
      </c>
      <c r="B292" s="415">
        <v>207</v>
      </c>
      <c r="C292" s="415">
        <v>206256</v>
      </c>
      <c r="D292" s="416" t="s">
        <v>2664</v>
      </c>
      <c r="E292" s="416" t="s">
        <v>496</v>
      </c>
      <c r="F292" s="416" t="s">
        <v>503</v>
      </c>
      <c r="G292" s="416" t="s">
        <v>1431</v>
      </c>
      <c r="H292" s="416" t="s">
        <v>2665</v>
      </c>
      <c r="I292" s="416" t="s">
        <v>2666</v>
      </c>
      <c r="J292" s="415" t="s">
        <v>661</v>
      </c>
      <c r="K292" s="417">
        <v>-9.8742000000000001</v>
      </c>
      <c r="L292" s="417">
        <v>-76.002600000000001</v>
      </c>
      <c r="M292" s="418">
        <v>30</v>
      </c>
      <c r="N292" s="418" t="s">
        <v>2310</v>
      </c>
      <c r="O292" s="418" t="s">
        <v>2411</v>
      </c>
      <c r="P292" s="415">
        <v>2</v>
      </c>
      <c r="Q292" s="415">
        <v>30</v>
      </c>
      <c r="R292" s="415">
        <v>5</v>
      </c>
      <c r="S292" s="415">
        <f t="shared" si="12"/>
        <v>5</v>
      </c>
      <c r="T292" s="419">
        <f t="shared" si="13"/>
        <v>0.83333333333333337</v>
      </c>
      <c r="U292" s="419">
        <f t="shared" si="14"/>
        <v>5.833333333333333</v>
      </c>
      <c r="V292" s="415" t="s">
        <v>662</v>
      </c>
      <c r="W292" s="415" t="s">
        <v>610</v>
      </c>
      <c r="X292" s="415" t="s">
        <v>673</v>
      </c>
      <c r="Y292" s="415"/>
    </row>
    <row r="293" spans="1:25" hidden="1" x14ac:dyDescent="0.25">
      <c r="A293" s="415">
        <v>292</v>
      </c>
      <c r="B293" s="415">
        <v>208</v>
      </c>
      <c r="C293" s="415">
        <v>206242</v>
      </c>
      <c r="D293" s="416" t="s">
        <v>2667</v>
      </c>
      <c r="E293" s="416" t="s">
        <v>496</v>
      </c>
      <c r="F293" s="416" t="s">
        <v>503</v>
      </c>
      <c r="G293" s="416" t="s">
        <v>1431</v>
      </c>
      <c r="H293" s="416" t="s">
        <v>2668</v>
      </c>
      <c r="I293" s="416" t="s">
        <v>2669</v>
      </c>
      <c r="J293" s="415" t="s">
        <v>661</v>
      </c>
      <c r="K293" s="417">
        <v>-9.8756000000000004</v>
      </c>
      <c r="L293" s="417">
        <v>-76.029399999999995</v>
      </c>
      <c r="M293" s="418">
        <v>30</v>
      </c>
      <c r="N293" s="418" t="s">
        <v>2310</v>
      </c>
      <c r="O293" s="418" t="s">
        <v>2411</v>
      </c>
      <c r="P293" s="415">
        <v>2</v>
      </c>
      <c r="Q293" s="415">
        <v>30</v>
      </c>
      <c r="R293" s="415">
        <v>5</v>
      </c>
      <c r="S293" s="415">
        <f t="shared" si="12"/>
        <v>5</v>
      </c>
      <c r="T293" s="419">
        <f t="shared" si="13"/>
        <v>0.83333333333333337</v>
      </c>
      <c r="U293" s="419">
        <f t="shared" si="14"/>
        <v>5.833333333333333</v>
      </c>
      <c r="V293" s="415" t="s">
        <v>662</v>
      </c>
      <c r="W293" s="415" t="s">
        <v>610</v>
      </c>
      <c r="X293" s="415" t="s">
        <v>673</v>
      </c>
      <c r="Y293" s="415"/>
    </row>
    <row r="294" spans="1:25" hidden="1" x14ac:dyDescent="0.25">
      <c r="A294" s="415">
        <v>293</v>
      </c>
      <c r="B294" s="415">
        <v>209</v>
      </c>
      <c r="C294" s="415">
        <v>439213</v>
      </c>
      <c r="D294" s="416" t="s">
        <v>2670</v>
      </c>
      <c r="E294" s="416" t="s">
        <v>496</v>
      </c>
      <c r="F294" s="416" t="s">
        <v>504</v>
      </c>
      <c r="G294" s="416" t="s">
        <v>1432</v>
      </c>
      <c r="H294" s="416" t="s">
        <v>1432</v>
      </c>
      <c r="I294" s="416" t="s">
        <v>2671</v>
      </c>
      <c r="J294" s="415" t="s">
        <v>661</v>
      </c>
      <c r="K294" s="417">
        <v>-9.67544</v>
      </c>
      <c r="L294" s="417">
        <v>-75.460210000000004</v>
      </c>
      <c r="M294" s="418">
        <v>30</v>
      </c>
      <c r="N294" s="418" t="s">
        <v>2310</v>
      </c>
      <c r="O294" s="418" t="s">
        <v>2411</v>
      </c>
      <c r="P294" s="415">
        <v>2</v>
      </c>
      <c r="Q294" s="415">
        <v>30</v>
      </c>
      <c r="R294" s="415">
        <v>5</v>
      </c>
      <c r="S294" s="415">
        <f t="shared" si="12"/>
        <v>5</v>
      </c>
      <c r="T294" s="419">
        <f t="shared" si="13"/>
        <v>0.83333333333333337</v>
      </c>
      <c r="U294" s="419">
        <f t="shared" si="14"/>
        <v>5.833333333333333</v>
      </c>
      <c r="V294" s="415" t="s">
        <v>662</v>
      </c>
      <c r="W294" s="415" t="s">
        <v>610</v>
      </c>
      <c r="X294" s="415" t="s">
        <v>673</v>
      </c>
      <c r="Y294" s="415"/>
    </row>
    <row r="295" spans="1:25" hidden="1" x14ac:dyDescent="0.25">
      <c r="A295" s="415">
        <v>294</v>
      </c>
      <c r="B295" s="415">
        <v>210</v>
      </c>
      <c r="C295" s="415">
        <v>642974</v>
      </c>
      <c r="D295" s="416" t="s">
        <v>2672</v>
      </c>
      <c r="E295" s="416" t="s">
        <v>496</v>
      </c>
      <c r="F295" s="416" t="s">
        <v>504</v>
      </c>
      <c r="G295" s="416" t="s">
        <v>1435</v>
      </c>
      <c r="H295" s="416" t="s">
        <v>2673</v>
      </c>
      <c r="I295" s="416" t="s">
        <v>2673</v>
      </c>
      <c r="J295" s="415" t="s">
        <v>661</v>
      </c>
      <c r="K295" s="417">
        <v>-9.6694999999999993</v>
      </c>
      <c r="L295" s="417">
        <v>-75.022199999999998</v>
      </c>
      <c r="M295" s="418">
        <v>30</v>
      </c>
      <c r="N295" s="418" t="s">
        <v>2310</v>
      </c>
      <c r="O295" s="418" t="s">
        <v>2411</v>
      </c>
      <c r="P295" s="415">
        <v>2</v>
      </c>
      <c r="Q295" s="415">
        <v>30</v>
      </c>
      <c r="R295" s="415">
        <v>5</v>
      </c>
      <c r="S295" s="415">
        <f t="shared" si="12"/>
        <v>5</v>
      </c>
      <c r="T295" s="419">
        <f t="shared" si="13"/>
        <v>0.83333333333333337</v>
      </c>
      <c r="U295" s="419">
        <f t="shared" si="14"/>
        <v>5.833333333333333</v>
      </c>
      <c r="V295" s="415" t="s">
        <v>662</v>
      </c>
      <c r="W295" s="415" t="s">
        <v>610</v>
      </c>
      <c r="X295" s="415" t="s">
        <v>673</v>
      </c>
      <c r="Y295" s="415"/>
    </row>
    <row r="296" spans="1:25" hidden="1" x14ac:dyDescent="0.25">
      <c r="A296" s="415">
        <v>295</v>
      </c>
      <c r="B296" s="415">
        <v>211</v>
      </c>
      <c r="C296" s="415">
        <v>207859</v>
      </c>
      <c r="D296" s="416" t="s">
        <v>2674</v>
      </c>
      <c r="E296" s="416" t="s">
        <v>496</v>
      </c>
      <c r="F296" s="416" t="s">
        <v>504</v>
      </c>
      <c r="G296" s="416" t="s">
        <v>1435</v>
      </c>
      <c r="H296" s="416" t="s">
        <v>1098</v>
      </c>
      <c r="I296" s="416" t="s">
        <v>1098</v>
      </c>
      <c r="J296" s="415" t="s">
        <v>661</v>
      </c>
      <c r="K296" s="417">
        <v>-9.4918999999999993</v>
      </c>
      <c r="L296" s="417">
        <v>-75.019900000000007</v>
      </c>
      <c r="M296" s="418">
        <v>30</v>
      </c>
      <c r="N296" s="418" t="s">
        <v>2310</v>
      </c>
      <c r="O296" s="418" t="s">
        <v>2411</v>
      </c>
      <c r="P296" s="415">
        <v>2</v>
      </c>
      <c r="Q296" s="415">
        <v>30</v>
      </c>
      <c r="R296" s="415">
        <v>5</v>
      </c>
      <c r="S296" s="415">
        <f t="shared" si="12"/>
        <v>5</v>
      </c>
      <c r="T296" s="419">
        <f t="shared" si="13"/>
        <v>0.83333333333333337</v>
      </c>
      <c r="U296" s="419">
        <f t="shared" si="14"/>
        <v>5.833333333333333</v>
      </c>
      <c r="V296" s="415" t="s">
        <v>662</v>
      </c>
      <c r="W296" s="415" t="s">
        <v>610</v>
      </c>
      <c r="X296" s="415" t="s">
        <v>673</v>
      </c>
      <c r="Y296" s="415"/>
    </row>
    <row r="297" spans="1:25" hidden="1" x14ac:dyDescent="0.25">
      <c r="A297" s="415">
        <v>296</v>
      </c>
      <c r="B297" s="415">
        <v>212</v>
      </c>
      <c r="C297" s="415">
        <v>207576</v>
      </c>
      <c r="D297" s="416" t="s">
        <v>2675</v>
      </c>
      <c r="E297" s="416" t="s">
        <v>496</v>
      </c>
      <c r="F297" s="416" t="s">
        <v>504</v>
      </c>
      <c r="G297" s="416" t="s">
        <v>1435</v>
      </c>
      <c r="H297" s="416" t="s">
        <v>1435</v>
      </c>
      <c r="I297" s="416" t="s">
        <v>2676</v>
      </c>
      <c r="J297" s="415" t="s">
        <v>661</v>
      </c>
      <c r="K297" s="417">
        <v>-9.6274999999999995</v>
      </c>
      <c r="L297" s="417">
        <v>-74.974999999999994</v>
      </c>
      <c r="M297" s="418">
        <v>30</v>
      </c>
      <c r="N297" s="418" t="s">
        <v>2310</v>
      </c>
      <c r="O297" s="418" t="s">
        <v>2411</v>
      </c>
      <c r="P297" s="415">
        <v>2</v>
      </c>
      <c r="Q297" s="415">
        <v>30</v>
      </c>
      <c r="R297" s="415">
        <v>5</v>
      </c>
      <c r="S297" s="415">
        <f t="shared" si="12"/>
        <v>5</v>
      </c>
      <c r="T297" s="419">
        <f t="shared" si="13"/>
        <v>0.83333333333333337</v>
      </c>
      <c r="U297" s="419">
        <f t="shared" si="14"/>
        <v>5.833333333333333</v>
      </c>
      <c r="V297" s="415" t="s">
        <v>662</v>
      </c>
      <c r="W297" s="415" t="s">
        <v>610</v>
      </c>
      <c r="X297" s="415" t="s">
        <v>673</v>
      </c>
      <c r="Y297" s="415"/>
    </row>
    <row r="298" spans="1:25" hidden="1" x14ac:dyDescent="0.25">
      <c r="A298" s="415">
        <v>297</v>
      </c>
      <c r="B298" s="415">
        <v>213</v>
      </c>
      <c r="C298" s="415">
        <v>209962</v>
      </c>
      <c r="D298" s="416" t="s">
        <v>1438</v>
      </c>
      <c r="E298" s="416" t="s">
        <v>496</v>
      </c>
      <c r="F298" s="416" t="s">
        <v>506</v>
      </c>
      <c r="G298" s="416" t="s">
        <v>1439</v>
      </c>
      <c r="H298" s="416" t="s">
        <v>1440</v>
      </c>
      <c r="I298" s="416" t="s">
        <v>1440</v>
      </c>
      <c r="J298" s="415" t="s">
        <v>661</v>
      </c>
      <c r="K298" s="417">
        <v>-9.7710000000000008</v>
      </c>
      <c r="L298" s="417">
        <v>-76.671800000000005</v>
      </c>
      <c r="M298" s="418">
        <v>30</v>
      </c>
      <c r="N298" s="418" t="s">
        <v>2310</v>
      </c>
      <c r="O298" s="418" t="s">
        <v>2411</v>
      </c>
      <c r="P298" s="415">
        <v>2</v>
      </c>
      <c r="Q298" s="415">
        <v>30</v>
      </c>
      <c r="R298" s="415">
        <v>5</v>
      </c>
      <c r="S298" s="415">
        <f t="shared" si="12"/>
        <v>5</v>
      </c>
      <c r="T298" s="419">
        <f t="shared" si="13"/>
        <v>0.83333333333333337</v>
      </c>
      <c r="U298" s="419">
        <f t="shared" si="14"/>
        <v>5.833333333333333</v>
      </c>
      <c r="V298" s="415" t="s">
        <v>662</v>
      </c>
      <c r="W298" s="415" t="s">
        <v>610</v>
      </c>
      <c r="X298" s="415" t="s">
        <v>673</v>
      </c>
      <c r="Y298" s="415"/>
    </row>
    <row r="299" spans="1:25" hidden="1" x14ac:dyDescent="0.25">
      <c r="A299" s="415">
        <v>298</v>
      </c>
      <c r="B299" s="415">
        <v>214</v>
      </c>
      <c r="C299" s="415">
        <v>214930</v>
      </c>
      <c r="D299" s="416" t="s">
        <v>1465</v>
      </c>
      <c r="E299" s="416" t="s">
        <v>507</v>
      </c>
      <c r="F299" s="416" t="s">
        <v>508</v>
      </c>
      <c r="G299" s="416" t="s">
        <v>1462</v>
      </c>
      <c r="H299" s="416" t="s">
        <v>1466</v>
      </c>
      <c r="I299" s="416" t="s">
        <v>1467</v>
      </c>
      <c r="J299" s="415" t="s">
        <v>661</v>
      </c>
      <c r="K299" s="417">
        <v>-13.34919</v>
      </c>
      <c r="L299" s="417">
        <v>-75.938754000000003</v>
      </c>
      <c r="M299" s="418">
        <v>30</v>
      </c>
      <c r="N299" s="418" t="s">
        <v>2310</v>
      </c>
      <c r="O299" s="418" t="s">
        <v>2411</v>
      </c>
      <c r="P299" s="415">
        <v>2</v>
      </c>
      <c r="Q299" s="415">
        <v>30</v>
      </c>
      <c r="R299" s="415">
        <v>5</v>
      </c>
      <c r="S299" s="415">
        <f t="shared" si="12"/>
        <v>5</v>
      </c>
      <c r="T299" s="419">
        <f t="shared" si="13"/>
        <v>0.83333333333333337</v>
      </c>
      <c r="U299" s="419">
        <f t="shared" si="14"/>
        <v>5.833333333333333</v>
      </c>
      <c r="V299" s="415" t="s">
        <v>662</v>
      </c>
      <c r="W299" s="415" t="s">
        <v>612</v>
      </c>
      <c r="X299" s="415" t="s">
        <v>671</v>
      </c>
      <c r="Y299" s="415"/>
    </row>
    <row r="300" spans="1:25" hidden="1" x14ac:dyDescent="0.25">
      <c r="A300" s="415">
        <v>299</v>
      </c>
      <c r="B300" s="415">
        <v>215</v>
      </c>
      <c r="C300" s="415">
        <v>214925</v>
      </c>
      <c r="D300" s="416" t="s">
        <v>1461</v>
      </c>
      <c r="E300" s="416" t="s">
        <v>507</v>
      </c>
      <c r="F300" s="416" t="s">
        <v>508</v>
      </c>
      <c r="G300" s="416" t="s">
        <v>1462</v>
      </c>
      <c r="H300" s="416" t="s">
        <v>1463</v>
      </c>
      <c r="I300" s="416" t="s">
        <v>1464</v>
      </c>
      <c r="J300" s="415" t="s">
        <v>661</v>
      </c>
      <c r="K300" s="417">
        <v>-13.374228</v>
      </c>
      <c r="L300" s="417">
        <v>-75.844970000000004</v>
      </c>
      <c r="M300" s="418">
        <v>30</v>
      </c>
      <c r="N300" s="418" t="s">
        <v>2310</v>
      </c>
      <c r="O300" s="418" t="s">
        <v>2411</v>
      </c>
      <c r="P300" s="415">
        <v>2</v>
      </c>
      <c r="Q300" s="415">
        <v>30</v>
      </c>
      <c r="R300" s="415">
        <v>5</v>
      </c>
      <c r="S300" s="415">
        <f t="shared" si="12"/>
        <v>5</v>
      </c>
      <c r="T300" s="419">
        <f t="shared" si="13"/>
        <v>0.83333333333333337</v>
      </c>
      <c r="U300" s="419">
        <f t="shared" si="14"/>
        <v>5.833333333333333</v>
      </c>
      <c r="V300" s="415" t="s">
        <v>662</v>
      </c>
      <c r="W300" s="415" t="s">
        <v>612</v>
      </c>
      <c r="X300" s="415" t="s">
        <v>671</v>
      </c>
      <c r="Y300" s="415"/>
    </row>
    <row r="301" spans="1:25" hidden="1" x14ac:dyDescent="0.25">
      <c r="A301" s="415">
        <v>300</v>
      </c>
      <c r="B301" s="415">
        <v>216</v>
      </c>
      <c r="C301" s="415">
        <v>638284</v>
      </c>
      <c r="D301" s="416" t="s">
        <v>2677</v>
      </c>
      <c r="E301" s="416" t="s">
        <v>507</v>
      </c>
      <c r="F301" s="416" t="s">
        <v>508</v>
      </c>
      <c r="G301" s="416" t="s">
        <v>1462</v>
      </c>
      <c r="H301" s="416" t="s">
        <v>2678</v>
      </c>
      <c r="I301" s="416" t="s">
        <v>2679</v>
      </c>
      <c r="J301" s="415" t="s">
        <v>661</v>
      </c>
      <c r="K301" s="417">
        <v>-13.322789999999999</v>
      </c>
      <c r="L301" s="417">
        <v>-75.887140000000002</v>
      </c>
      <c r="M301" s="418">
        <v>30</v>
      </c>
      <c r="N301" s="418" t="s">
        <v>2310</v>
      </c>
      <c r="O301" s="418" t="s">
        <v>2411</v>
      </c>
      <c r="P301" s="415">
        <v>2</v>
      </c>
      <c r="Q301" s="415">
        <v>30</v>
      </c>
      <c r="R301" s="415">
        <v>5</v>
      </c>
      <c r="S301" s="415">
        <f t="shared" si="12"/>
        <v>5</v>
      </c>
      <c r="T301" s="419">
        <f t="shared" si="13"/>
        <v>0.83333333333333337</v>
      </c>
      <c r="U301" s="419">
        <f t="shared" si="14"/>
        <v>5.833333333333333</v>
      </c>
      <c r="V301" s="415" t="s">
        <v>662</v>
      </c>
      <c r="W301" s="415" t="s">
        <v>612</v>
      </c>
      <c r="X301" s="415" t="s">
        <v>671</v>
      </c>
      <c r="Y301" s="415"/>
    </row>
    <row r="302" spans="1:25" hidden="1" x14ac:dyDescent="0.25">
      <c r="A302" s="415">
        <v>301</v>
      </c>
      <c r="B302" s="415">
        <v>217</v>
      </c>
      <c r="C302" s="415">
        <v>214911</v>
      </c>
      <c r="D302" s="416" t="s">
        <v>2680</v>
      </c>
      <c r="E302" s="416" t="s">
        <v>507</v>
      </c>
      <c r="F302" s="416" t="s">
        <v>508</v>
      </c>
      <c r="G302" s="416" t="s">
        <v>1462</v>
      </c>
      <c r="H302" s="416" t="s">
        <v>2681</v>
      </c>
      <c r="I302" s="416" t="s">
        <v>2678</v>
      </c>
      <c r="J302" s="415" t="s">
        <v>661</v>
      </c>
      <c r="K302" s="417">
        <v>-13.355543000000001</v>
      </c>
      <c r="L302" s="417">
        <v>-75.926291000000006</v>
      </c>
      <c r="M302" s="418">
        <v>30</v>
      </c>
      <c r="N302" s="418" t="s">
        <v>2310</v>
      </c>
      <c r="O302" s="418" t="s">
        <v>2411</v>
      </c>
      <c r="P302" s="415">
        <v>2</v>
      </c>
      <c r="Q302" s="415">
        <v>30</v>
      </c>
      <c r="R302" s="415">
        <v>5</v>
      </c>
      <c r="S302" s="415">
        <f t="shared" si="12"/>
        <v>5</v>
      </c>
      <c r="T302" s="419">
        <f t="shared" si="13"/>
        <v>0.83333333333333337</v>
      </c>
      <c r="U302" s="419">
        <f t="shared" si="14"/>
        <v>5.833333333333333</v>
      </c>
      <c r="V302" s="415" t="s">
        <v>662</v>
      </c>
      <c r="W302" s="415" t="s">
        <v>612</v>
      </c>
      <c r="X302" s="415" t="s">
        <v>671</v>
      </c>
      <c r="Y302" s="415"/>
    </row>
    <row r="303" spans="1:25" hidden="1" x14ac:dyDescent="0.25">
      <c r="A303" s="415">
        <v>302</v>
      </c>
      <c r="B303" s="415">
        <v>218</v>
      </c>
      <c r="C303" s="415">
        <v>215072</v>
      </c>
      <c r="D303" s="416" t="s">
        <v>1468</v>
      </c>
      <c r="E303" s="416" t="s">
        <v>507</v>
      </c>
      <c r="F303" s="416" t="s">
        <v>508</v>
      </c>
      <c r="G303" s="416" t="s">
        <v>1469</v>
      </c>
      <c r="H303" s="416" t="s">
        <v>1470</v>
      </c>
      <c r="I303" s="416" t="s">
        <v>1470</v>
      </c>
      <c r="J303" s="415" t="s">
        <v>661</v>
      </c>
      <c r="K303" s="417">
        <v>-13.516842</v>
      </c>
      <c r="L303" s="417">
        <v>-76.177391</v>
      </c>
      <c r="M303" s="418">
        <v>30</v>
      </c>
      <c r="N303" s="418" t="s">
        <v>2310</v>
      </c>
      <c r="O303" s="418" t="s">
        <v>2411</v>
      </c>
      <c r="P303" s="415">
        <v>2</v>
      </c>
      <c r="Q303" s="415">
        <v>30</v>
      </c>
      <c r="R303" s="415">
        <v>5</v>
      </c>
      <c r="S303" s="415">
        <f t="shared" si="12"/>
        <v>5</v>
      </c>
      <c r="T303" s="419">
        <f t="shared" si="13"/>
        <v>0.83333333333333337</v>
      </c>
      <c r="U303" s="419">
        <f t="shared" si="14"/>
        <v>5.833333333333333</v>
      </c>
      <c r="V303" s="415" t="s">
        <v>662</v>
      </c>
      <c r="W303" s="415" t="s">
        <v>612</v>
      </c>
      <c r="X303" s="415" t="s">
        <v>671</v>
      </c>
      <c r="Y303" s="415"/>
    </row>
    <row r="304" spans="1:25" hidden="1" x14ac:dyDescent="0.25">
      <c r="A304" s="415">
        <v>303</v>
      </c>
      <c r="B304" s="415">
        <v>219</v>
      </c>
      <c r="C304" s="415">
        <v>215251</v>
      </c>
      <c r="D304" s="416" t="s">
        <v>2682</v>
      </c>
      <c r="E304" s="416" t="s">
        <v>507</v>
      </c>
      <c r="F304" s="416" t="s">
        <v>508</v>
      </c>
      <c r="G304" s="416" t="s">
        <v>1469</v>
      </c>
      <c r="H304" s="416" t="s">
        <v>2683</v>
      </c>
      <c r="I304" s="416" t="s">
        <v>2684</v>
      </c>
      <c r="J304" s="415" t="s">
        <v>661</v>
      </c>
      <c r="K304" s="417">
        <v>-13.471496</v>
      </c>
      <c r="L304" s="417">
        <v>-76.132383000000004</v>
      </c>
      <c r="M304" s="418">
        <v>30</v>
      </c>
      <c r="N304" s="418" t="s">
        <v>2310</v>
      </c>
      <c r="O304" s="418" t="s">
        <v>2411</v>
      </c>
      <c r="P304" s="415">
        <v>2</v>
      </c>
      <c r="Q304" s="415">
        <v>30</v>
      </c>
      <c r="R304" s="415">
        <v>5</v>
      </c>
      <c r="S304" s="415">
        <f t="shared" si="12"/>
        <v>5</v>
      </c>
      <c r="T304" s="419">
        <f t="shared" si="13"/>
        <v>0.83333333333333337</v>
      </c>
      <c r="U304" s="419">
        <f t="shared" si="14"/>
        <v>5.833333333333333</v>
      </c>
      <c r="V304" s="415" t="s">
        <v>662</v>
      </c>
      <c r="W304" s="415" t="s">
        <v>612</v>
      </c>
      <c r="X304" s="415" t="s">
        <v>671</v>
      </c>
      <c r="Y304" s="415"/>
    </row>
    <row r="305" spans="1:25" hidden="1" x14ac:dyDescent="0.25">
      <c r="A305" s="415">
        <v>304</v>
      </c>
      <c r="B305" s="415">
        <v>220</v>
      </c>
      <c r="C305" s="415">
        <v>215086</v>
      </c>
      <c r="D305" s="416" t="s">
        <v>691</v>
      </c>
      <c r="E305" s="416" t="s">
        <v>507</v>
      </c>
      <c r="F305" s="416" t="s">
        <v>508</v>
      </c>
      <c r="G305" s="416" t="s">
        <v>1469</v>
      </c>
      <c r="H305" s="416" t="s">
        <v>691</v>
      </c>
      <c r="I305" s="416" t="s">
        <v>867</v>
      </c>
      <c r="J305" s="415" t="s">
        <v>661</v>
      </c>
      <c r="K305" s="417">
        <v>-13.47927</v>
      </c>
      <c r="L305" s="417">
        <v>-76.176370000000006</v>
      </c>
      <c r="M305" s="418">
        <v>30</v>
      </c>
      <c r="N305" s="418" t="s">
        <v>2310</v>
      </c>
      <c r="O305" s="418" t="s">
        <v>2411</v>
      </c>
      <c r="P305" s="415">
        <v>2</v>
      </c>
      <c r="Q305" s="415">
        <v>30</v>
      </c>
      <c r="R305" s="415">
        <v>5</v>
      </c>
      <c r="S305" s="415">
        <f t="shared" si="12"/>
        <v>5</v>
      </c>
      <c r="T305" s="419">
        <f t="shared" si="13"/>
        <v>0.83333333333333337</v>
      </c>
      <c r="U305" s="419">
        <f t="shared" si="14"/>
        <v>5.833333333333333</v>
      </c>
      <c r="V305" s="415" t="s">
        <v>662</v>
      </c>
      <c r="W305" s="415" t="s">
        <v>612</v>
      </c>
      <c r="X305" s="415" t="s">
        <v>671</v>
      </c>
      <c r="Y305" s="415"/>
    </row>
    <row r="306" spans="1:25" hidden="1" x14ac:dyDescent="0.25">
      <c r="A306" s="415">
        <v>305</v>
      </c>
      <c r="B306" s="415">
        <v>221</v>
      </c>
      <c r="C306" s="415">
        <v>215190</v>
      </c>
      <c r="D306" s="416" t="s">
        <v>1471</v>
      </c>
      <c r="E306" s="416" t="s">
        <v>507</v>
      </c>
      <c r="F306" s="416" t="s">
        <v>508</v>
      </c>
      <c r="G306" s="416" t="s">
        <v>1469</v>
      </c>
      <c r="H306" s="416" t="s">
        <v>965</v>
      </c>
      <c r="I306" s="416" t="s">
        <v>1472</v>
      </c>
      <c r="J306" s="415" t="s">
        <v>661</v>
      </c>
      <c r="K306" s="417">
        <v>-13.496218000000001</v>
      </c>
      <c r="L306" s="417">
        <v>-76.152165999999994</v>
      </c>
      <c r="M306" s="418">
        <v>30</v>
      </c>
      <c r="N306" s="418" t="s">
        <v>2310</v>
      </c>
      <c r="O306" s="418" t="s">
        <v>2411</v>
      </c>
      <c r="P306" s="415">
        <v>2</v>
      </c>
      <c r="Q306" s="415">
        <v>30</v>
      </c>
      <c r="R306" s="415">
        <v>5</v>
      </c>
      <c r="S306" s="415">
        <f t="shared" si="12"/>
        <v>5</v>
      </c>
      <c r="T306" s="419">
        <f t="shared" si="13"/>
        <v>0.83333333333333337</v>
      </c>
      <c r="U306" s="419">
        <f t="shared" si="14"/>
        <v>5.833333333333333</v>
      </c>
      <c r="V306" s="415" t="s">
        <v>662</v>
      </c>
      <c r="W306" s="415" t="s">
        <v>612</v>
      </c>
      <c r="X306" s="415" t="s">
        <v>671</v>
      </c>
      <c r="Y306" s="415"/>
    </row>
    <row r="307" spans="1:25" hidden="1" x14ac:dyDescent="0.25">
      <c r="A307" s="415">
        <v>306</v>
      </c>
      <c r="B307" s="415">
        <v>222</v>
      </c>
      <c r="C307" s="415">
        <v>215246</v>
      </c>
      <c r="D307" s="416" t="s">
        <v>1473</v>
      </c>
      <c r="E307" s="416" t="s">
        <v>507</v>
      </c>
      <c r="F307" s="416" t="s">
        <v>508</v>
      </c>
      <c r="G307" s="416" t="s">
        <v>1469</v>
      </c>
      <c r="H307" s="416" t="s">
        <v>965</v>
      </c>
      <c r="I307" s="416" t="s">
        <v>1474</v>
      </c>
      <c r="J307" s="415" t="s">
        <v>661</v>
      </c>
      <c r="K307" s="417">
        <v>-13.500368</v>
      </c>
      <c r="L307" s="417">
        <v>-76.149835999999993</v>
      </c>
      <c r="M307" s="418">
        <v>30</v>
      </c>
      <c r="N307" s="418" t="s">
        <v>2310</v>
      </c>
      <c r="O307" s="418" t="s">
        <v>2411</v>
      </c>
      <c r="P307" s="415">
        <v>2</v>
      </c>
      <c r="Q307" s="415">
        <v>30</v>
      </c>
      <c r="R307" s="415">
        <v>5</v>
      </c>
      <c r="S307" s="415">
        <f t="shared" si="12"/>
        <v>5</v>
      </c>
      <c r="T307" s="419">
        <f t="shared" si="13"/>
        <v>0.83333333333333337</v>
      </c>
      <c r="U307" s="419">
        <f t="shared" si="14"/>
        <v>5.833333333333333</v>
      </c>
      <c r="V307" s="415" t="s">
        <v>662</v>
      </c>
      <c r="W307" s="415" t="s">
        <v>612</v>
      </c>
      <c r="X307" s="415" t="s">
        <v>671</v>
      </c>
      <c r="Y307" s="415"/>
    </row>
    <row r="308" spans="1:25" hidden="1" x14ac:dyDescent="0.25">
      <c r="A308" s="415">
        <v>307</v>
      </c>
      <c r="B308" s="415">
        <v>223</v>
      </c>
      <c r="C308" s="415">
        <v>215312</v>
      </c>
      <c r="D308" s="416" t="s">
        <v>1910</v>
      </c>
      <c r="E308" s="416" t="s">
        <v>507</v>
      </c>
      <c r="F308" s="416" t="s">
        <v>508</v>
      </c>
      <c r="G308" s="416" t="s">
        <v>1304</v>
      </c>
      <c r="H308" s="416" t="s">
        <v>1304</v>
      </c>
      <c r="I308" s="416" t="s">
        <v>2685</v>
      </c>
      <c r="J308" s="415" t="s">
        <v>747</v>
      </c>
      <c r="K308" s="417">
        <v>-13.499952</v>
      </c>
      <c r="L308" s="417">
        <v>-76.059774000000004</v>
      </c>
      <c r="M308" s="418">
        <v>30</v>
      </c>
      <c r="N308" s="418" t="s">
        <v>2310</v>
      </c>
      <c r="O308" s="418" t="s">
        <v>2411</v>
      </c>
      <c r="P308" s="415">
        <v>2</v>
      </c>
      <c r="Q308" s="415">
        <v>30</v>
      </c>
      <c r="R308" s="415">
        <v>5</v>
      </c>
      <c r="S308" s="415">
        <f t="shared" si="12"/>
        <v>5</v>
      </c>
      <c r="T308" s="419">
        <f t="shared" si="13"/>
        <v>0.83333333333333337</v>
      </c>
      <c r="U308" s="419">
        <f t="shared" si="14"/>
        <v>5.833333333333333</v>
      </c>
      <c r="V308" s="415" t="s">
        <v>662</v>
      </c>
      <c r="W308" s="415" t="s">
        <v>612</v>
      </c>
      <c r="X308" s="415" t="s">
        <v>671</v>
      </c>
      <c r="Y308" s="415"/>
    </row>
    <row r="309" spans="1:25" hidden="1" x14ac:dyDescent="0.25">
      <c r="A309" s="415">
        <v>308</v>
      </c>
      <c r="B309" s="415">
        <v>224</v>
      </c>
      <c r="C309" s="415">
        <v>215430</v>
      </c>
      <c r="D309" s="416" t="s">
        <v>2686</v>
      </c>
      <c r="E309" s="416" t="s">
        <v>507</v>
      </c>
      <c r="F309" s="416" t="s">
        <v>508</v>
      </c>
      <c r="G309" s="416" t="s">
        <v>1304</v>
      </c>
      <c r="H309" s="416" t="s">
        <v>1304</v>
      </c>
      <c r="I309" s="416" t="s">
        <v>2687</v>
      </c>
      <c r="J309" s="415" t="s">
        <v>747</v>
      </c>
      <c r="K309" s="417">
        <v>-13.497698</v>
      </c>
      <c r="L309" s="417">
        <v>-76.056768000000005</v>
      </c>
      <c r="M309" s="418">
        <v>30</v>
      </c>
      <c r="N309" s="418" t="s">
        <v>2310</v>
      </c>
      <c r="O309" s="418" t="s">
        <v>2411</v>
      </c>
      <c r="P309" s="415">
        <v>2</v>
      </c>
      <c r="Q309" s="415">
        <v>30</v>
      </c>
      <c r="R309" s="415">
        <v>5</v>
      </c>
      <c r="S309" s="415">
        <f t="shared" si="12"/>
        <v>5</v>
      </c>
      <c r="T309" s="419">
        <f t="shared" si="13"/>
        <v>0.83333333333333337</v>
      </c>
      <c r="U309" s="419">
        <f t="shared" si="14"/>
        <v>5.833333333333333</v>
      </c>
      <c r="V309" s="415" t="s">
        <v>662</v>
      </c>
      <c r="W309" s="415" t="s">
        <v>612</v>
      </c>
      <c r="X309" s="415" t="s">
        <v>671</v>
      </c>
      <c r="Y309" s="415"/>
    </row>
    <row r="310" spans="1:25" hidden="1" x14ac:dyDescent="0.25">
      <c r="A310" s="415">
        <v>309</v>
      </c>
      <c r="B310" s="415">
        <v>225</v>
      </c>
      <c r="C310" s="415">
        <v>215411</v>
      </c>
      <c r="D310" s="416" t="s">
        <v>1475</v>
      </c>
      <c r="E310" s="416" t="s">
        <v>507</v>
      </c>
      <c r="F310" s="416" t="s">
        <v>508</v>
      </c>
      <c r="G310" s="416" t="s">
        <v>1304</v>
      </c>
      <c r="H310" s="416" t="s">
        <v>866</v>
      </c>
      <c r="I310" s="416" t="s">
        <v>1476</v>
      </c>
      <c r="J310" s="415" t="s">
        <v>661</v>
      </c>
      <c r="K310" s="417">
        <v>-13.521603000000001</v>
      </c>
      <c r="L310" s="417">
        <v>-76.067920999999998</v>
      </c>
      <c r="M310" s="418">
        <v>30</v>
      </c>
      <c r="N310" s="418" t="s">
        <v>2310</v>
      </c>
      <c r="O310" s="418" t="s">
        <v>2411</v>
      </c>
      <c r="P310" s="415">
        <v>2</v>
      </c>
      <c r="Q310" s="415">
        <v>30</v>
      </c>
      <c r="R310" s="415">
        <v>5</v>
      </c>
      <c r="S310" s="415">
        <f t="shared" si="12"/>
        <v>5</v>
      </c>
      <c r="T310" s="419">
        <f t="shared" si="13"/>
        <v>0.83333333333333337</v>
      </c>
      <c r="U310" s="419">
        <f t="shared" si="14"/>
        <v>5.833333333333333</v>
      </c>
      <c r="V310" s="415" t="s">
        <v>662</v>
      </c>
      <c r="W310" s="415" t="s">
        <v>612</v>
      </c>
      <c r="X310" s="415" t="s">
        <v>671</v>
      </c>
      <c r="Y310" s="415"/>
    </row>
    <row r="311" spans="1:25" hidden="1" x14ac:dyDescent="0.25">
      <c r="A311" s="415">
        <v>310</v>
      </c>
      <c r="B311" s="415">
        <v>226</v>
      </c>
      <c r="C311" s="415">
        <v>215449</v>
      </c>
      <c r="D311" s="416" t="s">
        <v>2688</v>
      </c>
      <c r="E311" s="416" t="s">
        <v>507</v>
      </c>
      <c r="F311" s="416" t="s">
        <v>508</v>
      </c>
      <c r="G311" s="416" t="s">
        <v>1304</v>
      </c>
      <c r="H311" s="416" t="s">
        <v>1477</v>
      </c>
      <c r="I311" s="416" t="s">
        <v>1477</v>
      </c>
      <c r="J311" s="415" t="s">
        <v>661</v>
      </c>
      <c r="K311" s="417">
        <v>-13.51028</v>
      </c>
      <c r="L311" s="417">
        <v>-76.086487000000005</v>
      </c>
      <c r="M311" s="418">
        <v>30</v>
      </c>
      <c r="N311" s="418" t="s">
        <v>2310</v>
      </c>
      <c r="O311" s="418" t="s">
        <v>2411</v>
      </c>
      <c r="P311" s="415">
        <v>2</v>
      </c>
      <c r="Q311" s="415">
        <v>30</v>
      </c>
      <c r="R311" s="415">
        <v>5</v>
      </c>
      <c r="S311" s="415">
        <f t="shared" si="12"/>
        <v>5</v>
      </c>
      <c r="T311" s="419">
        <f t="shared" si="13"/>
        <v>0.83333333333333337</v>
      </c>
      <c r="U311" s="419">
        <f t="shared" si="14"/>
        <v>5.833333333333333</v>
      </c>
      <c r="V311" s="415" t="s">
        <v>662</v>
      </c>
      <c r="W311" s="415" t="s">
        <v>612</v>
      </c>
      <c r="X311" s="415" t="s">
        <v>671</v>
      </c>
      <c r="Y311" s="415"/>
    </row>
    <row r="312" spans="1:25" hidden="1" x14ac:dyDescent="0.25">
      <c r="A312" s="415">
        <v>311</v>
      </c>
      <c r="B312" s="415">
        <v>227</v>
      </c>
      <c r="C312" s="415">
        <v>215637</v>
      </c>
      <c r="D312" s="416" t="s">
        <v>2689</v>
      </c>
      <c r="E312" s="416" t="s">
        <v>507</v>
      </c>
      <c r="F312" s="416" t="s">
        <v>508</v>
      </c>
      <c r="G312" s="416" t="s">
        <v>2690</v>
      </c>
      <c r="H312" s="416" t="s">
        <v>677</v>
      </c>
      <c r="I312" s="416" t="s">
        <v>2691</v>
      </c>
      <c r="J312" s="415" t="s">
        <v>747</v>
      </c>
      <c r="K312" s="417">
        <v>-13.40395</v>
      </c>
      <c r="L312" s="417">
        <v>-76.166167000000002</v>
      </c>
      <c r="M312" s="418">
        <v>30</v>
      </c>
      <c r="N312" s="418" t="s">
        <v>2310</v>
      </c>
      <c r="O312" s="418" t="s">
        <v>2411</v>
      </c>
      <c r="P312" s="415">
        <v>2</v>
      </c>
      <c r="Q312" s="415">
        <v>30</v>
      </c>
      <c r="R312" s="415">
        <v>5</v>
      </c>
      <c r="S312" s="415">
        <f t="shared" si="12"/>
        <v>5</v>
      </c>
      <c r="T312" s="419">
        <f t="shared" si="13"/>
        <v>0.83333333333333337</v>
      </c>
      <c r="U312" s="419">
        <f t="shared" si="14"/>
        <v>5.833333333333333</v>
      </c>
      <c r="V312" s="415" t="s">
        <v>662</v>
      </c>
      <c r="W312" s="415" t="s">
        <v>612</v>
      </c>
      <c r="X312" s="415" t="s">
        <v>671</v>
      </c>
      <c r="Y312" s="415"/>
    </row>
    <row r="313" spans="1:25" hidden="1" x14ac:dyDescent="0.25">
      <c r="A313" s="415">
        <v>312</v>
      </c>
      <c r="B313" s="415">
        <v>228</v>
      </c>
      <c r="C313" s="415">
        <v>215642</v>
      </c>
      <c r="D313" s="416" t="s">
        <v>2692</v>
      </c>
      <c r="E313" s="416" t="s">
        <v>507</v>
      </c>
      <c r="F313" s="416" t="s">
        <v>508</v>
      </c>
      <c r="G313" s="416" t="s">
        <v>2690</v>
      </c>
      <c r="H313" s="416" t="s">
        <v>2693</v>
      </c>
      <c r="I313" s="416" t="s">
        <v>2693</v>
      </c>
      <c r="J313" s="415" t="s">
        <v>747</v>
      </c>
      <c r="K313" s="417">
        <v>-13.395625000000001</v>
      </c>
      <c r="L313" s="417">
        <v>-76.163162</v>
      </c>
      <c r="M313" s="418">
        <v>30</v>
      </c>
      <c r="N313" s="418" t="s">
        <v>2310</v>
      </c>
      <c r="O313" s="418" t="s">
        <v>2411</v>
      </c>
      <c r="P313" s="415">
        <v>2</v>
      </c>
      <c r="Q313" s="415">
        <v>30</v>
      </c>
      <c r="R313" s="415">
        <v>5</v>
      </c>
      <c r="S313" s="415">
        <f t="shared" si="12"/>
        <v>5</v>
      </c>
      <c r="T313" s="419">
        <f t="shared" si="13"/>
        <v>0.83333333333333337</v>
      </c>
      <c r="U313" s="419">
        <f t="shared" si="14"/>
        <v>5.833333333333333</v>
      </c>
      <c r="V313" s="415" t="s">
        <v>662</v>
      </c>
      <c r="W313" s="415" t="s">
        <v>612</v>
      </c>
      <c r="X313" s="415" t="s">
        <v>671</v>
      </c>
      <c r="Y313" s="415"/>
    </row>
    <row r="314" spans="1:25" hidden="1" x14ac:dyDescent="0.25">
      <c r="A314" s="415">
        <v>313</v>
      </c>
      <c r="B314" s="415">
        <v>229</v>
      </c>
      <c r="C314" s="415">
        <v>215618</v>
      </c>
      <c r="D314" s="416" t="s">
        <v>2694</v>
      </c>
      <c r="E314" s="416" t="s">
        <v>507</v>
      </c>
      <c r="F314" s="416" t="s">
        <v>508</v>
      </c>
      <c r="G314" s="416" t="s">
        <v>2690</v>
      </c>
      <c r="H314" s="416" t="s">
        <v>672</v>
      </c>
      <c r="I314" s="416" t="s">
        <v>2695</v>
      </c>
      <c r="J314" s="415" t="s">
        <v>747</v>
      </c>
      <c r="K314" s="417">
        <v>-13.398275999999999</v>
      </c>
      <c r="L314" s="417">
        <v>-76.158788999999999</v>
      </c>
      <c r="M314" s="418">
        <v>30</v>
      </c>
      <c r="N314" s="418" t="s">
        <v>2310</v>
      </c>
      <c r="O314" s="418" t="s">
        <v>2411</v>
      </c>
      <c r="P314" s="415">
        <v>2</v>
      </c>
      <c r="Q314" s="415">
        <v>30</v>
      </c>
      <c r="R314" s="415">
        <v>5</v>
      </c>
      <c r="S314" s="415">
        <f t="shared" si="12"/>
        <v>5</v>
      </c>
      <c r="T314" s="419">
        <f t="shared" si="13"/>
        <v>0.83333333333333337</v>
      </c>
      <c r="U314" s="419">
        <f t="shared" si="14"/>
        <v>5.833333333333333</v>
      </c>
      <c r="V314" s="415" t="s">
        <v>662</v>
      </c>
      <c r="W314" s="415" t="s">
        <v>612</v>
      </c>
      <c r="X314" s="415" t="s">
        <v>671</v>
      </c>
      <c r="Y314" s="415"/>
    </row>
    <row r="315" spans="1:25" hidden="1" x14ac:dyDescent="0.25">
      <c r="A315" s="415">
        <v>314</v>
      </c>
      <c r="B315" s="415">
        <v>230</v>
      </c>
      <c r="C315" s="415">
        <v>216076</v>
      </c>
      <c r="D315" s="416" t="s">
        <v>2696</v>
      </c>
      <c r="E315" s="416" t="s">
        <v>507</v>
      </c>
      <c r="F315" s="416" t="s">
        <v>508</v>
      </c>
      <c r="G315" s="416" t="s">
        <v>1479</v>
      </c>
      <c r="H315" s="416" t="s">
        <v>2697</v>
      </c>
      <c r="I315" s="416" t="s">
        <v>2698</v>
      </c>
      <c r="J315" s="415" t="s">
        <v>661</v>
      </c>
      <c r="K315" s="417">
        <v>-13.274532000000001</v>
      </c>
      <c r="L315" s="417">
        <v>-75.912740999999997</v>
      </c>
      <c r="M315" s="418">
        <v>30</v>
      </c>
      <c r="N315" s="418" t="s">
        <v>2310</v>
      </c>
      <c r="O315" s="418" t="s">
        <v>2411</v>
      </c>
      <c r="P315" s="415">
        <v>2</v>
      </c>
      <c r="Q315" s="415">
        <v>30</v>
      </c>
      <c r="R315" s="415">
        <v>5</v>
      </c>
      <c r="S315" s="415">
        <f t="shared" si="12"/>
        <v>5</v>
      </c>
      <c r="T315" s="419">
        <f t="shared" si="13"/>
        <v>0.83333333333333337</v>
      </c>
      <c r="U315" s="419">
        <f t="shared" si="14"/>
        <v>5.833333333333333</v>
      </c>
      <c r="V315" s="415" t="s">
        <v>662</v>
      </c>
      <c r="W315" s="415" t="s">
        <v>612</v>
      </c>
      <c r="X315" s="415" t="s">
        <v>671</v>
      </c>
      <c r="Y315" s="415"/>
    </row>
    <row r="316" spans="1:25" hidden="1" x14ac:dyDescent="0.25">
      <c r="A316" s="415">
        <v>315</v>
      </c>
      <c r="B316" s="415">
        <v>231</v>
      </c>
      <c r="C316" s="415">
        <v>216095</v>
      </c>
      <c r="D316" s="416" t="s">
        <v>1483</v>
      </c>
      <c r="E316" s="416" t="s">
        <v>507</v>
      </c>
      <c r="F316" s="416" t="s">
        <v>508</v>
      </c>
      <c r="G316" s="416" t="s">
        <v>1479</v>
      </c>
      <c r="H316" s="416" t="s">
        <v>1484</v>
      </c>
      <c r="I316" s="416" t="s">
        <v>1484</v>
      </c>
      <c r="J316" s="415" t="s">
        <v>661</v>
      </c>
      <c r="K316" s="417">
        <v>-13.168447</v>
      </c>
      <c r="L316" s="417">
        <v>-75.840012999999999</v>
      </c>
      <c r="M316" s="418">
        <v>30</v>
      </c>
      <c r="N316" s="418" t="s">
        <v>2310</v>
      </c>
      <c r="O316" s="418" t="s">
        <v>2411</v>
      </c>
      <c r="P316" s="415">
        <v>2</v>
      </c>
      <c r="Q316" s="415">
        <v>30</v>
      </c>
      <c r="R316" s="415">
        <v>5</v>
      </c>
      <c r="S316" s="415">
        <f t="shared" si="12"/>
        <v>5</v>
      </c>
      <c r="T316" s="419">
        <f t="shared" si="13"/>
        <v>0.83333333333333337</v>
      </c>
      <c r="U316" s="419">
        <f t="shared" si="14"/>
        <v>5.833333333333333</v>
      </c>
      <c r="V316" s="415" t="s">
        <v>662</v>
      </c>
      <c r="W316" s="415" t="s">
        <v>612</v>
      </c>
      <c r="X316" s="415" t="s">
        <v>671</v>
      </c>
      <c r="Y316" s="415"/>
    </row>
    <row r="317" spans="1:25" hidden="1" x14ac:dyDescent="0.25">
      <c r="A317" s="415">
        <v>316</v>
      </c>
      <c r="B317" s="415">
        <v>232</v>
      </c>
      <c r="C317" s="415">
        <v>216104</v>
      </c>
      <c r="D317" s="416" t="s">
        <v>2699</v>
      </c>
      <c r="E317" s="416" t="s">
        <v>507</v>
      </c>
      <c r="F317" s="416" t="s">
        <v>508</v>
      </c>
      <c r="G317" s="416" t="s">
        <v>1479</v>
      </c>
      <c r="H317" s="416" t="s">
        <v>2700</v>
      </c>
      <c r="I317" s="416" t="s">
        <v>2700</v>
      </c>
      <c r="J317" s="415" t="s">
        <v>661</v>
      </c>
      <c r="K317" s="417">
        <v>-13.230396000000001</v>
      </c>
      <c r="L317" s="417">
        <v>-75.803988000000004</v>
      </c>
      <c r="M317" s="418">
        <v>30</v>
      </c>
      <c r="N317" s="418" t="s">
        <v>2310</v>
      </c>
      <c r="O317" s="418" t="s">
        <v>2411</v>
      </c>
      <c r="P317" s="415">
        <v>2</v>
      </c>
      <c r="Q317" s="415">
        <v>30</v>
      </c>
      <c r="R317" s="415">
        <v>5</v>
      </c>
      <c r="S317" s="415">
        <f t="shared" si="12"/>
        <v>5</v>
      </c>
      <c r="T317" s="419">
        <f t="shared" si="13"/>
        <v>0.83333333333333337</v>
      </c>
      <c r="U317" s="419">
        <f t="shared" si="14"/>
        <v>5.833333333333333</v>
      </c>
      <c r="V317" s="415" t="s">
        <v>662</v>
      </c>
      <c r="W317" s="415" t="s">
        <v>612</v>
      </c>
      <c r="X317" s="415" t="s">
        <v>671</v>
      </c>
      <c r="Y317" s="415"/>
    </row>
    <row r="318" spans="1:25" hidden="1" x14ac:dyDescent="0.25">
      <c r="A318" s="415">
        <v>317</v>
      </c>
      <c r="B318" s="415">
        <v>233</v>
      </c>
      <c r="C318" s="415">
        <v>216081</v>
      </c>
      <c r="D318" s="416" t="s">
        <v>1481</v>
      </c>
      <c r="E318" s="416" t="s">
        <v>507</v>
      </c>
      <c r="F318" s="416" t="s">
        <v>508</v>
      </c>
      <c r="G318" s="416" t="s">
        <v>1479</v>
      </c>
      <c r="H318" s="416" t="s">
        <v>1482</v>
      </c>
      <c r="I318" s="416" t="s">
        <v>1482</v>
      </c>
      <c r="J318" s="415" t="s">
        <v>661</v>
      </c>
      <c r="K318" s="417">
        <v>-13.2538</v>
      </c>
      <c r="L318" s="417">
        <v>-75.677111999999994</v>
      </c>
      <c r="M318" s="418">
        <v>30</v>
      </c>
      <c r="N318" s="418" t="s">
        <v>2310</v>
      </c>
      <c r="O318" s="418" t="s">
        <v>2411</v>
      </c>
      <c r="P318" s="415">
        <v>2</v>
      </c>
      <c r="Q318" s="415">
        <v>30</v>
      </c>
      <c r="R318" s="415">
        <v>5</v>
      </c>
      <c r="S318" s="415">
        <f t="shared" si="12"/>
        <v>5</v>
      </c>
      <c r="T318" s="419">
        <f t="shared" si="13"/>
        <v>0.83333333333333337</v>
      </c>
      <c r="U318" s="419">
        <f t="shared" si="14"/>
        <v>5.833333333333333</v>
      </c>
      <c r="V318" s="415" t="s">
        <v>662</v>
      </c>
      <c r="W318" s="415" t="s">
        <v>612</v>
      </c>
      <c r="X318" s="415" t="s">
        <v>671</v>
      </c>
      <c r="Y318" s="415"/>
    </row>
    <row r="319" spans="1:25" hidden="1" x14ac:dyDescent="0.25">
      <c r="A319" s="415">
        <v>318</v>
      </c>
      <c r="B319" s="415">
        <v>234</v>
      </c>
      <c r="C319" s="415">
        <v>216062</v>
      </c>
      <c r="D319" s="416" t="s">
        <v>1478</v>
      </c>
      <c r="E319" s="416" t="s">
        <v>507</v>
      </c>
      <c r="F319" s="416" t="s">
        <v>508</v>
      </c>
      <c r="G319" s="416" t="s">
        <v>1479</v>
      </c>
      <c r="H319" s="416" t="s">
        <v>1480</v>
      </c>
      <c r="I319" s="416" t="s">
        <v>1480</v>
      </c>
      <c r="J319" s="415" t="s">
        <v>661</v>
      </c>
      <c r="K319" s="417">
        <v>-13.160665</v>
      </c>
      <c r="L319" s="417">
        <v>-75.876575000000003</v>
      </c>
      <c r="M319" s="418">
        <v>30</v>
      </c>
      <c r="N319" s="418" t="s">
        <v>2310</v>
      </c>
      <c r="O319" s="418" t="s">
        <v>2411</v>
      </c>
      <c r="P319" s="415">
        <v>2</v>
      </c>
      <c r="Q319" s="415">
        <v>30</v>
      </c>
      <c r="R319" s="415">
        <v>5</v>
      </c>
      <c r="S319" s="415">
        <f t="shared" si="12"/>
        <v>5</v>
      </c>
      <c r="T319" s="419">
        <f t="shared" si="13"/>
        <v>0.83333333333333337</v>
      </c>
      <c r="U319" s="419">
        <f t="shared" si="14"/>
        <v>5.833333333333333</v>
      </c>
      <c r="V319" s="415" t="s">
        <v>662</v>
      </c>
      <c r="W319" s="415" t="s">
        <v>612</v>
      </c>
      <c r="X319" s="415" t="s">
        <v>671</v>
      </c>
      <c r="Y319" s="415"/>
    </row>
    <row r="320" spans="1:25" hidden="1" x14ac:dyDescent="0.25">
      <c r="A320" s="415">
        <v>319</v>
      </c>
      <c r="B320" s="415">
        <v>235</v>
      </c>
      <c r="C320" s="415">
        <v>216199</v>
      </c>
      <c r="D320" s="416" t="s">
        <v>2701</v>
      </c>
      <c r="E320" s="416" t="s">
        <v>507</v>
      </c>
      <c r="F320" s="416" t="s">
        <v>508</v>
      </c>
      <c r="G320" s="416" t="s">
        <v>1485</v>
      </c>
      <c r="H320" s="416" t="s">
        <v>2702</v>
      </c>
      <c r="I320" s="416" t="s">
        <v>2703</v>
      </c>
      <c r="J320" s="415" t="s">
        <v>661</v>
      </c>
      <c r="K320" s="417">
        <v>-13.00277</v>
      </c>
      <c r="L320" s="417">
        <v>-75.731038999999996</v>
      </c>
      <c r="M320" s="418">
        <v>30</v>
      </c>
      <c r="N320" s="418" t="s">
        <v>2310</v>
      </c>
      <c r="O320" s="418" t="s">
        <v>2411</v>
      </c>
      <c r="P320" s="415">
        <v>2</v>
      </c>
      <c r="Q320" s="415">
        <v>30</v>
      </c>
      <c r="R320" s="415">
        <v>5</v>
      </c>
      <c r="S320" s="415">
        <f t="shared" si="12"/>
        <v>5</v>
      </c>
      <c r="T320" s="419">
        <f t="shared" si="13"/>
        <v>0.83333333333333337</v>
      </c>
      <c r="U320" s="419">
        <f t="shared" si="14"/>
        <v>5.833333333333333</v>
      </c>
      <c r="V320" s="415" t="s">
        <v>662</v>
      </c>
      <c r="W320" s="415" t="s">
        <v>612</v>
      </c>
      <c r="X320" s="415" t="s">
        <v>671</v>
      </c>
      <c r="Y320" s="415"/>
    </row>
    <row r="321" spans="1:25" hidden="1" x14ac:dyDescent="0.25">
      <c r="A321" s="415">
        <v>320</v>
      </c>
      <c r="B321" s="415">
        <v>236</v>
      </c>
      <c r="C321" s="415">
        <v>216161</v>
      </c>
      <c r="D321" s="416" t="s">
        <v>2704</v>
      </c>
      <c r="E321" s="416" t="s">
        <v>507</v>
      </c>
      <c r="F321" s="416" t="s">
        <v>508</v>
      </c>
      <c r="G321" s="416" t="s">
        <v>1485</v>
      </c>
      <c r="H321" s="416" t="s">
        <v>866</v>
      </c>
      <c r="I321" s="416" t="s">
        <v>2705</v>
      </c>
      <c r="J321" s="415" t="s">
        <v>661</v>
      </c>
      <c r="K321" s="417">
        <v>-13.148382</v>
      </c>
      <c r="L321" s="417">
        <v>-75.754195999999993</v>
      </c>
      <c r="M321" s="418">
        <v>30</v>
      </c>
      <c r="N321" s="418" t="s">
        <v>2310</v>
      </c>
      <c r="O321" s="418" t="s">
        <v>2411</v>
      </c>
      <c r="P321" s="415">
        <v>2</v>
      </c>
      <c r="Q321" s="415">
        <v>30</v>
      </c>
      <c r="R321" s="415">
        <v>5</v>
      </c>
      <c r="S321" s="415">
        <f t="shared" si="12"/>
        <v>5</v>
      </c>
      <c r="T321" s="419">
        <f t="shared" si="13"/>
        <v>0.83333333333333337</v>
      </c>
      <c r="U321" s="419">
        <f t="shared" si="14"/>
        <v>5.833333333333333</v>
      </c>
      <c r="V321" s="415" t="s">
        <v>662</v>
      </c>
      <c r="W321" s="415" t="s">
        <v>612</v>
      </c>
      <c r="X321" s="415" t="s">
        <v>671</v>
      </c>
      <c r="Y321" s="415"/>
    </row>
    <row r="322" spans="1:25" hidden="1" x14ac:dyDescent="0.25">
      <c r="A322" s="415">
        <v>321</v>
      </c>
      <c r="B322" s="415">
        <v>237</v>
      </c>
      <c r="C322" s="415">
        <v>216241</v>
      </c>
      <c r="D322" s="416" t="s">
        <v>1486</v>
      </c>
      <c r="E322" s="416" t="s">
        <v>507</v>
      </c>
      <c r="F322" s="416" t="s">
        <v>508</v>
      </c>
      <c r="G322" s="416" t="s">
        <v>1485</v>
      </c>
      <c r="H322" s="416" t="s">
        <v>1487</v>
      </c>
      <c r="I322" s="416" t="s">
        <v>1488</v>
      </c>
      <c r="J322" s="415" t="s">
        <v>661</v>
      </c>
      <c r="K322" s="417">
        <v>-13.164889000000001</v>
      </c>
      <c r="L322" s="417">
        <v>-75.784238999999999</v>
      </c>
      <c r="M322" s="418">
        <v>30</v>
      </c>
      <c r="N322" s="418" t="s">
        <v>2310</v>
      </c>
      <c r="O322" s="418" t="s">
        <v>2411</v>
      </c>
      <c r="P322" s="415">
        <v>2</v>
      </c>
      <c r="Q322" s="415">
        <v>30</v>
      </c>
      <c r="R322" s="415">
        <v>5</v>
      </c>
      <c r="S322" s="415">
        <f t="shared" si="12"/>
        <v>5</v>
      </c>
      <c r="T322" s="419">
        <f t="shared" si="13"/>
        <v>0.83333333333333337</v>
      </c>
      <c r="U322" s="419">
        <f t="shared" si="14"/>
        <v>5.833333333333333</v>
      </c>
      <c r="V322" s="415" t="s">
        <v>662</v>
      </c>
      <c r="W322" s="415" t="s">
        <v>612</v>
      </c>
      <c r="X322" s="415" t="s">
        <v>671</v>
      </c>
      <c r="Y322" s="415"/>
    </row>
    <row r="323" spans="1:25" hidden="1" x14ac:dyDescent="0.25">
      <c r="A323" s="415">
        <v>322</v>
      </c>
      <c r="B323" s="415">
        <v>238</v>
      </c>
      <c r="C323" s="415">
        <v>216255</v>
      </c>
      <c r="D323" s="416" t="s">
        <v>1489</v>
      </c>
      <c r="E323" s="416" t="s">
        <v>507</v>
      </c>
      <c r="F323" s="416" t="s">
        <v>508</v>
      </c>
      <c r="G323" s="416" t="s">
        <v>1485</v>
      </c>
      <c r="H323" s="416" t="s">
        <v>1490</v>
      </c>
      <c r="I323" s="416" t="s">
        <v>1491</v>
      </c>
      <c r="J323" s="415" t="s">
        <v>661</v>
      </c>
      <c r="K323" s="417">
        <v>-13.1797</v>
      </c>
      <c r="L323" s="417">
        <v>-75.738299999999995</v>
      </c>
      <c r="M323" s="418">
        <v>30</v>
      </c>
      <c r="N323" s="418" t="s">
        <v>2310</v>
      </c>
      <c r="O323" s="418" t="s">
        <v>2411</v>
      </c>
      <c r="P323" s="415">
        <v>2</v>
      </c>
      <c r="Q323" s="415">
        <v>30</v>
      </c>
      <c r="R323" s="415">
        <v>5</v>
      </c>
      <c r="S323" s="415">
        <f t="shared" ref="S323:S386" si="15">Q323/$AB$1</f>
        <v>5</v>
      </c>
      <c r="T323" s="419">
        <f t="shared" ref="T323:T386" si="16">R323/$AB$1</f>
        <v>0.83333333333333337</v>
      </c>
      <c r="U323" s="419">
        <f t="shared" ref="U323:U386" si="17">S323+T323</f>
        <v>5.833333333333333</v>
      </c>
      <c r="V323" s="415" t="s">
        <v>662</v>
      </c>
      <c r="W323" s="415" t="s">
        <v>612</v>
      </c>
      <c r="X323" s="415" t="s">
        <v>671</v>
      </c>
      <c r="Y323" s="415"/>
    </row>
    <row r="324" spans="1:25" hidden="1" x14ac:dyDescent="0.25">
      <c r="A324" s="415">
        <v>323</v>
      </c>
      <c r="B324" s="415">
        <v>239</v>
      </c>
      <c r="C324" s="415">
        <v>216302</v>
      </c>
      <c r="D324" s="416" t="s">
        <v>2706</v>
      </c>
      <c r="E324" s="416" t="s">
        <v>507</v>
      </c>
      <c r="F324" s="416" t="s">
        <v>508</v>
      </c>
      <c r="G324" s="416" t="s">
        <v>2707</v>
      </c>
      <c r="H324" s="416" t="s">
        <v>1078</v>
      </c>
      <c r="I324" s="416" t="s">
        <v>2708</v>
      </c>
      <c r="J324" s="415" t="s">
        <v>661</v>
      </c>
      <c r="K324" s="417">
        <v>-13.445874</v>
      </c>
      <c r="L324" s="417">
        <v>-76.169872999999995</v>
      </c>
      <c r="M324" s="418">
        <v>30</v>
      </c>
      <c r="N324" s="418" t="s">
        <v>2310</v>
      </c>
      <c r="O324" s="418" t="s">
        <v>2411</v>
      </c>
      <c r="P324" s="415">
        <v>2</v>
      </c>
      <c r="Q324" s="415">
        <v>30</v>
      </c>
      <c r="R324" s="415">
        <v>5</v>
      </c>
      <c r="S324" s="415">
        <f t="shared" si="15"/>
        <v>5</v>
      </c>
      <c r="T324" s="419">
        <f t="shared" si="16"/>
        <v>0.83333333333333337</v>
      </c>
      <c r="U324" s="419">
        <f t="shared" si="17"/>
        <v>5.833333333333333</v>
      </c>
      <c r="V324" s="415" t="s">
        <v>662</v>
      </c>
      <c r="W324" s="415" t="s">
        <v>612</v>
      </c>
      <c r="X324" s="415" t="s">
        <v>671</v>
      </c>
      <c r="Y324" s="415"/>
    </row>
    <row r="325" spans="1:25" hidden="1" x14ac:dyDescent="0.25">
      <c r="A325" s="415">
        <v>324</v>
      </c>
      <c r="B325" s="415">
        <v>240</v>
      </c>
      <c r="C325" s="415">
        <v>216477</v>
      </c>
      <c r="D325" s="416" t="s">
        <v>2709</v>
      </c>
      <c r="E325" s="416" t="s">
        <v>507</v>
      </c>
      <c r="F325" s="416" t="s">
        <v>508</v>
      </c>
      <c r="G325" s="416" t="s">
        <v>2707</v>
      </c>
      <c r="H325" s="416" t="s">
        <v>685</v>
      </c>
      <c r="I325" s="416" t="s">
        <v>685</v>
      </c>
      <c r="J325" s="415" t="s">
        <v>661</v>
      </c>
      <c r="K325" s="417">
        <v>-13.438304</v>
      </c>
      <c r="L325" s="417">
        <v>-76.170294999999996</v>
      </c>
      <c r="M325" s="418">
        <v>30</v>
      </c>
      <c r="N325" s="418" t="s">
        <v>2310</v>
      </c>
      <c r="O325" s="418" t="s">
        <v>2411</v>
      </c>
      <c r="P325" s="415">
        <v>2</v>
      </c>
      <c r="Q325" s="415">
        <v>30</v>
      </c>
      <c r="R325" s="415">
        <v>5</v>
      </c>
      <c r="S325" s="415">
        <f t="shared" si="15"/>
        <v>5</v>
      </c>
      <c r="T325" s="419">
        <f t="shared" si="16"/>
        <v>0.83333333333333337</v>
      </c>
      <c r="U325" s="419">
        <f t="shared" si="17"/>
        <v>5.833333333333333</v>
      </c>
      <c r="V325" s="415" t="s">
        <v>662</v>
      </c>
      <c r="W325" s="415" t="s">
        <v>612</v>
      </c>
      <c r="X325" s="415" t="s">
        <v>671</v>
      </c>
      <c r="Y325" s="415"/>
    </row>
    <row r="326" spans="1:25" hidden="1" x14ac:dyDescent="0.25">
      <c r="A326" s="415">
        <v>325</v>
      </c>
      <c r="B326" s="415">
        <v>241</v>
      </c>
      <c r="C326" s="415">
        <v>211861</v>
      </c>
      <c r="D326" s="416" t="s">
        <v>2710</v>
      </c>
      <c r="E326" s="416" t="s">
        <v>507</v>
      </c>
      <c r="F326" s="416" t="s">
        <v>507</v>
      </c>
      <c r="G326" s="416" t="s">
        <v>2711</v>
      </c>
      <c r="H326" s="416" t="s">
        <v>2712</v>
      </c>
      <c r="I326" s="416" t="s">
        <v>2712</v>
      </c>
      <c r="J326" s="415" t="s">
        <v>661</v>
      </c>
      <c r="K326" s="417">
        <v>-14.032014999999999</v>
      </c>
      <c r="L326" s="417">
        <v>-75.724237000000002</v>
      </c>
      <c r="M326" s="418">
        <v>30</v>
      </c>
      <c r="N326" s="418" t="s">
        <v>2310</v>
      </c>
      <c r="O326" s="418" t="s">
        <v>2411</v>
      </c>
      <c r="P326" s="415">
        <v>2</v>
      </c>
      <c r="Q326" s="415">
        <v>30</v>
      </c>
      <c r="R326" s="415">
        <v>5</v>
      </c>
      <c r="S326" s="415">
        <f t="shared" si="15"/>
        <v>5</v>
      </c>
      <c r="T326" s="419">
        <f t="shared" si="16"/>
        <v>0.83333333333333337</v>
      </c>
      <c r="U326" s="419">
        <f t="shared" si="17"/>
        <v>5.833333333333333</v>
      </c>
      <c r="V326" s="415" t="s">
        <v>662</v>
      </c>
      <c r="W326" s="415" t="s">
        <v>612</v>
      </c>
      <c r="X326" s="415" t="s">
        <v>671</v>
      </c>
      <c r="Y326" s="415"/>
    </row>
    <row r="327" spans="1:25" hidden="1" x14ac:dyDescent="0.25">
      <c r="A327" s="415">
        <v>326</v>
      </c>
      <c r="B327" s="415">
        <v>242</v>
      </c>
      <c r="C327" s="415">
        <v>211922</v>
      </c>
      <c r="D327" s="416" t="s">
        <v>2713</v>
      </c>
      <c r="E327" s="416" t="s">
        <v>507</v>
      </c>
      <c r="F327" s="416" t="s">
        <v>507</v>
      </c>
      <c r="G327" s="416" t="s">
        <v>2711</v>
      </c>
      <c r="H327" s="416" t="s">
        <v>2714</v>
      </c>
      <c r="I327" s="416" t="s">
        <v>2714</v>
      </c>
      <c r="J327" s="415" t="s">
        <v>661</v>
      </c>
      <c r="K327" s="417">
        <v>-14.002033000000001</v>
      </c>
      <c r="L327" s="417">
        <v>-75.703068999999999</v>
      </c>
      <c r="M327" s="418">
        <v>30</v>
      </c>
      <c r="N327" s="418" t="s">
        <v>2310</v>
      </c>
      <c r="O327" s="418" t="s">
        <v>2411</v>
      </c>
      <c r="P327" s="415">
        <v>2</v>
      </c>
      <c r="Q327" s="415">
        <v>30</v>
      </c>
      <c r="R327" s="415">
        <v>5</v>
      </c>
      <c r="S327" s="415">
        <f t="shared" si="15"/>
        <v>5</v>
      </c>
      <c r="T327" s="419">
        <f t="shared" si="16"/>
        <v>0.83333333333333337</v>
      </c>
      <c r="U327" s="419">
        <f t="shared" si="17"/>
        <v>5.833333333333333</v>
      </c>
      <c r="V327" s="415" t="s">
        <v>662</v>
      </c>
      <c r="W327" s="415" t="s">
        <v>612</v>
      </c>
      <c r="X327" s="415" t="s">
        <v>671</v>
      </c>
      <c r="Y327" s="415"/>
    </row>
    <row r="328" spans="1:25" hidden="1" x14ac:dyDescent="0.25">
      <c r="A328" s="415">
        <v>327</v>
      </c>
      <c r="B328" s="415">
        <v>243</v>
      </c>
      <c r="C328" s="415">
        <v>211880</v>
      </c>
      <c r="D328" s="416" t="s">
        <v>2715</v>
      </c>
      <c r="E328" s="416" t="s">
        <v>507</v>
      </c>
      <c r="F328" s="416" t="s">
        <v>507</v>
      </c>
      <c r="G328" s="416" t="s">
        <v>2711</v>
      </c>
      <c r="H328" s="416" t="s">
        <v>1172</v>
      </c>
      <c r="I328" s="416" t="s">
        <v>1172</v>
      </c>
      <c r="J328" s="415" t="s">
        <v>661</v>
      </c>
      <c r="K328" s="417">
        <v>-13.997196000000001</v>
      </c>
      <c r="L328" s="417">
        <v>-75.708770000000001</v>
      </c>
      <c r="M328" s="418">
        <v>30</v>
      </c>
      <c r="N328" s="418" t="s">
        <v>2310</v>
      </c>
      <c r="O328" s="418" t="s">
        <v>2411</v>
      </c>
      <c r="P328" s="415">
        <v>2</v>
      </c>
      <c r="Q328" s="415">
        <v>30</v>
      </c>
      <c r="R328" s="415">
        <v>5</v>
      </c>
      <c r="S328" s="415">
        <f t="shared" si="15"/>
        <v>5</v>
      </c>
      <c r="T328" s="419">
        <f t="shared" si="16"/>
        <v>0.83333333333333337</v>
      </c>
      <c r="U328" s="419">
        <f t="shared" si="17"/>
        <v>5.833333333333333</v>
      </c>
      <c r="V328" s="415" t="s">
        <v>662</v>
      </c>
      <c r="W328" s="415" t="s">
        <v>612</v>
      </c>
      <c r="X328" s="415" t="s">
        <v>671</v>
      </c>
      <c r="Y328" s="415"/>
    </row>
    <row r="329" spans="1:25" hidden="1" x14ac:dyDescent="0.25">
      <c r="A329" s="415">
        <v>328</v>
      </c>
      <c r="B329" s="415">
        <v>244</v>
      </c>
      <c r="C329" s="415">
        <v>212323</v>
      </c>
      <c r="D329" s="416" t="s">
        <v>2716</v>
      </c>
      <c r="E329" s="416" t="s">
        <v>507</v>
      </c>
      <c r="F329" s="416" t="s">
        <v>507</v>
      </c>
      <c r="G329" s="416" t="s">
        <v>1442</v>
      </c>
      <c r="H329" s="416" t="s">
        <v>2717</v>
      </c>
      <c r="I329" s="416" t="s">
        <v>2718</v>
      </c>
      <c r="J329" s="415" t="s">
        <v>747</v>
      </c>
      <c r="K329" s="417">
        <v>-14.344101999999999</v>
      </c>
      <c r="L329" s="417">
        <v>-75.677525000000003</v>
      </c>
      <c r="M329" s="418">
        <v>30</v>
      </c>
      <c r="N329" s="418" t="s">
        <v>2310</v>
      </c>
      <c r="O329" s="418" t="s">
        <v>2411</v>
      </c>
      <c r="P329" s="415">
        <v>2</v>
      </c>
      <c r="Q329" s="415">
        <v>30</v>
      </c>
      <c r="R329" s="415">
        <v>5</v>
      </c>
      <c r="S329" s="415">
        <f t="shared" si="15"/>
        <v>5</v>
      </c>
      <c r="T329" s="419">
        <f t="shared" si="16"/>
        <v>0.83333333333333337</v>
      </c>
      <c r="U329" s="419">
        <f t="shared" si="17"/>
        <v>5.833333333333333</v>
      </c>
      <c r="V329" s="415" t="s">
        <v>662</v>
      </c>
      <c r="W329" s="415" t="s">
        <v>612</v>
      </c>
      <c r="X329" s="415" t="s">
        <v>671</v>
      </c>
      <c r="Y329" s="415"/>
    </row>
    <row r="330" spans="1:25" hidden="1" x14ac:dyDescent="0.25">
      <c r="A330" s="415">
        <v>329</v>
      </c>
      <c r="B330" s="415">
        <v>245</v>
      </c>
      <c r="C330" s="415">
        <v>212262</v>
      </c>
      <c r="D330" s="416" t="s">
        <v>1441</v>
      </c>
      <c r="E330" s="416" t="s">
        <v>507</v>
      </c>
      <c r="F330" s="416" t="s">
        <v>507</v>
      </c>
      <c r="G330" s="416" t="s">
        <v>1442</v>
      </c>
      <c r="H330" s="416" t="s">
        <v>1443</v>
      </c>
      <c r="I330" s="416" t="s">
        <v>1443</v>
      </c>
      <c r="J330" s="415" t="s">
        <v>661</v>
      </c>
      <c r="K330" s="417">
        <v>-14.377837</v>
      </c>
      <c r="L330" s="417">
        <v>-75.687567000000001</v>
      </c>
      <c r="M330" s="418">
        <v>30</v>
      </c>
      <c r="N330" s="418" t="s">
        <v>2310</v>
      </c>
      <c r="O330" s="418" t="s">
        <v>2411</v>
      </c>
      <c r="P330" s="415">
        <v>2</v>
      </c>
      <c r="Q330" s="415">
        <v>30</v>
      </c>
      <c r="R330" s="415">
        <v>5</v>
      </c>
      <c r="S330" s="415">
        <f t="shared" si="15"/>
        <v>5</v>
      </c>
      <c r="T330" s="419">
        <f t="shared" si="16"/>
        <v>0.83333333333333337</v>
      </c>
      <c r="U330" s="419">
        <f t="shared" si="17"/>
        <v>5.833333333333333</v>
      </c>
      <c r="V330" s="415" t="s">
        <v>662</v>
      </c>
      <c r="W330" s="415" t="s">
        <v>612</v>
      </c>
      <c r="X330" s="415" t="s">
        <v>671</v>
      </c>
      <c r="Y330" s="415"/>
    </row>
    <row r="331" spans="1:25" hidden="1" x14ac:dyDescent="0.25">
      <c r="A331" s="415">
        <v>330</v>
      </c>
      <c r="B331" s="415">
        <v>246</v>
      </c>
      <c r="C331" s="415">
        <v>212318</v>
      </c>
      <c r="D331" s="416" t="s">
        <v>1444</v>
      </c>
      <c r="E331" s="416" t="s">
        <v>507</v>
      </c>
      <c r="F331" s="416" t="s">
        <v>507</v>
      </c>
      <c r="G331" s="416" t="s">
        <v>1442</v>
      </c>
      <c r="H331" s="416" t="s">
        <v>1087</v>
      </c>
      <c r="I331" s="416" t="s">
        <v>1087</v>
      </c>
      <c r="J331" s="415" t="s">
        <v>661</v>
      </c>
      <c r="K331" s="417">
        <v>-14.382857</v>
      </c>
      <c r="L331" s="417">
        <v>-75.679097999999996</v>
      </c>
      <c r="M331" s="418">
        <v>30</v>
      </c>
      <c r="N331" s="418" t="s">
        <v>2310</v>
      </c>
      <c r="O331" s="418" t="s">
        <v>2411</v>
      </c>
      <c r="P331" s="415">
        <v>2</v>
      </c>
      <c r="Q331" s="415">
        <v>30</v>
      </c>
      <c r="R331" s="415">
        <v>5</v>
      </c>
      <c r="S331" s="415">
        <f t="shared" si="15"/>
        <v>5</v>
      </c>
      <c r="T331" s="419">
        <f t="shared" si="16"/>
        <v>0.83333333333333337</v>
      </c>
      <c r="U331" s="419">
        <f t="shared" si="17"/>
        <v>5.833333333333333</v>
      </c>
      <c r="V331" s="415" t="s">
        <v>662</v>
      </c>
      <c r="W331" s="415" t="s">
        <v>612</v>
      </c>
      <c r="X331" s="415" t="s">
        <v>671</v>
      </c>
      <c r="Y331" s="415"/>
    </row>
    <row r="332" spans="1:25" hidden="1" x14ac:dyDescent="0.25">
      <c r="A332" s="415">
        <v>331</v>
      </c>
      <c r="B332" s="415">
        <v>247</v>
      </c>
      <c r="C332" s="415">
        <v>212375</v>
      </c>
      <c r="D332" s="416" t="s">
        <v>1445</v>
      </c>
      <c r="E332" s="416" t="s">
        <v>507</v>
      </c>
      <c r="F332" s="416" t="s">
        <v>507</v>
      </c>
      <c r="G332" s="416" t="s">
        <v>1446</v>
      </c>
      <c r="H332" s="416" t="s">
        <v>718</v>
      </c>
      <c r="I332" s="416" t="s">
        <v>718</v>
      </c>
      <c r="J332" s="415" t="s">
        <v>661</v>
      </c>
      <c r="K332" s="417">
        <v>-14.176318</v>
      </c>
      <c r="L332" s="417">
        <v>-75.685221999999996</v>
      </c>
      <c r="M332" s="418">
        <v>30</v>
      </c>
      <c r="N332" s="418" t="s">
        <v>2310</v>
      </c>
      <c r="O332" s="418" t="s">
        <v>2411</v>
      </c>
      <c r="P332" s="415">
        <v>2</v>
      </c>
      <c r="Q332" s="415">
        <v>30</v>
      </c>
      <c r="R332" s="415">
        <v>5</v>
      </c>
      <c r="S332" s="415">
        <f t="shared" si="15"/>
        <v>5</v>
      </c>
      <c r="T332" s="419">
        <f t="shared" si="16"/>
        <v>0.83333333333333337</v>
      </c>
      <c r="U332" s="419">
        <f t="shared" si="17"/>
        <v>5.833333333333333</v>
      </c>
      <c r="V332" s="415" t="s">
        <v>662</v>
      </c>
      <c r="W332" s="415" t="s">
        <v>612</v>
      </c>
      <c r="X332" s="415" t="s">
        <v>671</v>
      </c>
      <c r="Y332" s="415"/>
    </row>
    <row r="333" spans="1:25" hidden="1" x14ac:dyDescent="0.25">
      <c r="A333" s="415">
        <v>332</v>
      </c>
      <c r="B333" s="415">
        <v>248</v>
      </c>
      <c r="C333" s="415">
        <v>212733</v>
      </c>
      <c r="D333" s="416" t="s">
        <v>2719</v>
      </c>
      <c r="E333" s="416" t="s">
        <v>507</v>
      </c>
      <c r="F333" s="416" t="s">
        <v>507</v>
      </c>
      <c r="G333" s="416" t="s">
        <v>1447</v>
      </c>
      <c r="H333" s="416" t="s">
        <v>2720</v>
      </c>
      <c r="I333" s="416" t="s">
        <v>2720</v>
      </c>
      <c r="J333" s="415" t="s">
        <v>661</v>
      </c>
      <c r="K333" s="417">
        <v>-14.116866999999999</v>
      </c>
      <c r="L333" s="417">
        <v>-75.696511000000001</v>
      </c>
      <c r="M333" s="418">
        <v>30</v>
      </c>
      <c r="N333" s="418" t="s">
        <v>2310</v>
      </c>
      <c r="O333" s="418" t="s">
        <v>2411</v>
      </c>
      <c r="P333" s="415">
        <v>2</v>
      </c>
      <c r="Q333" s="415">
        <v>30</v>
      </c>
      <c r="R333" s="415">
        <v>5</v>
      </c>
      <c r="S333" s="415">
        <f t="shared" si="15"/>
        <v>5</v>
      </c>
      <c r="T333" s="419">
        <f t="shared" si="16"/>
        <v>0.83333333333333337</v>
      </c>
      <c r="U333" s="419">
        <f t="shared" si="17"/>
        <v>5.833333333333333</v>
      </c>
      <c r="V333" s="415" t="s">
        <v>662</v>
      </c>
      <c r="W333" s="415" t="s">
        <v>612</v>
      </c>
      <c r="X333" s="415" t="s">
        <v>671</v>
      </c>
      <c r="Y333" s="415"/>
    </row>
    <row r="334" spans="1:25" hidden="1" x14ac:dyDescent="0.25">
      <c r="A334" s="415">
        <v>333</v>
      </c>
      <c r="B334" s="415">
        <v>249</v>
      </c>
      <c r="C334" s="415">
        <v>212771</v>
      </c>
      <c r="D334" s="416" t="s">
        <v>2721</v>
      </c>
      <c r="E334" s="416" t="s">
        <v>507</v>
      </c>
      <c r="F334" s="416" t="s">
        <v>507</v>
      </c>
      <c r="G334" s="416" t="s">
        <v>1447</v>
      </c>
      <c r="H334" s="416" t="s">
        <v>2722</v>
      </c>
      <c r="I334" s="416" t="s">
        <v>2722</v>
      </c>
      <c r="J334" s="415" t="s">
        <v>661</v>
      </c>
      <c r="K334" s="417">
        <v>-14.123958999999999</v>
      </c>
      <c r="L334" s="417">
        <v>-75.691070999999994</v>
      </c>
      <c r="M334" s="418">
        <v>30</v>
      </c>
      <c r="N334" s="418" t="s">
        <v>2310</v>
      </c>
      <c r="O334" s="418" t="s">
        <v>2411</v>
      </c>
      <c r="P334" s="415">
        <v>2</v>
      </c>
      <c r="Q334" s="415">
        <v>30</v>
      </c>
      <c r="R334" s="415">
        <v>5</v>
      </c>
      <c r="S334" s="415">
        <f t="shared" si="15"/>
        <v>5</v>
      </c>
      <c r="T334" s="419">
        <f t="shared" si="16"/>
        <v>0.83333333333333337</v>
      </c>
      <c r="U334" s="419">
        <f t="shared" si="17"/>
        <v>5.833333333333333</v>
      </c>
      <c r="V334" s="415" t="s">
        <v>662</v>
      </c>
      <c r="W334" s="415" t="s">
        <v>612</v>
      </c>
      <c r="X334" s="415" t="s">
        <v>671</v>
      </c>
      <c r="Y334" s="415"/>
    </row>
    <row r="335" spans="1:25" hidden="1" x14ac:dyDescent="0.25">
      <c r="A335" s="415">
        <v>334</v>
      </c>
      <c r="B335" s="415">
        <v>250</v>
      </c>
      <c r="C335" s="415">
        <v>212785</v>
      </c>
      <c r="D335" s="416" t="s">
        <v>2723</v>
      </c>
      <c r="E335" s="416" t="s">
        <v>507</v>
      </c>
      <c r="F335" s="416" t="s">
        <v>507</v>
      </c>
      <c r="G335" s="416" t="s">
        <v>1447</v>
      </c>
      <c r="H335" s="416" t="s">
        <v>2724</v>
      </c>
      <c r="I335" s="416" t="s">
        <v>1377</v>
      </c>
      <c r="J335" s="415" t="s">
        <v>661</v>
      </c>
      <c r="K335" s="417">
        <v>-14.115123000000001</v>
      </c>
      <c r="L335" s="417">
        <v>-75.717164999999994</v>
      </c>
      <c r="M335" s="418">
        <v>30</v>
      </c>
      <c r="N335" s="418" t="s">
        <v>2310</v>
      </c>
      <c r="O335" s="418" t="s">
        <v>2411</v>
      </c>
      <c r="P335" s="415">
        <v>2</v>
      </c>
      <c r="Q335" s="415">
        <v>30</v>
      </c>
      <c r="R335" s="415">
        <v>5</v>
      </c>
      <c r="S335" s="415">
        <f t="shared" si="15"/>
        <v>5</v>
      </c>
      <c r="T335" s="419">
        <f t="shared" si="16"/>
        <v>0.83333333333333337</v>
      </c>
      <c r="U335" s="419">
        <f t="shared" si="17"/>
        <v>5.833333333333333</v>
      </c>
      <c r="V335" s="415" t="s">
        <v>662</v>
      </c>
      <c r="W335" s="415" t="s">
        <v>612</v>
      </c>
      <c r="X335" s="415" t="s">
        <v>671</v>
      </c>
      <c r="Y335" s="415"/>
    </row>
    <row r="336" spans="1:25" hidden="1" x14ac:dyDescent="0.25">
      <c r="A336" s="415">
        <v>335</v>
      </c>
      <c r="B336" s="415">
        <v>251</v>
      </c>
      <c r="C336" s="415">
        <v>212851</v>
      </c>
      <c r="D336" s="416" t="s">
        <v>2725</v>
      </c>
      <c r="E336" s="416" t="s">
        <v>507</v>
      </c>
      <c r="F336" s="416" t="s">
        <v>507</v>
      </c>
      <c r="G336" s="416" t="s">
        <v>1762</v>
      </c>
      <c r="H336" s="416" t="s">
        <v>2726</v>
      </c>
      <c r="I336" s="416" t="s">
        <v>2726</v>
      </c>
      <c r="J336" s="415" t="s">
        <v>747</v>
      </c>
      <c r="K336" s="417">
        <v>-14.000876</v>
      </c>
      <c r="L336" s="417">
        <v>-75.772479000000004</v>
      </c>
      <c r="M336" s="418">
        <v>30</v>
      </c>
      <c r="N336" s="418" t="s">
        <v>2310</v>
      </c>
      <c r="O336" s="418" t="s">
        <v>2411</v>
      </c>
      <c r="P336" s="415">
        <v>2</v>
      </c>
      <c r="Q336" s="415">
        <v>30</v>
      </c>
      <c r="R336" s="415">
        <v>5</v>
      </c>
      <c r="S336" s="415">
        <f t="shared" si="15"/>
        <v>5</v>
      </c>
      <c r="T336" s="419">
        <f t="shared" si="16"/>
        <v>0.83333333333333337</v>
      </c>
      <c r="U336" s="419">
        <f t="shared" si="17"/>
        <v>5.833333333333333</v>
      </c>
      <c r="V336" s="415" t="s">
        <v>662</v>
      </c>
      <c r="W336" s="415" t="s">
        <v>612</v>
      </c>
      <c r="X336" s="415" t="s">
        <v>671</v>
      </c>
      <c r="Y336" s="415"/>
    </row>
    <row r="337" spans="1:25" hidden="1" x14ac:dyDescent="0.25">
      <c r="A337" s="415">
        <v>336</v>
      </c>
      <c r="B337" s="415">
        <v>252</v>
      </c>
      <c r="C337" s="415">
        <v>213148</v>
      </c>
      <c r="D337" s="416" t="s">
        <v>2727</v>
      </c>
      <c r="E337" s="416" t="s">
        <v>507</v>
      </c>
      <c r="F337" s="416" t="s">
        <v>507</v>
      </c>
      <c r="G337" s="416" t="s">
        <v>1220</v>
      </c>
      <c r="H337" s="416" t="s">
        <v>2728</v>
      </c>
      <c r="I337" s="416" t="s">
        <v>2728</v>
      </c>
      <c r="J337" s="415" t="s">
        <v>661</v>
      </c>
      <c r="K337" s="417">
        <v>-13.995533</v>
      </c>
      <c r="L337" s="417">
        <v>-75.748575000000002</v>
      </c>
      <c r="M337" s="418">
        <v>30</v>
      </c>
      <c r="N337" s="418" t="s">
        <v>2310</v>
      </c>
      <c r="O337" s="418" t="s">
        <v>2411</v>
      </c>
      <c r="P337" s="415">
        <v>2</v>
      </c>
      <c r="Q337" s="415">
        <v>30</v>
      </c>
      <c r="R337" s="415">
        <v>5</v>
      </c>
      <c r="S337" s="415">
        <f t="shared" si="15"/>
        <v>5</v>
      </c>
      <c r="T337" s="419">
        <f t="shared" si="16"/>
        <v>0.83333333333333337</v>
      </c>
      <c r="U337" s="419">
        <f t="shared" si="17"/>
        <v>5.833333333333333</v>
      </c>
      <c r="V337" s="415" t="s">
        <v>662</v>
      </c>
      <c r="W337" s="415" t="s">
        <v>612</v>
      </c>
      <c r="X337" s="415" t="s">
        <v>671</v>
      </c>
      <c r="Y337" s="415"/>
    </row>
    <row r="338" spans="1:25" hidden="1" x14ac:dyDescent="0.25">
      <c r="A338" s="415">
        <v>337</v>
      </c>
      <c r="B338" s="415">
        <v>253</v>
      </c>
      <c r="C338" s="415">
        <v>213191</v>
      </c>
      <c r="D338" s="416" t="s">
        <v>1451</v>
      </c>
      <c r="E338" s="416" t="s">
        <v>507</v>
      </c>
      <c r="F338" s="416" t="s">
        <v>507</v>
      </c>
      <c r="G338" s="416" t="s">
        <v>1220</v>
      </c>
      <c r="H338" s="416" t="s">
        <v>1304</v>
      </c>
      <c r="I338" s="416" t="s">
        <v>1452</v>
      </c>
      <c r="J338" s="415" t="s">
        <v>661</v>
      </c>
      <c r="K338" s="417">
        <v>-13.971379000000001</v>
      </c>
      <c r="L338" s="417">
        <v>-75.729861999999997</v>
      </c>
      <c r="M338" s="418">
        <v>30</v>
      </c>
      <c r="N338" s="418" t="s">
        <v>2310</v>
      </c>
      <c r="O338" s="418" t="s">
        <v>2411</v>
      </c>
      <c r="P338" s="415">
        <v>2</v>
      </c>
      <c r="Q338" s="415">
        <v>30</v>
      </c>
      <c r="R338" s="415">
        <v>5</v>
      </c>
      <c r="S338" s="415">
        <f t="shared" si="15"/>
        <v>5</v>
      </c>
      <c r="T338" s="419">
        <f t="shared" si="16"/>
        <v>0.83333333333333337</v>
      </c>
      <c r="U338" s="419">
        <f t="shared" si="17"/>
        <v>5.833333333333333</v>
      </c>
      <c r="V338" s="415" t="s">
        <v>662</v>
      </c>
      <c r="W338" s="415" t="s">
        <v>612</v>
      </c>
      <c r="X338" s="415" t="s">
        <v>671</v>
      </c>
      <c r="Y338" s="415"/>
    </row>
    <row r="339" spans="1:25" hidden="1" x14ac:dyDescent="0.25">
      <c r="A339" s="415">
        <v>338</v>
      </c>
      <c r="B339" s="415">
        <v>254</v>
      </c>
      <c r="C339" s="415">
        <v>213186</v>
      </c>
      <c r="D339" s="416" t="s">
        <v>1448</v>
      </c>
      <c r="E339" s="416" t="s">
        <v>507</v>
      </c>
      <c r="F339" s="416" t="s">
        <v>507</v>
      </c>
      <c r="G339" s="416" t="s">
        <v>1220</v>
      </c>
      <c r="H339" s="416" t="s">
        <v>1449</v>
      </c>
      <c r="I339" s="416" t="s">
        <v>1450</v>
      </c>
      <c r="J339" s="415" t="s">
        <v>661</v>
      </c>
      <c r="K339" s="417">
        <v>-13.958277000000001</v>
      </c>
      <c r="L339" s="417">
        <v>-75.720191999999997</v>
      </c>
      <c r="M339" s="418">
        <v>30</v>
      </c>
      <c r="N339" s="418" t="s">
        <v>2310</v>
      </c>
      <c r="O339" s="418" t="s">
        <v>2411</v>
      </c>
      <c r="P339" s="415">
        <v>2</v>
      </c>
      <c r="Q339" s="415">
        <v>30</v>
      </c>
      <c r="R339" s="415">
        <v>5</v>
      </c>
      <c r="S339" s="415">
        <f t="shared" si="15"/>
        <v>5</v>
      </c>
      <c r="T339" s="419">
        <f t="shared" si="16"/>
        <v>0.83333333333333337</v>
      </c>
      <c r="U339" s="419">
        <f t="shared" si="17"/>
        <v>5.833333333333333</v>
      </c>
      <c r="V339" s="415" t="s">
        <v>662</v>
      </c>
      <c r="W339" s="415" t="s">
        <v>612</v>
      </c>
      <c r="X339" s="415" t="s">
        <v>671</v>
      </c>
      <c r="Y339" s="415"/>
    </row>
    <row r="340" spans="1:25" hidden="1" x14ac:dyDescent="0.25">
      <c r="A340" s="415">
        <v>339</v>
      </c>
      <c r="B340" s="415">
        <v>255</v>
      </c>
      <c r="C340" s="415">
        <v>195837</v>
      </c>
      <c r="D340" s="416" t="s">
        <v>2729</v>
      </c>
      <c r="E340" s="416" t="s">
        <v>507</v>
      </c>
      <c r="F340" s="416" t="s">
        <v>507</v>
      </c>
      <c r="G340" s="416" t="s">
        <v>1220</v>
      </c>
      <c r="H340" s="416" t="s">
        <v>2730</v>
      </c>
      <c r="I340" s="416" t="s">
        <v>2730</v>
      </c>
      <c r="J340" s="415" t="s">
        <v>747</v>
      </c>
      <c r="K340" s="417">
        <v>-14.021190000000001</v>
      </c>
      <c r="L340" s="417">
        <v>-75.744928000000002</v>
      </c>
      <c r="M340" s="418">
        <v>30</v>
      </c>
      <c r="N340" s="418" t="s">
        <v>2310</v>
      </c>
      <c r="O340" s="418" t="s">
        <v>2411</v>
      </c>
      <c r="P340" s="415">
        <v>2</v>
      </c>
      <c r="Q340" s="415">
        <v>30</v>
      </c>
      <c r="R340" s="415">
        <v>5</v>
      </c>
      <c r="S340" s="415">
        <f t="shared" si="15"/>
        <v>5</v>
      </c>
      <c r="T340" s="419">
        <f t="shared" si="16"/>
        <v>0.83333333333333337</v>
      </c>
      <c r="U340" s="419">
        <f t="shared" si="17"/>
        <v>5.833333333333333</v>
      </c>
      <c r="V340" s="415" t="s">
        <v>662</v>
      </c>
      <c r="W340" s="415" t="s">
        <v>612</v>
      </c>
      <c r="X340" s="415" t="s">
        <v>671</v>
      </c>
      <c r="Y340" s="415"/>
    </row>
    <row r="341" spans="1:25" hidden="1" x14ac:dyDescent="0.25">
      <c r="A341" s="415">
        <v>340</v>
      </c>
      <c r="B341" s="415">
        <v>256</v>
      </c>
      <c r="C341" s="415">
        <v>634441</v>
      </c>
      <c r="D341" s="416" t="s">
        <v>2246</v>
      </c>
      <c r="E341" s="416" t="s">
        <v>507</v>
      </c>
      <c r="F341" s="416" t="s">
        <v>507</v>
      </c>
      <c r="G341" s="416" t="s">
        <v>842</v>
      </c>
      <c r="H341" s="416" t="s">
        <v>2247</v>
      </c>
      <c r="I341" s="416" t="s">
        <v>2247</v>
      </c>
      <c r="J341" s="415" t="s">
        <v>661</v>
      </c>
      <c r="K341" s="417">
        <v>-14.211010999999999</v>
      </c>
      <c r="L341" s="417">
        <v>-75.689583999999996</v>
      </c>
      <c r="M341" s="418">
        <v>30</v>
      </c>
      <c r="N341" s="418" t="s">
        <v>2310</v>
      </c>
      <c r="O341" s="418" t="s">
        <v>2411</v>
      </c>
      <c r="P341" s="415">
        <v>2</v>
      </c>
      <c r="Q341" s="415">
        <v>30</v>
      </c>
      <c r="R341" s="415">
        <v>5</v>
      </c>
      <c r="S341" s="415">
        <f t="shared" si="15"/>
        <v>5</v>
      </c>
      <c r="T341" s="419">
        <f t="shared" si="16"/>
        <v>0.83333333333333337</v>
      </c>
      <c r="U341" s="419">
        <f t="shared" si="17"/>
        <v>5.833333333333333</v>
      </c>
      <c r="V341" s="415" t="s">
        <v>662</v>
      </c>
      <c r="W341" s="415" t="s">
        <v>612</v>
      </c>
      <c r="X341" s="415" t="s">
        <v>671</v>
      </c>
      <c r="Y341" s="415"/>
    </row>
    <row r="342" spans="1:25" hidden="1" x14ac:dyDescent="0.25">
      <c r="A342" s="415">
        <v>341</v>
      </c>
      <c r="B342" s="415">
        <v>257</v>
      </c>
      <c r="C342" s="415">
        <v>213426</v>
      </c>
      <c r="D342" s="416" t="s">
        <v>1453</v>
      </c>
      <c r="E342" s="416" t="s">
        <v>507</v>
      </c>
      <c r="F342" s="416" t="s">
        <v>507</v>
      </c>
      <c r="G342" s="416" t="s">
        <v>842</v>
      </c>
      <c r="H342" s="416" t="s">
        <v>1454</v>
      </c>
      <c r="I342" s="416" t="s">
        <v>1455</v>
      </c>
      <c r="J342" s="415" t="s">
        <v>661</v>
      </c>
      <c r="K342" s="417">
        <v>-14.232139</v>
      </c>
      <c r="L342" s="417">
        <v>-75.699128000000002</v>
      </c>
      <c r="M342" s="418">
        <v>30</v>
      </c>
      <c r="N342" s="418" t="s">
        <v>2310</v>
      </c>
      <c r="O342" s="418" t="s">
        <v>2411</v>
      </c>
      <c r="P342" s="415">
        <v>2</v>
      </c>
      <c r="Q342" s="415">
        <v>30</v>
      </c>
      <c r="R342" s="415">
        <v>5</v>
      </c>
      <c r="S342" s="415">
        <f t="shared" si="15"/>
        <v>5</v>
      </c>
      <c r="T342" s="419">
        <f t="shared" si="16"/>
        <v>0.83333333333333337</v>
      </c>
      <c r="U342" s="419">
        <f t="shared" si="17"/>
        <v>5.833333333333333</v>
      </c>
      <c r="V342" s="415" t="s">
        <v>662</v>
      </c>
      <c r="W342" s="415" t="s">
        <v>612</v>
      </c>
      <c r="X342" s="415" t="s">
        <v>671</v>
      </c>
      <c r="Y342" s="415"/>
    </row>
    <row r="343" spans="1:25" hidden="1" x14ac:dyDescent="0.25">
      <c r="A343" s="415">
        <v>342</v>
      </c>
      <c r="B343" s="415">
        <v>258</v>
      </c>
      <c r="C343" s="415">
        <v>213474</v>
      </c>
      <c r="D343" s="416" t="s">
        <v>1456</v>
      </c>
      <c r="E343" s="416" t="s">
        <v>507</v>
      </c>
      <c r="F343" s="416" t="s">
        <v>507</v>
      </c>
      <c r="G343" s="416" t="s">
        <v>842</v>
      </c>
      <c r="H343" s="416" t="s">
        <v>1457</v>
      </c>
      <c r="I343" s="416" t="s">
        <v>1457</v>
      </c>
      <c r="J343" s="415" t="s">
        <v>661</v>
      </c>
      <c r="K343" s="417">
        <v>-14.195455000000001</v>
      </c>
      <c r="L343" s="417">
        <v>-75.666072</v>
      </c>
      <c r="M343" s="418">
        <v>30</v>
      </c>
      <c r="N343" s="418" t="s">
        <v>2310</v>
      </c>
      <c r="O343" s="418" t="s">
        <v>2411</v>
      </c>
      <c r="P343" s="415">
        <v>2</v>
      </c>
      <c r="Q343" s="415">
        <v>30</v>
      </c>
      <c r="R343" s="415">
        <v>5</v>
      </c>
      <c r="S343" s="415">
        <f t="shared" si="15"/>
        <v>5</v>
      </c>
      <c r="T343" s="419">
        <f t="shared" si="16"/>
        <v>0.83333333333333337</v>
      </c>
      <c r="U343" s="419">
        <f t="shared" si="17"/>
        <v>5.833333333333333</v>
      </c>
      <c r="V343" s="415" t="s">
        <v>662</v>
      </c>
      <c r="W343" s="415" t="s">
        <v>612</v>
      </c>
      <c r="X343" s="415" t="s">
        <v>671</v>
      </c>
      <c r="Y343" s="415"/>
    </row>
    <row r="344" spans="1:25" hidden="1" x14ac:dyDescent="0.25">
      <c r="A344" s="415">
        <v>343</v>
      </c>
      <c r="B344" s="415">
        <v>259</v>
      </c>
      <c r="C344" s="415">
        <v>553487</v>
      </c>
      <c r="D344" s="416" t="s">
        <v>2731</v>
      </c>
      <c r="E344" s="416" t="s">
        <v>507</v>
      </c>
      <c r="F344" s="416" t="s">
        <v>507</v>
      </c>
      <c r="G344" s="416" t="s">
        <v>2732</v>
      </c>
      <c r="H344" s="416" t="s">
        <v>2732</v>
      </c>
      <c r="I344" s="416" t="s">
        <v>2733</v>
      </c>
      <c r="J344" s="415" t="s">
        <v>747</v>
      </c>
      <c r="K344" s="417">
        <v>-14.024756999999999</v>
      </c>
      <c r="L344" s="417">
        <v>-75.749510000000001</v>
      </c>
      <c r="M344" s="418">
        <v>30</v>
      </c>
      <c r="N344" s="418" t="s">
        <v>2310</v>
      </c>
      <c r="O344" s="418" t="s">
        <v>2411</v>
      </c>
      <c r="P344" s="415">
        <v>2</v>
      </c>
      <c r="Q344" s="415">
        <v>30</v>
      </c>
      <c r="R344" s="415">
        <v>5</v>
      </c>
      <c r="S344" s="415">
        <f t="shared" si="15"/>
        <v>5</v>
      </c>
      <c r="T344" s="419">
        <f t="shared" si="16"/>
        <v>0.83333333333333337</v>
      </c>
      <c r="U344" s="419">
        <f t="shared" si="17"/>
        <v>5.833333333333333</v>
      </c>
      <c r="V344" s="415" t="s">
        <v>662</v>
      </c>
      <c r="W344" s="415" t="s">
        <v>612</v>
      </c>
      <c r="X344" s="415" t="s">
        <v>671</v>
      </c>
      <c r="Y344" s="415"/>
    </row>
    <row r="345" spans="1:25" hidden="1" x14ac:dyDescent="0.25">
      <c r="A345" s="415">
        <v>344</v>
      </c>
      <c r="B345" s="415">
        <v>260</v>
      </c>
      <c r="C345" s="415">
        <v>213902</v>
      </c>
      <c r="D345" s="416" t="s">
        <v>1458</v>
      </c>
      <c r="E345" s="416" t="s">
        <v>507</v>
      </c>
      <c r="F345" s="416" t="s">
        <v>507</v>
      </c>
      <c r="G345" s="416" t="s">
        <v>1459</v>
      </c>
      <c r="H345" s="416" t="s">
        <v>1460</v>
      </c>
      <c r="I345" s="416" t="s">
        <v>1460</v>
      </c>
      <c r="J345" s="415" t="s">
        <v>661</v>
      </c>
      <c r="K345" s="417">
        <v>-14.048736</v>
      </c>
      <c r="L345" s="417">
        <v>-75.273579999999995</v>
      </c>
      <c r="M345" s="418">
        <v>30</v>
      </c>
      <c r="N345" s="418" t="s">
        <v>2310</v>
      </c>
      <c r="O345" s="418" t="s">
        <v>2411</v>
      </c>
      <c r="P345" s="415">
        <v>2</v>
      </c>
      <c r="Q345" s="415">
        <v>30</v>
      </c>
      <c r="R345" s="415">
        <v>5</v>
      </c>
      <c r="S345" s="415">
        <f t="shared" si="15"/>
        <v>5</v>
      </c>
      <c r="T345" s="419">
        <f t="shared" si="16"/>
        <v>0.83333333333333337</v>
      </c>
      <c r="U345" s="419">
        <f t="shared" si="17"/>
        <v>5.833333333333333</v>
      </c>
      <c r="V345" s="415" t="s">
        <v>662</v>
      </c>
      <c r="W345" s="415" t="s">
        <v>612</v>
      </c>
      <c r="X345" s="415" t="s">
        <v>671</v>
      </c>
      <c r="Y345" s="415"/>
    </row>
    <row r="346" spans="1:25" hidden="1" x14ac:dyDescent="0.25">
      <c r="A346" s="415">
        <v>345</v>
      </c>
      <c r="B346" s="415">
        <v>261</v>
      </c>
      <c r="C346" s="415">
        <v>217071</v>
      </c>
      <c r="D346" s="416" t="s">
        <v>1493</v>
      </c>
      <c r="E346" s="416" t="s">
        <v>507</v>
      </c>
      <c r="F346" s="416" t="s">
        <v>1494</v>
      </c>
      <c r="G346" s="416" t="s">
        <v>1495</v>
      </c>
      <c r="H346" s="416" t="s">
        <v>1496</v>
      </c>
      <c r="I346" s="416" t="s">
        <v>1496</v>
      </c>
      <c r="J346" s="415" t="s">
        <v>661</v>
      </c>
      <c r="K346" s="417">
        <v>-14.7721</v>
      </c>
      <c r="L346" s="417">
        <v>-75.351900000000001</v>
      </c>
      <c r="M346" s="418">
        <v>30</v>
      </c>
      <c r="N346" s="418" t="s">
        <v>2310</v>
      </c>
      <c r="O346" s="418" t="s">
        <v>2411</v>
      </c>
      <c r="P346" s="415">
        <v>2</v>
      </c>
      <c r="Q346" s="415">
        <v>30</v>
      </c>
      <c r="R346" s="415">
        <v>5</v>
      </c>
      <c r="S346" s="415">
        <f t="shared" si="15"/>
        <v>5</v>
      </c>
      <c r="T346" s="419">
        <f t="shared" si="16"/>
        <v>0.83333333333333337</v>
      </c>
      <c r="U346" s="419">
        <f t="shared" si="17"/>
        <v>5.833333333333333</v>
      </c>
      <c r="V346" s="415" t="s">
        <v>662</v>
      </c>
      <c r="W346" s="415" t="s">
        <v>613</v>
      </c>
      <c r="X346" s="415" t="s">
        <v>671</v>
      </c>
      <c r="Y346" s="415"/>
    </row>
    <row r="347" spans="1:25" hidden="1" x14ac:dyDescent="0.25">
      <c r="A347" s="415">
        <v>346</v>
      </c>
      <c r="B347" s="415">
        <v>262</v>
      </c>
      <c r="C347" s="415">
        <v>217189</v>
      </c>
      <c r="D347" s="416" t="s">
        <v>1499</v>
      </c>
      <c r="E347" s="416" t="s">
        <v>507</v>
      </c>
      <c r="F347" s="416" t="s">
        <v>1494</v>
      </c>
      <c r="G347" s="416" t="s">
        <v>1498</v>
      </c>
      <c r="H347" s="416" t="s">
        <v>1500</v>
      </c>
      <c r="I347" s="416" t="s">
        <v>1501</v>
      </c>
      <c r="J347" s="415" t="s">
        <v>661</v>
      </c>
      <c r="K347" s="417">
        <v>-14.660500000000001</v>
      </c>
      <c r="L347" s="417">
        <v>-75.113299999999995</v>
      </c>
      <c r="M347" s="418">
        <v>30</v>
      </c>
      <c r="N347" s="418" t="s">
        <v>2310</v>
      </c>
      <c r="O347" s="418" t="s">
        <v>2411</v>
      </c>
      <c r="P347" s="415">
        <v>2</v>
      </c>
      <c r="Q347" s="415">
        <v>30</v>
      </c>
      <c r="R347" s="415">
        <v>5</v>
      </c>
      <c r="S347" s="415">
        <f t="shared" si="15"/>
        <v>5</v>
      </c>
      <c r="T347" s="419">
        <f t="shared" si="16"/>
        <v>0.83333333333333337</v>
      </c>
      <c r="U347" s="419">
        <f t="shared" si="17"/>
        <v>5.833333333333333</v>
      </c>
      <c r="V347" s="415" t="s">
        <v>662</v>
      </c>
      <c r="W347" s="415" t="s">
        <v>613</v>
      </c>
      <c r="X347" s="415" t="s">
        <v>671</v>
      </c>
      <c r="Y347" s="415"/>
    </row>
    <row r="348" spans="1:25" hidden="1" x14ac:dyDescent="0.25">
      <c r="A348" s="415">
        <v>347</v>
      </c>
      <c r="B348" s="415">
        <v>263</v>
      </c>
      <c r="C348" s="415">
        <v>217132</v>
      </c>
      <c r="D348" s="416" t="s">
        <v>2734</v>
      </c>
      <c r="E348" s="416" t="s">
        <v>507</v>
      </c>
      <c r="F348" s="416" t="s">
        <v>1494</v>
      </c>
      <c r="G348" s="416" t="s">
        <v>1498</v>
      </c>
      <c r="H348" s="416" t="s">
        <v>1498</v>
      </c>
      <c r="I348" s="416" t="s">
        <v>2735</v>
      </c>
      <c r="J348" s="415" t="s">
        <v>661</v>
      </c>
      <c r="K348" s="417">
        <v>-14.644424000000001</v>
      </c>
      <c r="L348" s="417">
        <v>-75.058964000000003</v>
      </c>
      <c r="M348" s="418">
        <v>30</v>
      </c>
      <c r="N348" s="418" t="s">
        <v>2310</v>
      </c>
      <c r="O348" s="418" t="s">
        <v>2411</v>
      </c>
      <c r="P348" s="415">
        <v>2</v>
      </c>
      <c r="Q348" s="415">
        <v>30</v>
      </c>
      <c r="R348" s="415">
        <v>5</v>
      </c>
      <c r="S348" s="415">
        <f t="shared" si="15"/>
        <v>5</v>
      </c>
      <c r="T348" s="419">
        <f t="shared" si="16"/>
        <v>0.83333333333333337</v>
      </c>
      <c r="U348" s="419">
        <f t="shared" si="17"/>
        <v>5.833333333333333</v>
      </c>
      <c r="V348" s="415" t="s">
        <v>662</v>
      </c>
      <c r="W348" s="415" t="s">
        <v>613</v>
      </c>
      <c r="X348" s="415" t="s">
        <v>671</v>
      </c>
      <c r="Y348" s="415"/>
    </row>
    <row r="349" spans="1:25" hidden="1" x14ac:dyDescent="0.25">
      <c r="A349" s="415">
        <v>348</v>
      </c>
      <c r="B349" s="415">
        <v>264</v>
      </c>
      <c r="C349" s="415">
        <v>217212</v>
      </c>
      <c r="D349" s="416" t="s">
        <v>2736</v>
      </c>
      <c r="E349" s="416" t="s">
        <v>507</v>
      </c>
      <c r="F349" s="416" t="s">
        <v>1494</v>
      </c>
      <c r="G349" s="416" t="s">
        <v>1498</v>
      </c>
      <c r="H349" s="416" t="s">
        <v>1498</v>
      </c>
      <c r="I349" s="416" t="s">
        <v>2737</v>
      </c>
      <c r="J349" s="415" t="s">
        <v>661</v>
      </c>
      <c r="K349" s="417">
        <v>-14.645519999999999</v>
      </c>
      <c r="L349" s="417">
        <v>-75.060500000000005</v>
      </c>
      <c r="M349" s="418">
        <v>30</v>
      </c>
      <c r="N349" s="418" t="s">
        <v>2310</v>
      </c>
      <c r="O349" s="418" t="s">
        <v>2411</v>
      </c>
      <c r="P349" s="415">
        <v>2</v>
      </c>
      <c r="Q349" s="415">
        <v>30</v>
      </c>
      <c r="R349" s="415">
        <v>5</v>
      </c>
      <c r="S349" s="415">
        <f t="shared" si="15"/>
        <v>5</v>
      </c>
      <c r="T349" s="419">
        <f t="shared" si="16"/>
        <v>0.83333333333333337</v>
      </c>
      <c r="U349" s="419">
        <f t="shared" si="17"/>
        <v>5.833333333333333</v>
      </c>
      <c r="V349" s="415" t="s">
        <v>662</v>
      </c>
      <c r="W349" s="415" t="s">
        <v>613</v>
      </c>
      <c r="X349" s="415" t="s">
        <v>671</v>
      </c>
      <c r="Y349" s="415"/>
    </row>
    <row r="350" spans="1:25" hidden="1" x14ac:dyDescent="0.25">
      <c r="A350" s="415">
        <v>349</v>
      </c>
      <c r="B350" s="415">
        <v>265</v>
      </c>
      <c r="C350" s="415">
        <v>217151</v>
      </c>
      <c r="D350" s="416" t="s">
        <v>1497</v>
      </c>
      <c r="E350" s="416" t="s">
        <v>507</v>
      </c>
      <c r="F350" s="416" t="s">
        <v>1494</v>
      </c>
      <c r="G350" s="416" t="s">
        <v>1498</v>
      </c>
      <c r="H350" s="416" t="s">
        <v>660</v>
      </c>
      <c r="I350" s="416" t="s">
        <v>660</v>
      </c>
      <c r="J350" s="415" t="s">
        <v>661</v>
      </c>
      <c r="K350" s="417">
        <v>-14.638017</v>
      </c>
      <c r="L350" s="417">
        <v>-74.987183000000002</v>
      </c>
      <c r="M350" s="418">
        <v>30</v>
      </c>
      <c r="N350" s="418" t="s">
        <v>2310</v>
      </c>
      <c r="O350" s="418" t="s">
        <v>2411</v>
      </c>
      <c r="P350" s="415">
        <v>2</v>
      </c>
      <c r="Q350" s="415">
        <v>30</v>
      </c>
      <c r="R350" s="415">
        <v>5</v>
      </c>
      <c r="S350" s="415">
        <f t="shared" si="15"/>
        <v>5</v>
      </c>
      <c r="T350" s="419">
        <f t="shared" si="16"/>
        <v>0.83333333333333337</v>
      </c>
      <c r="U350" s="419">
        <f t="shared" si="17"/>
        <v>5.833333333333333</v>
      </c>
      <c r="V350" s="415" t="s">
        <v>662</v>
      </c>
      <c r="W350" s="415" t="s">
        <v>613</v>
      </c>
      <c r="X350" s="415" t="s">
        <v>671</v>
      </c>
      <c r="Y350" s="415"/>
    </row>
    <row r="351" spans="1:25" hidden="1" x14ac:dyDescent="0.25">
      <c r="A351" s="415">
        <v>350</v>
      </c>
      <c r="B351" s="415">
        <v>266</v>
      </c>
      <c r="C351" s="415">
        <v>217146</v>
      </c>
      <c r="D351" s="416" t="s">
        <v>2738</v>
      </c>
      <c r="E351" s="416" t="s">
        <v>507</v>
      </c>
      <c r="F351" s="416" t="s">
        <v>1494</v>
      </c>
      <c r="G351" s="416" t="s">
        <v>1498</v>
      </c>
      <c r="H351" s="416" t="s">
        <v>2739</v>
      </c>
      <c r="I351" s="416" t="s">
        <v>2327</v>
      </c>
      <c r="J351" s="415" t="s">
        <v>661</v>
      </c>
      <c r="K351" s="417">
        <v>-14.644358</v>
      </c>
      <c r="L351" s="417">
        <v>-75.069344999999998</v>
      </c>
      <c r="M351" s="418">
        <v>30</v>
      </c>
      <c r="N351" s="418" t="s">
        <v>2310</v>
      </c>
      <c r="O351" s="418" t="s">
        <v>2411</v>
      </c>
      <c r="P351" s="415">
        <v>2</v>
      </c>
      <c r="Q351" s="415">
        <v>30</v>
      </c>
      <c r="R351" s="415">
        <v>5</v>
      </c>
      <c r="S351" s="415">
        <f t="shared" si="15"/>
        <v>5</v>
      </c>
      <c r="T351" s="419">
        <f t="shared" si="16"/>
        <v>0.83333333333333337</v>
      </c>
      <c r="U351" s="419">
        <f t="shared" si="17"/>
        <v>5.833333333333333</v>
      </c>
      <c r="V351" s="415" t="s">
        <v>662</v>
      </c>
      <c r="W351" s="415" t="s">
        <v>613</v>
      </c>
      <c r="X351" s="415" t="s">
        <v>671</v>
      </c>
      <c r="Y351" s="415"/>
    </row>
    <row r="352" spans="1:25" hidden="1" x14ac:dyDescent="0.25">
      <c r="A352" s="415">
        <v>351</v>
      </c>
      <c r="B352" s="415">
        <v>267</v>
      </c>
      <c r="C352" s="415">
        <v>217405</v>
      </c>
      <c r="D352" s="416" t="s">
        <v>2740</v>
      </c>
      <c r="E352" s="416" t="s">
        <v>507</v>
      </c>
      <c r="F352" s="416" t="s">
        <v>1494</v>
      </c>
      <c r="G352" s="416" t="s">
        <v>713</v>
      </c>
      <c r="H352" s="416" t="s">
        <v>2741</v>
      </c>
      <c r="I352" s="416" t="s">
        <v>2741</v>
      </c>
      <c r="J352" s="415" t="s">
        <v>661</v>
      </c>
      <c r="K352" s="417">
        <v>-14.913767999999999</v>
      </c>
      <c r="L352" s="417">
        <v>-74.986256999999995</v>
      </c>
      <c r="M352" s="418">
        <v>30</v>
      </c>
      <c r="N352" s="418" t="s">
        <v>2310</v>
      </c>
      <c r="O352" s="418" t="s">
        <v>2411</v>
      </c>
      <c r="P352" s="415">
        <v>2</v>
      </c>
      <c r="Q352" s="415">
        <v>30</v>
      </c>
      <c r="R352" s="415">
        <v>5</v>
      </c>
      <c r="S352" s="415">
        <f t="shared" si="15"/>
        <v>5</v>
      </c>
      <c r="T352" s="419">
        <f t="shared" si="16"/>
        <v>0.83333333333333337</v>
      </c>
      <c r="U352" s="419">
        <f t="shared" si="17"/>
        <v>5.833333333333333</v>
      </c>
      <c r="V352" s="415" t="s">
        <v>662</v>
      </c>
      <c r="W352" s="415" t="s">
        <v>613</v>
      </c>
      <c r="X352" s="415" t="s">
        <v>671</v>
      </c>
      <c r="Y352" s="415"/>
    </row>
    <row r="353" spans="1:25" hidden="1" x14ac:dyDescent="0.25">
      <c r="A353" s="415">
        <v>352</v>
      </c>
      <c r="B353" s="415">
        <v>268</v>
      </c>
      <c r="C353" s="415">
        <v>646547</v>
      </c>
      <c r="D353" s="416" t="s">
        <v>2742</v>
      </c>
      <c r="E353" s="416" t="s">
        <v>507</v>
      </c>
      <c r="F353" s="416" t="s">
        <v>1494</v>
      </c>
      <c r="G353" s="416" t="s">
        <v>713</v>
      </c>
      <c r="H353" s="416" t="s">
        <v>713</v>
      </c>
      <c r="I353" s="416" t="s">
        <v>2743</v>
      </c>
      <c r="J353" s="415" t="s">
        <v>747</v>
      </c>
      <c r="K353" s="417">
        <v>-14.853999999999999</v>
      </c>
      <c r="L353" s="417">
        <v>-74.935299999999998</v>
      </c>
      <c r="M353" s="418">
        <v>30</v>
      </c>
      <c r="N353" s="418" t="s">
        <v>2310</v>
      </c>
      <c r="O353" s="418" t="s">
        <v>2411</v>
      </c>
      <c r="P353" s="415">
        <v>2</v>
      </c>
      <c r="Q353" s="415">
        <v>30</v>
      </c>
      <c r="R353" s="415">
        <v>5</v>
      </c>
      <c r="S353" s="415">
        <f t="shared" si="15"/>
        <v>5</v>
      </c>
      <c r="T353" s="419">
        <f t="shared" si="16"/>
        <v>0.83333333333333337</v>
      </c>
      <c r="U353" s="419">
        <f t="shared" si="17"/>
        <v>5.833333333333333</v>
      </c>
      <c r="V353" s="415" t="s">
        <v>662</v>
      </c>
      <c r="W353" s="415" t="s">
        <v>613</v>
      </c>
      <c r="X353" s="415" t="s">
        <v>671</v>
      </c>
      <c r="Y353" s="415"/>
    </row>
    <row r="354" spans="1:25" hidden="1" x14ac:dyDescent="0.25">
      <c r="A354" s="415">
        <v>353</v>
      </c>
      <c r="B354" s="415">
        <v>269</v>
      </c>
      <c r="C354" s="415">
        <v>217924</v>
      </c>
      <c r="D354" s="416" t="s">
        <v>1502</v>
      </c>
      <c r="E354" s="416" t="s">
        <v>507</v>
      </c>
      <c r="F354" s="416" t="s">
        <v>510</v>
      </c>
      <c r="G354" s="416" t="s">
        <v>1503</v>
      </c>
      <c r="H354" s="416" t="s">
        <v>1504</v>
      </c>
      <c r="I354" s="416" t="s">
        <v>965</v>
      </c>
      <c r="J354" s="415" t="s">
        <v>661</v>
      </c>
      <c r="K354" s="417">
        <v>-14.241199999999999</v>
      </c>
      <c r="L354" s="417">
        <v>-75.106700000000004</v>
      </c>
      <c r="M354" s="418">
        <v>30</v>
      </c>
      <c r="N354" s="418" t="s">
        <v>2310</v>
      </c>
      <c r="O354" s="418" t="s">
        <v>2411</v>
      </c>
      <c r="P354" s="415">
        <v>2</v>
      </c>
      <c r="Q354" s="415">
        <v>30</v>
      </c>
      <c r="R354" s="415">
        <v>5</v>
      </c>
      <c r="S354" s="415">
        <f t="shared" si="15"/>
        <v>5</v>
      </c>
      <c r="T354" s="419">
        <f t="shared" si="16"/>
        <v>0.83333333333333337</v>
      </c>
      <c r="U354" s="419">
        <f t="shared" si="17"/>
        <v>5.833333333333333</v>
      </c>
      <c r="V354" s="415" t="s">
        <v>662</v>
      </c>
      <c r="W354" s="415" t="s">
        <v>613</v>
      </c>
      <c r="X354" s="415" t="s">
        <v>671</v>
      </c>
      <c r="Y354" s="415"/>
    </row>
    <row r="355" spans="1:25" hidden="1" x14ac:dyDescent="0.25">
      <c r="A355" s="415">
        <v>354</v>
      </c>
      <c r="B355" s="415">
        <v>270</v>
      </c>
      <c r="C355" s="415">
        <v>217962</v>
      </c>
      <c r="D355" s="416" t="s">
        <v>1505</v>
      </c>
      <c r="E355" s="416" t="s">
        <v>507</v>
      </c>
      <c r="F355" s="416" t="s">
        <v>510</v>
      </c>
      <c r="G355" s="416" t="s">
        <v>1503</v>
      </c>
      <c r="H355" s="416" t="s">
        <v>1506</v>
      </c>
      <c r="I355" s="416" t="s">
        <v>1507</v>
      </c>
      <c r="J355" s="415" t="s">
        <v>661</v>
      </c>
      <c r="K355" s="417">
        <v>-14.2181</v>
      </c>
      <c r="L355" s="417">
        <v>-75.095500000000001</v>
      </c>
      <c r="M355" s="418">
        <v>30</v>
      </c>
      <c r="N355" s="418" t="s">
        <v>2310</v>
      </c>
      <c r="O355" s="418" t="s">
        <v>2411</v>
      </c>
      <c r="P355" s="415">
        <v>2</v>
      </c>
      <c r="Q355" s="415">
        <v>30</v>
      </c>
      <c r="R355" s="415">
        <v>5</v>
      </c>
      <c r="S355" s="415">
        <f t="shared" si="15"/>
        <v>5</v>
      </c>
      <c r="T355" s="419">
        <f t="shared" si="16"/>
        <v>0.83333333333333337</v>
      </c>
      <c r="U355" s="419">
        <f t="shared" si="17"/>
        <v>5.833333333333333</v>
      </c>
      <c r="V355" s="415" t="s">
        <v>662</v>
      </c>
      <c r="W355" s="415" t="s">
        <v>613</v>
      </c>
      <c r="X355" s="415" t="s">
        <v>671</v>
      </c>
      <c r="Y355" s="415"/>
    </row>
    <row r="356" spans="1:25" hidden="1" x14ac:dyDescent="0.25">
      <c r="A356" s="415">
        <v>355</v>
      </c>
      <c r="B356" s="415">
        <v>271</v>
      </c>
      <c r="C356" s="415">
        <v>217882</v>
      </c>
      <c r="D356" s="416" t="s">
        <v>2744</v>
      </c>
      <c r="E356" s="416" t="s">
        <v>507</v>
      </c>
      <c r="F356" s="416" t="s">
        <v>510</v>
      </c>
      <c r="G356" s="416" t="s">
        <v>1503</v>
      </c>
      <c r="H356" s="416" t="s">
        <v>1503</v>
      </c>
      <c r="I356" s="416" t="s">
        <v>2745</v>
      </c>
      <c r="J356" s="415" t="s">
        <v>661</v>
      </c>
      <c r="K356" s="417">
        <v>-14.519310000000001</v>
      </c>
      <c r="L356" s="417">
        <v>-75.199498000000006</v>
      </c>
      <c r="M356" s="418">
        <v>30</v>
      </c>
      <c r="N356" s="418" t="s">
        <v>2310</v>
      </c>
      <c r="O356" s="418" t="s">
        <v>2411</v>
      </c>
      <c r="P356" s="415">
        <v>2</v>
      </c>
      <c r="Q356" s="415">
        <v>30</v>
      </c>
      <c r="R356" s="415">
        <v>5</v>
      </c>
      <c r="S356" s="415">
        <f t="shared" si="15"/>
        <v>5</v>
      </c>
      <c r="T356" s="419">
        <f t="shared" si="16"/>
        <v>0.83333333333333337</v>
      </c>
      <c r="U356" s="419">
        <f t="shared" si="17"/>
        <v>5.833333333333333</v>
      </c>
      <c r="V356" s="415" t="s">
        <v>662</v>
      </c>
      <c r="W356" s="415" t="s">
        <v>613</v>
      </c>
      <c r="X356" s="415" t="s">
        <v>671</v>
      </c>
      <c r="Y356" s="415"/>
    </row>
    <row r="357" spans="1:25" hidden="1" x14ac:dyDescent="0.25">
      <c r="A357" s="415">
        <v>356</v>
      </c>
      <c r="B357" s="415">
        <v>272</v>
      </c>
      <c r="C357" s="415">
        <v>217976</v>
      </c>
      <c r="D357" s="416" t="s">
        <v>2746</v>
      </c>
      <c r="E357" s="416" t="s">
        <v>507</v>
      </c>
      <c r="F357" s="416" t="s">
        <v>510</v>
      </c>
      <c r="G357" s="416" t="s">
        <v>1503</v>
      </c>
      <c r="H357" s="416" t="s">
        <v>1503</v>
      </c>
      <c r="I357" s="416" t="s">
        <v>2747</v>
      </c>
      <c r="J357" s="415" t="s">
        <v>661</v>
      </c>
      <c r="K357" s="417">
        <v>-14.519147999999999</v>
      </c>
      <c r="L357" s="417">
        <v>-75.198581000000004</v>
      </c>
      <c r="M357" s="418">
        <v>30</v>
      </c>
      <c r="N357" s="418" t="s">
        <v>2310</v>
      </c>
      <c r="O357" s="418" t="s">
        <v>2411</v>
      </c>
      <c r="P357" s="415">
        <v>2</v>
      </c>
      <c r="Q357" s="415">
        <v>30</v>
      </c>
      <c r="R357" s="415">
        <v>5</v>
      </c>
      <c r="S357" s="415">
        <f t="shared" si="15"/>
        <v>5</v>
      </c>
      <c r="T357" s="419">
        <f t="shared" si="16"/>
        <v>0.83333333333333337</v>
      </c>
      <c r="U357" s="419">
        <f t="shared" si="17"/>
        <v>5.833333333333333</v>
      </c>
      <c r="V357" s="415" t="s">
        <v>662</v>
      </c>
      <c r="W357" s="415" t="s">
        <v>613</v>
      </c>
      <c r="X357" s="415" t="s">
        <v>671</v>
      </c>
      <c r="Y357" s="415"/>
    </row>
    <row r="358" spans="1:25" hidden="1" x14ac:dyDescent="0.25">
      <c r="A358" s="415">
        <v>357</v>
      </c>
      <c r="B358" s="415">
        <v>273</v>
      </c>
      <c r="C358" s="415">
        <v>218075</v>
      </c>
      <c r="D358" s="416" t="s">
        <v>1508</v>
      </c>
      <c r="E358" s="416" t="s">
        <v>507</v>
      </c>
      <c r="F358" s="416" t="s">
        <v>510</v>
      </c>
      <c r="G358" s="416" t="s">
        <v>1509</v>
      </c>
      <c r="H358" s="416" t="s">
        <v>1509</v>
      </c>
      <c r="I358" s="416" t="s">
        <v>1510</v>
      </c>
      <c r="J358" s="415" t="s">
        <v>661</v>
      </c>
      <c r="K358" s="417">
        <v>-14.092320000000001</v>
      </c>
      <c r="L358" s="417">
        <v>-75.174340000000001</v>
      </c>
      <c r="M358" s="418">
        <v>30</v>
      </c>
      <c r="N358" s="418" t="s">
        <v>2310</v>
      </c>
      <c r="O358" s="418" t="s">
        <v>2411</v>
      </c>
      <c r="P358" s="415">
        <v>2</v>
      </c>
      <c r="Q358" s="415">
        <v>30</v>
      </c>
      <c r="R358" s="415">
        <v>5</v>
      </c>
      <c r="S358" s="415">
        <f t="shared" si="15"/>
        <v>5</v>
      </c>
      <c r="T358" s="419">
        <f t="shared" si="16"/>
        <v>0.83333333333333337</v>
      </c>
      <c r="U358" s="419">
        <f t="shared" si="17"/>
        <v>5.833333333333333</v>
      </c>
      <c r="V358" s="415" t="s">
        <v>662</v>
      </c>
      <c r="W358" s="415" t="s">
        <v>612</v>
      </c>
      <c r="X358" s="415" t="s">
        <v>671</v>
      </c>
      <c r="Y358" s="415"/>
    </row>
    <row r="359" spans="1:25" hidden="1" x14ac:dyDescent="0.25">
      <c r="A359" s="415">
        <v>358</v>
      </c>
      <c r="B359" s="415">
        <v>274</v>
      </c>
      <c r="C359" s="415">
        <v>219027</v>
      </c>
      <c r="D359" s="416" t="s">
        <v>1515</v>
      </c>
      <c r="E359" s="416" t="s">
        <v>507</v>
      </c>
      <c r="F359" s="416" t="s">
        <v>509</v>
      </c>
      <c r="G359" s="416" t="s">
        <v>1512</v>
      </c>
      <c r="H359" s="416" t="s">
        <v>1516</v>
      </c>
      <c r="I359" s="416" t="s">
        <v>1517</v>
      </c>
      <c r="J359" s="415" t="s">
        <v>661</v>
      </c>
      <c r="K359" s="417">
        <v>-13.709548</v>
      </c>
      <c r="L359" s="417">
        <v>-75.826869000000002</v>
      </c>
      <c r="M359" s="418">
        <v>30</v>
      </c>
      <c r="N359" s="418" t="s">
        <v>2310</v>
      </c>
      <c r="O359" s="418" t="s">
        <v>2411</v>
      </c>
      <c r="P359" s="415">
        <v>2</v>
      </c>
      <c r="Q359" s="415">
        <v>30</v>
      </c>
      <c r="R359" s="415">
        <v>5</v>
      </c>
      <c r="S359" s="415">
        <f t="shared" si="15"/>
        <v>5</v>
      </c>
      <c r="T359" s="419">
        <f t="shared" si="16"/>
        <v>0.83333333333333337</v>
      </c>
      <c r="U359" s="419">
        <f t="shared" si="17"/>
        <v>5.833333333333333</v>
      </c>
      <c r="V359" s="415" t="s">
        <v>662</v>
      </c>
      <c r="W359" s="415" t="s">
        <v>612</v>
      </c>
      <c r="X359" s="415" t="s">
        <v>671</v>
      </c>
      <c r="Y359" s="415"/>
    </row>
    <row r="360" spans="1:25" hidden="1" x14ac:dyDescent="0.25">
      <c r="A360" s="415">
        <v>359</v>
      </c>
      <c r="B360" s="415">
        <v>275</v>
      </c>
      <c r="C360" s="415">
        <v>219008</v>
      </c>
      <c r="D360" s="416" t="s">
        <v>1511</v>
      </c>
      <c r="E360" s="416" t="s">
        <v>507</v>
      </c>
      <c r="F360" s="416" t="s">
        <v>509</v>
      </c>
      <c r="G360" s="416" t="s">
        <v>1512</v>
      </c>
      <c r="H360" s="416" t="s">
        <v>1513</v>
      </c>
      <c r="I360" s="416" t="s">
        <v>1514</v>
      </c>
      <c r="J360" s="415" t="s">
        <v>661</v>
      </c>
      <c r="K360" s="417">
        <v>-13.724600000000001</v>
      </c>
      <c r="L360" s="417">
        <v>-75.999200000000002</v>
      </c>
      <c r="M360" s="418">
        <v>30</v>
      </c>
      <c r="N360" s="418" t="s">
        <v>2310</v>
      </c>
      <c r="O360" s="418" t="s">
        <v>2411</v>
      </c>
      <c r="P360" s="415">
        <v>2</v>
      </c>
      <c r="Q360" s="415">
        <v>30</v>
      </c>
      <c r="R360" s="415">
        <v>5</v>
      </c>
      <c r="S360" s="415">
        <f t="shared" si="15"/>
        <v>5</v>
      </c>
      <c r="T360" s="419">
        <f t="shared" si="16"/>
        <v>0.83333333333333337</v>
      </c>
      <c r="U360" s="419">
        <f t="shared" si="17"/>
        <v>5.833333333333333</v>
      </c>
      <c r="V360" s="415" t="s">
        <v>662</v>
      </c>
      <c r="W360" s="415" t="s">
        <v>612</v>
      </c>
      <c r="X360" s="415" t="s">
        <v>671</v>
      </c>
      <c r="Y360" s="415"/>
    </row>
    <row r="361" spans="1:25" hidden="1" x14ac:dyDescent="0.25">
      <c r="A361" s="415">
        <v>360</v>
      </c>
      <c r="B361" s="415">
        <v>276</v>
      </c>
      <c r="C361" s="415">
        <v>219051</v>
      </c>
      <c r="D361" s="416" t="s">
        <v>1518</v>
      </c>
      <c r="E361" s="416" t="s">
        <v>507</v>
      </c>
      <c r="F361" s="416" t="s">
        <v>509</v>
      </c>
      <c r="G361" s="416" t="s">
        <v>722</v>
      </c>
      <c r="H361" s="416" t="s">
        <v>1519</v>
      </c>
      <c r="I361" s="416" t="s">
        <v>1519</v>
      </c>
      <c r="J361" s="415" t="s">
        <v>661</v>
      </c>
      <c r="K361" s="417">
        <v>-13.644657</v>
      </c>
      <c r="L361" s="417">
        <v>-76.016498999999996</v>
      </c>
      <c r="M361" s="418">
        <v>30</v>
      </c>
      <c r="N361" s="418" t="s">
        <v>2310</v>
      </c>
      <c r="O361" s="418" t="s">
        <v>2411</v>
      </c>
      <c r="P361" s="415">
        <v>2</v>
      </c>
      <c r="Q361" s="415">
        <v>30</v>
      </c>
      <c r="R361" s="415">
        <v>5</v>
      </c>
      <c r="S361" s="415">
        <f t="shared" si="15"/>
        <v>5</v>
      </c>
      <c r="T361" s="419">
        <f t="shared" si="16"/>
        <v>0.83333333333333337</v>
      </c>
      <c r="U361" s="419">
        <f t="shared" si="17"/>
        <v>5.833333333333333</v>
      </c>
      <c r="V361" s="415" t="s">
        <v>662</v>
      </c>
      <c r="W361" s="415" t="s">
        <v>612</v>
      </c>
      <c r="X361" s="415" t="s">
        <v>671</v>
      </c>
      <c r="Y361" s="415"/>
    </row>
    <row r="362" spans="1:25" hidden="1" x14ac:dyDescent="0.25">
      <c r="A362" s="415">
        <v>361</v>
      </c>
      <c r="B362" s="415">
        <v>277</v>
      </c>
      <c r="C362" s="415">
        <v>219174</v>
      </c>
      <c r="D362" s="416" t="s">
        <v>2748</v>
      </c>
      <c r="E362" s="416" t="s">
        <v>507</v>
      </c>
      <c r="F362" s="416" t="s">
        <v>509</v>
      </c>
      <c r="G362" s="416" t="s">
        <v>722</v>
      </c>
      <c r="H362" s="416" t="s">
        <v>1765</v>
      </c>
      <c r="I362" s="416" t="s">
        <v>2749</v>
      </c>
      <c r="J362" s="415" t="s">
        <v>661</v>
      </c>
      <c r="K362" s="417">
        <v>-13.683343000000001</v>
      </c>
      <c r="L362" s="417">
        <v>-76.064116999999996</v>
      </c>
      <c r="M362" s="418">
        <v>30</v>
      </c>
      <c r="N362" s="418" t="s">
        <v>2310</v>
      </c>
      <c r="O362" s="418" t="s">
        <v>2411</v>
      </c>
      <c r="P362" s="415">
        <v>2</v>
      </c>
      <c r="Q362" s="415">
        <v>30</v>
      </c>
      <c r="R362" s="415">
        <v>5</v>
      </c>
      <c r="S362" s="415">
        <f t="shared" si="15"/>
        <v>5</v>
      </c>
      <c r="T362" s="419">
        <f t="shared" si="16"/>
        <v>0.83333333333333337</v>
      </c>
      <c r="U362" s="419">
        <f t="shared" si="17"/>
        <v>5.833333333333333</v>
      </c>
      <c r="V362" s="415" t="s">
        <v>662</v>
      </c>
      <c r="W362" s="415" t="s">
        <v>612</v>
      </c>
      <c r="X362" s="415" t="s">
        <v>671</v>
      </c>
      <c r="Y362" s="415"/>
    </row>
    <row r="363" spans="1:25" hidden="1" x14ac:dyDescent="0.25">
      <c r="A363" s="415">
        <v>362</v>
      </c>
      <c r="B363" s="415">
        <v>278</v>
      </c>
      <c r="C363" s="415">
        <v>219150</v>
      </c>
      <c r="D363" s="416" t="s">
        <v>1520</v>
      </c>
      <c r="E363" s="416" t="s">
        <v>507</v>
      </c>
      <c r="F363" s="416" t="s">
        <v>509</v>
      </c>
      <c r="G363" s="416" t="s">
        <v>722</v>
      </c>
      <c r="H363" s="416" t="s">
        <v>1521</v>
      </c>
      <c r="I363" s="416" t="s">
        <v>1521</v>
      </c>
      <c r="J363" s="415" t="s">
        <v>661</v>
      </c>
      <c r="K363" s="417">
        <v>-13.664396</v>
      </c>
      <c r="L363" s="417">
        <v>-76.025096000000005</v>
      </c>
      <c r="M363" s="418">
        <v>30</v>
      </c>
      <c r="N363" s="418" t="s">
        <v>2310</v>
      </c>
      <c r="O363" s="418" t="s">
        <v>2411</v>
      </c>
      <c r="P363" s="415">
        <v>2</v>
      </c>
      <c r="Q363" s="415">
        <v>30</v>
      </c>
      <c r="R363" s="415">
        <v>5</v>
      </c>
      <c r="S363" s="415">
        <f t="shared" si="15"/>
        <v>5</v>
      </c>
      <c r="T363" s="419">
        <f t="shared" si="16"/>
        <v>0.83333333333333337</v>
      </c>
      <c r="U363" s="419">
        <f t="shared" si="17"/>
        <v>5.833333333333333</v>
      </c>
      <c r="V363" s="415" t="s">
        <v>662</v>
      </c>
      <c r="W363" s="415" t="s">
        <v>612</v>
      </c>
      <c r="X363" s="415" t="s">
        <v>671</v>
      </c>
      <c r="Y363" s="415"/>
    </row>
    <row r="364" spans="1:25" hidden="1" x14ac:dyDescent="0.25">
      <c r="A364" s="415">
        <v>363</v>
      </c>
      <c r="B364" s="415">
        <v>279</v>
      </c>
      <c r="C364" s="415">
        <v>218344</v>
      </c>
      <c r="D364" s="416" t="s">
        <v>2750</v>
      </c>
      <c r="E364" s="416" t="s">
        <v>507</v>
      </c>
      <c r="F364" s="416" t="s">
        <v>509</v>
      </c>
      <c r="G364" s="416" t="s">
        <v>509</v>
      </c>
      <c r="H364" s="416" t="s">
        <v>509</v>
      </c>
      <c r="I364" s="416" t="s">
        <v>2751</v>
      </c>
      <c r="J364" s="415" t="s">
        <v>747</v>
      </c>
      <c r="K364" s="417">
        <v>-13.70947</v>
      </c>
      <c r="L364" s="417">
        <v>-76.209850000000003</v>
      </c>
      <c r="M364" s="418">
        <v>30</v>
      </c>
      <c r="N364" s="418" t="s">
        <v>2310</v>
      </c>
      <c r="O364" s="418" t="s">
        <v>2411</v>
      </c>
      <c r="P364" s="415">
        <v>2</v>
      </c>
      <c r="Q364" s="415">
        <v>30</v>
      </c>
      <c r="R364" s="415">
        <v>5</v>
      </c>
      <c r="S364" s="415">
        <f t="shared" si="15"/>
        <v>5</v>
      </c>
      <c r="T364" s="419">
        <f t="shared" si="16"/>
        <v>0.83333333333333337</v>
      </c>
      <c r="U364" s="419">
        <f t="shared" si="17"/>
        <v>5.833333333333333</v>
      </c>
      <c r="V364" s="415" t="s">
        <v>662</v>
      </c>
      <c r="W364" s="415" t="s">
        <v>612</v>
      </c>
      <c r="X364" s="415" t="s">
        <v>671</v>
      </c>
      <c r="Y364" s="415"/>
    </row>
    <row r="365" spans="1:25" hidden="1" x14ac:dyDescent="0.25">
      <c r="A365" s="415">
        <v>364</v>
      </c>
      <c r="B365" s="415">
        <v>280</v>
      </c>
      <c r="C365" s="415">
        <v>218136</v>
      </c>
      <c r="D365" s="416" t="s">
        <v>2752</v>
      </c>
      <c r="E365" s="416" t="s">
        <v>507</v>
      </c>
      <c r="F365" s="416" t="s">
        <v>509</v>
      </c>
      <c r="G365" s="416" t="s">
        <v>509</v>
      </c>
      <c r="H365" s="416" t="s">
        <v>472</v>
      </c>
      <c r="I365" s="416" t="s">
        <v>2753</v>
      </c>
      <c r="J365" s="415" t="s">
        <v>747</v>
      </c>
      <c r="K365" s="417">
        <v>-13.70046</v>
      </c>
      <c r="L365" s="417">
        <v>-76.153450000000007</v>
      </c>
      <c r="M365" s="418">
        <v>30</v>
      </c>
      <c r="N365" s="418" t="s">
        <v>2310</v>
      </c>
      <c r="O365" s="418" t="s">
        <v>2411</v>
      </c>
      <c r="P365" s="415">
        <v>2</v>
      </c>
      <c r="Q365" s="415">
        <v>30</v>
      </c>
      <c r="R365" s="415">
        <v>5</v>
      </c>
      <c r="S365" s="415">
        <f t="shared" si="15"/>
        <v>5</v>
      </c>
      <c r="T365" s="419">
        <f t="shared" si="16"/>
        <v>0.83333333333333337</v>
      </c>
      <c r="U365" s="419">
        <f t="shared" si="17"/>
        <v>5.833333333333333</v>
      </c>
      <c r="V365" s="415" t="s">
        <v>662</v>
      </c>
      <c r="W365" s="415" t="s">
        <v>612</v>
      </c>
      <c r="X365" s="415" t="s">
        <v>671</v>
      </c>
      <c r="Y365" s="415"/>
    </row>
    <row r="366" spans="1:25" hidden="1" x14ac:dyDescent="0.25">
      <c r="A366" s="415">
        <v>365</v>
      </c>
      <c r="B366" s="415">
        <v>281</v>
      </c>
      <c r="C366" s="415">
        <v>219447</v>
      </c>
      <c r="D366" s="416" t="s">
        <v>2754</v>
      </c>
      <c r="E366" s="416" t="s">
        <v>507</v>
      </c>
      <c r="F366" s="416" t="s">
        <v>509</v>
      </c>
      <c r="G366" s="416" t="s">
        <v>2755</v>
      </c>
      <c r="H366" s="416" t="s">
        <v>2755</v>
      </c>
      <c r="I366" s="416" t="s">
        <v>2756</v>
      </c>
      <c r="J366" s="415" t="s">
        <v>747</v>
      </c>
      <c r="K366" s="417">
        <v>-13.67188</v>
      </c>
      <c r="L366" s="417">
        <v>-76.157060000000001</v>
      </c>
      <c r="M366" s="418">
        <v>30</v>
      </c>
      <c r="N366" s="418" t="s">
        <v>2310</v>
      </c>
      <c r="O366" s="418" t="s">
        <v>2411</v>
      </c>
      <c r="P366" s="415">
        <v>2</v>
      </c>
      <c r="Q366" s="415">
        <v>30</v>
      </c>
      <c r="R366" s="415">
        <v>5</v>
      </c>
      <c r="S366" s="415">
        <f t="shared" si="15"/>
        <v>5</v>
      </c>
      <c r="T366" s="419">
        <f t="shared" si="16"/>
        <v>0.83333333333333337</v>
      </c>
      <c r="U366" s="419">
        <f t="shared" si="17"/>
        <v>5.833333333333333</v>
      </c>
      <c r="V366" s="415" t="s">
        <v>662</v>
      </c>
      <c r="W366" s="415" t="s">
        <v>612</v>
      </c>
      <c r="X366" s="415" t="s">
        <v>671</v>
      </c>
      <c r="Y366" s="415"/>
    </row>
    <row r="367" spans="1:25" hidden="1" x14ac:dyDescent="0.25">
      <c r="A367" s="415">
        <v>366</v>
      </c>
      <c r="B367" s="415">
        <v>282</v>
      </c>
      <c r="C367" s="415">
        <v>219616</v>
      </c>
      <c r="D367" s="416" t="s">
        <v>2757</v>
      </c>
      <c r="E367" s="416" t="s">
        <v>507</v>
      </c>
      <c r="F367" s="416" t="s">
        <v>509</v>
      </c>
      <c r="G367" s="416" t="s">
        <v>2758</v>
      </c>
      <c r="H367" s="416" t="s">
        <v>2759</v>
      </c>
      <c r="I367" s="416" t="s">
        <v>2760</v>
      </c>
      <c r="J367" s="415" t="s">
        <v>747</v>
      </c>
      <c r="K367" s="417">
        <v>-13.707464</v>
      </c>
      <c r="L367" s="417">
        <v>-76.148048000000003</v>
      </c>
      <c r="M367" s="418">
        <v>30</v>
      </c>
      <c r="N367" s="418" t="s">
        <v>2310</v>
      </c>
      <c r="O367" s="418" t="s">
        <v>2411</v>
      </c>
      <c r="P367" s="415">
        <v>2</v>
      </c>
      <c r="Q367" s="415">
        <v>30</v>
      </c>
      <c r="R367" s="415">
        <v>5</v>
      </c>
      <c r="S367" s="415">
        <f t="shared" si="15"/>
        <v>5</v>
      </c>
      <c r="T367" s="419">
        <f t="shared" si="16"/>
        <v>0.83333333333333337</v>
      </c>
      <c r="U367" s="419">
        <f t="shared" si="17"/>
        <v>5.833333333333333</v>
      </c>
      <c r="V367" s="415" t="s">
        <v>662</v>
      </c>
      <c r="W367" s="415" t="s">
        <v>612</v>
      </c>
      <c r="X367" s="415" t="s">
        <v>671</v>
      </c>
      <c r="Y367" s="415"/>
    </row>
    <row r="368" spans="1:25" hidden="1" x14ac:dyDescent="0.25">
      <c r="A368" s="415">
        <v>367</v>
      </c>
      <c r="B368" s="415">
        <v>283</v>
      </c>
      <c r="C368" s="415">
        <v>549546</v>
      </c>
      <c r="D368" s="416" t="s">
        <v>2761</v>
      </c>
      <c r="E368" s="416" t="s">
        <v>507</v>
      </c>
      <c r="F368" s="416" t="s">
        <v>509</v>
      </c>
      <c r="G368" s="416" t="s">
        <v>2758</v>
      </c>
      <c r="H368" s="416" t="s">
        <v>2759</v>
      </c>
      <c r="I368" s="416" t="s">
        <v>2762</v>
      </c>
      <c r="J368" s="415" t="s">
        <v>747</v>
      </c>
      <c r="K368" s="417">
        <v>-13.71631</v>
      </c>
      <c r="L368" s="417">
        <v>-76.144180000000006</v>
      </c>
      <c r="M368" s="418">
        <v>30</v>
      </c>
      <c r="N368" s="418" t="s">
        <v>2310</v>
      </c>
      <c r="O368" s="418" t="s">
        <v>2411</v>
      </c>
      <c r="P368" s="415">
        <v>2</v>
      </c>
      <c r="Q368" s="415">
        <v>30</v>
      </c>
      <c r="R368" s="415">
        <v>5</v>
      </c>
      <c r="S368" s="415">
        <f t="shared" si="15"/>
        <v>5</v>
      </c>
      <c r="T368" s="419">
        <f t="shared" si="16"/>
        <v>0.83333333333333337</v>
      </c>
      <c r="U368" s="419">
        <f t="shared" si="17"/>
        <v>5.833333333333333</v>
      </c>
      <c r="V368" s="415" t="s">
        <v>662</v>
      </c>
      <c r="W368" s="415" t="s">
        <v>612</v>
      </c>
      <c r="X368" s="415" t="s">
        <v>671</v>
      </c>
      <c r="Y368" s="415"/>
    </row>
    <row r="369" spans="1:25" hidden="1" x14ac:dyDescent="0.25">
      <c r="A369" s="415">
        <v>368</v>
      </c>
      <c r="B369" s="415">
        <v>284</v>
      </c>
      <c r="C369" s="415">
        <v>231524</v>
      </c>
      <c r="D369" s="416" t="s">
        <v>1558</v>
      </c>
      <c r="E369" s="416" t="s">
        <v>512</v>
      </c>
      <c r="F369" s="416" t="s">
        <v>519</v>
      </c>
      <c r="G369" s="416" t="s">
        <v>1550</v>
      </c>
      <c r="H369" s="416" t="s">
        <v>1559</v>
      </c>
      <c r="I369" s="416" t="s">
        <v>1559</v>
      </c>
      <c r="J369" s="415" t="s">
        <v>661</v>
      </c>
      <c r="K369" s="417">
        <v>-10.790378</v>
      </c>
      <c r="L369" s="417">
        <v>-75.051665999999997</v>
      </c>
      <c r="M369" s="418">
        <v>30</v>
      </c>
      <c r="N369" s="418" t="s">
        <v>2310</v>
      </c>
      <c r="O369" s="418" t="s">
        <v>2411</v>
      </c>
      <c r="P369" s="415">
        <v>2</v>
      </c>
      <c r="Q369" s="415">
        <v>30</v>
      </c>
      <c r="R369" s="415">
        <v>5</v>
      </c>
      <c r="S369" s="415">
        <f t="shared" si="15"/>
        <v>5</v>
      </c>
      <c r="T369" s="419">
        <f t="shared" si="16"/>
        <v>0.83333333333333337</v>
      </c>
      <c r="U369" s="419">
        <f t="shared" si="17"/>
        <v>5.833333333333333</v>
      </c>
      <c r="V369" s="415" t="s">
        <v>662</v>
      </c>
      <c r="W369" s="415" t="s">
        <v>610</v>
      </c>
      <c r="X369" s="415" t="s">
        <v>673</v>
      </c>
      <c r="Y369" s="415"/>
    </row>
    <row r="370" spans="1:25" hidden="1" x14ac:dyDescent="0.25">
      <c r="A370" s="415">
        <v>369</v>
      </c>
      <c r="B370" s="415">
        <v>285</v>
      </c>
      <c r="C370" s="415">
        <v>232062</v>
      </c>
      <c r="D370" s="416" t="s">
        <v>2763</v>
      </c>
      <c r="E370" s="416" t="s">
        <v>512</v>
      </c>
      <c r="F370" s="416" t="s">
        <v>519</v>
      </c>
      <c r="G370" s="416" t="s">
        <v>1550</v>
      </c>
      <c r="H370" s="416" t="s">
        <v>2764</v>
      </c>
      <c r="I370" s="416" t="s">
        <v>2765</v>
      </c>
      <c r="J370" s="415" t="s">
        <v>661</v>
      </c>
      <c r="K370" s="417">
        <v>-10.900245999999999</v>
      </c>
      <c r="L370" s="417">
        <v>-74.903869999999998</v>
      </c>
      <c r="M370" s="418">
        <v>30</v>
      </c>
      <c r="N370" s="418" t="s">
        <v>2310</v>
      </c>
      <c r="O370" s="418" t="s">
        <v>2411</v>
      </c>
      <c r="P370" s="415">
        <v>2</v>
      </c>
      <c r="Q370" s="415">
        <v>30</v>
      </c>
      <c r="R370" s="415">
        <v>5</v>
      </c>
      <c r="S370" s="415">
        <f t="shared" si="15"/>
        <v>5</v>
      </c>
      <c r="T370" s="419">
        <f t="shared" si="16"/>
        <v>0.83333333333333337</v>
      </c>
      <c r="U370" s="419">
        <f t="shared" si="17"/>
        <v>5.833333333333333</v>
      </c>
      <c r="V370" s="415" t="s">
        <v>662</v>
      </c>
      <c r="W370" s="415" t="s">
        <v>610</v>
      </c>
      <c r="X370" s="415" t="s">
        <v>673</v>
      </c>
      <c r="Y370" s="415"/>
    </row>
    <row r="371" spans="1:25" hidden="1" x14ac:dyDescent="0.25">
      <c r="A371" s="415">
        <v>370</v>
      </c>
      <c r="B371" s="415">
        <v>286</v>
      </c>
      <c r="C371" s="415">
        <v>544167</v>
      </c>
      <c r="D371" s="416" t="s">
        <v>1559</v>
      </c>
      <c r="E371" s="416" t="s">
        <v>512</v>
      </c>
      <c r="F371" s="416" t="s">
        <v>519</v>
      </c>
      <c r="G371" s="416" t="s">
        <v>1550</v>
      </c>
      <c r="H371" s="416" t="s">
        <v>2216</v>
      </c>
      <c r="I371" s="416" t="s">
        <v>2217</v>
      </c>
      <c r="J371" s="415" t="s">
        <v>661</v>
      </c>
      <c r="K371" s="417">
        <v>-10.789199999999999</v>
      </c>
      <c r="L371" s="417">
        <v>-75.050600000000003</v>
      </c>
      <c r="M371" s="418">
        <v>30</v>
      </c>
      <c r="N371" s="418" t="s">
        <v>2310</v>
      </c>
      <c r="O371" s="418" t="s">
        <v>2411</v>
      </c>
      <c r="P371" s="415">
        <v>2</v>
      </c>
      <c r="Q371" s="415">
        <v>30</v>
      </c>
      <c r="R371" s="415">
        <v>5</v>
      </c>
      <c r="S371" s="415">
        <f t="shared" si="15"/>
        <v>5</v>
      </c>
      <c r="T371" s="419">
        <f t="shared" si="16"/>
        <v>0.83333333333333337</v>
      </c>
      <c r="U371" s="419">
        <f t="shared" si="17"/>
        <v>5.833333333333333</v>
      </c>
      <c r="V371" s="415" t="s">
        <v>662</v>
      </c>
      <c r="W371" s="415" t="s">
        <v>610</v>
      </c>
      <c r="X371" s="415" t="s">
        <v>673</v>
      </c>
      <c r="Y371" s="415"/>
    </row>
    <row r="372" spans="1:25" hidden="1" x14ac:dyDescent="0.25">
      <c r="A372" s="415">
        <v>371</v>
      </c>
      <c r="B372" s="415">
        <v>287</v>
      </c>
      <c r="C372" s="415">
        <v>231717</v>
      </c>
      <c r="D372" s="416" t="s">
        <v>1564</v>
      </c>
      <c r="E372" s="416" t="s">
        <v>512</v>
      </c>
      <c r="F372" s="416" t="s">
        <v>519</v>
      </c>
      <c r="G372" s="416" t="s">
        <v>1550</v>
      </c>
      <c r="H372" s="416" t="s">
        <v>793</v>
      </c>
      <c r="I372" s="416" t="s">
        <v>793</v>
      </c>
      <c r="J372" s="415" t="s">
        <v>661</v>
      </c>
      <c r="K372" s="417">
        <v>-10.747628000000001</v>
      </c>
      <c r="L372" s="417">
        <v>-75.076521</v>
      </c>
      <c r="M372" s="418">
        <v>30</v>
      </c>
      <c r="N372" s="418" t="s">
        <v>2310</v>
      </c>
      <c r="O372" s="418" t="s">
        <v>2411</v>
      </c>
      <c r="P372" s="415">
        <v>2</v>
      </c>
      <c r="Q372" s="415">
        <v>30</v>
      </c>
      <c r="R372" s="415">
        <v>5</v>
      </c>
      <c r="S372" s="415">
        <f t="shared" si="15"/>
        <v>5</v>
      </c>
      <c r="T372" s="419">
        <f t="shared" si="16"/>
        <v>0.83333333333333337</v>
      </c>
      <c r="U372" s="419">
        <f t="shared" si="17"/>
        <v>5.833333333333333</v>
      </c>
      <c r="V372" s="415" t="s">
        <v>662</v>
      </c>
      <c r="W372" s="415" t="s">
        <v>610</v>
      </c>
      <c r="X372" s="415" t="s">
        <v>673</v>
      </c>
      <c r="Y372" s="415"/>
    </row>
    <row r="373" spans="1:25" hidden="1" x14ac:dyDescent="0.25">
      <c r="A373" s="415">
        <v>372</v>
      </c>
      <c r="B373" s="415">
        <v>288</v>
      </c>
      <c r="C373" s="415">
        <v>231595</v>
      </c>
      <c r="D373" s="416" t="s">
        <v>1560</v>
      </c>
      <c r="E373" s="416" t="s">
        <v>512</v>
      </c>
      <c r="F373" s="416" t="s">
        <v>519</v>
      </c>
      <c r="G373" s="416" t="s">
        <v>1550</v>
      </c>
      <c r="H373" s="416" t="s">
        <v>1561</v>
      </c>
      <c r="I373" s="416" t="s">
        <v>1561</v>
      </c>
      <c r="J373" s="415" t="s">
        <v>661</v>
      </c>
      <c r="K373" s="417">
        <v>-10.8965</v>
      </c>
      <c r="L373" s="417">
        <v>-75.043199999999999</v>
      </c>
      <c r="M373" s="418">
        <v>30</v>
      </c>
      <c r="N373" s="418" t="s">
        <v>2310</v>
      </c>
      <c r="O373" s="418" t="s">
        <v>2411</v>
      </c>
      <c r="P373" s="415">
        <v>2</v>
      </c>
      <c r="Q373" s="415">
        <v>30</v>
      </c>
      <c r="R373" s="415">
        <v>5</v>
      </c>
      <c r="S373" s="415">
        <f t="shared" si="15"/>
        <v>5</v>
      </c>
      <c r="T373" s="419">
        <f t="shared" si="16"/>
        <v>0.83333333333333337</v>
      </c>
      <c r="U373" s="419">
        <f t="shared" si="17"/>
        <v>5.833333333333333</v>
      </c>
      <c r="V373" s="415" t="s">
        <v>662</v>
      </c>
      <c r="W373" s="415" t="s">
        <v>610</v>
      </c>
      <c r="X373" s="415" t="s">
        <v>673</v>
      </c>
      <c r="Y373" s="415"/>
    </row>
    <row r="374" spans="1:25" hidden="1" x14ac:dyDescent="0.25">
      <c r="A374" s="415">
        <v>373</v>
      </c>
      <c r="B374" s="415">
        <v>289</v>
      </c>
      <c r="C374" s="415">
        <v>231784</v>
      </c>
      <c r="D374" s="416" t="s">
        <v>2766</v>
      </c>
      <c r="E374" s="416" t="s">
        <v>512</v>
      </c>
      <c r="F374" s="416" t="s">
        <v>519</v>
      </c>
      <c r="G374" s="416" t="s">
        <v>1550</v>
      </c>
      <c r="H374" s="416" t="s">
        <v>2767</v>
      </c>
      <c r="I374" s="416" t="s">
        <v>2768</v>
      </c>
      <c r="J374" s="415" t="s">
        <v>661</v>
      </c>
      <c r="K374" s="417">
        <v>-10.987707</v>
      </c>
      <c r="L374" s="417">
        <v>-75.125541999999996</v>
      </c>
      <c r="M374" s="418">
        <v>30</v>
      </c>
      <c r="N374" s="418" t="s">
        <v>2310</v>
      </c>
      <c r="O374" s="418" t="s">
        <v>2411</v>
      </c>
      <c r="P374" s="415">
        <v>2</v>
      </c>
      <c r="Q374" s="415">
        <v>30</v>
      </c>
      <c r="R374" s="415">
        <v>5</v>
      </c>
      <c r="S374" s="415">
        <f t="shared" si="15"/>
        <v>5</v>
      </c>
      <c r="T374" s="419">
        <f t="shared" si="16"/>
        <v>0.83333333333333337</v>
      </c>
      <c r="U374" s="419">
        <f t="shared" si="17"/>
        <v>5.833333333333333</v>
      </c>
      <c r="V374" s="415" t="s">
        <v>662</v>
      </c>
      <c r="W374" s="415" t="s">
        <v>610</v>
      </c>
      <c r="X374" s="415" t="s">
        <v>673</v>
      </c>
      <c r="Y374" s="415"/>
    </row>
    <row r="375" spans="1:25" hidden="1" x14ac:dyDescent="0.25">
      <c r="A375" s="415">
        <v>374</v>
      </c>
      <c r="B375" s="415">
        <v>290</v>
      </c>
      <c r="C375" s="415">
        <v>230968</v>
      </c>
      <c r="D375" s="416" t="s">
        <v>1549</v>
      </c>
      <c r="E375" s="416" t="s">
        <v>512</v>
      </c>
      <c r="F375" s="416" t="s">
        <v>519</v>
      </c>
      <c r="G375" s="416" t="s">
        <v>1550</v>
      </c>
      <c r="H375" s="416" t="s">
        <v>1551</v>
      </c>
      <c r="I375" s="416" t="s">
        <v>1552</v>
      </c>
      <c r="J375" s="415" t="s">
        <v>661</v>
      </c>
      <c r="K375" s="417">
        <v>-10.774716</v>
      </c>
      <c r="L375" s="417">
        <v>-75.058434000000005</v>
      </c>
      <c r="M375" s="418">
        <v>30</v>
      </c>
      <c r="N375" s="418" t="s">
        <v>2310</v>
      </c>
      <c r="O375" s="418" t="s">
        <v>2411</v>
      </c>
      <c r="P375" s="415">
        <v>2</v>
      </c>
      <c r="Q375" s="415">
        <v>30</v>
      </c>
      <c r="R375" s="415">
        <v>5</v>
      </c>
      <c r="S375" s="415">
        <f t="shared" si="15"/>
        <v>5</v>
      </c>
      <c r="T375" s="419">
        <f t="shared" si="16"/>
        <v>0.83333333333333337</v>
      </c>
      <c r="U375" s="419">
        <f t="shared" si="17"/>
        <v>5.833333333333333</v>
      </c>
      <c r="V375" s="415" t="s">
        <v>662</v>
      </c>
      <c r="W375" s="415" t="s">
        <v>610</v>
      </c>
      <c r="X375" s="415" t="s">
        <v>673</v>
      </c>
      <c r="Y375" s="415"/>
    </row>
    <row r="376" spans="1:25" hidden="1" x14ac:dyDescent="0.25">
      <c r="A376" s="415">
        <v>375</v>
      </c>
      <c r="B376" s="415">
        <v>291</v>
      </c>
      <c r="C376" s="415">
        <v>231350</v>
      </c>
      <c r="D376" s="416" t="s">
        <v>2769</v>
      </c>
      <c r="E376" s="416" t="s">
        <v>512</v>
      </c>
      <c r="F376" s="416" t="s">
        <v>519</v>
      </c>
      <c r="G376" s="416" t="s">
        <v>1550</v>
      </c>
      <c r="H376" s="416" t="s">
        <v>2266</v>
      </c>
      <c r="I376" s="416" t="s">
        <v>2770</v>
      </c>
      <c r="J376" s="415" t="s">
        <v>661</v>
      </c>
      <c r="K376" s="417">
        <v>-10.860467999999999</v>
      </c>
      <c r="L376" s="417">
        <v>-75.059012999999993</v>
      </c>
      <c r="M376" s="418">
        <v>30</v>
      </c>
      <c r="N376" s="418" t="s">
        <v>2310</v>
      </c>
      <c r="O376" s="418" t="s">
        <v>2411</v>
      </c>
      <c r="P376" s="415">
        <v>2</v>
      </c>
      <c r="Q376" s="415">
        <v>30</v>
      </c>
      <c r="R376" s="415">
        <v>5</v>
      </c>
      <c r="S376" s="415">
        <f t="shared" si="15"/>
        <v>5</v>
      </c>
      <c r="T376" s="419">
        <f t="shared" si="16"/>
        <v>0.83333333333333337</v>
      </c>
      <c r="U376" s="419">
        <f t="shared" si="17"/>
        <v>5.833333333333333</v>
      </c>
      <c r="V376" s="415" t="s">
        <v>662</v>
      </c>
      <c r="W376" s="415" t="s">
        <v>610</v>
      </c>
      <c r="X376" s="415" t="s">
        <v>673</v>
      </c>
      <c r="Y376" s="415"/>
    </row>
    <row r="377" spans="1:25" hidden="1" x14ac:dyDescent="0.25">
      <c r="A377" s="415">
        <v>376</v>
      </c>
      <c r="B377" s="415">
        <v>292</v>
      </c>
      <c r="C377" s="415">
        <v>231656</v>
      </c>
      <c r="D377" s="416" t="s">
        <v>1562</v>
      </c>
      <c r="E377" s="416" t="s">
        <v>512</v>
      </c>
      <c r="F377" s="416" t="s">
        <v>519</v>
      </c>
      <c r="G377" s="416" t="s">
        <v>1550</v>
      </c>
      <c r="H377" s="416" t="s">
        <v>1563</v>
      </c>
      <c r="I377" s="416" t="s">
        <v>1563</v>
      </c>
      <c r="J377" s="415" t="s">
        <v>661</v>
      </c>
      <c r="K377" s="417">
        <v>-10.829370000000001</v>
      </c>
      <c r="L377" s="417">
        <v>-75.079583999999997</v>
      </c>
      <c r="M377" s="418">
        <v>30</v>
      </c>
      <c r="N377" s="418" t="s">
        <v>2310</v>
      </c>
      <c r="O377" s="418" t="s">
        <v>2411</v>
      </c>
      <c r="P377" s="415">
        <v>2</v>
      </c>
      <c r="Q377" s="415">
        <v>30</v>
      </c>
      <c r="R377" s="415">
        <v>5</v>
      </c>
      <c r="S377" s="415">
        <f t="shared" si="15"/>
        <v>5</v>
      </c>
      <c r="T377" s="419">
        <f t="shared" si="16"/>
        <v>0.83333333333333337</v>
      </c>
      <c r="U377" s="419">
        <f t="shared" si="17"/>
        <v>5.833333333333333</v>
      </c>
      <c r="V377" s="415" t="s">
        <v>662</v>
      </c>
      <c r="W377" s="415" t="s">
        <v>610</v>
      </c>
      <c r="X377" s="415" t="s">
        <v>673</v>
      </c>
      <c r="Y377" s="415"/>
    </row>
    <row r="378" spans="1:25" hidden="1" x14ac:dyDescent="0.25">
      <c r="A378" s="415">
        <v>377</v>
      </c>
      <c r="B378" s="415">
        <v>293</v>
      </c>
      <c r="C378" s="415">
        <v>231374</v>
      </c>
      <c r="D378" s="416" t="s">
        <v>1553</v>
      </c>
      <c r="E378" s="416" t="s">
        <v>512</v>
      </c>
      <c r="F378" s="416" t="s">
        <v>519</v>
      </c>
      <c r="G378" s="416" t="s">
        <v>1550</v>
      </c>
      <c r="H378" s="416" t="s">
        <v>1554</v>
      </c>
      <c r="I378" s="416" t="s">
        <v>1555</v>
      </c>
      <c r="J378" s="415" t="s">
        <v>661</v>
      </c>
      <c r="K378" s="417">
        <v>-10.957779</v>
      </c>
      <c r="L378" s="417">
        <v>-75.055957000000006</v>
      </c>
      <c r="M378" s="418">
        <v>30</v>
      </c>
      <c r="N378" s="418" t="s">
        <v>2310</v>
      </c>
      <c r="O378" s="418" t="s">
        <v>2411</v>
      </c>
      <c r="P378" s="415">
        <v>2</v>
      </c>
      <c r="Q378" s="415">
        <v>30</v>
      </c>
      <c r="R378" s="415">
        <v>5</v>
      </c>
      <c r="S378" s="415">
        <f t="shared" si="15"/>
        <v>5</v>
      </c>
      <c r="T378" s="419">
        <f t="shared" si="16"/>
        <v>0.83333333333333337</v>
      </c>
      <c r="U378" s="419">
        <f t="shared" si="17"/>
        <v>5.833333333333333</v>
      </c>
      <c r="V378" s="415" t="s">
        <v>662</v>
      </c>
      <c r="W378" s="415" t="s">
        <v>610</v>
      </c>
      <c r="X378" s="415" t="s">
        <v>673</v>
      </c>
      <c r="Y378" s="415"/>
    </row>
    <row r="379" spans="1:25" hidden="1" x14ac:dyDescent="0.25">
      <c r="A379" s="415">
        <v>378</v>
      </c>
      <c r="B379" s="415">
        <v>294</v>
      </c>
      <c r="C379" s="415">
        <v>647288</v>
      </c>
      <c r="D379" s="416" t="s">
        <v>2252</v>
      </c>
      <c r="E379" s="416" t="s">
        <v>512</v>
      </c>
      <c r="F379" s="416" t="s">
        <v>519</v>
      </c>
      <c r="G379" s="416" t="s">
        <v>1550</v>
      </c>
      <c r="H379" s="416" t="s">
        <v>2253</v>
      </c>
      <c r="I379" s="416" t="s">
        <v>2253</v>
      </c>
      <c r="J379" s="415" t="s">
        <v>661</v>
      </c>
      <c r="K379" s="417">
        <v>-10.9183</v>
      </c>
      <c r="L379" s="417">
        <v>-75.024900000000002</v>
      </c>
      <c r="M379" s="418">
        <v>30</v>
      </c>
      <c r="N379" s="418" t="s">
        <v>2310</v>
      </c>
      <c r="O379" s="418" t="s">
        <v>2411</v>
      </c>
      <c r="P379" s="415">
        <v>2</v>
      </c>
      <c r="Q379" s="415">
        <v>30</v>
      </c>
      <c r="R379" s="415">
        <v>5</v>
      </c>
      <c r="S379" s="415">
        <f t="shared" si="15"/>
        <v>5</v>
      </c>
      <c r="T379" s="419">
        <f t="shared" si="16"/>
        <v>0.83333333333333337</v>
      </c>
      <c r="U379" s="419">
        <f t="shared" si="17"/>
        <v>5.833333333333333</v>
      </c>
      <c r="V379" s="415" t="s">
        <v>662</v>
      </c>
      <c r="W379" s="415" t="s">
        <v>610</v>
      </c>
      <c r="X379" s="415" t="s">
        <v>673</v>
      </c>
      <c r="Y379" s="415"/>
    </row>
    <row r="380" spans="1:25" hidden="1" x14ac:dyDescent="0.25">
      <c r="A380" s="415">
        <v>379</v>
      </c>
      <c r="B380" s="415">
        <v>295</v>
      </c>
      <c r="C380" s="415">
        <v>611251</v>
      </c>
      <c r="D380" s="416" t="s">
        <v>2771</v>
      </c>
      <c r="E380" s="416" t="s">
        <v>512</v>
      </c>
      <c r="F380" s="416" t="s">
        <v>519</v>
      </c>
      <c r="G380" s="416" t="s">
        <v>1550</v>
      </c>
      <c r="H380" s="416" t="s">
        <v>667</v>
      </c>
      <c r="I380" s="416" t="s">
        <v>2772</v>
      </c>
      <c r="J380" s="415" t="s">
        <v>747</v>
      </c>
      <c r="K380" s="417">
        <v>-10.919879999999999</v>
      </c>
      <c r="L380" s="417">
        <v>-74.873819999999995</v>
      </c>
      <c r="M380" s="418">
        <v>30</v>
      </c>
      <c r="N380" s="418" t="s">
        <v>2310</v>
      </c>
      <c r="O380" s="418" t="s">
        <v>2411</v>
      </c>
      <c r="P380" s="415">
        <v>2</v>
      </c>
      <c r="Q380" s="415">
        <v>30</v>
      </c>
      <c r="R380" s="415">
        <v>5</v>
      </c>
      <c r="S380" s="415">
        <f t="shared" si="15"/>
        <v>5</v>
      </c>
      <c r="T380" s="419">
        <f t="shared" si="16"/>
        <v>0.83333333333333337</v>
      </c>
      <c r="U380" s="419">
        <f t="shared" si="17"/>
        <v>5.833333333333333</v>
      </c>
      <c r="V380" s="415" t="s">
        <v>662</v>
      </c>
      <c r="W380" s="415" t="s">
        <v>610</v>
      </c>
      <c r="X380" s="415" t="s">
        <v>673</v>
      </c>
      <c r="Y380" s="415"/>
    </row>
    <row r="381" spans="1:25" hidden="1" x14ac:dyDescent="0.25">
      <c r="A381" s="415">
        <v>380</v>
      </c>
      <c r="B381" s="415">
        <v>296</v>
      </c>
      <c r="C381" s="415">
        <v>232335</v>
      </c>
      <c r="D381" s="416" t="s">
        <v>1569</v>
      </c>
      <c r="E381" s="416" t="s">
        <v>512</v>
      </c>
      <c r="F381" s="416" t="s">
        <v>519</v>
      </c>
      <c r="G381" s="416" t="s">
        <v>1550</v>
      </c>
      <c r="H381" s="416" t="s">
        <v>1570</v>
      </c>
      <c r="I381" s="416" t="s">
        <v>1570</v>
      </c>
      <c r="J381" s="415" t="s">
        <v>661</v>
      </c>
      <c r="K381" s="417">
        <v>-10.797312</v>
      </c>
      <c r="L381" s="417">
        <v>-74.939214000000007</v>
      </c>
      <c r="M381" s="418">
        <v>30</v>
      </c>
      <c r="N381" s="418" t="s">
        <v>2310</v>
      </c>
      <c r="O381" s="418" t="s">
        <v>2411</v>
      </c>
      <c r="P381" s="415">
        <v>2</v>
      </c>
      <c r="Q381" s="415">
        <v>30</v>
      </c>
      <c r="R381" s="415">
        <v>5</v>
      </c>
      <c r="S381" s="415">
        <f t="shared" si="15"/>
        <v>5</v>
      </c>
      <c r="T381" s="419">
        <f t="shared" si="16"/>
        <v>0.83333333333333337</v>
      </c>
      <c r="U381" s="419">
        <f t="shared" si="17"/>
        <v>5.833333333333333</v>
      </c>
      <c r="V381" s="415" t="s">
        <v>662</v>
      </c>
      <c r="W381" s="415" t="s">
        <v>610</v>
      </c>
      <c r="X381" s="415" t="s">
        <v>673</v>
      </c>
      <c r="Y381" s="415"/>
    </row>
    <row r="382" spans="1:25" hidden="1" x14ac:dyDescent="0.25">
      <c r="A382" s="415">
        <v>381</v>
      </c>
      <c r="B382" s="415">
        <v>297</v>
      </c>
      <c r="C382" s="415">
        <v>231821</v>
      </c>
      <c r="D382" s="416" t="s">
        <v>1565</v>
      </c>
      <c r="E382" s="416" t="s">
        <v>512</v>
      </c>
      <c r="F382" s="416" t="s">
        <v>519</v>
      </c>
      <c r="G382" s="416" t="s">
        <v>1550</v>
      </c>
      <c r="H382" s="416" t="s">
        <v>1566</v>
      </c>
      <c r="I382" s="416" t="s">
        <v>1566</v>
      </c>
      <c r="J382" s="415" t="s">
        <v>661</v>
      </c>
      <c r="K382" s="417">
        <v>-10.920365</v>
      </c>
      <c r="L382" s="417">
        <v>-75.253073999999998</v>
      </c>
      <c r="M382" s="418">
        <v>30</v>
      </c>
      <c r="N382" s="418" t="s">
        <v>2310</v>
      </c>
      <c r="O382" s="418" t="s">
        <v>2411</v>
      </c>
      <c r="P382" s="415">
        <v>2</v>
      </c>
      <c r="Q382" s="415">
        <v>30</v>
      </c>
      <c r="R382" s="415">
        <v>5</v>
      </c>
      <c r="S382" s="415">
        <f t="shared" si="15"/>
        <v>5</v>
      </c>
      <c r="T382" s="419">
        <f t="shared" si="16"/>
        <v>0.83333333333333337</v>
      </c>
      <c r="U382" s="419">
        <f t="shared" si="17"/>
        <v>5.833333333333333</v>
      </c>
      <c r="V382" s="415" t="s">
        <v>662</v>
      </c>
      <c r="W382" s="415" t="s">
        <v>610</v>
      </c>
      <c r="X382" s="415" t="s">
        <v>673</v>
      </c>
      <c r="Y382" s="415"/>
    </row>
    <row r="383" spans="1:25" hidden="1" x14ac:dyDescent="0.25">
      <c r="A383" s="415">
        <v>382</v>
      </c>
      <c r="B383" s="415">
        <v>298</v>
      </c>
      <c r="C383" s="415">
        <v>234141</v>
      </c>
      <c r="D383" s="416" t="s">
        <v>1574</v>
      </c>
      <c r="E383" s="416" t="s">
        <v>512</v>
      </c>
      <c r="F383" s="416" t="s">
        <v>519</v>
      </c>
      <c r="G383" s="416" t="s">
        <v>1550</v>
      </c>
      <c r="H383" s="416" t="s">
        <v>1575</v>
      </c>
      <c r="I383" s="416" t="s">
        <v>1576</v>
      </c>
      <c r="J383" s="415" t="s">
        <v>661</v>
      </c>
      <c r="K383" s="417">
        <v>-10.883609</v>
      </c>
      <c r="L383" s="417">
        <v>-75.203201000000007</v>
      </c>
      <c r="M383" s="418">
        <v>30</v>
      </c>
      <c r="N383" s="418" t="s">
        <v>2310</v>
      </c>
      <c r="O383" s="418" t="s">
        <v>2411</v>
      </c>
      <c r="P383" s="415">
        <v>2</v>
      </c>
      <c r="Q383" s="415">
        <v>30</v>
      </c>
      <c r="R383" s="415">
        <v>5</v>
      </c>
      <c r="S383" s="415">
        <f t="shared" si="15"/>
        <v>5</v>
      </c>
      <c r="T383" s="419">
        <f t="shared" si="16"/>
        <v>0.83333333333333337</v>
      </c>
      <c r="U383" s="419">
        <f t="shared" si="17"/>
        <v>5.833333333333333</v>
      </c>
      <c r="V383" s="415" t="s">
        <v>662</v>
      </c>
      <c r="W383" s="415" t="s">
        <v>610</v>
      </c>
      <c r="X383" s="415" t="s">
        <v>673</v>
      </c>
      <c r="Y383" s="415"/>
    </row>
    <row r="384" spans="1:25" hidden="1" x14ac:dyDescent="0.25">
      <c r="A384" s="415">
        <v>383</v>
      </c>
      <c r="B384" s="415">
        <v>299</v>
      </c>
      <c r="C384" s="415">
        <v>231388</v>
      </c>
      <c r="D384" s="416" t="s">
        <v>1556</v>
      </c>
      <c r="E384" s="416" t="s">
        <v>512</v>
      </c>
      <c r="F384" s="416" t="s">
        <v>519</v>
      </c>
      <c r="G384" s="416" t="s">
        <v>1550</v>
      </c>
      <c r="H384" s="416" t="s">
        <v>1557</v>
      </c>
      <c r="I384" s="416" t="s">
        <v>1557</v>
      </c>
      <c r="J384" s="415" t="s">
        <v>661</v>
      </c>
      <c r="K384" s="417">
        <v>-10.957397</v>
      </c>
      <c r="L384" s="417">
        <v>-75.034696999999994</v>
      </c>
      <c r="M384" s="418">
        <v>30</v>
      </c>
      <c r="N384" s="418" t="s">
        <v>2310</v>
      </c>
      <c r="O384" s="418" t="s">
        <v>2411</v>
      </c>
      <c r="P384" s="415">
        <v>2</v>
      </c>
      <c r="Q384" s="415">
        <v>30</v>
      </c>
      <c r="R384" s="415">
        <v>5</v>
      </c>
      <c r="S384" s="415">
        <f t="shared" si="15"/>
        <v>5</v>
      </c>
      <c r="T384" s="419">
        <f t="shared" si="16"/>
        <v>0.83333333333333337</v>
      </c>
      <c r="U384" s="419">
        <f t="shared" si="17"/>
        <v>5.833333333333333</v>
      </c>
      <c r="V384" s="415" t="s">
        <v>662</v>
      </c>
      <c r="W384" s="415" t="s">
        <v>610</v>
      </c>
      <c r="X384" s="415" t="s">
        <v>673</v>
      </c>
      <c r="Y384" s="415"/>
    </row>
    <row r="385" spans="1:25" hidden="1" x14ac:dyDescent="0.25">
      <c r="A385" s="415">
        <v>384</v>
      </c>
      <c r="B385" s="415">
        <v>300</v>
      </c>
      <c r="C385" s="415">
        <v>232236</v>
      </c>
      <c r="D385" s="416" t="s">
        <v>1567</v>
      </c>
      <c r="E385" s="416" t="s">
        <v>512</v>
      </c>
      <c r="F385" s="416" t="s">
        <v>519</v>
      </c>
      <c r="G385" s="416" t="s">
        <v>1550</v>
      </c>
      <c r="H385" s="416" t="s">
        <v>1568</v>
      </c>
      <c r="I385" s="416" t="s">
        <v>1568</v>
      </c>
      <c r="J385" s="415" t="s">
        <v>661</v>
      </c>
      <c r="K385" s="417">
        <v>-10.783116</v>
      </c>
      <c r="L385" s="417">
        <v>-74.957302999999996</v>
      </c>
      <c r="M385" s="418">
        <v>30</v>
      </c>
      <c r="N385" s="418" t="s">
        <v>2310</v>
      </c>
      <c r="O385" s="418" t="s">
        <v>2411</v>
      </c>
      <c r="P385" s="415">
        <v>2</v>
      </c>
      <c r="Q385" s="415">
        <v>30</v>
      </c>
      <c r="R385" s="415">
        <v>5</v>
      </c>
      <c r="S385" s="415">
        <f t="shared" si="15"/>
        <v>5</v>
      </c>
      <c r="T385" s="419">
        <f t="shared" si="16"/>
        <v>0.83333333333333337</v>
      </c>
      <c r="U385" s="419">
        <f t="shared" si="17"/>
        <v>5.833333333333333</v>
      </c>
      <c r="V385" s="415" t="s">
        <v>662</v>
      </c>
      <c r="W385" s="415" t="s">
        <v>610</v>
      </c>
      <c r="X385" s="415" t="s">
        <v>673</v>
      </c>
      <c r="Y385" s="415"/>
    </row>
    <row r="386" spans="1:25" hidden="1" x14ac:dyDescent="0.25">
      <c r="A386" s="415">
        <v>385</v>
      </c>
      <c r="B386" s="415">
        <v>301</v>
      </c>
      <c r="C386" s="415">
        <v>233957</v>
      </c>
      <c r="D386" s="416" t="s">
        <v>2773</v>
      </c>
      <c r="E386" s="416" t="s">
        <v>512</v>
      </c>
      <c r="F386" s="416" t="s">
        <v>519</v>
      </c>
      <c r="G386" s="416" t="s">
        <v>1571</v>
      </c>
      <c r="H386" s="416" t="s">
        <v>2774</v>
      </c>
      <c r="I386" s="416" t="s">
        <v>860</v>
      </c>
      <c r="J386" s="415" t="s">
        <v>661</v>
      </c>
      <c r="K386" s="417">
        <v>-10.909599999999999</v>
      </c>
      <c r="L386" s="417">
        <v>-75.292699999999996</v>
      </c>
      <c r="M386" s="418">
        <v>30</v>
      </c>
      <c r="N386" s="418" t="s">
        <v>2310</v>
      </c>
      <c r="O386" s="418" t="s">
        <v>2411</v>
      </c>
      <c r="P386" s="415">
        <v>2</v>
      </c>
      <c r="Q386" s="415">
        <v>30</v>
      </c>
      <c r="R386" s="415">
        <v>5</v>
      </c>
      <c r="S386" s="415">
        <f t="shared" si="15"/>
        <v>5</v>
      </c>
      <c r="T386" s="419">
        <f t="shared" si="16"/>
        <v>0.83333333333333337</v>
      </c>
      <c r="U386" s="419">
        <f t="shared" si="17"/>
        <v>5.833333333333333</v>
      </c>
      <c r="V386" s="415" t="s">
        <v>662</v>
      </c>
      <c r="W386" s="415" t="s">
        <v>610</v>
      </c>
      <c r="X386" s="415" t="s">
        <v>673</v>
      </c>
      <c r="Y386" s="415"/>
    </row>
    <row r="387" spans="1:25" hidden="1" x14ac:dyDescent="0.25">
      <c r="A387" s="415">
        <v>386</v>
      </c>
      <c r="B387" s="415">
        <v>302</v>
      </c>
      <c r="C387" s="415">
        <v>234075</v>
      </c>
      <c r="D387" s="416" t="s">
        <v>1572</v>
      </c>
      <c r="E387" s="416" t="s">
        <v>512</v>
      </c>
      <c r="F387" s="416" t="s">
        <v>519</v>
      </c>
      <c r="G387" s="416" t="s">
        <v>1571</v>
      </c>
      <c r="H387" s="416" t="s">
        <v>1573</v>
      </c>
      <c r="I387" s="416" t="s">
        <v>860</v>
      </c>
      <c r="J387" s="415" t="s">
        <v>661</v>
      </c>
      <c r="K387" s="417">
        <v>-10.854366000000001</v>
      </c>
      <c r="L387" s="417">
        <v>-75.250349</v>
      </c>
      <c r="M387" s="418">
        <v>30</v>
      </c>
      <c r="N387" s="418" t="s">
        <v>2310</v>
      </c>
      <c r="O387" s="418" t="s">
        <v>2411</v>
      </c>
      <c r="P387" s="415">
        <v>2</v>
      </c>
      <c r="Q387" s="415">
        <v>30</v>
      </c>
      <c r="R387" s="415">
        <v>5</v>
      </c>
      <c r="S387" s="415">
        <f t="shared" ref="S387:S450" si="18">Q387/$AB$1</f>
        <v>5</v>
      </c>
      <c r="T387" s="419">
        <f t="shared" ref="T387:T450" si="19">R387/$AB$1</f>
        <v>0.83333333333333337</v>
      </c>
      <c r="U387" s="419">
        <f t="shared" ref="U387:U450" si="20">S387+T387</f>
        <v>5.833333333333333</v>
      </c>
      <c r="V387" s="415" t="s">
        <v>662</v>
      </c>
      <c r="W387" s="415" t="s">
        <v>610</v>
      </c>
      <c r="X387" s="415" t="s">
        <v>673</v>
      </c>
      <c r="Y387" s="415"/>
    </row>
    <row r="388" spans="1:25" hidden="1" x14ac:dyDescent="0.25">
      <c r="A388" s="415">
        <v>387</v>
      </c>
      <c r="B388" s="415">
        <v>303</v>
      </c>
      <c r="C388" s="415">
        <v>234933</v>
      </c>
      <c r="D388" s="416" t="s">
        <v>2775</v>
      </c>
      <c r="E388" s="416" t="s">
        <v>512</v>
      </c>
      <c r="F388" s="416" t="s">
        <v>519</v>
      </c>
      <c r="G388" s="416" t="s">
        <v>2776</v>
      </c>
      <c r="H388" s="416" t="s">
        <v>949</v>
      </c>
      <c r="I388" s="416" t="s">
        <v>2777</v>
      </c>
      <c r="J388" s="415" t="s">
        <v>661</v>
      </c>
      <c r="K388" s="417">
        <v>-11.208639</v>
      </c>
      <c r="L388" s="417">
        <v>-75.333928</v>
      </c>
      <c r="M388" s="418">
        <v>30</v>
      </c>
      <c r="N388" s="418" t="s">
        <v>2310</v>
      </c>
      <c r="O388" s="418" t="s">
        <v>2411</v>
      </c>
      <c r="P388" s="415">
        <v>2</v>
      </c>
      <c r="Q388" s="415">
        <v>30</v>
      </c>
      <c r="R388" s="415">
        <v>5</v>
      </c>
      <c r="S388" s="415">
        <f t="shared" si="18"/>
        <v>5</v>
      </c>
      <c r="T388" s="419">
        <f t="shared" si="19"/>
        <v>0.83333333333333337</v>
      </c>
      <c r="U388" s="419">
        <f t="shared" si="20"/>
        <v>5.833333333333333</v>
      </c>
      <c r="V388" s="415" t="s">
        <v>662</v>
      </c>
      <c r="W388" s="415" t="s">
        <v>610</v>
      </c>
      <c r="X388" s="415" t="s">
        <v>673</v>
      </c>
      <c r="Y388" s="415"/>
    </row>
    <row r="389" spans="1:25" hidden="1" x14ac:dyDescent="0.25">
      <c r="A389" s="415">
        <v>388</v>
      </c>
      <c r="B389" s="415">
        <v>304</v>
      </c>
      <c r="C389" s="415">
        <v>249449</v>
      </c>
      <c r="D389" s="416" t="s">
        <v>2778</v>
      </c>
      <c r="E389" s="416" t="s">
        <v>512</v>
      </c>
      <c r="F389" s="416" t="s">
        <v>514</v>
      </c>
      <c r="G389" s="416" t="s">
        <v>1882</v>
      </c>
      <c r="H389" s="416" t="s">
        <v>2779</v>
      </c>
      <c r="I389" s="416" t="s">
        <v>2780</v>
      </c>
      <c r="J389" s="415" t="s">
        <v>661</v>
      </c>
      <c r="K389" s="417">
        <v>-12.162599999999999</v>
      </c>
      <c r="L389" s="417">
        <v>-75.382199999999997</v>
      </c>
      <c r="M389" s="418">
        <v>30</v>
      </c>
      <c r="N389" s="418" t="s">
        <v>2310</v>
      </c>
      <c r="O389" s="418" t="s">
        <v>2411</v>
      </c>
      <c r="P389" s="415">
        <v>2</v>
      </c>
      <c r="Q389" s="415">
        <v>30</v>
      </c>
      <c r="R389" s="415">
        <v>5</v>
      </c>
      <c r="S389" s="415">
        <f t="shared" si="18"/>
        <v>5</v>
      </c>
      <c r="T389" s="419">
        <f t="shared" si="19"/>
        <v>0.83333333333333337</v>
      </c>
      <c r="U389" s="419">
        <f t="shared" si="20"/>
        <v>5.833333333333333</v>
      </c>
      <c r="V389" s="415" t="s">
        <v>662</v>
      </c>
      <c r="W389" s="415" t="s">
        <v>612</v>
      </c>
      <c r="X389" s="415" t="s">
        <v>671</v>
      </c>
      <c r="Y389" s="415"/>
    </row>
    <row r="390" spans="1:25" hidden="1" x14ac:dyDescent="0.25">
      <c r="A390" s="415">
        <v>389</v>
      </c>
      <c r="B390" s="415">
        <v>305</v>
      </c>
      <c r="C390" s="415">
        <v>227975</v>
      </c>
      <c r="D390" s="416" t="s">
        <v>1534</v>
      </c>
      <c r="E390" s="416" t="s">
        <v>512</v>
      </c>
      <c r="F390" s="416" t="s">
        <v>515</v>
      </c>
      <c r="G390" s="416" t="s">
        <v>1531</v>
      </c>
      <c r="H390" s="416" t="s">
        <v>496</v>
      </c>
      <c r="I390" s="416" t="s">
        <v>860</v>
      </c>
      <c r="J390" s="415" t="s">
        <v>661</v>
      </c>
      <c r="K390" s="417">
        <v>-11.562099999999999</v>
      </c>
      <c r="L390" s="417">
        <v>-74.886700000000005</v>
      </c>
      <c r="M390" s="418">
        <v>30</v>
      </c>
      <c r="N390" s="418" t="s">
        <v>2310</v>
      </c>
      <c r="O390" s="418" t="s">
        <v>2411</v>
      </c>
      <c r="P390" s="415">
        <v>2</v>
      </c>
      <c r="Q390" s="415">
        <v>30</v>
      </c>
      <c r="R390" s="415">
        <v>5</v>
      </c>
      <c r="S390" s="415">
        <f t="shared" si="18"/>
        <v>5</v>
      </c>
      <c r="T390" s="419">
        <f t="shared" si="19"/>
        <v>0.83333333333333337</v>
      </c>
      <c r="U390" s="419">
        <f t="shared" si="20"/>
        <v>5.833333333333333</v>
      </c>
      <c r="V390" s="415" t="s">
        <v>662</v>
      </c>
      <c r="W390" s="415" t="s">
        <v>612</v>
      </c>
      <c r="X390" s="415" t="s">
        <v>671</v>
      </c>
      <c r="Y390" s="415"/>
    </row>
    <row r="391" spans="1:25" hidden="1" x14ac:dyDescent="0.25">
      <c r="A391" s="415">
        <v>390</v>
      </c>
      <c r="B391" s="415">
        <v>306</v>
      </c>
      <c r="C391" s="415">
        <v>227904</v>
      </c>
      <c r="D391" s="416" t="s">
        <v>1532</v>
      </c>
      <c r="E391" s="416" t="s">
        <v>512</v>
      </c>
      <c r="F391" s="416" t="s">
        <v>515</v>
      </c>
      <c r="G391" s="416" t="s">
        <v>1531</v>
      </c>
      <c r="H391" s="416" t="s">
        <v>1533</v>
      </c>
      <c r="I391" s="416" t="s">
        <v>860</v>
      </c>
      <c r="J391" s="415" t="s">
        <v>661</v>
      </c>
      <c r="K391" s="417">
        <v>-11.646946</v>
      </c>
      <c r="L391" s="417">
        <v>-74.825237000000001</v>
      </c>
      <c r="M391" s="418">
        <v>30</v>
      </c>
      <c r="N391" s="418" t="s">
        <v>2310</v>
      </c>
      <c r="O391" s="418" t="s">
        <v>2411</v>
      </c>
      <c r="P391" s="415">
        <v>2</v>
      </c>
      <c r="Q391" s="415">
        <v>30</v>
      </c>
      <c r="R391" s="415">
        <v>5</v>
      </c>
      <c r="S391" s="415">
        <f t="shared" si="18"/>
        <v>5</v>
      </c>
      <c r="T391" s="419">
        <f t="shared" si="19"/>
        <v>0.83333333333333337</v>
      </c>
      <c r="U391" s="419">
        <f t="shared" si="20"/>
        <v>5.833333333333333</v>
      </c>
      <c r="V391" s="415" t="s">
        <v>662</v>
      </c>
      <c r="W391" s="415" t="s">
        <v>612</v>
      </c>
      <c r="X391" s="415" t="s">
        <v>671</v>
      </c>
      <c r="Y391" s="415"/>
    </row>
    <row r="392" spans="1:25" hidden="1" x14ac:dyDescent="0.25">
      <c r="A392" s="415">
        <v>391</v>
      </c>
      <c r="B392" s="415">
        <v>307</v>
      </c>
      <c r="C392" s="415">
        <v>228381</v>
      </c>
      <c r="D392" s="416" t="s">
        <v>2781</v>
      </c>
      <c r="E392" s="416" t="s">
        <v>512</v>
      </c>
      <c r="F392" s="416" t="s">
        <v>515</v>
      </c>
      <c r="G392" s="416" t="s">
        <v>2782</v>
      </c>
      <c r="H392" s="416" t="s">
        <v>2783</v>
      </c>
      <c r="I392" s="416" t="s">
        <v>2784</v>
      </c>
      <c r="J392" s="415" t="s">
        <v>661</v>
      </c>
      <c r="K392" s="417">
        <v>-12.025499999999999</v>
      </c>
      <c r="L392" s="417">
        <v>-75.421400000000006</v>
      </c>
      <c r="M392" s="418">
        <v>30</v>
      </c>
      <c r="N392" s="418" t="s">
        <v>2310</v>
      </c>
      <c r="O392" s="418" t="s">
        <v>2411</v>
      </c>
      <c r="P392" s="415">
        <v>2</v>
      </c>
      <c r="Q392" s="415">
        <v>30</v>
      </c>
      <c r="R392" s="415">
        <v>5</v>
      </c>
      <c r="S392" s="415">
        <f t="shared" si="18"/>
        <v>5</v>
      </c>
      <c r="T392" s="419">
        <f t="shared" si="19"/>
        <v>0.83333333333333337</v>
      </c>
      <c r="U392" s="419">
        <f t="shared" si="20"/>
        <v>5.833333333333333</v>
      </c>
      <c r="V392" s="415" t="s">
        <v>662</v>
      </c>
      <c r="W392" s="415" t="s">
        <v>612</v>
      </c>
      <c r="X392" s="415" t="s">
        <v>671</v>
      </c>
      <c r="Y392" s="415"/>
    </row>
    <row r="393" spans="1:25" hidden="1" x14ac:dyDescent="0.25">
      <c r="A393" s="415">
        <v>392</v>
      </c>
      <c r="B393" s="415">
        <v>308</v>
      </c>
      <c r="C393" s="415">
        <v>228362</v>
      </c>
      <c r="D393" s="416" t="s">
        <v>2785</v>
      </c>
      <c r="E393" s="416" t="s">
        <v>512</v>
      </c>
      <c r="F393" s="416" t="s">
        <v>515</v>
      </c>
      <c r="G393" s="416" t="s">
        <v>2782</v>
      </c>
      <c r="H393" s="416" t="s">
        <v>2786</v>
      </c>
      <c r="I393" s="416" t="s">
        <v>2787</v>
      </c>
      <c r="J393" s="415" t="s">
        <v>661</v>
      </c>
      <c r="K393" s="417">
        <v>-12.027699999999999</v>
      </c>
      <c r="L393" s="417">
        <v>-75.404600000000002</v>
      </c>
      <c r="M393" s="418">
        <v>30</v>
      </c>
      <c r="N393" s="418" t="s">
        <v>2310</v>
      </c>
      <c r="O393" s="418" t="s">
        <v>2411</v>
      </c>
      <c r="P393" s="415">
        <v>2</v>
      </c>
      <c r="Q393" s="415">
        <v>30</v>
      </c>
      <c r="R393" s="415">
        <v>5</v>
      </c>
      <c r="S393" s="415">
        <f t="shared" si="18"/>
        <v>5</v>
      </c>
      <c r="T393" s="419">
        <f t="shared" si="19"/>
        <v>0.83333333333333337</v>
      </c>
      <c r="U393" s="419">
        <f t="shared" si="20"/>
        <v>5.833333333333333</v>
      </c>
      <c r="V393" s="415" t="s">
        <v>662</v>
      </c>
      <c r="W393" s="415" t="s">
        <v>612</v>
      </c>
      <c r="X393" s="415" t="s">
        <v>671</v>
      </c>
      <c r="Y393" s="415"/>
    </row>
    <row r="394" spans="1:25" hidden="1" x14ac:dyDescent="0.25">
      <c r="A394" s="415">
        <v>393</v>
      </c>
      <c r="B394" s="415">
        <v>309</v>
      </c>
      <c r="C394" s="415">
        <v>228951</v>
      </c>
      <c r="D394" s="416" t="s">
        <v>1542</v>
      </c>
      <c r="E394" s="416" t="s">
        <v>512</v>
      </c>
      <c r="F394" s="416" t="s">
        <v>515</v>
      </c>
      <c r="G394" s="416" t="s">
        <v>1535</v>
      </c>
      <c r="H394" s="416" t="s">
        <v>1543</v>
      </c>
      <c r="I394" s="416" t="s">
        <v>860</v>
      </c>
      <c r="J394" s="415" t="s">
        <v>661</v>
      </c>
      <c r="K394" s="417">
        <v>-11.8804</v>
      </c>
      <c r="L394" s="417">
        <v>-74.977699999999999</v>
      </c>
      <c r="M394" s="418">
        <v>30</v>
      </c>
      <c r="N394" s="418" t="s">
        <v>2310</v>
      </c>
      <c r="O394" s="418" t="s">
        <v>2411</v>
      </c>
      <c r="P394" s="415">
        <v>2</v>
      </c>
      <c r="Q394" s="415">
        <v>30</v>
      </c>
      <c r="R394" s="415">
        <v>5</v>
      </c>
      <c r="S394" s="415">
        <f t="shared" si="18"/>
        <v>5</v>
      </c>
      <c r="T394" s="419">
        <f t="shared" si="19"/>
        <v>0.83333333333333337</v>
      </c>
      <c r="U394" s="419">
        <f t="shared" si="20"/>
        <v>5.833333333333333</v>
      </c>
      <c r="V394" s="415" t="s">
        <v>662</v>
      </c>
      <c r="W394" s="415" t="s">
        <v>612</v>
      </c>
      <c r="X394" s="415" t="s">
        <v>671</v>
      </c>
      <c r="Y394" s="415"/>
    </row>
    <row r="395" spans="1:25" hidden="1" x14ac:dyDescent="0.25">
      <c r="A395" s="415">
        <v>394</v>
      </c>
      <c r="B395" s="415">
        <v>310</v>
      </c>
      <c r="C395" s="415">
        <v>228927</v>
      </c>
      <c r="D395" s="416" t="s">
        <v>1539</v>
      </c>
      <c r="E395" s="416" t="s">
        <v>512</v>
      </c>
      <c r="F395" s="416" t="s">
        <v>515</v>
      </c>
      <c r="G395" s="416" t="s">
        <v>1535</v>
      </c>
      <c r="H395" s="416" t="s">
        <v>1540</v>
      </c>
      <c r="I395" s="416" t="s">
        <v>1541</v>
      </c>
      <c r="J395" s="415" t="s">
        <v>661</v>
      </c>
      <c r="K395" s="417">
        <v>-11.646952000000001</v>
      </c>
      <c r="L395" s="417">
        <v>-74.965063000000001</v>
      </c>
      <c r="M395" s="418">
        <v>30</v>
      </c>
      <c r="N395" s="418" t="s">
        <v>2310</v>
      </c>
      <c r="O395" s="418" t="s">
        <v>2411</v>
      </c>
      <c r="P395" s="415">
        <v>2</v>
      </c>
      <c r="Q395" s="415">
        <v>30</v>
      </c>
      <c r="R395" s="415">
        <v>5</v>
      </c>
      <c r="S395" s="415">
        <f t="shared" si="18"/>
        <v>5</v>
      </c>
      <c r="T395" s="419">
        <f t="shared" si="19"/>
        <v>0.83333333333333337</v>
      </c>
      <c r="U395" s="419">
        <f t="shared" si="20"/>
        <v>5.833333333333333</v>
      </c>
      <c r="V395" s="415" t="s">
        <v>662</v>
      </c>
      <c r="W395" s="415" t="s">
        <v>612</v>
      </c>
      <c r="X395" s="415" t="s">
        <v>671</v>
      </c>
      <c r="Y395" s="415"/>
    </row>
    <row r="396" spans="1:25" hidden="1" x14ac:dyDescent="0.25">
      <c r="A396" s="415">
        <v>395</v>
      </c>
      <c r="B396" s="415">
        <v>311</v>
      </c>
      <c r="C396" s="415">
        <v>228767</v>
      </c>
      <c r="D396" s="416" t="s">
        <v>1536</v>
      </c>
      <c r="E396" s="416" t="s">
        <v>512</v>
      </c>
      <c r="F396" s="416" t="s">
        <v>515</v>
      </c>
      <c r="G396" s="416" t="s">
        <v>1535</v>
      </c>
      <c r="H396" s="416" t="s">
        <v>1537</v>
      </c>
      <c r="I396" s="416" t="s">
        <v>1538</v>
      </c>
      <c r="J396" s="415" t="s">
        <v>661</v>
      </c>
      <c r="K396" s="417">
        <v>-11.7485</v>
      </c>
      <c r="L396" s="417">
        <v>-75.130700000000004</v>
      </c>
      <c r="M396" s="418">
        <v>30</v>
      </c>
      <c r="N396" s="418" t="s">
        <v>2310</v>
      </c>
      <c r="O396" s="418" t="s">
        <v>2411</v>
      </c>
      <c r="P396" s="415">
        <v>2</v>
      </c>
      <c r="Q396" s="415">
        <v>30</v>
      </c>
      <c r="R396" s="415">
        <v>5</v>
      </c>
      <c r="S396" s="415">
        <f t="shared" si="18"/>
        <v>5</v>
      </c>
      <c r="T396" s="419">
        <f t="shared" si="19"/>
        <v>0.83333333333333337</v>
      </c>
      <c r="U396" s="419">
        <f t="shared" si="20"/>
        <v>5.833333333333333</v>
      </c>
      <c r="V396" s="415" t="s">
        <v>662</v>
      </c>
      <c r="W396" s="415" t="s">
        <v>612</v>
      </c>
      <c r="X396" s="415" t="s">
        <v>671</v>
      </c>
      <c r="Y396" s="415"/>
    </row>
    <row r="397" spans="1:25" hidden="1" x14ac:dyDescent="0.25">
      <c r="A397" s="415">
        <v>396</v>
      </c>
      <c r="B397" s="415">
        <v>312</v>
      </c>
      <c r="C397" s="415">
        <v>228588</v>
      </c>
      <c r="D397" s="416" t="s">
        <v>2788</v>
      </c>
      <c r="E397" s="416" t="s">
        <v>512</v>
      </c>
      <c r="F397" s="416" t="s">
        <v>515</v>
      </c>
      <c r="G397" s="416" t="s">
        <v>1535</v>
      </c>
      <c r="H397" s="416" t="s">
        <v>2789</v>
      </c>
      <c r="I397" s="416" t="s">
        <v>915</v>
      </c>
      <c r="J397" s="415" t="s">
        <v>661</v>
      </c>
      <c r="K397" s="417">
        <v>-11.6997</v>
      </c>
      <c r="L397" s="417">
        <v>-75.099199999999996</v>
      </c>
      <c r="M397" s="418">
        <v>30</v>
      </c>
      <c r="N397" s="418" t="s">
        <v>2310</v>
      </c>
      <c r="O397" s="418" t="s">
        <v>2411</v>
      </c>
      <c r="P397" s="415">
        <v>2</v>
      </c>
      <c r="Q397" s="415">
        <v>30</v>
      </c>
      <c r="R397" s="415">
        <v>5</v>
      </c>
      <c r="S397" s="415">
        <f t="shared" si="18"/>
        <v>5</v>
      </c>
      <c r="T397" s="419">
        <f t="shared" si="19"/>
        <v>0.83333333333333337</v>
      </c>
      <c r="U397" s="419">
        <f t="shared" si="20"/>
        <v>5.833333333333333</v>
      </c>
      <c r="V397" s="415" t="s">
        <v>662</v>
      </c>
      <c r="W397" s="415" t="s">
        <v>612</v>
      </c>
      <c r="X397" s="415" t="s">
        <v>671</v>
      </c>
      <c r="Y397" s="415"/>
    </row>
    <row r="398" spans="1:25" hidden="1" x14ac:dyDescent="0.25">
      <c r="A398" s="415">
        <v>397</v>
      </c>
      <c r="B398" s="415">
        <v>313</v>
      </c>
      <c r="C398" s="415">
        <v>229291</v>
      </c>
      <c r="D398" s="416" t="s">
        <v>2790</v>
      </c>
      <c r="E398" s="416" t="s">
        <v>512</v>
      </c>
      <c r="F398" s="416" t="s">
        <v>515</v>
      </c>
      <c r="G398" s="416" t="s">
        <v>1231</v>
      </c>
      <c r="H398" s="416" t="s">
        <v>2791</v>
      </c>
      <c r="I398" s="416" t="s">
        <v>860</v>
      </c>
      <c r="J398" s="415" t="s">
        <v>661</v>
      </c>
      <c r="K398" s="417">
        <v>-11.571</v>
      </c>
      <c r="L398" s="417">
        <v>-75.110500000000002</v>
      </c>
      <c r="M398" s="418">
        <v>30</v>
      </c>
      <c r="N398" s="418" t="s">
        <v>2310</v>
      </c>
      <c r="O398" s="418" t="s">
        <v>2411</v>
      </c>
      <c r="P398" s="415">
        <v>2</v>
      </c>
      <c r="Q398" s="415">
        <v>30</v>
      </c>
      <c r="R398" s="415">
        <v>5</v>
      </c>
      <c r="S398" s="415">
        <f t="shared" si="18"/>
        <v>5</v>
      </c>
      <c r="T398" s="419">
        <f t="shared" si="19"/>
        <v>0.83333333333333337</v>
      </c>
      <c r="U398" s="419">
        <f t="shared" si="20"/>
        <v>5.833333333333333</v>
      </c>
      <c r="V398" s="415" t="s">
        <v>662</v>
      </c>
      <c r="W398" s="415" t="s">
        <v>612</v>
      </c>
      <c r="X398" s="415" t="s">
        <v>671</v>
      </c>
      <c r="Y398" s="415"/>
    </row>
    <row r="399" spans="1:25" hidden="1" x14ac:dyDescent="0.25">
      <c r="A399" s="415">
        <v>398</v>
      </c>
      <c r="B399" s="415">
        <v>314</v>
      </c>
      <c r="C399" s="415">
        <v>229352</v>
      </c>
      <c r="D399" s="416" t="s">
        <v>1544</v>
      </c>
      <c r="E399" s="416" t="s">
        <v>512</v>
      </c>
      <c r="F399" s="416" t="s">
        <v>515</v>
      </c>
      <c r="G399" s="416" t="s">
        <v>1231</v>
      </c>
      <c r="H399" s="416" t="s">
        <v>1545</v>
      </c>
      <c r="I399" s="416" t="s">
        <v>1545</v>
      </c>
      <c r="J399" s="415" t="s">
        <v>661</v>
      </c>
      <c r="K399" s="417">
        <v>-11.388828</v>
      </c>
      <c r="L399" s="417">
        <v>-75.245898999999994</v>
      </c>
      <c r="M399" s="418">
        <v>30</v>
      </c>
      <c r="N399" s="418" t="s">
        <v>2310</v>
      </c>
      <c r="O399" s="418" t="s">
        <v>2411</v>
      </c>
      <c r="P399" s="415">
        <v>2</v>
      </c>
      <c r="Q399" s="415">
        <v>30</v>
      </c>
      <c r="R399" s="415">
        <v>5</v>
      </c>
      <c r="S399" s="415">
        <f t="shared" si="18"/>
        <v>5</v>
      </c>
      <c r="T399" s="419">
        <f t="shared" si="19"/>
        <v>0.83333333333333337</v>
      </c>
      <c r="U399" s="419">
        <f t="shared" si="20"/>
        <v>5.833333333333333</v>
      </c>
      <c r="V399" s="415" t="s">
        <v>662</v>
      </c>
      <c r="W399" s="415" t="s">
        <v>612</v>
      </c>
      <c r="X399" s="415" t="s">
        <v>671</v>
      </c>
      <c r="Y399" s="415"/>
    </row>
    <row r="400" spans="1:25" hidden="1" x14ac:dyDescent="0.25">
      <c r="A400" s="415">
        <v>399</v>
      </c>
      <c r="B400" s="415">
        <v>315</v>
      </c>
      <c r="C400" s="415">
        <v>165454</v>
      </c>
      <c r="D400" s="416" t="s">
        <v>1230</v>
      </c>
      <c r="E400" s="416" t="s">
        <v>512</v>
      </c>
      <c r="F400" s="416" t="s">
        <v>515</v>
      </c>
      <c r="G400" s="416" t="s">
        <v>1231</v>
      </c>
      <c r="H400" s="416" t="s">
        <v>1232</v>
      </c>
      <c r="I400" s="416" t="s">
        <v>860</v>
      </c>
      <c r="J400" s="415" t="s">
        <v>661</v>
      </c>
      <c r="K400" s="417">
        <v>-11.349465</v>
      </c>
      <c r="L400" s="417">
        <v>-75.288809000000001</v>
      </c>
      <c r="M400" s="418">
        <v>30</v>
      </c>
      <c r="N400" s="418" t="s">
        <v>2310</v>
      </c>
      <c r="O400" s="418" t="s">
        <v>2411</v>
      </c>
      <c r="P400" s="415">
        <v>2</v>
      </c>
      <c r="Q400" s="415">
        <v>30</v>
      </c>
      <c r="R400" s="415">
        <v>5</v>
      </c>
      <c r="S400" s="415">
        <f t="shared" si="18"/>
        <v>5</v>
      </c>
      <c r="T400" s="419">
        <f t="shared" si="19"/>
        <v>0.83333333333333337</v>
      </c>
      <c r="U400" s="419">
        <f t="shared" si="20"/>
        <v>5.833333333333333</v>
      </c>
      <c r="V400" s="415" t="s">
        <v>662</v>
      </c>
      <c r="W400" s="415" t="s">
        <v>612</v>
      </c>
      <c r="X400" s="415" t="s">
        <v>671</v>
      </c>
      <c r="Y400" s="415"/>
    </row>
    <row r="401" spans="1:25" hidden="1" x14ac:dyDescent="0.25">
      <c r="A401" s="415">
        <v>400</v>
      </c>
      <c r="B401" s="415">
        <v>316</v>
      </c>
      <c r="C401" s="415">
        <v>229494</v>
      </c>
      <c r="D401" s="416" t="s">
        <v>2792</v>
      </c>
      <c r="E401" s="416" t="s">
        <v>512</v>
      </c>
      <c r="F401" s="416" t="s">
        <v>515</v>
      </c>
      <c r="G401" s="416" t="s">
        <v>1546</v>
      </c>
      <c r="H401" s="416" t="s">
        <v>1546</v>
      </c>
      <c r="I401" s="416" t="s">
        <v>2793</v>
      </c>
      <c r="J401" s="415" t="s">
        <v>661</v>
      </c>
      <c r="K401" s="417">
        <v>-11.933862</v>
      </c>
      <c r="L401" s="417">
        <v>-75.338837999999996</v>
      </c>
      <c r="M401" s="418">
        <v>30</v>
      </c>
      <c r="N401" s="418" t="s">
        <v>2310</v>
      </c>
      <c r="O401" s="418" t="s">
        <v>2411</v>
      </c>
      <c r="P401" s="415">
        <v>2</v>
      </c>
      <c r="Q401" s="415">
        <v>30</v>
      </c>
      <c r="R401" s="415">
        <v>5</v>
      </c>
      <c r="S401" s="415">
        <f t="shared" si="18"/>
        <v>5</v>
      </c>
      <c r="T401" s="419">
        <f t="shared" si="19"/>
        <v>0.83333333333333337</v>
      </c>
      <c r="U401" s="419">
        <f t="shared" si="20"/>
        <v>5.833333333333333</v>
      </c>
      <c r="V401" s="415" t="s">
        <v>662</v>
      </c>
      <c r="W401" s="415" t="s">
        <v>612</v>
      </c>
      <c r="X401" s="415" t="s">
        <v>671</v>
      </c>
      <c r="Y401" s="415"/>
    </row>
    <row r="402" spans="1:25" hidden="1" x14ac:dyDescent="0.25">
      <c r="A402" s="415">
        <v>401</v>
      </c>
      <c r="B402" s="415">
        <v>317</v>
      </c>
      <c r="C402" s="415">
        <v>229856</v>
      </c>
      <c r="D402" s="416" t="s">
        <v>1547</v>
      </c>
      <c r="E402" s="416" t="s">
        <v>512</v>
      </c>
      <c r="F402" s="416" t="s">
        <v>515</v>
      </c>
      <c r="G402" s="416" t="s">
        <v>1548</v>
      </c>
      <c r="H402" s="416" t="s">
        <v>726</v>
      </c>
      <c r="I402" s="416" t="s">
        <v>860</v>
      </c>
      <c r="J402" s="415" t="s">
        <v>661</v>
      </c>
      <c r="K402" s="417">
        <v>-12.025608</v>
      </c>
      <c r="L402" s="417">
        <v>-75.561205000000001</v>
      </c>
      <c r="M402" s="418">
        <v>30</v>
      </c>
      <c r="N402" s="418" t="s">
        <v>2310</v>
      </c>
      <c r="O402" s="418" t="s">
        <v>2411</v>
      </c>
      <c r="P402" s="415">
        <v>2</v>
      </c>
      <c r="Q402" s="415">
        <v>30</v>
      </c>
      <c r="R402" s="415">
        <v>5</v>
      </c>
      <c r="S402" s="415">
        <f t="shared" si="18"/>
        <v>5</v>
      </c>
      <c r="T402" s="419">
        <f t="shared" si="19"/>
        <v>0.83333333333333337</v>
      </c>
      <c r="U402" s="419">
        <f t="shared" si="20"/>
        <v>5.833333333333333</v>
      </c>
      <c r="V402" s="415" t="s">
        <v>662</v>
      </c>
      <c r="W402" s="415" t="s">
        <v>612</v>
      </c>
      <c r="X402" s="415" t="s">
        <v>671</v>
      </c>
      <c r="Y402" s="415"/>
    </row>
    <row r="403" spans="1:25" hidden="1" x14ac:dyDescent="0.25">
      <c r="A403" s="415">
        <v>402</v>
      </c>
      <c r="B403" s="415">
        <v>318</v>
      </c>
      <c r="C403" s="415">
        <v>229842</v>
      </c>
      <c r="D403" s="416" t="s">
        <v>2794</v>
      </c>
      <c r="E403" s="416" t="s">
        <v>512</v>
      </c>
      <c r="F403" s="416" t="s">
        <v>515</v>
      </c>
      <c r="G403" s="416" t="s">
        <v>1548</v>
      </c>
      <c r="H403" s="416" t="s">
        <v>2795</v>
      </c>
      <c r="I403" s="416" t="s">
        <v>2796</v>
      </c>
      <c r="J403" s="415" t="s">
        <v>661</v>
      </c>
      <c r="K403" s="417">
        <v>-12.0444</v>
      </c>
      <c r="L403" s="417">
        <v>-75.579899999999995</v>
      </c>
      <c r="M403" s="418">
        <v>30</v>
      </c>
      <c r="N403" s="418" t="s">
        <v>2310</v>
      </c>
      <c r="O403" s="418" t="s">
        <v>2411</v>
      </c>
      <c r="P403" s="415">
        <v>2</v>
      </c>
      <c r="Q403" s="415">
        <v>30</v>
      </c>
      <c r="R403" s="415">
        <v>5</v>
      </c>
      <c r="S403" s="415">
        <f t="shared" si="18"/>
        <v>5</v>
      </c>
      <c r="T403" s="419">
        <f t="shared" si="19"/>
        <v>0.83333333333333337</v>
      </c>
      <c r="U403" s="419">
        <f t="shared" si="20"/>
        <v>5.833333333333333</v>
      </c>
      <c r="V403" s="415" t="s">
        <v>662</v>
      </c>
      <c r="W403" s="415" t="s">
        <v>612</v>
      </c>
      <c r="X403" s="415" t="s">
        <v>671</v>
      </c>
      <c r="Y403" s="415"/>
    </row>
    <row r="404" spans="1:25" hidden="1" x14ac:dyDescent="0.25">
      <c r="A404" s="415">
        <v>403</v>
      </c>
      <c r="B404" s="415">
        <v>319</v>
      </c>
      <c r="C404" s="415">
        <v>229922</v>
      </c>
      <c r="D404" s="416" t="s">
        <v>2797</v>
      </c>
      <c r="E404" s="416" t="s">
        <v>512</v>
      </c>
      <c r="F404" s="416" t="s">
        <v>515</v>
      </c>
      <c r="G404" s="416" t="s">
        <v>1548</v>
      </c>
      <c r="H404" s="416" t="s">
        <v>2798</v>
      </c>
      <c r="I404" s="416" t="s">
        <v>2799</v>
      </c>
      <c r="J404" s="415" t="s">
        <v>661</v>
      </c>
      <c r="K404" s="417">
        <v>-12.0535</v>
      </c>
      <c r="L404" s="417">
        <v>-75.536199999999994</v>
      </c>
      <c r="M404" s="418">
        <v>30</v>
      </c>
      <c r="N404" s="418" t="s">
        <v>2310</v>
      </c>
      <c r="O404" s="418" t="s">
        <v>2411</v>
      </c>
      <c r="P404" s="415">
        <v>2</v>
      </c>
      <c r="Q404" s="415">
        <v>30</v>
      </c>
      <c r="R404" s="415">
        <v>5</v>
      </c>
      <c r="S404" s="415">
        <f t="shared" si="18"/>
        <v>5</v>
      </c>
      <c r="T404" s="419">
        <f t="shared" si="19"/>
        <v>0.83333333333333337</v>
      </c>
      <c r="U404" s="419">
        <f t="shared" si="20"/>
        <v>5.833333333333333</v>
      </c>
      <c r="V404" s="415" t="s">
        <v>662</v>
      </c>
      <c r="W404" s="415" t="s">
        <v>612</v>
      </c>
      <c r="X404" s="415" t="s">
        <v>671</v>
      </c>
      <c r="Y404" s="415"/>
    </row>
    <row r="405" spans="1:25" hidden="1" x14ac:dyDescent="0.25">
      <c r="A405" s="415">
        <v>404</v>
      </c>
      <c r="B405" s="415">
        <v>320</v>
      </c>
      <c r="C405" s="415">
        <v>229823</v>
      </c>
      <c r="D405" s="416" t="s">
        <v>2800</v>
      </c>
      <c r="E405" s="416" t="s">
        <v>512</v>
      </c>
      <c r="F405" s="416" t="s">
        <v>515</v>
      </c>
      <c r="G405" s="416" t="s">
        <v>1548</v>
      </c>
      <c r="H405" s="416" t="s">
        <v>2801</v>
      </c>
      <c r="I405" s="416" t="s">
        <v>860</v>
      </c>
      <c r="J405" s="415" t="s">
        <v>661</v>
      </c>
      <c r="K405" s="417">
        <v>-12.056699999999999</v>
      </c>
      <c r="L405" s="417">
        <v>-75.561800000000005</v>
      </c>
      <c r="M405" s="418">
        <v>30</v>
      </c>
      <c r="N405" s="418" t="s">
        <v>2310</v>
      </c>
      <c r="O405" s="418" t="s">
        <v>2411</v>
      </c>
      <c r="P405" s="415">
        <v>2</v>
      </c>
      <c r="Q405" s="415">
        <v>30</v>
      </c>
      <c r="R405" s="415">
        <v>5</v>
      </c>
      <c r="S405" s="415">
        <f t="shared" si="18"/>
        <v>5</v>
      </c>
      <c r="T405" s="419">
        <f t="shared" si="19"/>
        <v>0.83333333333333337</v>
      </c>
      <c r="U405" s="419">
        <f t="shared" si="20"/>
        <v>5.833333333333333</v>
      </c>
      <c r="V405" s="415" t="s">
        <v>662</v>
      </c>
      <c r="W405" s="415" t="s">
        <v>612</v>
      </c>
      <c r="X405" s="415" t="s">
        <v>671</v>
      </c>
      <c r="Y405" s="415"/>
    </row>
    <row r="406" spans="1:25" hidden="1" x14ac:dyDescent="0.25">
      <c r="A406" s="415">
        <v>405</v>
      </c>
      <c r="B406" s="415">
        <v>321</v>
      </c>
      <c r="C406" s="415">
        <v>229955</v>
      </c>
      <c r="D406" s="416" t="s">
        <v>2802</v>
      </c>
      <c r="E406" s="416" t="s">
        <v>512</v>
      </c>
      <c r="F406" s="416" t="s">
        <v>515</v>
      </c>
      <c r="G406" s="416" t="s">
        <v>2803</v>
      </c>
      <c r="H406" s="416" t="s">
        <v>2803</v>
      </c>
      <c r="I406" s="416" t="s">
        <v>2028</v>
      </c>
      <c r="J406" s="415" t="s">
        <v>747</v>
      </c>
      <c r="K406" s="417">
        <v>-11.87787</v>
      </c>
      <c r="L406" s="417">
        <v>-75.296080000000003</v>
      </c>
      <c r="M406" s="418">
        <v>30</v>
      </c>
      <c r="N406" s="418" t="s">
        <v>2310</v>
      </c>
      <c r="O406" s="418" t="s">
        <v>2411</v>
      </c>
      <c r="P406" s="415">
        <v>2</v>
      </c>
      <c r="Q406" s="415">
        <v>30</v>
      </c>
      <c r="R406" s="415">
        <v>5</v>
      </c>
      <c r="S406" s="415">
        <f t="shared" si="18"/>
        <v>5</v>
      </c>
      <c r="T406" s="419">
        <f t="shared" si="19"/>
        <v>0.83333333333333337</v>
      </c>
      <c r="U406" s="419">
        <f t="shared" si="20"/>
        <v>5.833333333333333</v>
      </c>
      <c r="V406" s="415" t="s">
        <v>662</v>
      </c>
      <c r="W406" s="415" t="s">
        <v>612</v>
      </c>
      <c r="X406" s="415" t="s">
        <v>671</v>
      </c>
      <c r="Y406" s="415"/>
    </row>
    <row r="407" spans="1:25" hidden="1" x14ac:dyDescent="0.25">
      <c r="A407" s="415">
        <v>406</v>
      </c>
      <c r="B407" s="415">
        <v>322</v>
      </c>
      <c r="C407" s="415">
        <v>222614</v>
      </c>
      <c r="D407" s="416" t="s">
        <v>2804</v>
      </c>
      <c r="E407" s="416" t="s">
        <v>512</v>
      </c>
      <c r="F407" s="416" t="s">
        <v>513</v>
      </c>
      <c r="G407" s="416" t="s">
        <v>2805</v>
      </c>
      <c r="H407" s="416" t="s">
        <v>2806</v>
      </c>
      <c r="I407" s="416" t="s">
        <v>1600</v>
      </c>
      <c r="J407" s="415" t="s">
        <v>661</v>
      </c>
      <c r="K407" s="417">
        <v>-12.254849</v>
      </c>
      <c r="L407" s="417">
        <v>-75.141863999999998</v>
      </c>
      <c r="M407" s="418">
        <v>30</v>
      </c>
      <c r="N407" s="418" t="s">
        <v>2310</v>
      </c>
      <c r="O407" s="418" t="s">
        <v>2411</v>
      </c>
      <c r="P407" s="415">
        <v>2</v>
      </c>
      <c r="Q407" s="415">
        <v>30</v>
      </c>
      <c r="R407" s="415">
        <v>5</v>
      </c>
      <c r="S407" s="415">
        <f t="shared" si="18"/>
        <v>5</v>
      </c>
      <c r="T407" s="419">
        <f t="shared" si="19"/>
        <v>0.83333333333333337</v>
      </c>
      <c r="U407" s="419">
        <f t="shared" si="20"/>
        <v>5.833333333333333</v>
      </c>
      <c r="V407" s="415" t="s">
        <v>662</v>
      </c>
      <c r="W407" s="415" t="s">
        <v>612</v>
      </c>
      <c r="X407" s="415" t="s">
        <v>671</v>
      </c>
      <c r="Y407" s="415"/>
    </row>
    <row r="408" spans="1:25" hidden="1" x14ac:dyDescent="0.25">
      <c r="A408" s="415">
        <v>407</v>
      </c>
      <c r="B408" s="415">
        <v>323</v>
      </c>
      <c r="C408" s="415">
        <v>222534</v>
      </c>
      <c r="D408" s="416" t="s">
        <v>2807</v>
      </c>
      <c r="E408" s="416" t="s">
        <v>512</v>
      </c>
      <c r="F408" s="416" t="s">
        <v>513</v>
      </c>
      <c r="G408" s="416" t="s">
        <v>2805</v>
      </c>
      <c r="H408" s="416" t="s">
        <v>2805</v>
      </c>
      <c r="I408" s="416" t="s">
        <v>2808</v>
      </c>
      <c r="J408" s="415" t="s">
        <v>661</v>
      </c>
      <c r="K408" s="417">
        <v>-12.21951</v>
      </c>
      <c r="L408" s="417">
        <v>-75.167536999999996</v>
      </c>
      <c r="M408" s="418">
        <v>30</v>
      </c>
      <c r="N408" s="418" t="s">
        <v>2310</v>
      </c>
      <c r="O408" s="418" t="s">
        <v>2411</v>
      </c>
      <c r="P408" s="415">
        <v>2</v>
      </c>
      <c r="Q408" s="415">
        <v>30</v>
      </c>
      <c r="R408" s="415">
        <v>5</v>
      </c>
      <c r="S408" s="415">
        <f t="shared" si="18"/>
        <v>5</v>
      </c>
      <c r="T408" s="419">
        <f t="shared" si="19"/>
        <v>0.83333333333333337</v>
      </c>
      <c r="U408" s="419">
        <f t="shared" si="20"/>
        <v>5.833333333333333</v>
      </c>
      <c r="V408" s="415" t="s">
        <v>662</v>
      </c>
      <c r="W408" s="415" t="s">
        <v>612</v>
      </c>
      <c r="X408" s="415" t="s">
        <v>671</v>
      </c>
      <c r="Y408" s="415"/>
    </row>
    <row r="409" spans="1:25" hidden="1" x14ac:dyDescent="0.25">
      <c r="A409" s="415">
        <v>408</v>
      </c>
      <c r="B409" s="415">
        <v>324</v>
      </c>
      <c r="C409" s="415">
        <v>222992</v>
      </c>
      <c r="D409" s="416" t="s">
        <v>2809</v>
      </c>
      <c r="E409" s="416" t="s">
        <v>512</v>
      </c>
      <c r="F409" s="416" t="s">
        <v>513</v>
      </c>
      <c r="G409" s="416" t="s">
        <v>998</v>
      </c>
      <c r="H409" s="416" t="s">
        <v>804</v>
      </c>
      <c r="I409" s="416" t="s">
        <v>915</v>
      </c>
      <c r="J409" s="415" t="s">
        <v>661</v>
      </c>
      <c r="K409" s="417">
        <v>-11.9968</v>
      </c>
      <c r="L409" s="417">
        <v>-75.208200000000005</v>
      </c>
      <c r="M409" s="418">
        <v>30</v>
      </c>
      <c r="N409" s="418" t="s">
        <v>2310</v>
      </c>
      <c r="O409" s="418" t="s">
        <v>2411</v>
      </c>
      <c r="P409" s="415">
        <v>2</v>
      </c>
      <c r="Q409" s="415">
        <v>30</v>
      </c>
      <c r="R409" s="415">
        <v>5</v>
      </c>
      <c r="S409" s="415">
        <f t="shared" si="18"/>
        <v>5</v>
      </c>
      <c r="T409" s="419">
        <f t="shared" si="19"/>
        <v>0.83333333333333337</v>
      </c>
      <c r="U409" s="419">
        <f t="shared" si="20"/>
        <v>5.833333333333333</v>
      </c>
      <c r="V409" s="415" t="s">
        <v>662</v>
      </c>
      <c r="W409" s="415" t="s">
        <v>612</v>
      </c>
      <c r="X409" s="415" t="s">
        <v>671</v>
      </c>
      <c r="Y409" s="415"/>
    </row>
    <row r="410" spans="1:25" hidden="1" x14ac:dyDescent="0.25">
      <c r="A410" s="415">
        <v>409</v>
      </c>
      <c r="B410" s="415">
        <v>325</v>
      </c>
      <c r="C410" s="415">
        <v>224670</v>
      </c>
      <c r="D410" s="416" t="s">
        <v>2810</v>
      </c>
      <c r="E410" s="416" t="s">
        <v>512</v>
      </c>
      <c r="F410" s="416" t="s">
        <v>513</v>
      </c>
      <c r="G410" s="416" t="s">
        <v>2811</v>
      </c>
      <c r="H410" s="416" t="s">
        <v>423</v>
      </c>
      <c r="I410" s="416" t="s">
        <v>2812</v>
      </c>
      <c r="J410" s="415" t="s">
        <v>747</v>
      </c>
      <c r="K410" s="417">
        <v>-12.11</v>
      </c>
      <c r="L410" s="417">
        <v>-75.202100000000002</v>
      </c>
      <c r="M410" s="418">
        <v>30</v>
      </c>
      <c r="N410" s="418" t="s">
        <v>2310</v>
      </c>
      <c r="O410" s="418" t="s">
        <v>2411</v>
      </c>
      <c r="P410" s="415">
        <v>2</v>
      </c>
      <c r="Q410" s="415">
        <v>30</v>
      </c>
      <c r="R410" s="415">
        <v>5</v>
      </c>
      <c r="S410" s="415">
        <f t="shared" si="18"/>
        <v>5</v>
      </c>
      <c r="T410" s="419">
        <f t="shared" si="19"/>
        <v>0.83333333333333337</v>
      </c>
      <c r="U410" s="419">
        <f t="shared" si="20"/>
        <v>5.833333333333333</v>
      </c>
      <c r="V410" s="415" t="s">
        <v>662</v>
      </c>
      <c r="W410" s="415" t="s">
        <v>612</v>
      </c>
      <c r="X410" s="415" t="s">
        <v>671</v>
      </c>
      <c r="Y410" s="415"/>
    </row>
    <row r="411" spans="1:25" hidden="1" x14ac:dyDescent="0.25">
      <c r="A411" s="415">
        <v>410</v>
      </c>
      <c r="B411" s="415">
        <v>326</v>
      </c>
      <c r="C411" s="415">
        <v>219980</v>
      </c>
      <c r="D411" s="416" t="s">
        <v>2813</v>
      </c>
      <c r="E411" s="416" t="s">
        <v>512</v>
      </c>
      <c r="F411" s="416" t="s">
        <v>513</v>
      </c>
      <c r="G411" s="416" t="s">
        <v>513</v>
      </c>
      <c r="H411" s="416" t="s">
        <v>513</v>
      </c>
      <c r="I411" s="416" t="s">
        <v>2814</v>
      </c>
      <c r="J411" s="415" t="s">
        <v>747</v>
      </c>
      <c r="K411" s="417">
        <v>-12.073551</v>
      </c>
      <c r="L411" s="417">
        <v>-75.199432000000002</v>
      </c>
      <c r="M411" s="418">
        <v>30</v>
      </c>
      <c r="N411" s="418" t="s">
        <v>2310</v>
      </c>
      <c r="O411" s="418" t="s">
        <v>2411</v>
      </c>
      <c r="P411" s="415">
        <v>2</v>
      </c>
      <c r="Q411" s="415">
        <v>30</v>
      </c>
      <c r="R411" s="415">
        <v>5</v>
      </c>
      <c r="S411" s="415">
        <f t="shared" si="18"/>
        <v>5</v>
      </c>
      <c r="T411" s="419">
        <f t="shared" si="19"/>
        <v>0.83333333333333337</v>
      </c>
      <c r="U411" s="419">
        <f t="shared" si="20"/>
        <v>5.833333333333333</v>
      </c>
      <c r="V411" s="415" t="s">
        <v>662</v>
      </c>
      <c r="W411" s="415" t="s">
        <v>612</v>
      </c>
      <c r="X411" s="415" t="s">
        <v>671</v>
      </c>
      <c r="Y411" s="415"/>
    </row>
    <row r="412" spans="1:25" hidden="1" x14ac:dyDescent="0.25">
      <c r="A412" s="415">
        <v>411</v>
      </c>
      <c r="B412" s="415">
        <v>327</v>
      </c>
      <c r="C412" s="415">
        <v>219923</v>
      </c>
      <c r="D412" s="416" t="s">
        <v>2815</v>
      </c>
      <c r="E412" s="416" t="s">
        <v>512</v>
      </c>
      <c r="F412" s="416" t="s">
        <v>513</v>
      </c>
      <c r="G412" s="416" t="s">
        <v>513</v>
      </c>
      <c r="H412" s="416" t="s">
        <v>2816</v>
      </c>
      <c r="I412" s="416" t="s">
        <v>2817</v>
      </c>
      <c r="J412" s="415" t="s">
        <v>747</v>
      </c>
      <c r="K412" s="417">
        <v>-12.067600000000001</v>
      </c>
      <c r="L412" s="417">
        <v>-75.193700000000007</v>
      </c>
      <c r="M412" s="418">
        <v>30</v>
      </c>
      <c r="N412" s="418" t="s">
        <v>2310</v>
      </c>
      <c r="O412" s="418" t="s">
        <v>2411</v>
      </c>
      <c r="P412" s="415">
        <v>2</v>
      </c>
      <c r="Q412" s="415">
        <v>30</v>
      </c>
      <c r="R412" s="415">
        <v>5</v>
      </c>
      <c r="S412" s="415">
        <f t="shared" si="18"/>
        <v>5</v>
      </c>
      <c r="T412" s="419">
        <f t="shared" si="19"/>
        <v>0.83333333333333337</v>
      </c>
      <c r="U412" s="419">
        <f t="shared" si="20"/>
        <v>5.833333333333333</v>
      </c>
      <c r="V412" s="415" t="s">
        <v>662</v>
      </c>
      <c r="W412" s="415" t="s">
        <v>612</v>
      </c>
      <c r="X412" s="415" t="s">
        <v>671</v>
      </c>
      <c r="Y412" s="415"/>
    </row>
    <row r="413" spans="1:25" hidden="1" x14ac:dyDescent="0.25">
      <c r="A413" s="415">
        <v>412</v>
      </c>
      <c r="B413" s="415">
        <v>328</v>
      </c>
      <c r="C413" s="415">
        <v>224868</v>
      </c>
      <c r="D413" s="416" t="s">
        <v>2818</v>
      </c>
      <c r="E413" s="416" t="s">
        <v>512</v>
      </c>
      <c r="F413" s="416" t="s">
        <v>513</v>
      </c>
      <c r="G413" s="416" t="s">
        <v>2819</v>
      </c>
      <c r="H413" s="416" t="s">
        <v>2819</v>
      </c>
      <c r="I413" s="416" t="s">
        <v>2820</v>
      </c>
      <c r="J413" s="415" t="s">
        <v>747</v>
      </c>
      <c r="K413" s="417">
        <v>-12.136861</v>
      </c>
      <c r="L413" s="417">
        <v>-75.222521999999998</v>
      </c>
      <c r="M413" s="418">
        <v>30</v>
      </c>
      <c r="N413" s="418" t="s">
        <v>2310</v>
      </c>
      <c r="O413" s="418" t="s">
        <v>2411</v>
      </c>
      <c r="P413" s="415">
        <v>2</v>
      </c>
      <c r="Q413" s="415">
        <v>30</v>
      </c>
      <c r="R413" s="415">
        <v>5</v>
      </c>
      <c r="S413" s="415">
        <f t="shared" si="18"/>
        <v>5</v>
      </c>
      <c r="T413" s="419">
        <f t="shared" si="19"/>
        <v>0.83333333333333337</v>
      </c>
      <c r="U413" s="419">
        <f t="shared" si="20"/>
        <v>5.833333333333333</v>
      </c>
      <c r="V413" s="415" t="s">
        <v>662</v>
      </c>
      <c r="W413" s="415" t="s">
        <v>612</v>
      </c>
      <c r="X413" s="415" t="s">
        <v>671</v>
      </c>
      <c r="Y413" s="415"/>
    </row>
    <row r="414" spans="1:25" hidden="1" x14ac:dyDescent="0.25">
      <c r="A414" s="415">
        <v>413</v>
      </c>
      <c r="B414" s="415">
        <v>329</v>
      </c>
      <c r="C414" s="415">
        <v>225014</v>
      </c>
      <c r="D414" s="416" t="s">
        <v>2821</v>
      </c>
      <c r="E414" s="416" t="s">
        <v>512</v>
      </c>
      <c r="F414" s="416" t="s">
        <v>513</v>
      </c>
      <c r="G414" s="416" t="s">
        <v>1268</v>
      </c>
      <c r="H414" s="416" t="s">
        <v>2822</v>
      </c>
      <c r="I414" s="416" t="s">
        <v>867</v>
      </c>
      <c r="J414" s="415" t="s">
        <v>661</v>
      </c>
      <c r="K414" s="417">
        <v>-11.8957</v>
      </c>
      <c r="L414" s="417">
        <v>-75.27</v>
      </c>
      <c r="M414" s="418">
        <v>30</v>
      </c>
      <c r="N414" s="418" t="s">
        <v>2310</v>
      </c>
      <c r="O414" s="418" t="s">
        <v>2411</v>
      </c>
      <c r="P414" s="415">
        <v>2</v>
      </c>
      <c r="Q414" s="415">
        <v>30</v>
      </c>
      <c r="R414" s="415">
        <v>5</v>
      </c>
      <c r="S414" s="415">
        <f t="shared" si="18"/>
        <v>5</v>
      </c>
      <c r="T414" s="419">
        <f t="shared" si="19"/>
        <v>0.83333333333333337</v>
      </c>
      <c r="U414" s="419">
        <f t="shared" si="20"/>
        <v>5.833333333333333</v>
      </c>
      <c r="V414" s="415" t="s">
        <v>662</v>
      </c>
      <c r="W414" s="415" t="s">
        <v>612</v>
      </c>
      <c r="X414" s="415" t="s">
        <v>671</v>
      </c>
      <c r="Y414" s="415"/>
    </row>
    <row r="415" spans="1:25" hidden="1" x14ac:dyDescent="0.25">
      <c r="A415" s="415">
        <v>414</v>
      </c>
      <c r="B415" s="415">
        <v>330</v>
      </c>
      <c r="C415" s="415">
        <v>225863</v>
      </c>
      <c r="D415" s="416" t="s">
        <v>2823</v>
      </c>
      <c r="E415" s="416" t="s">
        <v>512</v>
      </c>
      <c r="F415" s="416" t="s">
        <v>513</v>
      </c>
      <c r="G415" s="416" t="s">
        <v>2824</v>
      </c>
      <c r="H415" s="416" t="s">
        <v>2824</v>
      </c>
      <c r="I415" s="416" t="s">
        <v>2825</v>
      </c>
      <c r="J415" s="415" t="s">
        <v>747</v>
      </c>
      <c r="K415" s="417">
        <v>-11.89053</v>
      </c>
      <c r="L415" s="417">
        <v>-75.286140000000003</v>
      </c>
      <c r="M415" s="418">
        <v>30</v>
      </c>
      <c r="N415" s="418" t="s">
        <v>2310</v>
      </c>
      <c r="O415" s="418" t="s">
        <v>2411</v>
      </c>
      <c r="P415" s="415">
        <v>2</v>
      </c>
      <c r="Q415" s="415">
        <v>30</v>
      </c>
      <c r="R415" s="415">
        <v>5</v>
      </c>
      <c r="S415" s="415">
        <f t="shared" si="18"/>
        <v>5</v>
      </c>
      <c r="T415" s="419">
        <f t="shared" si="19"/>
        <v>0.83333333333333337</v>
      </c>
      <c r="U415" s="419">
        <f t="shared" si="20"/>
        <v>5.833333333333333</v>
      </c>
      <c r="V415" s="415" t="s">
        <v>662</v>
      </c>
      <c r="W415" s="415" t="s">
        <v>612</v>
      </c>
      <c r="X415" s="415" t="s">
        <v>671</v>
      </c>
      <c r="Y415" s="415"/>
    </row>
    <row r="416" spans="1:25" hidden="1" x14ac:dyDescent="0.25">
      <c r="A416" s="415">
        <v>415</v>
      </c>
      <c r="B416" s="415">
        <v>331</v>
      </c>
      <c r="C416" s="415">
        <v>226075</v>
      </c>
      <c r="D416" s="416" t="s">
        <v>2826</v>
      </c>
      <c r="E416" s="416" t="s">
        <v>512</v>
      </c>
      <c r="F416" s="416" t="s">
        <v>513</v>
      </c>
      <c r="G416" s="416" t="s">
        <v>1070</v>
      </c>
      <c r="H416" s="416" t="s">
        <v>2827</v>
      </c>
      <c r="I416" s="416" t="s">
        <v>2828</v>
      </c>
      <c r="J416" s="415" t="s">
        <v>747</v>
      </c>
      <c r="K416" s="417">
        <v>-11.99202</v>
      </c>
      <c r="L416" s="417">
        <v>-75.246729999999999</v>
      </c>
      <c r="M416" s="418">
        <v>30</v>
      </c>
      <c r="N416" s="418" t="s">
        <v>2310</v>
      </c>
      <c r="O416" s="418" t="s">
        <v>2411</v>
      </c>
      <c r="P416" s="415">
        <v>2</v>
      </c>
      <c r="Q416" s="415">
        <v>30</v>
      </c>
      <c r="R416" s="415">
        <v>5</v>
      </c>
      <c r="S416" s="415">
        <f t="shared" si="18"/>
        <v>5</v>
      </c>
      <c r="T416" s="419">
        <f t="shared" si="19"/>
        <v>0.83333333333333337</v>
      </c>
      <c r="U416" s="419">
        <f t="shared" si="20"/>
        <v>5.833333333333333</v>
      </c>
      <c r="V416" s="415" t="s">
        <v>662</v>
      </c>
      <c r="W416" s="415" t="s">
        <v>612</v>
      </c>
      <c r="X416" s="415" t="s">
        <v>671</v>
      </c>
      <c r="Y416" s="415"/>
    </row>
    <row r="417" spans="1:25" hidden="1" x14ac:dyDescent="0.25">
      <c r="A417" s="415">
        <v>416</v>
      </c>
      <c r="B417" s="415">
        <v>332</v>
      </c>
      <c r="C417" s="415">
        <v>641700</v>
      </c>
      <c r="D417" s="416" t="s">
        <v>2248</v>
      </c>
      <c r="E417" s="416" t="s">
        <v>512</v>
      </c>
      <c r="F417" s="416" t="s">
        <v>513</v>
      </c>
      <c r="G417" s="416" t="s">
        <v>1527</v>
      </c>
      <c r="H417" s="416" t="s">
        <v>2249</v>
      </c>
      <c r="I417" s="416" t="s">
        <v>2250</v>
      </c>
      <c r="J417" s="415" t="s">
        <v>661</v>
      </c>
      <c r="K417" s="417">
        <v>-11.8299</v>
      </c>
      <c r="L417" s="417">
        <v>-74.781099999999995</v>
      </c>
      <c r="M417" s="418">
        <v>30</v>
      </c>
      <c r="N417" s="418" t="s">
        <v>2310</v>
      </c>
      <c r="O417" s="418" t="s">
        <v>2411</v>
      </c>
      <c r="P417" s="415">
        <v>2</v>
      </c>
      <c r="Q417" s="415">
        <v>30</v>
      </c>
      <c r="R417" s="415">
        <v>5</v>
      </c>
      <c r="S417" s="415">
        <f t="shared" si="18"/>
        <v>5</v>
      </c>
      <c r="T417" s="419">
        <f t="shared" si="19"/>
        <v>0.83333333333333337</v>
      </c>
      <c r="U417" s="419">
        <f t="shared" si="20"/>
        <v>5.833333333333333</v>
      </c>
      <c r="V417" s="415" t="s">
        <v>662</v>
      </c>
      <c r="W417" s="415" t="s">
        <v>612</v>
      </c>
      <c r="X417" s="415" t="s">
        <v>671</v>
      </c>
      <c r="Y417" s="415"/>
    </row>
    <row r="418" spans="1:25" hidden="1" x14ac:dyDescent="0.25">
      <c r="A418" s="415">
        <v>417</v>
      </c>
      <c r="B418" s="415">
        <v>333</v>
      </c>
      <c r="C418" s="415">
        <v>227367</v>
      </c>
      <c r="D418" s="416" t="s">
        <v>474</v>
      </c>
      <c r="E418" s="416" t="s">
        <v>512</v>
      </c>
      <c r="F418" s="416" t="s">
        <v>513</v>
      </c>
      <c r="G418" s="416" t="s">
        <v>1527</v>
      </c>
      <c r="H418" s="416" t="s">
        <v>2829</v>
      </c>
      <c r="I418" s="416" t="s">
        <v>2278</v>
      </c>
      <c r="J418" s="415" t="s">
        <v>661</v>
      </c>
      <c r="K418" s="417">
        <v>-11.825100000000001</v>
      </c>
      <c r="L418" s="417">
        <v>-74.772599999999997</v>
      </c>
      <c r="M418" s="418">
        <v>30</v>
      </c>
      <c r="N418" s="418" t="s">
        <v>2310</v>
      </c>
      <c r="O418" s="418" t="s">
        <v>2411</v>
      </c>
      <c r="P418" s="415">
        <v>2</v>
      </c>
      <c r="Q418" s="415">
        <v>30</v>
      </c>
      <c r="R418" s="415">
        <v>5</v>
      </c>
      <c r="S418" s="415">
        <f t="shared" si="18"/>
        <v>5</v>
      </c>
      <c r="T418" s="419">
        <f t="shared" si="19"/>
        <v>0.83333333333333337</v>
      </c>
      <c r="U418" s="419">
        <f t="shared" si="20"/>
        <v>5.833333333333333</v>
      </c>
      <c r="V418" s="415" t="s">
        <v>662</v>
      </c>
      <c r="W418" s="415" t="s">
        <v>612</v>
      </c>
      <c r="X418" s="415" t="s">
        <v>671</v>
      </c>
      <c r="Y418" s="415"/>
    </row>
    <row r="419" spans="1:25" hidden="1" x14ac:dyDescent="0.25">
      <c r="A419" s="415">
        <v>418</v>
      </c>
      <c r="B419" s="415">
        <v>334</v>
      </c>
      <c r="C419" s="415">
        <v>227386</v>
      </c>
      <c r="D419" s="416" t="s">
        <v>2830</v>
      </c>
      <c r="E419" s="416" t="s">
        <v>512</v>
      </c>
      <c r="F419" s="416" t="s">
        <v>513</v>
      </c>
      <c r="G419" s="416" t="s">
        <v>1527</v>
      </c>
      <c r="H419" s="416" t="s">
        <v>2831</v>
      </c>
      <c r="I419" s="416" t="s">
        <v>860</v>
      </c>
      <c r="J419" s="415" t="s">
        <v>661</v>
      </c>
      <c r="K419" s="417">
        <v>-11.8104</v>
      </c>
      <c r="L419" s="417">
        <v>-74.795699999999997</v>
      </c>
      <c r="M419" s="418">
        <v>30</v>
      </c>
      <c r="N419" s="418" t="s">
        <v>2310</v>
      </c>
      <c r="O419" s="418" t="s">
        <v>2411</v>
      </c>
      <c r="P419" s="415">
        <v>2</v>
      </c>
      <c r="Q419" s="415">
        <v>30</v>
      </c>
      <c r="R419" s="415">
        <v>5</v>
      </c>
      <c r="S419" s="415">
        <f t="shared" si="18"/>
        <v>5</v>
      </c>
      <c r="T419" s="419">
        <f t="shared" si="19"/>
        <v>0.83333333333333337</v>
      </c>
      <c r="U419" s="419">
        <f t="shared" si="20"/>
        <v>5.833333333333333</v>
      </c>
      <c r="V419" s="415" t="s">
        <v>662</v>
      </c>
      <c r="W419" s="415" t="s">
        <v>612</v>
      </c>
      <c r="X419" s="415" t="s">
        <v>671</v>
      </c>
      <c r="Y419" s="415"/>
    </row>
    <row r="420" spans="1:25" hidden="1" x14ac:dyDescent="0.25">
      <c r="A420" s="415">
        <v>419</v>
      </c>
      <c r="B420" s="415">
        <v>335</v>
      </c>
      <c r="C420" s="415">
        <v>226853</v>
      </c>
      <c r="D420" s="416" t="s">
        <v>1529</v>
      </c>
      <c r="E420" s="416" t="s">
        <v>512</v>
      </c>
      <c r="F420" s="416" t="s">
        <v>513</v>
      </c>
      <c r="G420" s="416" t="s">
        <v>1527</v>
      </c>
      <c r="H420" s="416" t="s">
        <v>1528</v>
      </c>
      <c r="I420" s="416" t="s">
        <v>860</v>
      </c>
      <c r="J420" s="415" t="s">
        <v>661</v>
      </c>
      <c r="K420" s="417">
        <v>-11.939234000000001</v>
      </c>
      <c r="L420" s="417">
        <v>-74.707109000000003</v>
      </c>
      <c r="M420" s="418">
        <v>30</v>
      </c>
      <c r="N420" s="418" t="s">
        <v>2310</v>
      </c>
      <c r="O420" s="418" t="s">
        <v>2411</v>
      </c>
      <c r="P420" s="415">
        <v>2</v>
      </c>
      <c r="Q420" s="415">
        <v>30</v>
      </c>
      <c r="R420" s="415">
        <v>5</v>
      </c>
      <c r="S420" s="415">
        <f t="shared" si="18"/>
        <v>5</v>
      </c>
      <c r="T420" s="419">
        <f t="shared" si="19"/>
        <v>0.83333333333333337</v>
      </c>
      <c r="U420" s="419">
        <f t="shared" si="20"/>
        <v>5.833333333333333</v>
      </c>
      <c r="V420" s="415" t="s">
        <v>662</v>
      </c>
      <c r="W420" s="415" t="s">
        <v>612</v>
      </c>
      <c r="X420" s="415" t="s">
        <v>671</v>
      </c>
      <c r="Y420" s="415"/>
    </row>
    <row r="421" spans="1:25" hidden="1" x14ac:dyDescent="0.25">
      <c r="A421" s="415">
        <v>420</v>
      </c>
      <c r="B421" s="415">
        <v>336</v>
      </c>
      <c r="C421" s="415">
        <v>226297</v>
      </c>
      <c r="D421" s="416" t="s">
        <v>2832</v>
      </c>
      <c r="E421" s="416" t="s">
        <v>512</v>
      </c>
      <c r="F421" s="416" t="s">
        <v>513</v>
      </c>
      <c r="G421" s="416" t="s">
        <v>1524</v>
      </c>
      <c r="H421" s="416" t="s">
        <v>2833</v>
      </c>
      <c r="I421" s="416" t="s">
        <v>2834</v>
      </c>
      <c r="J421" s="415" t="s">
        <v>747</v>
      </c>
      <c r="K421" s="417">
        <v>-11.955299999999999</v>
      </c>
      <c r="L421" s="417">
        <v>-75.256399999999999</v>
      </c>
      <c r="M421" s="418">
        <v>30</v>
      </c>
      <c r="N421" s="418" t="s">
        <v>2310</v>
      </c>
      <c r="O421" s="418" t="s">
        <v>2411</v>
      </c>
      <c r="P421" s="415">
        <v>2</v>
      </c>
      <c r="Q421" s="415">
        <v>30</v>
      </c>
      <c r="R421" s="415">
        <v>5</v>
      </c>
      <c r="S421" s="415">
        <f t="shared" si="18"/>
        <v>5</v>
      </c>
      <c r="T421" s="419">
        <f t="shared" si="19"/>
        <v>0.83333333333333337</v>
      </c>
      <c r="U421" s="419">
        <f t="shared" si="20"/>
        <v>5.833333333333333</v>
      </c>
      <c r="V421" s="415" t="s">
        <v>662</v>
      </c>
      <c r="W421" s="415" t="s">
        <v>612</v>
      </c>
      <c r="X421" s="415" t="s">
        <v>671</v>
      </c>
      <c r="Y421" s="415"/>
    </row>
    <row r="422" spans="1:25" hidden="1" x14ac:dyDescent="0.25">
      <c r="A422" s="415">
        <v>421</v>
      </c>
      <c r="B422" s="415">
        <v>337</v>
      </c>
      <c r="C422" s="415">
        <v>226315</v>
      </c>
      <c r="D422" s="416" t="s">
        <v>1523</v>
      </c>
      <c r="E422" s="416" t="s">
        <v>512</v>
      </c>
      <c r="F422" s="416" t="s">
        <v>513</v>
      </c>
      <c r="G422" s="416" t="s">
        <v>1524</v>
      </c>
      <c r="H422" s="416" t="s">
        <v>1525</v>
      </c>
      <c r="I422" s="416" t="s">
        <v>860</v>
      </c>
      <c r="J422" s="415" t="s">
        <v>661</v>
      </c>
      <c r="K422" s="417">
        <v>-11.866899999999999</v>
      </c>
      <c r="L422" s="417">
        <v>-75.208500000000001</v>
      </c>
      <c r="M422" s="418">
        <v>30</v>
      </c>
      <c r="N422" s="418" t="s">
        <v>2310</v>
      </c>
      <c r="O422" s="418" t="s">
        <v>2411</v>
      </c>
      <c r="P422" s="415">
        <v>2</v>
      </c>
      <c r="Q422" s="415">
        <v>30</v>
      </c>
      <c r="R422" s="415">
        <v>5</v>
      </c>
      <c r="S422" s="415">
        <f t="shared" si="18"/>
        <v>5</v>
      </c>
      <c r="T422" s="419">
        <f t="shared" si="19"/>
        <v>0.83333333333333337</v>
      </c>
      <c r="U422" s="419">
        <f t="shared" si="20"/>
        <v>5.833333333333333</v>
      </c>
      <c r="V422" s="415" t="s">
        <v>662</v>
      </c>
      <c r="W422" s="415" t="s">
        <v>612</v>
      </c>
      <c r="X422" s="415" t="s">
        <v>671</v>
      </c>
      <c r="Y422" s="415"/>
    </row>
    <row r="423" spans="1:25" hidden="1" x14ac:dyDescent="0.25">
      <c r="A423" s="415">
        <v>422</v>
      </c>
      <c r="B423" s="415">
        <v>338</v>
      </c>
      <c r="C423" s="415">
        <v>226565</v>
      </c>
      <c r="D423" s="416" t="s">
        <v>1044</v>
      </c>
      <c r="E423" s="416" t="s">
        <v>512</v>
      </c>
      <c r="F423" s="416" t="s">
        <v>513</v>
      </c>
      <c r="G423" s="416" t="s">
        <v>1526</v>
      </c>
      <c r="H423" s="416" t="s">
        <v>1526</v>
      </c>
      <c r="I423" s="416" t="s">
        <v>2835</v>
      </c>
      <c r="J423" s="415" t="s">
        <v>747</v>
      </c>
      <c r="K423" s="417">
        <v>-12.1234</v>
      </c>
      <c r="L423" s="417">
        <v>-75.177300000000002</v>
      </c>
      <c r="M423" s="418">
        <v>30</v>
      </c>
      <c r="N423" s="418" t="s">
        <v>2310</v>
      </c>
      <c r="O423" s="418" t="s">
        <v>2411</v>
      </c>
      <c r="P423" s="415">
        <v>2</v>
      </c>
      <c r="Q423" s="415">
        <v>30</v>
      </c>
      <c r="R423" s="415">
        <v>5</v>
      </c>
      <c r="S423" s="415">
        <f t="shared" si="18"/>
        <v>5</v>
      </c>
      <c r="T423" s="419">
        <f t="shared" si="19"/>
        <v>0.83333333333333337</v>
      </c>
      <c r="U423" s="419">
        <f t="shared" si="20"/>
        <v>5.833333333333333</v>
      </c>
      <c r="V423" s="415" t="s">
        <v>662</v>
      </c>
      <c r="W423" s="415" t="s">
        <v>612</v>
      </c>
      <c r="X423" s="415" t="s">
        <v>671</v>
      </c>
      <c r="Y423" s="415"/>
    </row>
    <row r="424" spans="1:25" hidden="1" x14ac:dyDescent="0.25">
      <c r="A424" s="415">
        <v>423</v>
      </c>
      <c r="B424" s="415">
        <v>339</v>
      </c>
      <c r="C424" s="415">
        <v>236060</v>
      </c>
      <c r="D424" s="416" t="s">
        <v>2836</v>
      </c>
      <c r="E424" s="416" t="s">
        <v>512</v>
      </c>
      <c r="F424" s="416" t="s">
        <v>516</v>
      </c>
      <c r="G424" s="416" t="s">
        <v>2837</v>
      </c>
      <c r="H424" s="416" t="s">
        <v>2838</v>
      </c>
      <c r="I424" s="416" t="s">
        <v>2839</v>
      </c>
      <c r="J424" s="415" t="s">
        <v>661</v>
      </c>
      <c r="K424" s="417">
        <v>-11.7812</v>
      </c>
      <c r="L424" s="417">
        <v>-75.691500000000005</v>
      </c>
      <c r="M424" s="418">
        <v>30</v>
      </c>
      <c r="N424" s="418" t="s">
        <v>2310</v>
      </c>
      <c r="O424" s="418" t="s">
        <v>2411</v>
      </c>
      <c r="P424" s="415">
        <v>2</v>
      </c>
      <c r="Q424" s="415">
        <v>30</v>
      </c>
      <c r="R424" s="415">
        <v>5</v>
      </c>
      <c r="S424" s="415">
        <f t="shared" si="18"/>
        <v>5</v>
      </c>
      <c r="T424" s="419">
        <f t="shared" si="19"/>
        <v>0.83333333333333337</v>
      </c>
      <c r="U424" s="419">
        <f t="shared" si="20"/>
        <v>5.833333333333333</v>
      </c>
      <c r="V424" s="415" t="s">
        <v>662</v>
      </c>
      <c r="W424" s="415" t="s">
        <v>612</v>
      </c>
      <c r="X424" s="415" t="s">
        <v>671</v>
      </c>
      <c r="Y424" s="415"/>
    </row>
    <row r="425" spans="1:25" hidden="1" x14ac:dyDescent="0.25">
      <c r="A425" s="415">
        <v>424</v>
      </c>
      <c r="B425" s="415">
        <v>340</v>
      </c>
      <c r="C425" s="415">
        <v>236319</v>
      </c>
      <c r="D425" s="416" t="s">
        <v>1578</v>
      </c>
      <c r="E425" s="416" t="s">
        <v>512</v>
      </c>
      <c r="F425" s="416" t="s">
        <v>516</v>
      </c>
      <c r="G425" s="416" t="s">
        <v>1579</v>
      </c>
      <c r="H425" s="416" t="s">
        <v>793</v>
      </c>
      <c r="I425" s="416" t="s">
        <v>793</v>
      </c>
      <c r="J425" s="415" t="s">
        <v>661</v>
      </c>
      <c r="K425" s="417">
        <v>-11.763590000000001</v>
      </c>
      <c r="L425" s="417">
        <v>-75.612660000000005</v>
      </c>
      <c r="M425" s="418">
        <v>30</v>
      </c>
      <c r="N425" s="418" t="s">
        <v>2310</v>
      </c>
      <c r="O425" s="418" t="s">
        <v>2411</v>
      </c>
      <c r="P425" s="415">
        <v>2</v>
      </c>
      <c r="Q425" s="415">
        <v>30</v>
      </c>
      <c r="R425" s="415">
        <v>5</v>
      </c>
      <c r="S425" s="415">
        <f t="shared" si="18"/>
        <v>5</v>
      </c>
      <c r="T425" s="419">
        <f t="shared" si="19"/>
        <v>0.83333333333333337</v>
      </c>
      <c r="U425" s="419">
        <f t="shared" si="20"/>
        <v>5.833333333333333</v>
      </c>
      <c r="V425" s="415" t="s">
        <v>662</v>
      </c>
      <c r="W425" s="415" t="s">
        <v>612</v>
      </c>
      <c r="X425" s="415" t="s">
        <v>671</v>
      </c>
      <c r="Y425" s="415"/>
    </row>
    <row r="426" spans="1:25" hidden="1" x14ac:dyDescent="0.25">
      <c r="A426" s="415">
        <v>425</v>
      </c>
      <c r="B426" s="415">
        <v>341</v>
      </c>
      <c r="C426" s="415">
        <v>236442</v>
      </c>
      <c r="D426" s="416" t="s">
        <v>2840</v>
      </c>
      <c r="E426" s="416" t="s">
        <v>512</v>
      </c>
      <c r="F426" s="416" t="s">
        <v>516</v>
      </c>
      <c r="G426" s="416" t="s">
        <v>2841</v>
      </c>
      <c r="H426" s="416" t="s">
        <v>2841</v>
      </c>
      <c r="I426" s="416" t="s">
        <v>2842</v>
      </c>
      <c r="J426" s="415" t="s">
        <v>661</v>
      </c>
      <c r="K426" s="417">
        <v>-11.817299999999999</v>
      </c>
      <c r="L426" s="417">
        <v>-75.624799999999993</v>
      </c>
      <c r="M426" s="418">
        <v>30</v>
      </c>
      <c r="N426" s="418" t="s">
        <v>2310</v>
      </c>
      <c r="O426" s="418" t="s">
        <v>2411</v>
      </c>
      <c r="P426" s="415">
        <v>2</v>
      </c>
      <c r="Q426" s="415">
        <v>30</v>
      </c>
      <c r="R426" s="415">
        <v>5</v>
      </c>
      <c r="S426" s="415">
        <f t="shared" si="18"/>
        <v>5</v>
      </c>
      <c r="T426" s="419">
        <f t="shared" si="19"/>
        <v>0.83333333333333337</v>
      </c>
      <c r="U426" s="419">
        <f t="shared" si="20"/>
        <v>5.833333333333333</v>
      </c>
      <c r="V426" s="415" t="s">
        <v>662</v>
      </c>
      <c r="W426" s="415" t="s">
        <v>612</v>
      </c>
      <c r="X426" s="415" t="s">
        <v>671</v>
      </c>
      <c r="Y426" s="415"/>
    </row>
    <row r="427" spans="1:25" hidden="1" x14ac:dyDescent="0.25">
      <c r="A427" s="415">
        <v>426</v>
      </c>
      <c r="B427" s="415">
        <v>342</v>
      </c>
      <c r="C427" s="415">
        <v>237026</v>
      </c>
      <c r="D427" s="416" t="s">
        <v>2843</v>
      </c>
      <c r="E427" s="416" t="s">
        <v>512</v>
      </c>
      <c r="F427" s="416" t="s">
        <v>516</v>
      </c>
      <c r="G427" s="416" t="s">
        <v>2844</v>
      </c>
      <c r="H427" s="416" t="s">
        <v>2844</v>
      </c>
      <c r="I427" s="416" t="s">
        <v>2845</v>
      </c>
      <c r="J427" s="415" t="s">
        <v>661</v>
      </c>
      <c r="K427" s="417">
        <v>-11.834648</v>
      </c>
      <c r="L427" s="417">
        <v>-75.434370000000001</v>
      </c>
      <c r="M427" s="418">
        <v>30</v>
      </c>
      <c r="N427" s="418" t="s">
        <v>2310</v>
      </c>
      <c r="O427" s="418" t="s">
        <v>2411</v>
      </c>
      <c r="P427" s="415">
        <v>2</v>
      </c>
      <c r="Q427" s="415">
        <v>30</v>
      </c>
      <c r="R427" s="415">
        <v>5</v>
      </c>
      <c r="S427" s="415">
        <f t="shared" si="18"/>
        <v>5</v>
      </c>
      <c r="T427" s="419">
        <f t="shared" si="19"/>
        <v>0.83333333333333337</v>
      </c>
      <c r="U427" s="419">
        <f t="shared" si="20"/>
        <v>5.833333333333333</v>
      </c>
      <c r="V427" s="415" t="s">
        <v>662</v>
      </c>
      <c r="W427" s="415" t="s">
        <v>612</v>
      </c>
      <c r="X427" s="415" t="s">
        <v>671</v>
      </c>
      <c r="Y427" s="415"/>
    </row>
    <row r="428" spans="1:25" hidden="1" x14ac:dyDescent="0.25">
      <c r="A428" s="415">
        <v>427</v>
      </c>
      <c r="B428" s="415">
        <v>343</v>
      </c>
      <c r="C428" s="415">
        <v>237521</v>
      </c>
      <c r="D428" s="416" t="s">
        <v>1581</v>
      </c>
      <c r="E428" s="416" t="s">
        <v>512</v>
      </c>
      <c r="F428" s="416" t="s">
        <v>516</v>
      </c>
      <c r="G428" s="416" t="s">
        <v>1580</v>
      </c>
      <c r="H428" s="416" t="s">
        <v>1582</v>
      </c>
      <c r="I428" s="416" t="s">
        <v>860</v>
      </c>
      <c r="J428" s="415" t="s">
        <v>661</v>
      </c>
      <c r="K428" s="417">
        <v>-11.5974</v>
      </c>
      <c r="L428" s="417">
        <v>-75.467100000000002</v>
      </c>
      <c r="M428" s="418">
        <v>30</v>
      </c>
      <c r="N428" s="418" t="s">
        <v>2310</v>
      </c>
      <c r="O428" s="418" t="s">
        <v>2411</v>
      </c>
      <c r="P428" s="415">
        <v>2</v>
      </c>
      <c r="Q428" s="415">
        <v>30</v>
      </c>
      <c r="R428" s="415">
        <v>5</v>
      </c>
      <c r="S428" s="415">
        <f t="shared" si="18"/>
        <v>5</v>
      </c>
      <c r="T428" s="419">
        <f t="shared" si="19"/>
        <v>0.83333333333333337</v>
      </c>
      <c r="U428" s="419">
        <f t="shared" si="20"/>
        <v>5.833333333333333</v>
      </c>
      <c r="V428" s="415" t="s">
        <v>662</v>
      </c>
      <c r="W428" s="415" t="s">
        <v>612</v>
      </c>
      <c r="X428" s="415" t="s">
        <v>671</v>
      </c>
      <c r="Y428" s="415"/>
    </row>
    <row r="429" spans="1:25" hidden="1" x14ac:dyDescent="0.25">
      <c r="A429" s="415">
        <v>428</v>
      </c>
      <c r="B429" s="415">
        <v>344</v>
      </c>
      <c r="C429" s="415">
        <v>237540</v>
      </c>
      <c r="D429" s="416" t="s">
        <v>1583</v>
      </c>
      <c r="E429" s="416" t="s">
        <v>512</v>
      </c>
      <c r="F429" s="416" t="s">
        <v>516</v>
      </c>
      <c r="G429" s="416" t="s">
        <v>1580</v>
      </c>
      <c r="H429" s="416" t="s">
        <v>1062</v>
      </c>
      <c r="I429" s="416" t="s">
        <v>679</v>
      </c>
      <c r="J429" s="415" t="s">
        <v>661</v>
      </c>
      <c r="K429" s="417">
        <v>-11.472300000000001</v>
      </c>
      <c r="L429" s="417">
        <v>-75.410200000000003</v>
      </c>
      <c r="M429" s="418">
        <v>30</v>
      </c>
      <c r="N429" s="418" t="s">
        <v>2310</v>
      </c>
      <c r="O429" s="418" t="s">
        <v>2411</v>
      </c>
      <c r="P429" s="415">
        <v>2</v>
      </c>
      <c r="Q429" s="415">
        <v>30</v>
      </c>
      <c r="R429" s="415">
        <v>5</v>
      </c>
      <c r="S429" s="415">
        <f t="shared" si="18"/>
        <v>5</v>
      </c>
      <c r="T429" s="419">
        <f t="shared" si="19"/>
        <v>0.83333333333333337</v>
      </c>
      <c r="U429" s="419">
        <f t="shared" si="20"/>
        <v>5.833333333333333</v>
      </c>
      <c r="V429" s="415" t="s">
        <v>662</v>
      </c>
      <c r="W429" s="415" t="s">
        <v>612</v>
      </c>
      <c r="X429" s="415" t="s">
        <v>671</v>
      </c>
      <c r="Y429" s="415"/>
    </row>
    <row r="430" spans="1:25" hidden="1" x14ac:dyDescent="0.25">
      <c r="A430" s="415">
        <v>429</v>
      </c>
      <c r="B430" s="415">
        <v>345</v>
      </c>
      <c r="C430" s="415">
        <v>237776</v>
      </c>
      <c r="D430" s="416" t="s">
        <v>2846</v>
      </c>
      <c r="E430" s="416" t="s">
        <v>512</v>
      </c>
      <c r="F430" s="416" t="s">
        <v>516</v>
      </c>
      <c r="G430" s="416" t="s">
        <v>2847</v>
      </c>
      <c r="H430" s="416" t="s">
        <v>2848</v>
      </c>
      <c r="I430" s="416" t="s">
        <v>2849</v>
      </c>
      <c r="J430" s="415" t="s">
        <v>661</v>
      </c>
      <c r="K430" s="417">
        <v>-11.917503</v>
      </c>
      <c r="L430" s="417">
        <v>-75.412104999999997</v>
      </c>
      <c r="M430" s="418">
        <v>30</v>
      </c>
      <c r="N430" s="418" t="s">
        <v>2310</v>
      </c>
      <c r="O430" s="418" t="s">
        <v>2411</v>
      </c>
      <c r="P430" s="415">
        <v>2</v>
      </c>
      <c r="Q430" s="415">
        <v>30</v>
      </c>
      <c r="R430" s="415">
        <v>5</v>
      </c>
      <c r="S430" s="415">
        <f t="shared" si="18"/>
        <v>5</v>
      </c>
      <c r="T430" s="419">
        <f t="shared" si="19"/>
        <v>0.83333333333333337</v>
      </c>
      <c r="U430" s="419">
        <f t="shared" si="20"/>
        <v>5.833333333333333</v>
      </c>
      <c r="V430" s="415" t="s">
        <v>662</v>
      </c>
      <c r="W430" s="415" t="s">
        <v>612</v>
      </c>
      <c r="X430" s="415" t="s">
        <v>671</v>
      </c>
      <c r="Y430" s="415"/>
    </row>
    <row r="431" spans="1:25" hidden="1" x14ac:dyDescent="0.25">
      <c r="A431" s="415">
        <v>430</v>
      </c>
      <c r="B431" s="415">
        <v>346</v>
      </c>
      <c r="C431" s="415">
        <v>239308</v>
      </c>
      <c r="D431" s="416" t="s">
        <v>2850</v>
      </c>
      <c r="E431" s="416" t="s">
        <v>512</v>
      </c>
      <c r="F431" s="416" t="s">
        <v>512</v>
      </c>
      <c r="G431" s="416" t="s">
        <v>1585</v>
      </c>
      <c r="H431" s="416" t="s">
        <v>2851</v>
      </c>
      <c r="I431" s="416" t="s">
        <v>860</v>
      </c>
      <c r="J431" s="415" t="s">
        <v>661</v>
      </c>
      <c r="K431" s="417">
        <v>-10.74756</v>
      </c>
      <c r="L431" s="417">
        <v>-75.532740000000004</v>
      </c>
      <c r="M431" s="418">
        <v>30</v>
      </c>
      <c r="N431" s="418" t="s">
        <v>2310</v>
      </c>
      <c r="O431" s="418" t="s">
        <v>2411</v>
      </c>
      <c r="P431" s="415">
        <v>2</v>
      </c>
      <c r="Q431" s="415">
        <v>30</v>
      </c>
      <c r="R431" s="415">
        <v>5</v>
      </c>
      <c r="S431" s="415">
        <f t="shared" si="18"/>
        <v>5</v>
      </c>
      <c r="T431" s="419">
        <f t="shared" si="19"/>
        <v>0.83333333333333337</v>
      </c>
      <c r="U431" s="419">
        <f t="shared" si="20"/>
        <v>5.833333333333333</v>
      </c>
      <c r="V431" s="415" t="s">
        <v>662</v>
      </c>
      <c r="W431" s="415" t="s">
        <v>610</v>
      </c>
      <c r="X431" s="415" t="s">
        <v>673</v>
      </c>
      <c r="Y431" s="415"/>
    </row>
    <row r="432" spans="1:25" hidden="1" x14ac:dyDescent="0.25">
      <c r="A432" s="415">
        <v>431</v>
      </c>
      <c r="B432" s="415">
        <v>347</v>
      </c>
      <c r="C432" s="415">
        <v>238988</v>
      </c>
      <c r="D432" s="416" t="s">
        <v>1584</v>
      </c>
      <c r="E432" s="416" t="s">
        <v>512</v>
      </c>
      <c r="F432" s="416" t="s">
        <v>512</v>
      </c>
      <c r="G432" s="416" t="s">
        <v>1585</v>
      </c>
      <c r="H432" s="416" t="s">
        <v>1586</v>
      </c>
      <c r="I432" s="416" t="s">
        <v>1587</v>
      </c>
      <c r="J432" s="415" t="s">
        <v>661</v>
      </c>
      <c r="K432" s="417">
        <v>-10.983224999999999</v>
      </c>
      <c r="L432" s="417">
        <v>-75.764588000000003</v>
      </c>
      <c r="M432" s="418">
        <v>30</v>
      </c>
      <c r="N432" s="418" t="s">
        <v>2310</v>
      </c>
      <c r="O432" s="418" t="s">
        <v>2411</v>
      </c>
      <c r="P432" s="415">
        <v>2</v>
      </c>
      <c r="Q432" s="415">
        <v>30</v>
      </c>
      <c r="R432" s="415">
        <v>5</v>
      </c>
      <c r="S432" s="415">
        <f t="shared" si="18"/>
        <v>5</v>
      </c>
      <c r="T432" s="419">
        <f t="shared" si="19"/>
        <v>0.83333333333333337</v>
      </c>
      <c r="U432" s="419">
        <f t="shared" si="20"/>
        <v>5.833333333333333</v>
      </c>
      <c r="V432" s="415" t="s">
        <v>662</v>
      </c>
      <c r="W432" s="415" t="s">
        <v>610</v>
      </c>
      <c r="X432" s="415" t="s">
        <v>673</v>
      </c>
      <c r="Y432" s="415"/>
    </row>
    <row r="433" spans="1:25" hidden="1" x14ac:dyDescent="0.25">
      <c r="A433" s="415">
        <v>432</v>
      </c>
      <c r="B433" s="415">
        <v>348</v>
      </c>
      <c r="C433" s="415">
        <v>240439</v>
      </c>
      <c r="D433" s="416" t="s">
        <v>1589</v>
      </c>
      <c r="E433" s="416" t="s">
        <v>512</v>
      </c>
      <c r="F433" s="416" t="s">
        <v>520</v>
      </c>
      <c r="G433" s="416" t="s">
        <v>1590</v>
      </c>
      <c r="H433" s="416" t="s">
        <v>1591</v>
      </c>
      <c r="I433" s="416" t="s">
        <v>1592</v>
      </c>
      <c r="J433" s="415" t="s">
        <v>661</v>
      </c>
      <c r="K433" s="417">
        <v>-11.414099999999999</v>
      </c>
      <c r="L433" s="417">
        <v>-74.560400000000001</v>
      </c>
      <c r="M433" s="418">
        <v>30</v>
      </c>
      <c r="N433" s="418" t="s">
        <v>2310</v>
      </c>
      <c r="O433" s="418" t="s">
        <v>2411</v>
      </c>
      <c r="P433" s="415">
        <v>2</v>
      </c>
      <c r="Q433" s="415">
        <v>30</v>
      </c>
      <c r="R433" s="415">
        <v>5</v>
      </c>
      <c r="S433" s="415">
        <f t="shared" si="18"/>
        <v>5</v>
      </c>
      <c r="T433" s="419">
        <f t="shared" si="19"/>
        <v>0.83333333333333337</v>
      </c>
      <c r="U433" s="419">
        <f t="shared" si="20"/>
        <v>5.833333333333333</v>
      </c>
      <c r="V433" s="415" t="s">
        <v>662</v>
      </c>
      <c r="W433" s="415" t="s">
        <v>612</v>
      </c>
      <c r="X433" s="415" t="s">
        <v>671</v>
      </c>
      <c r="Y433" s="415"/>
    </row>
    <row r="434" spans="1:25" hidden="1" x14ac:dyDescent="0.25">
      <c r="A434" s="415">
        <v>433</v>
      </c>
      <c r="B434" s="415">
        <v>349</v>
      </c>
      <c r="C434" s="415">
        <v>241274</v>
      </c>
      <c r="D434" s="416" t="s">
        <v>1601</v>
      </c>
      <c r="E434" s="416" t="s">
        <v>512</v>
      </c>
      <c r="F434" s="416" t="s">
        <v>520</v>
      </c>
      <c r="G434" s="416" t="s">
        <v>1594</v>
      </c>
      <c r="H434" s="416" t="s">
        <v>1602</v>
      </c>
      <c r="I434" s="416" t="s">
        <v>1603</v>
      </c>
      <c r="J434" s="415" t="s">
        <v>661</v>
      </c>
      <c r="K434" s="417">
        <v>-11.671116</v>
      </c>
      <c r="L434" s="417">
        <v>-74.311121999999997</v>
      </c>
      <c r="M434" s="418">
        <v>30</v>
      </c>
      <c r="N434" s="418" t="s">
        <v>2310</v>
      </c>
      <c r="O434" s="418" t="s">
        <v>2411</v>
      </c>
      <c r="P434" s="415">
        <v>2</v>
      </c>
      <c r="Q434" s="415">
        <v>30</v>
      </c>
      <c r="R434" s="415">
        <v>5</v>
      </c>
      <c r="S434" s="415">
        <f t="shared" si="18"/>
        <v>5</v>
      </c>
      <c r="T434" s="419">
        <f t="shared" si="19"/>
        <v>0.83333333333333337</v>
      </c>
      <c r="U434" s="419">
        <f t="shared" si="20"/>
        <v>5.833333333333333</v>
      </c>
      <c r="V434" s="415" t="s">
        <v>662</v>
      </c>
      <c r="W434" s="415" t="s">
        <v>612</v>
      </c>
      <c r="X434" s="415" t="s">
        <v>671</v>
      </c>
      <c r="Y434" s="415"/>
    </row>
    <row r="435" spans="1:25" hidden="1" x14ac:dyDescent="0.25">
      <c r="A435" s="415">
        <v>434</v>
      </c>
      <c r="B435" s="415">
        <v>350</v>
      </c>
      <c r="C435" s="415">
        <v>241189</v>
      </c>
      <c r="D435" s="416" t="s">
        <v>1598</v>
      </c>
      <c r="E435" s="416" t="s">
        <v>512</v>
      </c>
      <c r="F435" s="416" t="s">
        <v>520</v>
      </c>
      <c r="G435" s="416" t="s">
        <v>1594</v>
      </c>
      <c r="H435" s="416" t="s">
        <v>1599</v>
      </c>
      <c r="I435" s="416" t="s">
        <v>1599</v>
      </c>
      <c r="J435" s="415" t="s">
        <v>661</v>
      </c>
      <c r="K435" s="417">
        <v>-11.529702</v>
      </c>
      <c r="L435" s="417">
        <v>-74.507278999999997</v>
      </c>
      <c r="M435" s="418">
        <v>30</v>
      </c>
      <c r="N435" s="418" t="s">
        <v>2310</v>
      </c>
      <c r="O435" s="418" t="s">
        <v>2411</v>
      </c>
      <c r="P435" s="415">
        <v>2</v>
      </c>
      <c r="Q435" s="415">
        <v>30</v>
      </c>
      <c r="R435" s="415">
        <v>5</v>
      </c>
      <c r="S435" s="415">
        <f t="shared" si="18"/>
        <v>5</v>
      </c>
      <c r="T435" s="419">
        <f t="shared" si="19"/>
        <v>0.83333333333333337</v>
      </c>
      <c r="U435" s="419">
        <f t="shared" si="20"/>
        <v>5.833333333333333</v>
      </c>
      <c r="V435" s="415" t="s">
        <v>662</v>
      </c>
      <c r="W435" s="415" t="s">
        <v>612</v>
      </c>
      <c r="X435" s="415" t="s">
        <v>671</v>
      </c>
      <c r="Y435" s="415"/>
    </row>
    <row r="436" spans="1:25" hidden="1" x14ac:dyDescent="0.25">
      <c r="A436" s="415">
        <v>435</v>
      </c>
      <c r="B436" s="415">
        <v>351</v>
      </c>
      <c r="C436" s="415">
        <v>241820</v>
      </c>
      <c r="D436" s="416" t="s">
        <v>1607</v>
      </c>
      <c r="E436" s="416" t="s">
        <v>512</v>
      </c>
      <c r="F436" s="416" t="s">
        <v>520</v>
      </c>
      <c r="G436" s="416" t="s">
        <v>1594</v>
      </c>
      <c r="H436" s="416" t="s">
        <v>1599</v>
      </c>
      <c r="I436" s="416" t="s">
        <v>892</v>
      </c>
      <c r="J436" s="415" t="s">
        <v>661</v>
      </c>
      <c r="K436" s="417">
        <v>-11.529337999999999</v>
      </c>
      <c r="L436" s="417">
        <v>-74.506022999999999</v>
      </c>
      <c r="M436" s="418">
        <v>30</v>
      </c>
      <c r="N436" s="418" t="s">
        <v>2310</v>
      </c>
      <c r="O436" s="418" t="s">
        <v>2411</v>
      </c>
      <c r="P436" s="415">
        <v>2</v>
      </c>
      <c r="Q436" s="415">
        <v>30</v>
      </c>
      <c r="R436" s="415">
        <v>5</v>
      </c>
      <c r="S436" s="415">
        <f t="shared" si="18"/>
        <v>5</v>
      </c>
      <c r="T436" s="419">
        <f t="shared" si="19"/>
        <v>0.83333333333333337</v>
      </c>
      <c r="U436" s="419">
        <f t="shared" si="20"/>
        <v>5.833333333333333</v>
      </c>
      <c r="V436" s="415" t="s">
        <v>662</v>
      </c>
      <c r="W436" s="415" t="s">
        <v>612</v>
      </c>
      <c r="X436" s="415" t="s">
        <v>671</v>
      </c>
      <c r="Y436" s="415"/>
    </row>
    <row r="437" spans="1:25" hidden="1" x14ac:dyDescent="0.25">
      <c r="A437" s="415">
        <v>436</v>
      </c>
      <c r="B437" s="415">
        <v>352</v>
      </c>
      <c r="C437" s="415">
        <v>241146</v>
      </c>
      <c r="D437" s="416" t="s">
        <v>1593</v>
      </c>
      <c r="E437" s="416" t="s">
        <v>512</v>
      </c>
      <c r="F437" s="416" t="s">
        <v>520</v>
      </c>
      <c r="G437" s="416" t="s">
        <v>1594</v>
      </c>
      <c r="H437" s="416" t="s">
        <v>1595</v>
      </c>
      <c r="I437" s="416" t="s">
        <v>1596</v>
      </c>
      <c r="J437" s="415" t="s">
        <v>661</v>
      </c>
      <c r="K437" s="417">
        <v>-11.74872</v>
      </c>
      <c r="L437" s="417">
        <v>-74.306248999999994</v>
      </c>
      <c r="M437" s="418">
        <v>30</v>
      </c>
      <c r="N437" s="418" t="s">
        <v>2310</v>
      </c>
      <c r="O437" s="418" t="s">
        <v>2411</v>
      </c>
      <c r="P437" s="415">
        <v>2</v>
      </c>
      <c r="Q437" s="415">
        <v>30</v>
      </c>
      <c r="R437" s="415">
        <v>5</v>
      </c>
      <c r="S437" s="415">
        <f t="shared" si="18"/>
        <v>5</v>
      </c>
      <c r="T437" s="419">
        <f t="shared" si="19"/>
        <v>0.83333333333333337</v>
      </c>
      <c r="U437" s="419">
        <f t="shared" si="20"/>
        <v>5.833333333333333</v>
      </c>
      <c r="V437" s="415" t="s">
        <v>662</v>
      </c>
      <c r="W437" s="415" t="s">
        <v>612</v>
      </c>
      <c r="X437" s="415" t="s">
        <v>671</v>
      </c>
      <c r="Y437" s="415"/>
    </row>
    <row r="438" spans="1:25" hidden="1" x14ac:dyDescent="0.25">
      <c r="A438" s="415">
        <v>437</v>
      </c>
      <c r="B438" s="415">
        <v>353</v>
      </c>
      <c r="C438" s="415">
        <v>241778</v>
      </c>
      <c r="D438" s="416" t="s">
        <v>1604</v>
      </c>
      <c r="E438" s="416" t="s">
        <v>512</v>
      </c>
      <c r="F438" s="416" t="s">
        <v>520</v>
      </c>
      <c r="G438" s="416" t="s">
        <v>1594</v>
      </c>
      <c r="H438" s="416" t="s">
        <v>1605</v>
      </c>
      <c r="I438" s="416" t="s">
        <v>1606</v>
      </c>
      <c r="J438" s="415" t="s">
        <v>661</v>
      </c>
      <c r="K438" s="417">
        <v>-11.796798000000001</v>
      </c>
      <c r="L438" s="417">
        <v>-74.214599000000007</v>
      </c>
      <c r="M438" s="418">
        <v>30</v>
      </c>
      <c r="N438" s="418" t="s">
        <v>2310</v>
      </c>
      <c r="O438" s="418" t="s">
        <v>2411</v>
      </c>
      <c r="P438" s="415">
        <v>2</v>
      </c>
      <c r="Q438" s="415">
        <v>30</v>
      </c>
      <c r="R438" s="415">
        <v>5</v>
      </c>
      <c r="S438" s="415">
        <f t="shared" si="18"/>
        <v>5</v>
      </c>
      <c r="T438" s="419">
        <f t="shared" si="19"/>
        <v>0.83333333333333337</v>
      </c>
      <c r="U438" s="419">
        <f t="shared" si="20"/>
        <v>5.833333333333333</v>
      </c>
      <c r="V438" s="415" t="s">
        <v>662</v>
      </c>
      <c r="W438" s="415" t="s">
        <v>612</v>
      </c>
      <c r="X438" s="415" t="s">
        <v>671</v>
      </c>
      <c r="Y438" s="415"/>
    </row>
    <row r="439" spans="1:25" hidden="1" x14ac:dyDescent="0.25">
      <c r="A439" s="415">
        <v>438</v>
      </c>
      <c r="B439" s="415">
        <v>354</v>
      </c>
      <c r="C439" s="415">
        <v>245917</v>
      </c>
      <c r="D439" s="416" t="s">
        <v>1612</v>
      </c>
      <c r="E439" s="416" t="s">
        <v>512</v>
      </c>
      <c r="F439" s="416" t="s">
        <v>518</v>
      </c>
      <c r="G439" s="416" t="s">
        <v>1610</v>
      </c>
      <c r="H439" s="416" t="s">
        <v>1611</v>
      </c>
      <c r="I439" s="416" t="s">
        <v>860</v>
      </c>
      <c r="J439" s="415" t="s">
        <v>661</v>
      </c>
      <c r="K439" s="417">
        <v>-11.534307999999999</v>
      </c>
      <c r="L439" s="417">
        <v>-75.581383000000002</v>
      </c>
      <c r="M439" s="418">
        <v>30</v>
      </c>
      <c r="N439" s="418" t="s">
        <v>2310</v>
      </c>
      <c r="O439" s="418" t="s">
        <v>2411</v>
      </c>
      <c r="P439" s="415">
        <v>2</v>
      </c>
      <c r="Q439" s="415">
        <v>30</v>
      </c>
      <c r="R439" s="415">
        <v>5</v>
      </c>
      <c r="S439" s="415">
        <f t="shared" si="18"/>
        <v>5</v>
      </c>
      <c r="T439" s="419">
        <f t="shared" si="19"/>
        <v>0.83333333333333337</v>
      </c>
      <c r="U439" s="419">
        <f t="shared" si="20"/>
        <v>5.833333333333333</v>
      </c>
      <c r="V439" s="415" t="s">
        <v>662</v>
      </c>
      <c r="W439" s="415" t="s">
        <v>612</v>
      </c>
      <c r="X439" s="415" t="s">
        <v>671</v>
      </c>
      <c r="Y439" s="415"/>
    </row>
    <row r="440" spans="1:25" hidden="1" x14ac:dyDescent="0.25">
      <c r="A440" s="415">
        <v>439</v>
      </c>
      <c r="B440" s="415">
        <v>355</v>
      </c>
      <c r="C440" s="415">
        <v>246686</v>
      </c>
      <c r="D440" s="416" t="s">
        <v>1614</v>
      </c>
      <c r="E440" s="416" t="s">
        <v>512</v>
      </c>
      <c r="F440" s="416" t="s">
        <v>518</v>
      </c>
      <c r="G440" s="416" t="s">
        <v>1321</v>
      </c>
      <c r="H440" s="416" t="s">
        <v>1615</v>
      </c>
      <c r="I440" s="416" t="s">
        <v>1600</v>
      </c>
      <c r="J440" s="415" t="s">
        <v>661</v>
      </c>
      <c r="K440" s="417">
        <v>-11.3195</v>
      </c>
      <c r="L440" s="417">
        <v>-75.596800000000002</v>
      </c>
      <c r="M440" s="418">
        <v>30</v>
      </c>
      <c r="N440" s="418" t="s">
        <v>2310</v>
      </c>
      <c r="O440" s="418" t="s">
        <v>2411</v>
      </c>
      <c r="P440" s="415">
        <v>2</v>
      </c>
      <c r="Q440" s="415">
        <v>30</v>
      </c>
      <c r="R440" s="415">
        <v>5</v>
      </c>
      <c r="S440" s="415">
        <f t="shared" si="18"/>
        <v>5</v>
      </c>
      <c r="T440" s="419">
        <f t="shared" si="19"/>
        <v>0.83333333333333337</v>
      </c>
      <c r="U440" s="419">
        <f t="shared" si="20"/>
        <v>5.833333333333333</v>
      </c>
      <c r="V440" s="415" t="s">
        <v>662</v>
      </c>
      <c r="W440" s="415" t="s">
        <v>610</v>
      </c>
      <c r="X440" s="415" t="s">
        <v>673</v>
      </c>
      <c r="Y440" s="415"/>
    </row>
    <row r="441" spans="1:25" hidden="1" x14ac:dyDescent="0.25">
      <c r="A441" s="415">
        <v>440</v>
      </c>
      <c r="B441" s="415">
        <v>356</v>
      </c>
      <c r="C441" s="415">
        <v>245093</v>
      </c>
      <c r="D441" s="416" t="s">
        <v>2852</v>
      </c>
      <c r="E441" s="416" t="s">
        <v>512</v>
      </c>
      <c r="F441" s="416" t="s">
        <v>518</v>
      </c>
      <c r="G441" s="416" t="s">
        <v>518</v>
      </c>
      <c r="H441" s="416" t="s">
        <v>2853</v>
      </c>
      <c r="I441" s="416" t="s">
        <v>2854</v>
      </c>
      <c r="J441" s="415" t="s">
        <v>661</v>
      </c>
      <c r="K441" s="417">
        <v>-11.415445</v>
      </c>
      <c r="L441" s="417">
        <v>-75.786001999999996</v>
      </c>
      <c r="M441" s="418">
        <v>30</v>
      </c>
      <c r="N441" s="418" t="s">
        <v>2310</v>
      </c>
      <c r="O441" s="418" t="s">
        <v>2411</v>
      </c>
      <c r="P441" s="415">
        <v>2</v>
      </c>
      <c r="Q441" s="415">
        <v>30</v>
      </c>
      <c r="R441" s="415">
        <v>5</v>
      </c>
      <c r="S441" s="415">
        <f t="shared" si="18"/>
        <v>5</v>
      </c>
      <c r="T441" s="419">
        <f t="shared" si="19"/>
        <v>0.83333333333333337</v>
      </c>
      <c r="U441" s="419">
        <f t="shared" si="20"/>
        <v>5.833333333333333</v>
      </c>
      <c r="V441" s="415" t="s">
        <v>662</v>
      </c>
      <c r="W441" s="415" t="s">
        <v>610</v>
      </c>
      <c r="X441" s="415" t="s">
        <v>673</v>
      </c>
      <c r="Y441" s="415"/>
    </row>
    <row r="442" spans="1:25" hidden="1" x14ac:dyDescent="0.25">
      <c r="A442" s="415">
        <v>441</v>
      </c>
      <c r="B442" s="415">
        <v>357</v>
      </c>
      <c r="C442" s="415">
        <v>247723</v>
      </c>
      <c r="D442" s="416" t="s">
        <v>2855</v>
      </c>
      <c r="E442" s="416" t="s">
        <v>512</v>
      </c>
      <c r="F442" s="416" t="s">
        <v>517</v>
      </c>
      <c r="G442" s="416" t="s">
        <v>1616</v>
      </c>
      <c r="H442" s="416" t="s">
        <v>1617</v>
      </c>
      <c r="I442" s="416" t="s">
        <v>1618</v>
      </c>
      <c r="J442" s="415" t="s">
        <v>661</v>
      </c>
      <c r="K442" s="417">
        <v>-11.751390000000001</v>
      </c>
      <c r="L442" s="417">
        <v>-76.012226999999996</v>
      </c>
      <c r="M442" s="418">
        <v>30</v>
      </c>
      <c r="N442" s="418" t="s">
        <v>2310</v>
      </c>
      <c r="O442" s="418" t="s">
        <v>2411</v>
      </c>
      <c r="P442" s="415">
        <v>2</v>
      </c>
      <c r="Q442" s="415">
        <v>30</v>
      </c>
      <c r="R442" s="415">
        <v>5</v>
      </c>
      <c r="S442" s="415">
        <f t="shared" si="18"/>
        <v>5</v>
      </c>
      <c r="T442" s="419">
        <f t="shared" si="19"/>
        <v>0.83333333333333337</v>
      </c>
      <c r="U442" s="419">
        <f t="shared" si="20"/>
        <v>5.833333333333333</v>
      </c>
      <c r="V442" s="415" t="s">
        <v>662</v>
      </c>
      <c r="W442" s="415" t="s">
        <v>612</v>
      </c>
      <c r="X442" s="415" t="s">
        <v>671</v>
      </c>
      <c r="Y442" s="415"/>
    </row>
    <row r="443" spans="1:25" hidden="1" x14ac:dyDescent="0.25">
      <c r="A443" s="415">
        <v>442</v>
      </c>
      <c r="B443" s="415">
        <v>358</v>
      </c>
      <c r="C443" s="415">
        <v>247799</v>
      </c>
      <c r="D443" s="416" t="s">
        <v>1623</v>
      </c>
      <c r="E443" s="416" t="s">
        <v>512</v>
      </c>
      <c r="F443" s="416" t="s">
        <v>517</v>
      </c>
      <c r="G443" s="416" t="s">
        <v>1620</v>
      </c>
      <c r="H443" s="416" t="s">
        <v>1624</v>
      </c>
      <c r="I443" s="416" t="s">
        <v>1625</v>
      </c>
      <c r="J443" s="415" t="s">
        <v>661</v>
      </c>
      <c r="K443" s="417">
        <v>-11.363300000000001</v>
      </c>
      <c r="L443" s="417">
        <v>-76.219200000000001</v>
      </c>
      <c r="M443" s="418">
        <v>30</v>
      </c>
      <c r="N443" s="418" t="s">
        <v>2310</v>
      </c>
      <c r="O443" s="418" t="s">
        <v>2411</v>
      </c>
      <c r="P443" s="415">
        <v>2</v>
      </c>
      <c r="Q443" s="415">
        <v>30</v>
      </c>
      <c r="R443" s="415">
        <v>5</v>
      </c>
      <c r="S443" s="415">
        <f t="shared" si="18"/>
        <v>5</v>
      </c>
      <c r="T443" s="419">
        <f t="shared" si="19"/>
        <v>0.83333333333333337</v>
      </c>
      <c r="U443" s="419">
        <f t="shared" si="20"/>
        <v>5.833333333333333</v>
      </c>
      <c r="V443" s="415" t="s">
        <v>662</v>
      </c>
      <c r="W443" s="415" t="s">
        <v>610</v>
      </c>
      <c r="X443" s="415" t="s">
        <v>673</v>
      </c>
      <c r="Y443" s="415"/>
    </row>
    <row r="444" spans="1:25" hidden="1" x14ac:dyDescent="0.25">
      <c r="A444" s="415">
        <v>443</v>
      </c>
      <c r="B444" s="415">
        <v>359</v>
      </c>
      <c r="C444" s="415">
        <v>247756</v>
      </c>
      <c r="D444" s="416" t="s">
        <v>1619</v>
      </c>
      <c r="E444" s="416" t="s">
        <v>512</v>
      </c>
      <c r="F444" s="416" t="s">
        <v>517</v>
      </c>
      <c r="G444" s="416" t="s">
        <v>1620</v>
      </c>
      <c r="H444" s="416" t="s">
        <v>1621</v>
      </c>
      <c r="I444" s="416" t="s">
        <v>1622</v>
      </c>
      <c r="J444" s="415" t="s">
        <v>661</v>
      </c>
      <c r="K444" s="417">
        <v>-11.344099999999999</v>
      </c>
      <c r="L444" s="417">
        <v>-76.406899999999993</v>
      </c>
      <c r="M444" s="418">
        <v>30</v>
      </c>
      <c r="N444" s="418" t="s">
        <v>2310</v>
      </c>
      <c r="O444" s="418" t="s">
        <v>2411</v>
      </c>
      <c r="P444" s="415">
        <v>2</v>
      </c>
      <c r="Q444" s="415">
        <v>30</v>
      </c>
      <c r="R444" s="415">
        <v>5</v>
      </c>
      <c r="S444" s="415">
        <f t="shared" si="18"/>
        <v>5</v>
      </c>
      <c r="T444" s="419">
        <f t="shared" si="19"/>
        <v>0.83333333333333337</v>
      </c>
      <c r="U444" s="419">
        <f t="shared" si="20"/>
        <v>5.833333333333333</v>
      </c>
      <c r="V444" s="415" t="s">
        <v>662</v>
      </c>
      <c r="W444" s="415" t="s">
        <v>610</v>
      </c>
      <c r="X444" s="415" t="s">
        <v>673</v>
      </c>
      <c r="Y444" s="415"/>
    </row>
    <row r="445" spans="1:25" hidden="1" x14ac:dyDescent="0.25">
      <c r="A445" s="415">
        <v>444</v>
      </c>
      <c r="B445" s="415">
        <v>360</v>
      </c>
      <c r="C445" s="415">
        <v>248299</v>
      </c>
      <c r="D445" s="416" t="s">
        <v>1626</v>
      </c>
      <c r="E445" s="416" t="s">
        <v>512</v>
      </c>
      <c r="F445" s="416" t="s">
        <v>517</v>
      </c>
      <c r="G445" s="416" t="s">
        <v>517</v>
      </c>
      <c r="H445" s="416" t="s">
        <v>1627</v>
      </c>
      <c r="I445" s="416" t="s">
        <v>1628</v>
      </c>
      <c r="J445" s="415" t="s">
        <v>661</v>
      </c>
      <c r="K445" s="417">
        <v>-11.7417</v>
      </c>
      <c r="L445" s="417">
        <v>-76.055199999999999</v>
      </c>
      <c r="M445" s="418">
        <v>30</v>
      </c>
      <c r="N445" s="418" t="s">
        <v>2310</v>
      </c>
      <c r="O445" s="418" t="s">
        <v>2411</v>
      </c>
      <c r="P445" s="415">
        <v>2</v>
      </c>
      <c r="Q445" s="415">
        <v>30</v>
      </c>
      <c r="R445" s="415">
        <v>5</v>
      </c>
      <c r="S445" s="415">
        <f t="shared" si="18"/>
        <v>5</v>
      </c>
      <c r="T445" s="419">
        <f t="shared" si="19"/>
        <v>0.83333333333333337</v>
      </c>
      <c r="U445" s="419">
        <f t="shared" si="20"/>
        <v>5.833333333333333</v>
      </c>
      <c r="V445" s="415" t="s">
        <v>662</v>
      </c>
      <c r="W445" s="415" t="s">
        <v>610</v>
      </c>
      <c r="X445" s="415" t="s">
        <v>673</v>
      </c>
      <c r="Y445" s="415"/>
    </row>
    <row r="446" spans="1:25" hidden="1" x14ac:dyDescent="0.25">
      <c r="A446" s="415">
        <v>445</v>
      </c>
      <c r="B446" s="415">
        <v>361</v>
      </c>
      <c r="C446" s="415">
        <v>348977</v>
      </c>
      <c r="D446" s="416" t="s">
        <v>2856</v>
      </c>
      <c r="E446" s="416" t="s">
        <v>538</v>
      </c>
      <c r="F446" s="416" t="s">
        <v>539</v>
      </c>
      <c r="G446" s="416" t="s">
        <v>539</v>
      </c>
      <c r="H446" s="416" t="s">
        <v>2857</v>
      </c>
      <c r="I446" s="416" t="s">
        <v>2858</v>
      </c>
      <c r="J446" s="415" t="s">
        <v>661</v>
      </c>
      <c r="K446" s="417">
        <v>-10.726017000000001</v>
      </c>
      <c r="L446" s="417">
        <v>-77.726183000000006</v>
      </c>
      <c r="M446" s="418">
        <v>30</v>
      </c>
      <c r="N446" s="418" t="s">
        <v>2310</v>
      </c>
      <c r="O446" s="418" t="s">
        <v>2411</v>
      </c>
      <c r="P446" s="415">
        <v>2</v>
      </c>
      <c r="Q446" s="415">
        <v>30</v>
      </c>
      <c r="R446" s="415">
        <v>5</v>
      </c>
      <c r="S446" s="415">
        <f t="shared" si="18"/>
        <v>5</v>
      </c>
      <c r="T446" s="419">
        <f t="shared" si="19"/>
        <v>0.83333333333333337</v>
      </c>
      <c r="U446" s="419">
        <f t="shared" si="20"/>
        <v>5.833333333333333</v>
      </c>
      <c r="V446" s="415" t="s">
        <v>662</v>
      </c>
      <c r="W446" s="415" t="s">
        <v>610</v>
      </c>
      <c r="X446" s="415" t="s">
        <v>673</v>
      </c>
      <c r="Y446" s="415"/>
    </row>
    <row r="447" spans="1:25" hidden="1" x14ac:dyDescent="0.25">
      <c r="A447" s="415">
        <v>446</v>
      </c>
      <c r="B447" s="415">
        <v>362</v>
      </c>
      <c r="C447" s="415">
        <v>348963</v>
      </c>
      <c r="D447" s="416" t="s">
        <v>2859</v>
      </c>
      <c r="E447" s="416" t="s">
        <v>538</v>
      </c>
      <c r="F447" s="416" t="s">
        <v>539</v>
      </c>
      <c r="G447" s="416" t="s">
        <v>539</v>
      </c>
      <c r="H447" s="416" t="s">
        <v>2860</v>
      </c>
      <c r="I447" s="416" t="s">
        <v>2860</v>
      </c>
      <c r="J447" s="415" t="s">
        <v>661</v>
      </c>
      <c r="K447" s="417">
        <v>-10.714320000000001</v>
      </c>
      <c r="L447" s="417">
        <v>-77.740947000000006</v>
      </c>
      <c r="M447" s="418">
        <v>30</v>
      </c>
      <c r="N447" s="418" t="s">
        <v>2310</v>
      </c>
      <c r="O447" s="418" t="s">
        <v>2411</v>
      </c>
      <c r="P447" s="415">
        <v>2</v>
      </c>
      <c r="Q447" s="415">
        <v>30</v>
      </c>
      <c r="R447" s="415">
        <v>5</v>
      </c>
      <c r="S447" s="415">
        <f t="shared" si="18"/>
        <v>5</v>
      </c>
      <c r="T447" s="419">
        <f t="shared" si="19"/>
        <v>0.83333333333333337</v>
      </c>
      <c r="U447" s="419">
        <f t="shared" si="20"/>
        <v>5.833333333333333</v>
      </c>
      <c r="V447" s="415" t="s">
        <v>662</v>
      </c>
      <c r="W447" s="415" t="s">
        <v>610</v>
      </c>
      <c r="X447" s="415" t="s">
        <v>673</v>
      </c>
      <c r="Y447" s="415"/>
    </row>
    <row r="448" spans="1:25" hidden="1" x14ac:dyDescent="0.25">
      <c r="A448" s="415">
        <v>447</v>
      </c>
      <c r="B448" s="415">
        <v>363</v>
      </c>
      <c r="C448" s="415">
        <v>350079</v>
      </c>
      <c r="D448" s="416" t="s">
        <v>2861</v>
      </c>
      <c r="E448" s="416" t="s">
        <v>538</v>
      </c>
      <c r="F448" s="416" t="s">
        <v>539</v>
      </c>
      <c r="G448" s="416" t="s">
        <v>1779</v>
      </c>
      <c r="H448" s="416" t="s">
        <v>2862</v>
      </c>
      <c r="I448" s="416" t="s">
        <v>2863</v>
      </c>
      <c r="J448" s="415" t="s">
        <v>661</v>
      </c>
      <c r="K448" s="417">
        <v>-10.856199</v>
      </c>
      <c r="L448" s="417">
        <v>-77.702444</v>
      </c>
      <c r="M448" s="418">
        <v>30</v>
      </c>
      <c r="N448" s="418" t="s">
        <v>2310</v>
      </c>
      <c r="O448" s="418" t="s">
        <v>2411</v>
      </c>
      <c r="P448" s="415">
        <v>2</v>
      </c>
      <c r="Q448" s="415">
        <v>30</v>
      </c>
      <c r="R448" s="415">
        <v>5</v>
      </c>
      <c r="S448" s="415">
        <f t="shared" si="18"/>
        <v>5</v>
      </c>
      <c r="T448" s="419">
        <f t="shared" si="19"/>
        <v>0.83333333333333337</v>
      </c>
      <c r="U448" s="419">
        <f t="shared" si="20"/>
        <v>5.833333333333333</v>
      </c>
      <c r="V448" s="415" t="s">
        <v>662</v>
      </c>
      <c r="W448" s="415" t="s">
        <v>610</v>
      </c>
      <c r="X448" s="415" t="s">
        <v>673</v>
      </c>
      <c r="Y448" s="415"/>
    </row>
    <row r="449" spans="1:25" hidden="1" x14ac:dyDescent="0.25">
      <c r="A449" s="415">
        <v>448</v>
      </c>
      <c r="B449" s="415">
        <v>364</v>
      </c>
      <c r="C449" s="415">
        <v>351248</v>
      </c>
      <c r="D449" s="416" t="s">
        <v>1780</v>
      </c>
      <c r="E449" s="416" t="s">
        <v>538</v>
      </c>
      <c r="F449" s="416" t="s">
        <v>541</v>
      </c>
      <c r="G449" s="416" t="s">
        <v>1781</v>
      </c>
      <c r="H449" s="416" t="s">
        <v>1782</v>
      </c>
      <c r="I449" s="416" t="s">
        <v>1783</v>
      </c>
      <c r="J449" s="415" t="s">
        <v>661</v>
      </c>
      <c r="K449" s="417">
        <v>-11.6303</v>
      </c>
      <c r="L449" s="417">
        <v>-76.6965</v>
      </c>
      <c r="M449" s="418">
        <v>30</v>
      </c>
      <c r="N449" s="418" t="s">
        <v>2310</v>
      </c>
      <c r="O449" s="418" t="s">
        <v>2411</v>
      </c>
      <c r="P449" s="415">
        <v>2</v>
      </c>
      <c r="Q449" s="415">
        <v>30</v>
      </c>
      <c r="R449" s="415">
        <v>5</v>
      </c>
      <c r="S449" s="415">
        <f t="shared" si="18"/>
        <v>5</v>
      </c>
      <c r="T449" s="419">
        <f t="shared" si="19"/>
        <v>0.83333333333333337</v>
      </c>
      <c r="U449" s="419">
        <f t="shared" si="20"/>
        <v>5.833333333333333</v>
      </c>
      <c r="V449" s="415" t="s">
        <v>662</v>
      </c>
      <c r="W449" s="415" t="s">
        <v>610</v>
      </c>
      <c r="X449" s="415" t="s">
        <v>673</v>
      </c>
      <c r="Y449" s="415"/>
    </row>
    <row r="450" spans="1:25" hidden="1" x14ac:dyDescent="0.25">
      <c r="A450" s="415">
        <v>449</v>
      </c>
      <c r="B450" s="415">
        <v>365</v>
      </c>
      <c r="C450" s="415">
        <v>352479</v>
      </c>
      <c r="D450" s="416" t="s">
        <v>2864</v>
      </c>
      <c r="E450" s="416" t="s">
        <v>538</v>
      </c>
      <c r="F450" s="416" t="s">
        <v>542</v>
      </c>
      <c r="G450" s="416" t="s">
        <v>2865</v>
      </c>
      <c r="H450" s="416" t="s">
        <v>2866</v>
      </c>
      <c r="I450" s="416" t="s">
        <v>2867</v>
      </c>
      <c r="J450" s="415" t="s">
        <v>661</v>
      </c>
      <c r="K450" s="417">
        <v>-12.738092</v>
      </c>
      <c r="L450" s="417">
        <v>-76.61112</v>
      </c>
      <c r="M450" s="418">
        <v>30</v>
      </c>
      <c r="N450" s="418" t="s">
        <v>2310</v>
      </c>
      <c r="O450" s="418" t="s">
        <v>2411</v>
      </c>
      <c r="P450" s="415">
        <v>2</v>
      </c>
      <c r="Q450" s="415">
        <v>30</v>
      </c>
      <c r="R450" s="415">
        <v>5</v>
      </c>
      <c r="S450" s="415">
        <f t="shared" si="18"/>
        <v>5</v>
      </c>
      <c r="T450" s="419">
        <f t="shared" si="19"/>
        <v>0.83333333333333337</v>
      </c>
      <c r="U450" s="419">
        <f t="shared" si="20"/>
        <v>5.833333333333333</v>
      </c>
      <c r="V450" s="415" t="s">
        <v>662</v>
      </c>
      <c r="W450" s="415" t="s">
        <v>612</v>
      </c>
      <c r="X450" s="415" t="s">
        <v>671</v>
      </c>
      <c r="Y450" s="415"/>
    </row>
    <row r="451" spans="1:25" hidden="1" x14ac:dyDescent="0.25">
      <c r="A451" s="415">
        <v>450</v>
      </c>
      <c r="B451" s="415">
        <v>366</v>
      </c>
      <c r="C451" s="415">
        <v>353049</v>
      </c>
      <c r="D451" s="416" t="s">
        <v>2868</v>
      </c>
      <c r="E451" s="416" t="s">
        <v>538</v>
      </c>
      <c r="F451" s="416" t="s">
        <v>542</v>
      </c>
      <c r="G451" s="416" t="s">
        <v>2588</v>
      </c>
      <c r="H451" s="416" t="s">
        <v>2869</v>
      </c>
      <c r="I451" s="416" t="s">
        <v>2870</v>
      </c>
      <c r="J451" s="415" t="s">
        <v>747</v>
      </c>
      <c r="K451" s="417">
        <v>-13.056647</v>
      </c>
      <c r="L451" s="417">
        <v>-76.347075000000004</v>
      </c>
      <c r="M451" s="418">
        <v>30</v>
      </c>
      <c r="N451" s="418" t="s">
        <v>2310</v>
      </c>
      <c r="O451" s="418" t="s">
        <v>2411</v>
      </c>
      <c r="P451" s="415">
        <v>2</v>
      </c>
      <c r="Q451" s="415">
        <v>30</v>
      </c>
      <c r="R451" s="415">
        <v>5</v>
      </c>
      <c r="S451" s="415">
        <f t="shared" ref="S451:S514" si="21">Q451/$AB$1</f>
        <v>5</v>
      </c>
      <c r="T451" s="419">
        <f t="shared" ref="T451:T514" si="22">R451/$AB$1</f>
        <v>0.83333333333333337</v>
      </c>
      <c r="U451" s="419">
        <f t="shared" ref="U451:U514" si="23">S451+T451</f>
        <v>5.833333333333333</v>
      </c>
      <c r="V451" s="415" t="s">
        <v>662</v>
      </c>
      <c r="W451" s="415" t="s">
        <v>612</v>
      </c>
      <c r="X451" s="415" t="s">
        <v>671</v>
      </c>
      <c r="Y451" s="415"/>
    </row>
    <row r="452" spans="1:25" hidden="1" x14ac:dyDescent="0.25">
      <c r="A452" s="415">
        <v>451</v>
      </c>
      <c r="B452" s="415">
        <v>367</v>
      </c>
      <c r="C452" s="415">
        <v>730503</v>
      </c>
      <c r="D452" s="416" t="s">
        <v>2871</v>
      </c>
      <c r="E452" s="416" t="s">
        <v>538</v>
      </c>
      <c r="F452" s="416" t="s">
        <v>542</v>
      </c>
      <c r="G452" s="416" t="s">
        <v>2588</v>
      </c>
      <c r="H452" s="416" t="s">
        <v>1898</v>
      </c>
      <c r="I452" s="416" t="s">
        <v>2872</v>
      </c>
      <c r="J452" s="415" t="s">
        <v>747</v>
      </c>
      <c r="K452" s="417">
        <v>-13.045373</v>
      </c>
      <c r="L452" s="417">
        <v>-76.363247000000001</v>
      </c>
      <c r="M452" s="418">
        <v>30</v>
      </c>
      <c r="N452" s="418" t="s">
        <v>2310</v>
      </c>
      <c r="O452" s="418" t="s">
        <v>2411</v>
      </c>
      <c r="P452" s="415">
        <v>2</v>
      </c>
      <c r="Q452" s="415">
        <v>30</v>
      </c>
      <c r="R452" s="415">
        <v>5</v>
      </c>
      <c r="S452" s="415">
        <f t="shared" si="21"/>
        <v>5</v>
      </c>
      <c r="T452" s="419">
        <f t="shared" si="22"/>
        <v>0.83333333333333337</v>
      </c>
      <c r="U452" s="419">
        <f t="shared" si="23"/>
        <v>5.833333333333333</v>
      </c>
      <c r="V452" s="415" t="s">
        <v>662</v>
      </c>
      <c r="W452" s="415" t="s">
        <v>612</v>
      </c>
      <c r="X452" s="415" t="s">
        <v>671</v>
      </c>
      <c r="Y452" s="415"/>
    </row>
    <row r="453" spans="1:25" hidden="1" x14ac:dyDescent="0.25">
      <c r="A453" s="415">
        <v>452</v>
      </c>
      <c r="B453" s="415">
        <v>368</v>
      </c>
      <c r="C453" s="415">
        <v>730683</v>
      </c>
      <c r="D453" s="416" t="s">
        <v>2267</v>
      </c>
      <c r="E453" s="416" t="s">
        <v>538</v>
      </c>
      <c r="F453" s="416" t="s">
        <v>542</v>
      </c>
      <c r="G453" s="416" t="s">
        <v>1784</v>
      </c>
      <c r="H453" s="416" t="s">
        <v>2268</v>
      </c>
      <c r="I453" s="416" t="s">
        <v>2269</v>
      </c>
      <c r="J453" s="415" t="s">
        <v>747</v>
      </c>
      <c r="K453" s="417">
        <v>-13.254849999999999</v>
      </c>
      <c r="L453" s="417">
        <v>-76.276799999999994</v>
      </c>
      <c r="M453" s="418">
        <v>30</v>
      </c>
      <c r="N453" s="418" t="s">
        <v>2310</v>
      </c>
      <c r="O453" s="418" t="s">
        <v>2411</v>
      </c>
      <c r="P453" s="415">
        <v>2</v>
      </c>
      <c r="Q453" s="415">
        <v>30</v>
      </c>
      <c r="R453" s="415">
        <v>5</v>
      </c>
      <c r="S453" s="415">
        <f t="shared" si="21"/>
        <v>5</v>
      </c>
      <c r="T453" s="419">
        <f t="shared" si="22"/>
        <v>0.83333333333333337</v>
      </c>
      <c r="U453" s="419">
        <f t="shared" si="23"/>
        <v>5.833333333333333</v>
      </c>
      <c r="V453" s="415" t="s">
        <v>662</v>
      </c>
      <c r="W453" s="415" t="s">
        <v>612</v>
      </c>
      <c r="X453" s="415" t="s">
        <v>671</v>
      </c>
      <c r="Y453" s="415"/>
    </row>
    <row r="454" spans="1:25" hidden="1" x14ac:dyDescent="0.25">
      <c r="A454" s="415">
        <v>453</v>
      </c>
      <c r="B454" s="415">
        <v>369</v>
      </c>
      <c r="C454" s="415">
        <v>355675</v>
      </c>
      <c r="D454" s="416" t="s">
        <v>1788</v>
      </c>
      <c r="E454" s="416" t="s">
        <v>538</v>
      </c>
      <c r="F454" s="416" t="s">
        <v>543</v>
      </c>
      <c r="G454" s="416" t="s">
        <v>1787</v>
      </c>
      <c r="H454" s="416" t="s">
        <v>1789</v>
      </c>
      <c r="I454" s="416" t="s">
        <v>1790</v>
      </c>
      <c r="J454" s="415" t="s">
        <v>661</v>
      </c>
      <c r="K454" s="417">
        <v>-11.503838</v>
      </c>
      <c r="L454" s="417">
        <v>-77.154065000000003</v>
      </c>
      <c r="M454" s="418">
        <v>30</v>
      </c>
      <c r="N454" s="418" t="s">
        <v>2310</v>
      </c>
      <c r="O454" s="418" t="s">
        <v>2411</v>
      </c>
      <c r="P454" s="415">
        <v>2</v>
      </c>
      <c r="Q454" s="415">
        <v>30</v>
      </c>
      <c r="R454" s="415">
        <v>5</v>
      </c>
      <c r="S454" s="415">
        <f t="shared" si="21"/>
        <v>5</v>
      </c>
      <c r="T454" s="419">
        <f t="shared" si="22"/>
        <v>0.83333333333333337</v>
      </c>
      <c r="U454" s="419">
        <f t="shared" si="23"/>
        <v>5.833333333333333</v>
      </c>
      <c r="V454" s="415" t="s">
        <v>662</v>
      </c>
      <c r="W454" s="415" t="s">
        <v>610</v>
      </c>
      <c r="X454" s="415" t="s">
        <v>673</v>
      </c>
      <c r="Y454" s="415"/>
    </row>
    <row r="455" spans="1:25" hidden="1" x14ac:dyDescent="0.25">
      <c r="A455" s="415">
        <v>454</v>
      </c>
      <c r="B455" s="415">
        <v>370</v>
      </c>
      <c r="C455" s="415">
        <v>355595</v>
      </c>
      <c r="D455" s="416" t="s">
        <v>2873</v>
      </c>
      <c r="E455" s="416" t="s">
        <v>538</v>
      </c>
      <c r="F455" s="416" t="s">
        <v>543</v>
      </c>
      <c r="G455" s="416" t="s">
        <v>1787</v>
      </c>
      <c r="H455" s="416" t="s">
        <v>2874</v>
      </c>
      <c r="I455" s="416" t="s">
        <v>2875</v>
      </c>
      <c r="J455" s="415" t="s">
        <v>661</v>
      </c>
      <c r="K455" s="417">
        <v>-11.613538</v>
      </c>
      <c r="L455" s="417">
        <v>-77.235005999999998</v>
      </c>
      <c r="M455" s="418">
        <v>30</v>
      </c>
      <c r="N455" s="418" t="s">
        <v>2310</v>
      </c>
      <c r="O455" s="418" t="s">
        <v>2411</v>
      </c>
      <c r="P455" s="415">
        <v>2</v>
      </c>
      <c r="Q455" s="415">
        <v>30</v>
      </c>
      <c r="R455" s="415">
        <v>5</v>
      </c>
      <c r="S455" s="415">
        <f t="shared" si="21"/>
        <v>5</v>
      </c>
      <c r="T455" s="419">
        <f t="shared" si="22"/>
        <v>0.83333333333333337</v>
      </c>
      <c r="U455" s="419">
        <f t="shared" si="23"/>
        <v>5.833333333333333</v>
      </c>
      <c r="V455" s="415" t="s">
        <v>662</v>
      </c>
      <c r="W455" s="415" t="s">
        <v>610</v>
      </c>
      <c r="X455" s="415" t="s">
        <v>673</v>
      </c>
      <c r="Y455" s="415"/>
    </row>
    <row r="456" spans="1:25" hidden="1" x14ac:dyDescent="0.25">
      <c r="A456" s="415">
        <v>455</v>
      </c>
      <c r="B456" s="415">
        <v>371</v>
      </c>
      <c r="C456" s="415">
        <v>355939</v>
      </c>
      <c r="D456" s="416" t="s">
        <v>2876</v>
      </c>
      <c r="E456" s="416" t="s">
        <v>538</v>
      </c>
      <c r="F456" s="416" t="s">
        <v>543</v>
      </c>
      <c r="G456" s="416" t="s">
        <v>1102</v>
      </c>
      <c r="H456" s="416" t="s">
        <v>2877</v>
      </c>
      <c r="I456" s="416" t="s">
        <v>2878</v>
      </c>
      <c r="J456" s="415" t="s">
        <v>747</v>
      </c>
      <c r="K456" s="417">
        <v>-11.603203000000001</v>
      </c>
      <c r="L456" s="417">
        <v>-77.245924000000002</v>
      </c>
      <c r="M456" s="418">
        <v>30</v>
      </c>
      <c r="N456" s="418" t="s">
        <v>2310</v>
      </c>
      <c r="O456" s="418" t="s">
        <v>2411</v>
      </c>
      <c r="P456" s="415">
        <v>2</v>
      </c>
      <c r="Q456" s="415">
        <v>30</v>
      </c>
      <c r="R456" s="415">
        <v>5</v>
      </c>
      <c r="S456" s="415">
        <f t="shared" si="21"/>
        <v>5</v>
      </c>
      <c r="T456" s="419">
        <f t="shared" si="22"/>
        <v>0.83333333333333337</v>
      </c>
      <c r="U456" s="419">
        <f t="shared" si="23"/>
        <v>5.833333333333333</v>
      </c>
      <c r="V456" s="415" t="s">
        <v>662</v>
      </c>
      <c r="W456" s="415" t="s">
        <v>610</v>
      </c>
      <c r="X456" s="415" t="s">
        <v>673</v>
      </c>
      <c r="Y456" s="415"/>
    </row>
    <row r="457" spans="1:25" hidden="1" x14ac:dyDescent="0.25">
      <c r="A457" s="415">
        <v>456</v>
      </c>
      <c r="B457" s="415">
        <v>372</v>
      </c>
      <c r="C457" s="415">
        <v>355048</v>
      </c>
      <c r="D457" s="416" t="s">
        <v>2879</v>
      </c>
      <c r="E457" s="416" t="s">
        <v>538</v>
      </c>
      <c r="F457" s="416" t="s">
        <v>543</v>
      </c>
      <c r="G457" s="416" t="s">
        <v>543</v>
      </c>
      <c r="H457" s="416" t="s">
        <v>2880</v>
      </c>
      <c r="I457" s="416" t="s">
        <v>2881</v>
      </c>
      <c r="J457" s="415" t="s">
        <v>661</v>
      </c>
      <c r="K457" s="417">
        <v>-11.427256</v>
      </c>
      <c r="L457" s="417">
        <v>-77.189543</v>
      </c>
      <c r="M457" s="418">
        <v>30</v>
      </c>
      <c r="N457" s="418" t="s">
        <v>2310</v>
      </c>
      <c r="O457" s="418" t="s">
        <v>2411</v>
      </c>
      <c r="P457" s="415">
        <v>2</v>
      </c>
      <c r="Q457" s="415">
        <v>30</v>
      </c>
      <c r="R457" s="415">
        <v>5</v>
      </c>
      <c r="S457" s="415">
        <f t="shared" si="21"/>
        <v>5</v>
      </c>
      <c r="T457" s="419">
        <f t="shared" si="22"/>
        <v>0.83333333333333337</v>
      </c>
      <c r="U457" s="419">
        <f t="shared" si="23"/>
        <v>5.833333333333333</v>
      </c>
      <c r="V457" s="415" t="s">
        <v>662</v>
      </c>
      <c r="W457" s="415" t="s">
        <v>610</v>
      </c>
      <c r="X457" s="415" t="s">
        <v>673</v>
      </c>
      <c r="Y457" s="415"/>
    </row>
    <row r="458" spans="1:25" hidden="1" x14ac:dyDescent="0.25">
      <c r="A458" s="415">
        <v>457</v>
      </c>
      <c r="B458" s="415">
        <v>373</v>
      </c>
      <c r="C458" s="415">
        <v>354586</v>
      </c>
      <c r="D458" s="416" t="s">
        <v>2882</v>
      </c>
      <c r="E458" s="416" t="s">
        <v>538</v>
      </c>
      <c r="F458" s="416" t="s">
        <v>543</v>
      </c>
      <c r="G458" s="416" t="s">
        <v>543</v>
      </c>
      <c r="H458" s="416" t="s">
        <v>1916</v>
      </c>
      <c r="I458" s="416" t="s">
        <v>2883</v>
      </c>
      <c r="J458" s="415" t="s">
        <v>661</v>
      </c>
      <c r="K458" s="417">
        <v>-11.448461999999999</v>
      </c>
      <c r="L458" s="417">
        <v>-77.216468000000006</v>
      </c>
      <c r="M458" s="418">
        <v>30</v>
      </c>
      <c r="N458" s="418" t="s">
        <v>2310</v>
      </c>
      <c r="O458" s="418" t="s">
        <v>2411</v>
      </c>
      <c r="P458" s="415">
        <v>2</v>
      </c>
      <c r="Q458" s="415">
        <v>30</v>
      </c>
      <c r="R458" s="415">
        <v>5</v>
      </c>
      <c r="S458" s="415">
        <f t="shared" si="21"/>
        <v>5</v>
      </c>
      <c r="T458" s="419">
        <f t="shared" si="22"/>
        <v>0.83333333333333337</v>
      </c>
      <c r="U458" s="419">
        <f t="shared" si="23"/>
        <v>5.833333333333333</v>
      </c>
      <c r="V458" s="415" t="s">
        <v>662</v>
      </c>
      <c r="W458" s="415" t="s">
        <v>610</v>
      </c>
      <c r="X458" s="415" t="s">
        <v>673</v>
      </c>
      <c r="Y458" s="415"/>
    </row>
    <row r="459" spans="1:25" hidden="1" x14ac:dyDescent="0.25">
      <c r="A459" s="415">
        <v>458</v>
      </c>
      <c r="B459" s="415">
        <v>374</v>
      </c>
      <c r="C459" s="415">
        <v>354831</v>
      </c>
      <c r="D459" s="416" t="s">
        <v>2884</v>
      </c>
      <c r="E459" s="416" t="s">
        <v>538</v>
      </c>
      <c r="F459" s="416" t="s">
        <v>543</v>
      </c>
      <c r="G459" s="416" t="s">
        <v>543</v>
      </c>
      <c r="H459" s="416" t="s">
        <v>2885</v>
      </c>
      <c r="I459" s="416" t="s">
        <v>2886</v>
      </c>
      <c r="J459" s="415" t="s">
        <v>661</v>
      </c>
      <c r="K459" s="417">
        <v>-11.460998999999999</v>
      </c>
      <c r="L459" s="417">
        <v>-77.178449000000001</v>
      </c>
      <c r="M459" s="418">
        <v>30</v>
      </c>
      <c r="N459" s="418" t="s">
        <v>2310</v>
      </c>
      <c r="O459" s="418" t="s">
        <v>2411</v>
      </c>
      <c r="P459" s="415">
        <v>2</v>
      </c>
      <c r="Q459" s="415">
        <v>30</v>
      </c>
      <c r="R459" s="415">
        <v>5</v>
      </c>
      <c r="S459" s="415">
        <f t="shared" si="21"/>
        <v>5</v>
      </c>
      <c r="T459" s="419">
        <f t="shared" si="22"/>
        <v>0.83333333333333337</v>
      </c>
      <c r="U459" s="419">
        <f t="shared" si="23"/>
        <v>5.833333333333333</v>
      </c>
      <c r="V459" s="415" t="s">
        <v>662</v>
      </c>
      <c r="W459" s="415" t="s">
        <v>610</v>
      </c>
      <c r="X459" s="415" t="s">
        <v>673</v>
      </c>
      <c r="Y459" s="415"/>
    </row>
    <row r="460" spans="1:25" hidden="1" x14ac:dyDescent="0.25">
      <c r="A460" s="415">
        <v>459</v>
      </c>
      <c r="B460" s="415">
        <v>375</v>
      </c>
      <c r="C460" s="415">
        <v>354888</v>
      </c>
      <c r="D460" s="416" t="s">
        <v>1785</v>
      </c>
      <c r="E460" s="416" t="s">
        <v>538</v>
      </c>
      <c r="F460" s="416" t="s">
        <v>543</v>
      </c>
      <c r="G460" s="416" t="s">
        <v>543</v>
      </c>
      <c r="H460" s="416" t="s">
        <v>1730</v>
      </c>
      <c r="I460" s="416" t="s">
        <v>1730</v>
      </c>
      <c r="J460" s="415" t="s">
        <v>661</v>
      </c>
      <c r="K460" s="417">
        <v>-11.475364000000001</v>
      </c>
      <c r="L460" s="417">
        <v>-77.142560000000003</v>
      </c>
      <c r="M460" s="418">
        <v>30</v>
      </c>
      <c r="N460" s="418" t="s">
        <v>2310</v>
      </c>
      <c r="O460" s="418" t="s">
        <v>2411</v>
      </c>
      <c r="P460" s="415">
        <v>2</v>
      </c>
      <c r="Q460" s="415">
        <v>30</v>
      </c>
      <c r="R460" s="415">
        <v>5</v>
      </c>
      <c r="S460" s="415">
        <f t="shared" si="21"/>
        <v>5</v>
      </c>
      <c r="T460" s="419">
        <f t="shared" si="22"/>
        <v>0.83333333333333337</v>
      </c>
      <c r="U460" s="419">
        <f t="shared" si="23"/>
        <v>5.833333333333333</v>
      </c>
      <c r="V460" s="415" t="s">
        <v>662</v>
      </c>
      <c r="W460" s="415" t="s">
        <v>610</v>
      </c>
      <c r="X460" s="415" t="s">
        <v>673</v>
      </c>
      <c r="Y460" s="415"/>
    </row>
    <row r="461" spans="1:25" hidden="1" x14ac:dyDescent="0.25">
      <c r="A461" s="415">
        <v>460</v>
      </c>
      <c r="B461" s="415">
        <v>376</v>
      </c>
      <c r="C461" s="415">
        <v>356444</v>
      </c>
      <c r="D461" s="416" t="s">
        <v>2887</v>
      </c>
      <c r="E461" s="416" t="s">
        <v>538</v>
      </c>
      <c r="F461" s="416" t="s">
        <v>543</v>
      </c>
      <c r="G461" s="416" t="s">
        <v>2888</v>
      </c>
      <c r="H461" s="416" t="s">
        <v>2888</v>
      </c>
      <c r="I461" s="416" t="s">
        <v>2889</v>
      </c>
      <c r="J461" s="415" t="s">
        <v>661</v>
      </c>
      <c r="K461" s="417">
        <v>-11.185840000000001</v>
      </c>
      <c r="L461" s="417">
        <v>-76.647441000000001</v>
      </c>
      <c r="M461" s="418">
        <v>30</v>
      </c>
      <c r="N461" s="418" t="s">
        <v>2310</v>
      </c>
      <c r="O461" s="418" t="s">
        <v>2411</v>
      </c>
      <c r="P461" s="415">
        <v>2</v>
      </c>
      <c r="Q461" s="415">
        <v>30</v>
      </c>
      <c r="R461" s="415">
        <v>5</v>
      </c>
      <c r="S461" s="415">
        <f t="shared" si="21"/>
        <v>5</v>
      </c>
      <c r="T461" s="419">
        <f t="shared" si="22"/>
        <v>0.83333333333333337</v>
      </c>
      <c r="U461" s="419">
        <f t="shared" si="23"/>
        <v>5.833333333333333</v>
      </c>
      <c r="V461" s="415" t="s">
        <v>662</v>
      </c>
      <c r="W461" s="415" t="s">
        <v>610</v>
      </c>
      <c r="X461" s="415" t="s">
        <v>673</v>
      </c>
      <c r="Y461" s="415"/>
    </row>
    <row r="462" spans="1:25" hidden="1" x14ac:dyDescent="0.25">
      <c r="A462" s="415">
        <v>461</v>
      </c>
      <c r="B462" s="415">
        <v>377</v>
      </c>
      <c r="C462" s="415">
        <v>357472</v>
      </c>
      <c r="D462" s="416" t="s">
        <v>2890</v>
      </c>
      <c r="E462" s="416" t="s">
        <v>538</v>
      </c>
      <c r="F462" s="416" t="s">
        <v>544</v>
      </c>
      <c r="G462" s="416" t="s">
        <v>1791</v>
      </c>
      <c r="H462" s="416" t="s">
        <v>1792</v>
      </c>
      <c r="I462" s="416" t="s">
        <v>1793</v>
      </c>
      <c r="J462" s="415" t="s">
        <v>661</v>
      </c>
      <c r="K462" s="417">
        <v>-12.322138000000001</v>
      </c>
      <c r="L462" s="417">
        <v>-76.511697999999996</v>
      </c>
      <c r="M462" s="418">
        <v>30</v>
      </c>
      <c r="N462" s="418" t="s">
        <v>2310</v>
      </c>
      <c r="O462" s="418" t="s">
        <v>2411</v>
      </c>
      <c r="P462" s="415">
        <v>2</v>
      </c>
      <c r="Q462" s="415">
        <v>30</v>
      </c>
      <c r="R462" s="415">
        <v>5</v>
      </c>
      <c r="S462" s="415">
        <f t="shared" si="21"/>
        <v>5</v>
      </c>
      <c r="T462" s="419">
        <f t="shared" si="22"/>
        <v>0.83333333333333337</v>
      </c>
      <c r="U462" s="419">
        <f t="shared" si="23"/>
        <v>5.833333333333333</v>
      </c>
      <c r="V462" s="415" t="s">
        <v>662</v>
      </c>
      <c r="W462" s="415" t="s">
        <v>612</v>
      </c>
      <c r="X462" s="415" t="s">
        <v>671</v>
      </c>
      <c r="Y462" s="415"/>
    </row>
    <row r="463" spans="1:25" hidden="1" x14ac:dyDescent="0.25">
      <c r="A463" s="415">
        <v>462</v>
      </c>
      <c r="B463" s="415">
        <v>378</v>
      </c>
      <c r="C463" s="415">
        <v>359782</v>
      </c>
      <c r="D463" s="416" t="s">
        <v>1795</v>
      </c>
      <c r="E463" s="416" t="s">
        <v>538</v>
      </c>
      <c r="F463" s="416" t="s">
        <v>545</v>
      </c>
      <c r="G463" s="416" t="s">
        <v>1794</v>
      </c>
      <c r="H463" s="416" t="s">
        <v>1796</v>
      </c>
      <c r="I463" s="416" t="s">
        <v>1796</v>
      </c>
      <c r="J463" s="415" t="s">
        <v>661</v>
      </c>
      <c r="K463" s="417">
        <v>-10.871202</v>
      </c>
      <c r="L463" s="417">
        <v>-77.279944999999998</v>
      </c>
      <c r="M463" s="418">
        <v>30</v>
      </c>
      <c r="N463" s="418" t="s">
        <v>2310</v>
      </c>
      <c r="O463" s="418" t="s">
        <v>2411</v>
      </c>
      <c r="P463" s="415">
        <v>2</v>
      </c>
      <c r="Q463" s="415">
        <v>30</v>
      </c>
      <c r="R463" s="415">
        <v>5</v>
      </c>
      <c r="S463" s="415">
        <f t="shared" si="21"/>
        <v>5</v>
      </c>
      <c r="T463" s="419">
        <f t="shared" si="22"/>
        <v>0.83333333333333337</v>
      </c>
      <c r="U463" s="419">
        <f t="shared" si="23"/>
        <v>5.833333333333333</v>
      </c>
      <c r="V463" s="415" t="s">
        <v>662</v>
      </c>
      <c r="W463" s="415" t="s">
        <v>610</v>
      </c>
      <c r="X463" s="415" t="s">
        <v>673</v>
      </c>
      <c r="Y463" s="415"/>
    </row>
    <row r="464" spans="1:25" hidden="1" x14ac:dyDescent="0.25">
      <c r="A464" s="415">
        <v>463</v>
      </c>
      <c r="B464" s="415">
        <v>379</v>
      </c>
      <c r="C464" s="415">
        <v>360219</v>
      </c>
      <c r="D464" s="416" t="s">
        <v>2891</v>
      </c>
      <c r="E464" s="416" t="s">
        <v>538</v>
      </c>
      <c r="F464" s="416" t="s">
        <v>545</v>
      </c>
      <c r="G464" s="416" t="s">
        <v>545</v>
      </c>
      <c r="H464" s="416" t="s">
        <v>2892</v>
      </c>
      <c r="I464" s="416" t="s">
        <v>2892</v>
      </c>
      <c r="J464" s="415" t="s">
        <v>661</v>
      </c>
      <c r="K464" s="417">
        <v>-11.0528</v>
      </c>
      <c r="L464" s="417">
        <v>-77.548299999999998</v>
      </c>
      <c r="M464" s="418">
        <v>30</v>
      </c>
      <c r="N464" s="418" t="s">
        <v>2310</v>
      </c>
      <c r="O464" s="418" t="s">
        <v>2411</v>
      </c>
      <c r="P464" s="415">
        <v>2</v>
      </c>
      <c r="Q464" s="415">
        <v>30</v>
      </c>
      <c r="R464" s="415">
        <v>5</v>
      </c>
      <c r="S464" s="415">
        <f t="shared" si="21"/>
        <v>5</v>
      </c>
      <c r="T464" s="419">
        <f t="shared" si="22"/>
        <v>0.83333333333333337</v>
      </c>
      <c r="U464" s="419">
        <f t="shared" si="23"/>
        <v>5.833333333333333</v>
      </c>
      <c r="V464" s="415" t="s">
        <v>662</v>
      </c>
      <c r="W464" s="415" t="s">
        <v>610</v>
      </c>
      <c r="X464" s="415" t="s">
        <v>673</v>
      </c>
      <c r="Y464" s="415"/>
    </row>
    <row r="465" spans="1:25" hidden="1" x14ac:dyDescent="0.25">
      <c r="A465" s="415">
        <v>464</v>
      </c>
      <c r="B465" s="415">
        <v>380</v>
      </c>
      <c r="C465" s="415">
        <v>360281</v>
      </c>
      <c r="D465" s="416" t="s">
        <v>1797</v>
      </c>
      <c r="E465" s="416" t="s">
        <v>538</v>
      </c>
      <c r="F465" s="416" t="s">
        <v>545</v>
      </c>
      <c r="G465" s="416" t="s">
        <v>545</v>
      </c>
      <c r="H465" s="416" t="s">
        <v>1798</v>
      </c>
      <c r="I465" s="416" t="s">
        <v>1798</v>
      </c>
      <c r="J465" s="415" t="s">
        <v>661</v>
      </c>
      <c r="K465" s="417">
        <v>-11.043979999999999</v>
      </c>
      <c r="L465" s="417">
        <v>-77.592560000000006</v>
      </c>
      <c r="M465" s="418">
        <v>30</v>
      </c>
      <c r="N465" s="418" t="s">
        <v>2310</v>
      </c>
      <c r="O465" s="418" t="s">
        <v>2411</v>
      </c>
      <c r="P465" s="415">
        <v>2</v>
      </c>
      <c r="Q465" s="415">
        <v>30</v>
      </c>
      <c r="R465" s="415">
        <v>5</v>
      </c>
      <c r="S465" s="415">
        <f t="shared" si="21"/>
        <v>5</v>
      </c>
      <c r="T465" s="419">
        <f t="shared" si="22"/>
        <v>0.83333333333333337</v>
      </c>
      <c r="U465" s="419">
        <f t="shared" si="23"/>
        <v>5.833333333333333</v>
      </c>
      <c r="V465" s="415" t="s">
        <v>662</v>
      </c>
      <c r="W465" s="415" t="s">
        <v>610</v>
      </c>
      <c r="X465" s="415" t="s">
        <v>673</v>
      </c>
      <c r="Y465" s="415"/>
    </row>
    <row r="466" spans="1:25" hidden="1" x14ac:dyDescent="0.25">
      <c r="A466" s="415">
        <v>465</v>
      </c>
      <c r="B466" s="415">
        <v>381</v>
      </c>
      <c r="C466" s="415">
        <v>360672</v>
      </c>
      <c r="D466" s="416" t="s">
        <v>1799</v>
      </c>
      <c r="E466" s="416" t="s">
        <v>538</v>
      </c>
      <c r="F466" s="416" t="s">
        <v>545</v>
      </c>
      <c r="G466" s="416" t="s">
        <v>1800</v>
      </c>
      <c r="H466" s="416" t="s">
        <v>1801</v>
      </c>
      <c r="I466" s="416" t="s">
        <v>1802</v>
      </c>
      <c r="J466" s="415" t="s">
        <v>661</v>
      </c>
      <c r="K466" s="417">
        <v>-10.927016999999999</v>
      </c>
      <c r="L466" s="417">
        <v>-76.784704000000005</v>
      </c>
      <c r="M466" s="418">
        <v>30</v>
      </c>
      <c r="N466" s="418" t="s">
        <v>2310</v>
      </c>
      <c r="O466" s="418" t="s">
        <v>2411</v>
      </c>
      <c r="P466" s="415">
        <v>2</v>
      </c>
      <c r="Q466" s="415">
        <v>30</v>
      </c>
      <c r="R466" s="415">
        <v>5</v>
      </c>
      <c r="S466" s="415">
        <f t="shared" si="21"/>
        <v>5</v>
      </c>
      <c r="T466" s="419">
        <f t="shared" si="22"/>
        <v>0.83333333333333337</v>
      </c>
      <c r="U466" s="419">
        <f t="shared" si="23"/>
        <v>5.833333333333333</v>
      </c>
      <c r="V466" s="415" t="s">
        <v>662</v>
      </c>
      <c r="W466" s="415" t="s">
        <v>610</v>
      </c>
      <c r="X466" s="415" t="s">
        <v>673</v>
      </c>
      <c r="Y466" s="415"/>
    </row>
    <row r="467" spans="1:25" hidden="1" x14ac:dyDescent="0.25">
      <c r="A467" s="415">
        <v>466</v>
      </c>
      <c r="B467" s="415">
        <v>382</v>
      </c>
      <c r="C467" s="415">
        <v>504557</v>
      </c>
      <c r="D467" s="416" t="s">
        <v>2893</v>
      </c>
      <c r="E467" s="416" t="s">
        <v>538</v>
      </c>
      <c r="F467" s="416" t="s">
        <v>545</v>
      </c>
      <c r="G467" s="416" t="s">
        <v>674</v>
      </c>
      <c r="H467" s="416" t="s">
        <v>2894</v>
      </c>
      <c r="I467" s="416" t="s">
        <v>2895</v>
      </c>
      <c r="J467" s="415" t="s">
        <v>747</v>
      </c>
      <c r="K467" s="417">
        <v>-11.122935999999999</v>
      </c>
      <c r="L467" s="417">
        <v>-77.592169999999996</v>
      </c>
      <c r="M467" s="418">
        <v>30</v>
      </c>
      <c r="N467" s="418" t="s">
        <v>2310</v>
      </c>
      <c r="O467" s="418" t="s">
        <v>2411</v>
      </c>
      <c r="P467" s="415">
        <v>2</v>
      </c>
      <c r="Q467" s="415">
        <v>30</v>
      </c>
      <c r="R467" s="415">
        <v>5</v>
      </c>
      <c r="S467" s="415">
        <f t="shared" si="21"/>
        <v>5</v>
      </c>
      <c r="T467" s="419">
        <f t="shared" si="22"/>
        <v>0.83333333333333337</v>
      </c>
      <c r="U467" s="419">
        <f t="shared" si="23"/>
        <v>5.833333333333333</v>
      </c>
      <c r="V467" s="415" t="s">
        <v>662</v>
      </c>
      <c r="W467" s="415" t="s">
        <v>610</v>
      </c>
      <c r="X467" s="415" t="s">
        <v>673</v>
      </c>
      <c r="Y467" s="415"/>
    </row>
    <row r="468" spans="1:25" hidden="1" x14ac:dyDescent="0.25">
      <c r="A468" s="415">
        <v>467</v>
      </c>
      <c r="B468" s="415">
        <v>383</v>
      </c>
      <c r="C468" s="415">
        <v>360870</v>
      </c>
      <c r="D468" s="416" t="s">
        <v>2896</v>
      </c>
      <c r="E468" s="416" t="s">
        <v>538</v>
      </c>
      <c r="F468" s="416" t="s">
        <v>545</v>
      </c>
      <c r="G468" s="416" t="s">
        <v>674</v>
      </c>
      <c r="H468" s="416" t="s">
        <v>2897</v>
      </c>
      <c r="I468" s="416" t="s">
        <v>2898</v>
      </c>
      <c r="J468" s="415" t="s">
        <v>747</v>
      </c>
      <c r="K468" s="417">
        <v>-11.08245</v>
      </c>
      <c r="L468" s="417">
        <v>-77.572010000000006</v>
      </c>
      <c r="M468" s="418">
        <v>30</v>
      </c>
      <c r="N468" s="418" t="s">
        <v>2310</v>
      </c>
      <c r="O468" s="418" t="s">
        <v>2411</v>
      </c>
      <c r="P468" s="415">
        <v>2</v>
      </c>
      <c r="Q468" s="415">
        <v>30</v>
      </c>
      <c r="R468" s="415">
        <v>5</v>
      </c>
      <c r="S468" s="415">
        <f t="shared" si="21"/>
        <v>5</v>
      </c>
      <c r="T468" s="419">
        <f t="shared" si="22"/>
        <v>0.83333333333333337</v>
      </c>
      <c r="U468" s="419">
        <f t="shared" si="23"/>
        <v>5.833333333333333</v>
      </c>
      <c r="V468" s="415" t="s">
        <v>662</v>
      </c>
      <c r="W468" s="415" t="s">
        <v>610</v>
      </c>
      <c r="X468" s="415" t="s">
        <v>673</v>
      </c>
      <c r="Y468" s="415"/>
    </row>
    <row r="469" spans="1:25" hidden="1" x14ac:dyDescent="0.25">
      <c r="A469" s="415">
        <v>468</v>
      </c>
      <c r="B469" s="415">
        <v>384</v>
      </c>
      <c r="C469" s="415">
        <v>361407</v>
      </c>
      <c r="D469" s="416" t="s">
        <v>2899</v>
      </c>
      <c r="E469" s="416" t="s">
        <v>538</v>
      </c>
      <c r="F469" s="416" t="s">
        <v>545</v>
      </c>
      <c r="G469" s="416" t="s">
        <v>1778</v>
      </c>
      <c r="H469" s="416" t="s">
        <v>2900</v>
      </c>
      <c r="I469" s="416" t="s">
        <v>2901</v>
      </c>
      <c r="J469" s="415" t="s">
        <v>661</v>
      </c>
      <c r="K469" s="417">
        <v>-11.008179999999999</v>
      </c>
      <c r="L469" s="417">
        <v>-77.581479999999999</v>
      </c>
      <c r="M469" s="418">
        <v>30</v>
      </c>
      <c r="N469" s="418" t="s">
        <v>2310</v>
      </c>
      <c r="O469" s="418" t="s">
        <v>2411</v>
      </c>
      <c r="P469" s="415">
        <v>2</v>
      </c>
      <c r="Q469" s="415">
        <v>30</v>
      </c>
      <c r="R469" s="415">
        <v>5</v>
      </c>
      <c r="S469" s="415">
        <f t="shared" si="21"/>
        <v>5</v>
      </c>
      <c r="T469" s="419">
        <f t="shared" si="22"/>
        <v>0.83333333333333337</v>
      </c>
      <c r="U469" s="419">
        <f t="shared" si="23"/>
        <v>5.833333333333333</v>
      </c>
      <c r="V469" s="415" t="s">
        <v>662</v>
      </c>
      <c r="W469" s="415" t="s">
        <v>610</v>
      </c>
      <c r="X469" s="415" t="s">
        <v>673</v>
      </c>
      <c r="Y469" s="415"/>
    </row>
    <row r="470" spans="1:25" hidden="1" x14ac:dyDescent="0.25">
      <c r="A470" s="415">
        <v>469</v>
      </c>
      <c r="B470" s="415">
        <v>405</v>
      </c>
      <c r="C470" s="415">
        <v>361822</v>
      </c>
      <c r="D470" s="416" t="s">
        <v>1805</v>
      </c>
      <c r="E470" s="416" t="s">
        <v>538</v>
      </c>
      <c r="F470" s="416" t="s">
        <v>546</v>
      </c>
      <c r="G470" s="416" t="s">
        <v>1302</v>
      </c>
      <c r="H470" s="416" t="s">
        <v>1806</v>
      </c>
      <c r="I470" s="416" t="s">
        <v>1806</v>
      </c>
      <c r="J470" s="415" t="s">
        <v>661</v>
      </c>
      <c r="K470" s="417">
        <v>-10.872837000000001</v>
      </c>
      <c r="L470" s="417">
        <v>-77.184528</v>
      </c>
      <c r="M470" s="418">
        <v>30</v>
      </c>
      <c r="N470" s="418" t="s">
        <v>2310</v>
      </c>
      <c r="O470" s="418" t="s">
        <v>2411</v>
      </c>
      <c r="P470" s="415">
        <v>2</v>
      </c>
      <c r="Q470" s="415">
        <v>30</v>
      </c>
      <c r="R470" s="415">
        <v>5</v>
      </c>
      <c r="S470" s="415">
        <f t="shared" si="21"/>
        <v>5</v>
      </c>
      <c r="T470" s="419">
        <f t="shared" si="22"/>
        <v>0.83333333333333337</v>
      </c>
      <c r="U470" s="419">
        <f t="shared" si="23"/>
        <v>5.833333333333333</v>
      </c>
      <c r="V470" s="415" t="s">
        <v>662</v>
      </c>
      <c r="W470" s="415" t="s">
        <v>610</v>
      </c>
      <c r="X470" s="415" t="s">
        <v>673</v>
      </c>
      <c r="Y470" s="415"/>
    </row>
    <row r="471" spans="1:25" hidden="1" x14ac:dyDescent="0.25">
      <c r="A471" s="415">
        <v>470</v>
      </c>
      <c r="B471" s="415">
        <v>406</v>
      </c>
      <c r="C471" s="415">
        <v>361879</v>
      </c>
      <c r="D471" s="416" t="s">
        <v>1812</v>
      </c>
      <c r="E471" s="416" t="s">
        <v>538</v>
      </c>
      <c r="F471" s="416" t="s">
        <v>546</v>
      </c>
      <c r="G471" s="416" t="s">
        <v>1302</v>
      </c>
      <c r="H471" s="416" t="s">
        <v>1813</v>
      </c>
      <c r="I471" s="416" t="s">
        <v>1813</v>
      </c>
      <c r="J471" s="415" t="s">
        <v>661</v>
      </c>
      <c r="K471" s="417">
        <v>-10.936127000000001</v>
      </c>
      <c r="L471" s="417">
        <v>-77.103369000000001</v>
      </c>
      <c r="M471" s="418">
        <v>30</v>
      </c>
      <c r="N471" s="418" t="s">
        <v>2310</v>
      </c>
      <c r="O471" s="418" t="s">
        <v>2411</v>
      </c>
      <c r="P471" s="415">
        <v>2</v>
      </c>
      <c r="Q471" s="415">
        <v>30</v>
      </c>
      <c r="R471" s="415">
        <v>5</v>
      </c>
      <c r="S471" s="415">
        <f t="shared" si="21"/>
        <v>5</v>
      </c>
      <c r="T471" s="419">
        <f t="shared" si="22"/>
        <v>0.83333333333333337</v>
      </c>
      <c r="U471" s="419">
        <f t="shared" si="23"/>
        <v>5.833333333333333</v>
      </c>
      <c r="V471" s="415" t="s">
        <v>662</v>
      </c>
      <c r="W471" s="415" t="s">
        <v>610</v>
      </c>
      <c r="X471" s="415" t="s">
        <v>673</v>
      </c>
      <c r="Y471" s="415"/>
    </row>
    <row r="472" spans="1:25" hidden="1" x14ac:dyDescent="0.25">
      <c r="A472" s="415">
        <v>471</v>
      </c>
      <c r="B472" s="415">
        <v>407</v>
      </c>
      <c r="C472" s="415">
        <v>361799</v>
      </c>
      <c r="D472" s="416" t="s">
        <v>1803</v>
      </c>
      <c r="E472" s="416" t="s">
        <v>538</v>
      </c>
      <c r="F472" s="416" t="s">
        <v>546</v>
      </c>
      <c r="G472" s="416" t="s">
        <v>1302</v>
      </c>
      <c r="H472" s="416" t="s">
        <v>1804</v>
      </c>
      <c r="I472" s="416" t="s">
        <v>1804</v>
      </c>
      <c r="J472" s="415" t="s">
        <v>661</v>
      </c>
      <c r="K472" s="417">
        <v>-10.875294999999999</v>
      </c>
      <c r="L472" s="417">
        <v>-77.218492999999995</v>
      </c>
      <c r="M472" s="418">
        <v>30</v>
      </c>
      <c r="N472" s="418" t="s">
        <v>2310</v>
      </c>
      <c r="O472" s="418" t="s">
        <v>2411</v>
      </c>
      <c r="P472" s="415">
        <v>2</v>
      </c>
      <c r="Q472" s="415">
        <v>30</v>
      </c>
      <c r="R472" s="415">
        <v>5</v>
      </c>
      <c r="S472" s="415">
        <f t="shared" si="21"/>
        <v>5</v>
      </c>
      <c r="T472" s="419">
        <f t="shared" si="22"/>
        <v>0.83333333333333337</v>
      </c>
      <c r="U472" s="419">
        <f t="shared" si="23"/>
        <v>5.833333333333333</v>
      </c>
      <c r="V472" s="415" t="s">
        <v>662</v>
      </c>
      <c r="W472" s="415" t="s">
        <v>610</v>
      </c>
      <c r="X472" s="415" t="s">
        <v>673</v>
      </c>
      <c r="Y472" s="415"/>
    </row>
    <row r="473" spans="1:25" hidden="1" x14ac:dyDescent="0.25">
      <c r="A473" s="415">
        <v>472</v>
      </c>
      <c r="B473" s="415">
        <v>408</v>
      </c>
      <c r="C473" s="415">
        <v>361855</v>
      </c>
      <c r="D473" s="416" t="s">
        <v>1809</v>
      </c>
      <c r="E473" s="416" t="s">
        <v>538</v>
      </c>
      <c r="F473" s="416" t="s">
        <v>546</v>
      </c>
      <c r="G473" s="416" t="s">
        <v>1302</v>
      </c>
      <c r="H473" s="416" t="s">
        <v>1810</v>
      </c>
      <c r="I473" s="416" t="s">
        <v>1811</v>
      </c>
      <c r="J473" s="415" t="s">
        <v>661</v>
      </c>
      <c r="K473" s="417">
        <v>-10.95377</v>
      </c>
      <c r="L473" s="417">
        <v>-77.095794999999995</v>
      </c>
      <c r="M473" s="418">
        <v>30</v>
      </c>
      <c r="N473" s="418" t="s">
        <v>2310</v>
      </c>
      <c r="O473" s="418" t="s">
        <v>2411</v>
      </c>
      <c r="P473" s="415">
        <v>2</v>
      </c>
      <c r="Q473" s="415">
        <v>30</v>
      </c>
      <c r="R473" s="415">
        <v>5</v>
      </c>
      <c r="S473" s="415">
        <f t="shared" si="21"/>
        <v>5</v>
      </c>
      <c r="T473" s="419">
        <f t="shared" si="22"/>
        <v>0.83333333333333337</v>
      </c>
      <c r="U473" s="419">
        <f t="shared" si="23"/>
        <v>5.833333333333333</v>
      </c>
      <c r="V473" s="415" t="s">
        <v>662</v>
      </c>
      <c r="W473" s="415" t="s">
        <v>610</v>
      </c>
      <c r="X473" s="415" t="s">
        <v>673</v>
      </c>
      <c r="Y473" s="415"/>
    </row>
    <row r="474" spans="1:25" hidden="1" x14ac:dyDescent="0.25">
      <c r="A474" s="415">
        <v>473</v>
      </c>
      <c r="B474" s="415">
        <v>409</v>
      </c>
      <c r="C474" s="415">
        <v>339925</v>
      </c>
      <c r="D474" s="416" t="s">
        <v>1775</v>
      </c>
      <c r="E474" s="416" t="s">
        <v>538</v>
      </c>
      <c r="F474" s="416" t="s">
        <v>546</v>
      </c>
      <c r="G474" s="416" t="s">
        <v>1302</v>
      </c>
      <c r="H474" s="416" t="s">
        <v>1776</v>
      </c>
      <c r="I474" s="416" t="s">
        <v>1777</v>
      </c>
      <c r="J474" s="415" t="s">
        <v>661</v>
      </c>
      <c r="K474" s="417">
        <v>-10.848125</v>
      </c>
      <c r="L474" s="417">
        <v>-77.090418999999997</v>
      </c>
      <c r="M474" s="418">
        <v>30</v>
      </c>
      <c r="N474" s="418" t="s">
        <v>2310</v>
      </c>
      <c r="O474" s="418" t="s">
        <v>2411</v>
      </c>
      <c r="P474" s="415">
        <v>2</v>
      </c>
      <c r="Q474" s="415">
        <v>30</v>
      </c>
      <c r="R474" s="415">
        <v>5</v>
      </c>
      <c r="S474" s="415">
        <f t="shared" si="21"/>
        <v>5</v>
      </c>
      <c r="T474" s="419">
        <f t="shared" si="22"/>
        <v>0.83333333333333337</v>
      </c>
      <c r="U474" s="419">
        <f t="shared" si="23"/>
        <v>5.833333333333333</v>
      </c>
      <c r="V474" s="415" t="s">
        <v>662</v>
      </c>
      <c r="W474" s="415" t="s">
        <v>610</v>
      </c>
      <c r="X474" s="415" t="s">
        <v>673</v>
      </c>
      <c r="Y474" s="415"/>
    </row>
    <row r="475" spans="1:25" hidden="1" x14ac:dyDescent="0.25">
      <c r="A475" s="415">
        <v>474</v>
      </c>
      <c r="B475" s="415">
        <v>410</v>
      </c>
      <c r="C475" s="415">
        <v>361836</v>
      </c>
      <c r="D475" s="416" t="s">
        <v>1807</v>
      </c>
      <c r="E475" s="416" t="s">
        <v>538</v>
      </c>
      <c r="F475" s="416" t="s">
        <v>546</v>
      </c>
      <c r="G475" s="416" t="s">
        <v>1302</v>
      </c>
      <c r="H475" s="416" t="s">
        <v>1808</v>
      </c>
      <c r="I475" s="416" t="s">
        <v>1808</v>
      </c>
      <c r="J475" s="415" t="s">
        <v>661</v>
      </c>
      <c r="K475" s="417">
        <v>-10.847281000000001</v>
      </c>
      <c r="L475" s="417">
        <v>-77.199081000000007</v>
      </c>
      <c r="M475" s="418">
        <v>30</v>
      </c>
      <c r="N475" s="418" t="s">
        <v>2310</v>
      </c>
      <c r="O475" s="418" t="s">
        <v>2411</v>
      </c>
      <c r="P475" s="415">
        <v>2</v>
      </c>
      <c r="Q475" s="415">
        <v>30</v>
      </c>
      <c r="R475" s="415">
        <v>5</v>
      </c>
      <c r="S475" s="415">
        <f t="shared" si="21"/>
        <v>5</v>
      </c>
      <c r="T475" s="419">
        <f t="shared" si="22"/>
        <v>0.83333333333333337</v>
      </c>
      <c r="U475" s="419">
        <f t="shared" si="23"/>
        <v>5.833333333333333</v>
      </c>
      <c r="V475" s="415" t="s">
        <v>662</v>
      </c>
      <c r="W475" s="415" t="s">
        <v>610</v>
      </c>
      <c r="X475" s="415" t="s">
        <v>673</v>
      </c>
      <c r="Y475" s="415"/>
    </row>
    <row r="476" spans="1:25" hidden="1" x14ac:dyDescent="0.25">
      <c r="A476" s="415">
        <v>475</v>
      </c>
      <c r="B476" s="415">
        <v>411</v>
      </c>
      <c r="C476" s="415">
        <v>361916</v>
      </c>
      <c r="D476" s="416" t="s">
        <v>1814</v>
      </c>
      <c r="E476" s="416" t="s">
        <v>538</v>
      </c>
      <c r="F476" s="416" t="s">
        <v>546</v>
      </c>
      <c r="G476" s="416" t="s">
        <v>1302</v>
      </c>
      <c r="H476" s="416" t="s">
        <v>1815</v>
      </c>
      <c r="I476" s="416" t="s">
        <v>1815</v>
      </c>
      <c r="J476" s="415" t="s">
        <v>661</v>
      </c>
      <c r="K476" s="417">
        <v>-10.871833000000001</v>
      </c>
      <c r="L476" s="417">
        <v>-77.200871000000006</v>
      </c>
      <c r="M476" s="418">
        <v>30</v>
      </c>
      <c r="N476" s="418" t="s">
        <v>2310</v>
      </c>
      <c r="O476" s="418" t="s">
        <v>2411</v>
      </c>
      <c r="P476" s="415">
        <v>2</v>
      </c>
      <c r="Q476" s="415">
        <v>30</v>
      </c>
      <c r="R476" s="415">
        <v>5</v>
      </c>
      <c r="S476" s="415">
        <f t="shared" si="21"/>
        <v>5</v>
      </c>
      <c r="T476" s="419">
        <f t="shared" si="22"/>
        <v>0.83333333333333337</v>
      </c>
      <c r="U476" s="419">
        <f t="shared" si="23"/>
        <v>5.833333333333333</v>
      </c>
      <c r="V476" s="415" t="s">
        <v>662</v>
      </c>
      <c r="W476" s="415" t="s">
        <v>610</v>
      </c>
      <c r="X476" s="415" t="s">
        <v>673</v>
      </c>
      <c r="Y476" s="415"/>
    </row>
    <row r="477" spans="1:25" hidden="1" x14ac:dyDescent="0.25">
      <c r="A477" s="415">
        <v>476</v>
      </c>
      <c r="B477" s="415">
        <v>412</v>
      </c>
      <c r="C477" s="415">
        <v>361619</v>
      </c>
      <c r="D477" s="416" t="s">
        <v>2902</v>
      </c>
      <c r="E477" s="416" t="s">
        <v>538</v>
      </c>
      <c r="F477" s="416" t="s">
        <v>546</v>
      </c>
      <c r="G477" s="416" t="s">
        <v>546</v>
      </c>
      <c r="H477" s="416" t="s">
        <v>2903</v>
      </c>
      <c r="I477" s="416" t="s">
        <v>2904</v>
      </c>
      <c r="J477" s="415" t="s">
        <v>661</v>
      </c>
      <c r="K477" s="417">
        <v>-10.683809</v>
      </c>
      <c r="L477" s="417">
        <v>-76.795856999999998</v>
      </c>
      <c r="M477" s="418">
        <v>30</v>
      </c>
      <c r="N477" s="418" t="s">
        <v>2310</v>
      </c>
      <c r="O477" s="418" t="s">
        <v>2411</v>
      </c>
      <c r="P477" s="415">
        <v>2</v>
      </c>
      <c r="Q477" s="415">
        <v>30</v>
      </c>
      <c r="R477" s="415">
        <v>5</v>
      </c>
      <c r="S477" s="415">
        <f t="shared" si="21"/>
        <v>5</v>
      </c>
      <c r="T477" s="419">
        <f t="shared" si="22"/>
        <v>0.83333333333333337</v>
      </c>
      <c r="U477" s="419">
        <f t="shared" si="23"/>
        <v>5.833333333333333</v>
      </c>
      <c r="V477" s="415" t="s">
        <v>662</v>
      </c>
      <c r="W477" s="415" t="s">
        <v>610</v>
      </c>
      <c r="X477" s="415" t="s">
        <v>673</v>
      </c>
      <c r="Y477" s="415"/>
    </row>
    <row r="478" spans="1:25" hidden="1" x14ac:dyDescent="0.25">
      <c r="A478" s="415">
        <v>477</v>
      </c>
      <c r="B478" s="415">
        <v>413</v>
      </c>
      <c r="C478" s="415">
        <v>362001</v>
      </c>
      <c r="D478" s="416" t="s">
        <v>1816</v>
      </c>
      <c r="E478" s="416" t="s">
        <v>538</v>
      </c>
      <c r="F478" s="416" t="s">
        <v>546</v>
      </c>
      <c r="G478" s="416" t="s">
        <v>1817</v>
      </c>
      <c r="H478" s="416" t="s">
        <v>1817</v>
      </c>
      <c r="I478" s="416" t="s">
        <v>1818</v>
      </c>
      <c r="J478" s="415" t="s">
        <v>661</v>
      </c>
      <c r="K478" s="417">
        <v>-10.782878999999999</v>
      </c>
      <c r="L478" s="417">
        <v>-76.815797000000003</v>
      </c>
      <c r="M478" s="418">
        <v>30</v>
      </c>
      <c r="N478" s="418" t="s">
        <v>2310</v>
      </c>
      <c r="O478" s="418" t="s">
        <v>2411</v>
      </c>
      <c r="P478" s="415">
        <v>2</v>
      </c>
      <c r="Q478" s="415">
        <v>30</v>
      </c>
      <c r="R478" s="415">
        <v>5</v>
      </c>
      <c r="S478" s="415">
        <f t="shared" si="21"/>
        <v>5</v>
      </c>
      <c r="T478" s="419">
        <f t="shared" si="22"/>
        <v>0.83333333333333337</v>
      </c>
      <c r="U478" s="419">
        <f t="shared" si="23"/>
        <v>5.833333333333333</v>
      </c>
      <c r="V478" s="415" t="s">
        <v>662</v>
      </c>
      <c r="W478" s="415" t="s">
        <v>610</v>
      </c>
      <c r="X478" s="415" t="s">
        <v>673</v>
      </c>
      <c r="Y478" s="415"/>
    </row>
    <row r="479" spans="1:25" hidden="1" x14ac:dyDescent="0.25">
      <c r="A479" s="415">
        <v>478</v>
      </c>
      <c r="B479" s="415">
        <v>414</v>
      </c>
      <c r="C479" s="415">
        <v>363152</v>
      </c>
      <c r="D479" s="416" t="s">
        <v>1820</v>
      </c>
      <c r="E479" s="416" t="s">
        <v>538</v>
      </c>
      <c r="F479" s="416" t="s">
        <v>547</v>
      </c>
      <c r="G479" s="416" t="s">
        <v>1821</v>
      </c>
      <c r="H479" s="416" t="s">
        <v>1822</v>
      </c>
      <c r="I479" s="416" t="s">
        <v>1822</v>
      </c>
      <c r="J479" s="415" t="s">
        <v>661</v>
      </c>
      <c r="K479" s="417">
        <v>-12.510401</v>
      </c>
      <c r="L479" s="417">
        <v>-75.660200000000003</v>
      </c>
      <c r="M479" s="418">
        <v>30</v>
      </c>
      <c r="N479" s="418" t="s">
        <v>2310</v>
      </c>
      <c r="O479" s="418" t="s">
        <v>2411</v>
      </c>
      <c r="P479" s="415">
        <v>2</v>
      </c>
      <c r="Q479" s="415">
        <v>30</v>
      </c>
      <c r="R479" s="415">
        <v>5</v>
      </c>
      <c r="S479" s="415">
        <f t="shared" si="21"/>
        <v>5</v>
      </c>
      <c r="T479" s="419">
        <f t="shared" si="22"/>
        <v>0.83333333333333337</v>
      </c>
      <c r="U479" s="419">
        <f t="shared" si="23"/>
        <v>5.833333333333333</v>
      </c>
      <c r="V479" s="415" t="s">
        <v>662</v>
      </c>
      <c r="W479" s="415" t="s">
        <v>612</v>
      </c>
      <c r="X479" s="415" t="s">
        <v>671</v>
      </c>
      <c r="Y479" s="415"/>
    </row>
    <row r="480" spans="1:25" hidden="1" x14ac:dyDescent="0.25">
      <c r="A480" s="415">
        <v>479</v>
      </c>
      <c r="B480" s="415">
        <v>415</v>
      </c>
      <c r="C480" s="415">
        <v>404256</v>
      </c>
      <c r="D480" s="416" t="s">
        <v>2905</v>
      </c>
      <c r="E480" s="416" t="s">
        <v>557</v>
      </c>
      <c r="F480" s="416" t="s">
        <v>558</v>
      </c>
      <c r="G480" s="416" t="s">
        <v>1226</v>
      </c>
      <c r="H480" s="416" t="s">
        <v>1226</v>
      </c>
      <c r="I480" s="416" t="s">
        <v>2906</v>
      </c>
      <c r="J480" s="415" t="s">
        <v>747</v>
      </c>
      <c r="K480" s="417">
        <v>-10.492100000000001</v>
      </c>
      <c r="L480" s="417">
        <v>-76.516199999999998</v>
      </c>
      <c r="M480" s="418">
        <v>30</v>
      </c>
      <c r="N480" s="418" t="s">
        <v>2310</v>
      </c>
      <c r="O480" s="418" t="s">
        <v>2411</v>
      </c>
      <c r="P480" s="415">
        <v>2</v>
      </c>
      <c r="Q480" s="415">
        <v>30</v>
      </c>
      <c r="R480" s="415">
        <v>5</v>
      </c>
      <c r="S480" s="415">
        <f t="shared" si="21"/>
        <v>5</v>
      </c>
      <c r="T480" s="419">
        <f t="shared" si="22"/>
        <v>0.83333333333333337</v>
      </c>
      <c r="U480" s="419">
        <f t="shared" si="23"/>
        <v>5.833333333333333</v>
      </c>
      <c r="V480" s="415" t="s">
        <v>662</v>
      </c>
      <c r="W480" s="415" t="s">
        <v>610</v>
      </c>
      <c r="X480" s="415" t="s">
        <v>673</v>
      </c>
      <c r="Y480" s="415"/>
    </row>
    <row r="481" spans="1:25" hidden="1" x14ac:dyDescent="0.25">
      <c r="A481" s="415">
        <v>480</v>
      </c>
      <c r="B481" s="415">
        <v>416</v>
      </c>
      <c r="C481" s="415">
        <v>409046</v>
      </c>
      <c r="D481" s="416" t="s">
        <v>2238</v>
      </c>
      <c r="E481" s="416" t="s">
        <v>557</v>
      </c>
      <c r="F481" s="416" t="s">
        <v>559</v>
      </c>
      <c r="G481" s="416" t="s">
        <v>2907</v>
      </c>
      <c r="H481" s="416" t="s">
        <v>2908</v>
      </c>
      <c r="I481" s="416" t="s">
        <v>2909</v>
      </c>
      <c r="J481" s="415" t="s">
        <v>661</v>
      </c>
      <c r="K481" s="417">
        <v>-9.9691109999999998</v>
      </c>
      <c r="L481" s="417">
        <v>-75.049302999999995</v>
      </c>
      <c r="M481" s="418">
        <v>30</v>
      </c>
      <c r="N481" s="418" t="s">
        <v>2310</v>
      </c>
      <c r="O481" s="418" t="s">
        <v>2411</v>
      </c>
      <c r="P481" s="415">
        <v>2</v>
      </c>
      <c r="Q481" s="415">
        <v>30</v>
      </c>
      <c r="R481" s="415">
        <v>5</v>
      </c>
      <c r="S481" s="415">
        <f t="shared" si="21"/>
        <v>5</v>
      </c>
      <c r="T481" s="419">
        <f t="shared" si="22"/>
        <v>0.83333333333333337</v>
      </c>
      <c r="U481" s="419">
        <f t="shared" si="23"/>
        <v>5.833333333333333</v>
      </c>
      <c r="V481" s="415" t="s">
        <v>662</v>
      </c>
      <c r="W481" s="415" t="s">
        <v>610</v>
      </c>
      <c r="X481" s="415" t="s">
        <v>673</v>
      </c>
      <c r="Y481" s="415"/>
    </row>
    <row r="482" spans="1:25" hidden="1" x14ac:dyDescent="0.25">
      <c r="A482" s="415">
        <v>481</v>
      </c>
      <c r="B482" s="415">
        <v>417</v>
      </c>
      <c r="C482" s="415">
        <v>406509</v>
      </c>
      <c r="D482" s="416" t="s">
        <v>1888</v>
      </c>
      <c r="E482" s="416" t="s">
        <v>557</v>
      </c>
      <c r="F482" s="416" t="s">
        <v>559</v>
      </c>
      <c r="G482" s="416" t="s">
        <v>562</v>
      </c>
      <c r="H482" s="416" t="s">
        <v>1889</v>
      </c>
      <c r="I482" s="416" t="s">
        <v>1890</v>
      </c>
      <c r="J482" s="415" t="s">
        <v>661</v>
      </c>
      <c r="K482" s="417">
        <v>-10.50323</v>
      </c>
      <c r="L482" s="417">
        <v>-75.670103999999995</v>
      </c>
      <c r="M482" s="418">
        <v>30</v>
      </c>
      <c r="N482" s="418" t="s">
        <v>2310</v>
      </c>
      <c r="O482" s="418" t="s">
        <v>2411</v>
      </c>
      <c r="P482" s="415">
        <v>2</v>
      </c>
      <c r="Q482" s="415">
        <v>30</v>
      </c>
      <c r="R482" s="415">
        <v>5</v>
      </c>
      <c r="S482" s="415">
        <f t="shared" si="21"/>
        <v>5</v>
      </c>
      <c r="T482" s="419">
        <f t="shared" si="22"/>
        <v>0.83333333333333337</v>
      </c>
      <c r="U482" s="419">
        <f t="shared" si="23"/>
        <v>5.833333333333333</v>
      </c>
      <c r="V482" s="415" t="s">
        <v>662</v>
      </c>
      <c r="W482" s="415" t="s">
        <v>610</v>
      </c>
      <c r="X482" s="415" t="s">
        <v>673</v>
      </c>
      <c r="Y482" s="415"/>
    </row>
    <row r="483" spans="1:25" hidden="1" x14ac:dyDescent="0.25">
      <c r="A483" s="415">
        <v>482</v>
      </c>
      <c r="B483" s="415">
        <v>418</v>
      </c>
      <c r="C483" s="415">
        <v>691380</v>
      </c>
      <c r="D483" s="416" t="s">
        <v>2910</v>
      </c>
      <c r="E483" s="416" t="s">
        <v>557</v>
      </c>
      <c r="F483" s="416" t="s">
        <v>559</v>
      </c>
      <c r="G483" s="416" t="s">
        <v>559</v>
      </c>
      <c r="H483" s="416" t="s">
        <v>2911</v>
      </c>
      <c r="I483" s="416" t="s">
        <v>2911</v>
      </c>
      <c r="J483" s="415" t="s">
        <v>661</v>
      </c>
      <c r="K483" s="417">
        <v>-10.524836000000001</v>
      </c>
      <c r="L483" s="417">
        <v>-75.414034999999998</v>
      </c>
      <c r="M483" s="418">
        <v>30</v>
      </c>
      <c r="N483" s="418" t="s">
        <v>2310</v>
      </c>
      <c r="O483" s="418" t="s">
        <v>2411</v>
      </c>
      <c r="P483" s="415">
        <v>2</v>
      </c>
      <c r="Q483" s="415">
        <v>30</v>
      </c>
      <c r="R483" s="415">
        <v>5</v>
      </c>
      <c r="S483" s="415">
        <f t="shared" si="21"/>
        <v>5</v>
      </c>
      <c r="T483" s="419">
        <f t="shared" si="22"/>
        <v>0.83333333333333337</v>
      </c>
      <c r="U483" s="419">
        <f t="shared" si="23"/>
        <v>5.833333333333333</v>
      </c>
      <c r="V483" s="415" t="s">
        <v>662</v>
      </c>
      <c r="W483" s="415" t="s">
        <v>610</v>
      </c>
      <c r="X483" s="415" t="s">
        <v>673</v>
      </c>
      <c r="Y483" s="415"/>
    </row>
    <row r="484" spans="1:25" hidden="1" x14ac:dyDescent="0.25">
      <c r="A484" s="415">
        <v>483</v>
      </c>
      <c r="B484" s="415">
        <v>419</v>
      </c>
      <c r="C484" s="415">
        <v>691399</v>
      </c>
      <c r="D484" s="416" t="s">
        <v>2912</v>
      </c>
      <c r="E484" s="416" t="s">
        <v>557</v>
      </c>
      <c r="F484" s="416" t="s">
        <v>559</v>
      </c>
      <c r="G484" s="416" t="s">
        <v>559</v>
      </c>
      <c r="H484" s="416" t="s">
        <v>2913</v>
      </c>
      <c r="I484" s="416" t="s">
        <v>2913</v>
      </c>
      <c r="J484" s="415" t="s">
        <v>661</v>
      </c>
      <c r="K484" s="417">
        <v>-10.768943</v>
      </c>
      <c r="L484" s="417">
        <v>-75.345082000000005</v>
      </c>
      <c r="M484" s="418">
        <v>30</v>
      </c>
      <c r="N484" s="418" t="s">
        <v>2310</v>
      </c>
      <c r="O484" s="418" t="s">
        <v>2411</v>
      </c>
      <c r="P484" s="415">
        <v>2</v>
      </c>
      <c r="Q484" s="415">
        <v>30</v>
      </c>
      <c r="R484" s="415">
        <v>5</v>
      </c>
      <c r="S484" s="415">
        <f t="shared" si="21"/>
        <v>5</v>
      </c>
      <c r="T484" s="419">
        <f t="shared" si="22"/>
        <v>0.83333333333333337</v>
      </c>
      <c r="U484" s="419">
        <f t="shared" si="23"/>
        <v>5.833333333333333</v>
      </c>
      <c r="V484" s="415" t="s">
        <v>662</v>
      </c>
      <c r="W484" s="415" t="s">
        <v>610</v>
      </c>
      <c r="X484" s="415" t="s">
        <v>673</v>
      </c>
      <c r="Y484" s="415"/>
    </row>
    <row r="485" spans="1:25" hidden="1" x14ac:dyDescent="0.25">
      <c r="A485" s="415">
        <v>484</v>
      </c>
      <c r="B485" s="415">
        <v>420</v>
      </c>
      <c r="C485" s="415">
        <v>775030</v>
      </c>
      <c r="D485" s="416" t="s">
        <v>2914</v>
      </c>
      <c r="E485" s="416" t="s">
        <v>557</v>
      </c>
      <c r="F485" s="416" t="s">
        <v>559</v>
      </c>
      <c r="G485" s="416" t="s">
        <v>559</v>
      </c>
      <c r="H485" s="416" t="s">
        <v>2915</v>
      </c>
      <c r="I485" s="416" t="s">
        <v>2915</v>
      </c>
      <c r="J485" s="415" t="s">
        <v>661</v>
      </c>
      <c r="K485" s="417">
        <v>-10.794600000000001</v>
      </c>
      <c r="L485" s="417">
        <v>-75.351900000000001</v>
      </c>
      <c r="M485" s="418">
        <v>30</v>
      </c>
      <c r="N485" s="418" t="s">
        <v>2310</v>
      </c>
      <c r="O485" s="418" t="s">
        <v>2411</v>
      </c>
      <c r="P485" s="415">
        <v>2</v>
      </c>
      <c r="Q485" s="415">
        <v>30</v>
      </c>
      <c r="R485" s="415">
        <v>5</v>
      </c>
      <c r="S485" s="415">
        <f t="shared" si="21"/>
        <v>5</v>
      </c>
      <c r="T485" s="419">
        <f t="shared" si="22"/>
        <v>0.83333333333333337</v>
      </c>
      <c r="U485" s="419">
        <f t="shared" si="23"/>
        <v>5.833333333333333</v>
      </c>
      <c r="V485" s="415" t="s">
        <v>662</v>
      </c>
      <c r="W485" s="415" t="s">
        <v>610</v>
      </c>
      <c r="X485" s="415" t="s">
        <v>673</v>
      </c>
      <c r="Y485" s="415"/>
    </row>
    <row r="486" spans="1:25" hidden="1" x14ac:dyDescent="0.25">
      <c r="A486" s="415">
        <v>485</v>
      </c>
      <c r="B486" s="415">
        <v>421</v>
      </c>
      <c r="C486" s="415">
        <v>691417</v>
      </c>
      <c r="D486" s="416" t="s">
        <v>2916</v>
      </c>
      <c r="E486" s="416" t="s">
        <v>557</v>
      </c>
      <c r="F486" s="416" t="s">
        <v>559</v>
      </c>
      <c r="G486" s="416" t="s">
        <v>559</v>
      </c>
      <c r="H486" s="416" t="s">
        <v>2917</v>
      </c>
      <c r="I486" s="416" t="s">
        <v>2917</v>
      </c>
      <c r="J486" s="415" t="s">
        <v>661</v>
      </c>
      <c r="K486" s="417">
        <v>-10.623379999999999</v>
      </c>
      <c r="L486" s="417">
        <v>-75.337959999999995</v>
      </c>
      <c r="M486" s="418">
        <v>30</v>
      </c>
      <c r="N486" s="418" t="s">
        <v>2310</v>
      </c>
      <c r="O486" s="418" t="s">
        <v>2411</v>
      </c>
      <c r="P486" s="415">
        <v>2</v>
      </c>
      <c r="Q486" s="415">
        <v>30</v>
      </c>
      <c r="R486" s="415">
        <v>5</v>
      </c>
      <c r="S486" s="415">
        <f t="shared" si="21"/>
        <v>5</v>
      </c>
      <c r="T486" s="419">
        <f t="shared" si="22"/>
        <v>0.83333333333333337</v>
      </c>
      <c r="U486" s="419">
        <f t="shared" si="23"/>
        <v>5.833333333333333</v>
      </c>
      <c r="V486" s="415" t="s">
        <v>662</v>
      </c>
      <c r="W486" s="415" t="s">
        <v>610</v>
      </c>
      <c r="X486" s="415" t="s">
        <v>673</v>
      </c>
      <c r="Y486" s="415"/>
    </row>
    <row r="487" spans="1:25" hidden="1" x14ac:dyDescent="0.25">
      <c r="A487" s="415">
        <v>486</v>
      </c>
      <c r="B487" s="415">
        <v>422</v>
      </c>
      <c r="C487" s="415">
        <v>763739</v>
      </c>
      <c r="D487" s="416" t="s">
        <v>680</v>
      </c>
      <c r="E487" s="416" t="s">
        <v>557</v>
      </c>
      <c r="F487" s="416" t="s">
        <v>559</v>
      </c>
      <c r="G487" s="416" t="s">
        <v>559</v>
      </c>
      <c r="H487" s="416" t="s">
        <v>2918</v>
      </c>
      <c r="I487" s="416" t="s">
        <v>2919</v>
      </c>
      <c r="J487" s="415" t="s">
        <v>661</v>
      </c>
      <c r="K487" s="417">
        <v>-10.775725</v>
      </c>
      <c r="L487" s="417">
        <v>-75.358209000000002</v>
      </c>
      <c r="M487" s="418">
        <v>30</v>
      </c>
      <c r="N487" s="418" t="s">
        <v>2310</v>
      </c>
      <c r="O487" s="418" t="s">
        <v>2411</v>
      </c>
      <c r="P487" s="415">
        <v>2</v>
      </c>
      <c r="Q487" s="415">
        <v>30</v>
      </c>
      <c r="R487" s="415">
        <v>5</v>
      </c>
      <c r="S487" s="415">
        <f t="shared" si="21"/>
        <v>5</v>
      </c>
      <c r="T487" s="419">
        <f t="shared" si="22"/>
        <v>0.83333333333333337</v>
      </c>
      <c r="U487" s="419">
        <f t="shared" si="23"/>
        <v>5.833333333333333</v>
      </c>
      <c r="V487" s="415" t="s">
        <v>662</v>
      </c>
      <c r="W487" s="415" t="s">
        <v>610</v>
      </c>
      <c r="X487" s="415" t="s">
        <v>673</v>
      </c>
      <c r="Y487" s="415"/>
    </row>
    <row r="488" spans="1:25" hidden="1" x14ac:dyDescent="0.25">
      <c r="A488" s="415">
        <v>487</v>
      </c>
      <c r="B488" s="415">
        <v>423</v>
      </c>
      <c r="C488" s="415">
        <v>748206</v>
      </c>
      <c r="D488" s="416" t="s">
        <v>2920</v>
      </c>
      <c r="E488" s="416" t="s">
        <v>557</v>
      </c>
      <c r="F488" s="416" t="s">
        <v>559</v>
      </c>
      <c r="G488" s="416" t="s">
        <v>559</v>
      </c>
      <c r="H488" s="416" t="s">
        <v>2921</v>
      </c>
      <c r="I488" s="416" t="s">
        <v>2922</v>
      </c>
      <c r="J488" s="415" t="s">
        <v>661</v>
      </c>
      <c r="K488" s="417">
        <v>-10.68637</v>
      </c>
      <c r="L488" s="417">
        <v>-75.379084000000006</v>
      </c>
      <c r="M488" s="418">
        <v>30</v>
      </c>
      <c r="N488" s="418" t="s">
        <v>2310</v>
      </c>
      <c r="O488" s="418" t="s">
        <v>2411</v>
      </c>
      <c r="P488" s="415">
        <v>2</v>
      </c>
      <c r="Q488" s="415">
        <v>30</v>
      </c>
      <c r="R488" s="415">
        <v>5</v>
      </c>
      <c r="S488" s="415">
        <f t="shared" si="21"/>
        <v>5</v>
      </c>
      <c r="T488" s="419">
        <f t="shared" si="22"/>
        <v>0.83333333333333337</v>
      </c>
      <c r="U488" s="419">
        <f t="shared" si="23"/>
        <v>5.833333333333333</v>
      </c>
      <c r="V488" s="415" t="s">
        <v>662</v>
      </c>
      <c r="W488" s="415" t="s">
        <v>610</v>
      </c>
      <c r="X488" s="415" t="s">
        <v>673</v>
      </c>
      <c r="Y488" s="415"/>
    </row>
    <row r="489" spans="1:25" hidden="1" x14ac:dyDescent="0.25">
      <c r="A489" s="415">
        <v>488</v>
      </c>
      <c r="B489" s="415">
        <v>424</v>
      </c>
      <c r="C489" s="415">
        <v>775049</v>
      </c>
      <c r="D489" s="416" t="s">
        <v>1957</v>
      </c>
      <c r="E489" s="416" t="s">
        <v>557</v>
      </c>
      <c r="F489" s="416" t="s">
        <v>559</v>
      </c>
      <c r="G489" s="416" t="s">
        <v>559</v>
      </c>
      <c r="H489" s="416" t="s">
        <v>1398</v>
      </c>
      <c r="I489" s="416" t="s">
        <v>1398</v>
      </c>
      <c r="J489" s="415" t="s">
        <v>661</v>
      </c>
      <c r="K489" s="417">
        <v>-10.512320000000001</v>
      </c>
      <c r="L489" s="417">
        <v>-75.446240000000003</v>
      </c>
      <c r="M489" s="418">
        <v>30</v>
      </c>
      <c r="N489" s="418" t="s">
        <v>2310</v>
      </c>
      <c r="O489" s="418" t="s">
        <v>2411</v>
      </c>
      <c r="P489" s="415">
        <v>2</v>
      </c>
      <c r="Q489" s="415">
        <v>30</v>
      </c>
      <c r="R489" s="415">
        <v>5</v>
      </c>
      <c r="S489" s="415">
        <f t="shared" si="21"/>
        <v>5</v>
      </c>
      <c r="T489" s="419">
        <f t="shared" si="22"/>
        <v>0.83333333333333337</v>
      </c>
      <c r="U489" s="419">
        <f t="shared" si="23"/>
        <v>5.833333333333333</v>
      </c>
      <c r="V489" s="415" t="s">
        <v>662</v>
      </c>
      <c r="W489" s="415" t="s">
        <v>610</v>
      </c>
      <c r="X489" s="415" t="s">
        <v>673</v>
      </c>
      <c r="Y489" s="415"/>
    </row>
    <row r="490" spans="1:25" hidden="1" x14ac:dyDescent="0.25">
      <c r="A490" s="415">
        <v>489</v>
      </c>
      <c r="B490" s="415">
        <v>425</v>
      </c>
      <c r="C490" s="415">
        <v>691422</v>
      </c>
      <c r="D490" s="416" t="s">
        <v>2923</v>
      </c>
      <c r="E490" s="416" t="s">
        <v>557</v>
      </c>
      <c r="F490" s="416" t="s">
        <v>559</v>
      </c>
      <c r="G490" s="416" t="s">
        <v>559</v>
      </c>
      <c r="H490" s="416" t="s">
        <v>2924</v>
      </c>
      <c r="I490" s="416" t="s">
        <v>2925</v>
      </c>
      <c r="J490" s="415" t="s">
        <v>661</v>
      </c>
      <c r="K490" s="417">
        <v>-10.735530000000001</v>
      </c>
      <c r="L490" s="417">
        <v>-75.34563</v>
      </c>
      <c r="M490" s="418">
        <v>30</v>
      </c>
      <c r="N490" s="418" t="s">
        <v>2310</v>
      </c>
      <c r="O490" s="418" t="s">
        <v>2411</v>
      </c>
      <c r="P490" s="415">
        <v>2</v>
      </c>
      <c r="Q490" s="415">
        <v>30</v>
      </c>
      <c r="R490" s="415">
        <v>5</v>
      </c>
      <c r="S490" s="415">
        <f t="shared" si="21"/>
        <v>5</v>
      </c>
      <c r="T490" s="419">
        <f t="shared" si="22"/>
        <v>0.83333333333333337</v>
      </c>
      <c r="U490" s="419">
        <f t="shared" si="23"/>
        <v>5.833333333333333</v>
      </c>
      <c r="V490" s="415" t="s">
        <v>662</v>
      </c>
      <c r="W490" s="415" t="s">
        <v>610</v>
      </c>
      <c r="X490" s="415" t="s">
        <v>673</v>
      </c>
      <c r="Y490" s="415"/>
    </row>
    <row r="491" spans="1:25" hidden="1" x14ac:dyDescent="0.25">
      <c r="A491" s="415">
        <v>490</v>
      </c>
      <c r="B491" s="415">
        <v>426</v>
      </c>
      <c r="C491" s="415">
        <v>406180</v>
      </c>
      <c r="D491" s="416" t="s">
        <v>1885</v>
      </c>
      <c r="E491" s="416" t="s">
        <v>557</v>
      </c>
      <c r="F491" s="416" t="s">
        <v>559</v>
      </c>
      <c r="G491" s="416" t="s">
        <v>559</v>
      </c>
      <c r="H491" s="416" t="s">
        <v>1886</v>
      </c>
      <c r="I491" s="416" t="s">
        <v>1887</v>
      </c>
      <c r="J491" s="415" t="s">
        <v>661</v>
      </c>
      <c r="K491" s="417">
        <v>-10.817130000000001</v>
      </c>
      <c r="L491" s="417">
        <v>-75.326689999999999</v>
      </c>
      <c r="M491" s="418">
        <v>30</v>
      </c>
      <c r="N491" s="418" t="s">
        <v>2310</v>
      </c>
      <c r="O491" s="418" t="s">
        <v>2411</v>
      </c>
      <c r="P491" s="415">
        <v>2</v>
      </c>
      <c r="Q491" s="415">
        <v>30</v>
      </c>
      <c r="R491" s="415">
        <v>5</v>
      </c>
      <c r="S491" s="415">
        <f t="shared" si="21"/>
        <v>5</v>
      </c>
      <c r="T491" s="419">
        <f t="shared" si="22"/>
        <v>0.83333333333333337</v>
      </c>
      <c r="U491" s="419">
        <f t="shared" si="23"/>
        <v>5.833333333333333</v>
      </c>
      <c r="V491" s="415" t="s">
        <v>662</v>
      </c>
      <c r="W491" s="415" t="s">
        <v>610</v>
      </c>
      <c r="X491" s="415" t="s">
        <v>673</v>
      </c>
      <c r="Y491" s="415"/>
    </row>
    <row r="492" spans="1:25" hidden="1" x14ac:dyDescent="0.25">
      <c r="A492" s="415">
        <v>491</v>
      </c>
      <c r="B492" s="415">
        <v>427</v>
      </c>
      <c r="C492" s="415">
        <v>406774</v>
      </c>
      <c r="D492" s="416" t="s">
        <v>2926</v>
      </c>
      <c r="E492" s="416" t="s">
        <v>557</v>
      </c>
      <c r="F492" s="416" t="s">
        <v>559</v>
      </c>
      <c r="G492" s="416" t="s">
        <v>1892</v>
      </c>
      <c r="H492" s="416" t="s">
        <v>2927</v>
      </c>
      <c r="I492" s="416" t="s">
        <v>2928</v>
      </c>
      <c r="J492" s="415" t="s">
        <v>661</v>
      </c>
      <c r="K492" s="417">
        <v>-10.18407</v>
      </c>
      <c r="L492" s="417">
        <v>-75.149090000000001</v>
      </c>
      <c r="M492" s="418">
        <v>30</v>
      </c>
      <c r="N492" s="418" t="s">
        <v>2310</v>
      </c>
      <c r="O492" s="418" t="s">
        <v>2411</v>
      </c>
      <c r="P492" s="415">
        <v>2</v>
      </c>
      <c r="Q492" s="415">
        <v>30</v>
      </c>
      <c r="R492" s="415">
        <v>5</v>
      </c>
      <c r="S492" s="415">
        <f t="shared" si="21"/>
        <v>5</v>
      </c>
      <c r="T492" s="419">
        <f t="shared" si="22"/>
        <v>0.83333333333333337</v>
      </c>
      <c r="U492" s="419">
        <f t="shared" si="23"/>
        <v>5.833333333333333</v>
      </c>
      <c r="V492" s="415" t="s">
        <v>662</v>
      </c>
      <c r="W492" s="415" t="s">
        <v>610</v>
      </c>
      <c r="X492" s="415" t="s">
        <v>673</v>
      </c>
      <c r="Y492" s="415"/>
    </row>
    <row r="493" spans="1:25" hidden="1" x14ac:dyDescent="0.25">
      <c r="A493" s="415">
        <v>492</v>
      </c>
      <c r="B493" s="415">
        <v>428</v>
      </c>
      <c r="C493" s="415">
        <v>407226</v>
      </c>
      <c r="D493" s="416" t="s">
        <v>2929</v>
      </c>
      <c r="E493" s="416" t="s">
        <v>557</v>
      </c>
      <c r="F493" s="416" t="s">
        <v>559</v>
      </c>
      <c r="G493" s="416" t="s">
        <v>1892</v>
      </c>
      <c r="H493" s="416" t="s">
        <v>2929</v>
      </c>
      <c r="I493" s="416" t="s">
        <v>2929</v>
      </c>
      <c r="J493" s="415" t="s">
        <v>661</v>
      </c>
      <c r="K493" s="417">
        <v>-10.191700000000001</v>
      </c>
      <c r="L493" s="417">
        <v>-75.16</v>
      </c>
      <c r="M493" s="418">
        <v>30</v>
      </c>
      <c r="N493" s="418" t="s">
        <v>2310</v>
      </c>
      <c r="O493" s="418" t="s">
        <v>2411</v>
      </c>
      <c r="P493" s="415">
        <v>2</v>
      </c>
      <c r="Q493" s="415">
        <v>30</v>
      </c>
      <c r="R493" s="415">
        <v>5</v>
      </c>
      <c r="S493" s="415">
        <f t="shared" si="21"/>
        <v>5</v>
      </c>
      <c r="T493" s="419">
        <f t="shared" si="22"/>
        <v>0.83333333333333337</v>
      </c>
      <c r="U493" s="419">
        <f t="shared" si="23"/>
        <v>5.833333333333333</v>
      </c>
      <c r="V493" s="415" t="s">
        <v>662</v>
      </c>
      <c r="W493" s="415" t="s">
        <v>610</v>
      </c>
      <c r="X493" s="415" t="s">
        <v>673</v>
      </c>
      <c r="Y493" s="415"/>
    </row>
    <row r="494" spans="1:25" hidden="1" x14ac:dyDescent="0.25">
      <c r="A494" s="415">
        <v>493</v>
      </c>
      <c r="B494" s="415">
        <v>429</v>
      </c>
      <c r="C494" s="415">
        <v>407556</v>
      </c>
      <c r="D494" s="416" t="s">
        <v>1891</v>
      </c>
      <c r="E494" s="416" t="s">
        <v>557</v>
      </c>
      <c r="F494" s="416" t="s">
        <v>559</v>
      </c>
      <c r="G494" s="416" t="s">
        <v>1892</v>
      </c>
      <c r="H494" s="416" t="s">
        <v>1588</v>
      </c>
      <c r="I494" s="416" t="s">
        <v>1588</v>
      </c>
      <c r="J494" s="415" t="s">
        <v>661</v>
      </c>
      <c r="K494" s="417">
        <v>-9.9819010000000006</v>
      </c>
      <c r="L494" s="417">
        <v>-75.349562000000006</v>
      </c>
      <c r="M494" s="418">
        <v>30</v>
      </c>
      <c r="N494" s="418" t="s">
        <v>2310</v>
      </c>
      <c r="O494" s="418" t="s">
        <v>2411</v>
      </c>
      <c r="P494" s="415">
        <v>2</v>
      </c>
      <c r="Q494" s="415">
        <v>30</v>
      </c>
      <c r="R494" s="415">
        <v>5</v>
      </c>
      <c r="S494" s="415">
        <f t="shared" si="21"/>
        <v>5</v>
      </c>
      <c r="T494" s="419">
        <f t="shared" si="22"/>
        <v>0.83333333333333337</v>
      </c>
      <c r="U494" s="419">
        <f t="shared" si="23"/>
        <v>5.833333333333333</v>
      </c>
      <c r="V494" s="415" t="s">
        <v>662</v>
      </c>
      <c r="W494" s="415" t="s">
        <v>610</v>
      </c>
      <c r="X494" s="415" t="s">
        <v>673</v>
      </c>
      <c r="Y494" s="415"/>
    </row>
    <row r="495" spans="1:25" hidden="1" x14ac:dyDescent="0.25">
      <c r="A495" s="415">
        <v>494</v>
      </c>
      <c r="B495" s="415">
        <v>430</v>
      </c>
      <c r="C495" s="415">
        <v>631046</v>
      </c>
      <c r="D495" s="416" t="s">
        <v>2920</v>
      </c>
      <c r="E495" s="416" t="s">
        <v>557</v>
      </c>
      <c r="F495" s="416" t="s">
        <v>559</v>
      </c>
      <c r="G495" s="416" t="s">
        <v>1892</v>
      </c>
      <c r="H495" s="416" t="s">
        <v>1588</v>
      </c>
      <c r="I495" s="416" t="s">
        <v>2930</v>
      </c>
      <c r="J495" s="415" t="s">
        <v>661</v>
      </c>
      <c r="K495" s="417">
        <v>-9.9820759999999993</v>
      </c>
      <c r="L495" s="417">
        <v>-75.349744999999999</v>
      </c>
      <c r="M495" s="418">
        <v>30</v>
      </c>
      <c r="N495" s="418" t="s">
        <v>2310</v>
      </c>
      <c r="O495" s="418" t="s">
        <v>2411</v>
      </c>
      <c r="P495" s="415">
        <v>2</v>
      </c>
      <c r="Q495" s="415">
        <v>30</v>
      </c>
      <c r="R495" s="415">
        <v>5</v>
      </c>
      <c r="S495" s="415">
        <f t="shared" si="21"/>
        <v>5</v>
      </c>
      <c r="T495" s="419">
        <f t="shared" si="22"/>
        <v>0.83333333333333337</v>
      </c>
      <c r="U495" s="419">
        <f t="shared" si="23"/>
        <v>5.833333333333333</v>
      </c>
      <c r="V495" s="415" t="s">
        <v>662</v>
      </c>
      <c r="W495" s="415" t="s">
        <v>610</v>
      </c>
      <c r="X495" s="415" t="s">
        <v>673</v>
      </c>
      <c r="Y495" s="415"/>
    </row>
    <row r="496" spans="1:25" hidden="1" x14ac:dyDescent="0.25">
      <c r="A496" s="415">
        <v>495</v>
      </c>
      <c r="B496" s="415">
        <v>431</v>
      </c>
      <c r="C496" s="415">
        <v>409391</v>
      </c>
      <c r="D496" s="416" t="s">
        <v>2931</v>
      </c>
      <c r="E496" s="416" t="s">
        <v>557</v>
      </c>
      <c r="F496" s="416" t="s">
        <v>559</v>
      </c>
      <c r="G496" s="416" t="s">
        <v>1280</v>
      </c>
      <c r="H496" s="416" t="s">
        <v>2932</v>
      </c>
      <c r="I496" s="416" t="s">
        <v>2933</v>
      </c>
      <c r="J496" s="415" t="s">
        <v>661</v>
      </c>
      <c r="K496" s="417">
        <v>-10.796099999999999</v>
      </c>
      <c r="L496" s="417">
        <v>-75.254900000000006</v>
      </c>
      <c r="M496" s="418">
        <v>30</v>
      </c>
      <c r="N496" s="418" t="s">
        <v>2310</v>
      </c>
      <c r="O496" s="418" t="s">
        <v>2411</v>
      </c>
      <c r="P496" s="415">
        <v>2</v>
      </c>
      <c r="Q496" s="415">
        <v>30</v>
      </c>
      <c r="R496" s="415">
        <v>5</v>
      </c>
      <c r="S496" s="415">
        <f t="shared" si="21"/>
        <v>5</v>
      </c>
      <c r="T496" s="419">
        <f t="shared" si="22"/>
        <v>0.83333333333333337</v>
      </c>
      <c r="U496" s="419">
        <f t="shared" si="23"/>
        <v>5.833333333333333</v>
      </c>
      <c r="V496" s="415" t="s">
        <v>662</v>
      </c>
      <c r="W496" s="415" t="s">
        <v>610</v>
      </c>
      <c r="X496" s="415" t="s">
        <v>673</v>
      </c>
      <c r="Y496" s="415"/>
    </row>
    <row r="497" spans="1:25" hidden="1" x14ac:dyDescent="0.25">
      <c r="A497" s="415">
        <v>496</v>
      </c>
      <c r="B497" s="415">
        <v>432</v>
      </c>
      <c r="C497" s="415">
        <v>409881</v>
      </c>
      <c r="D497" s="416" t="s">
        <v>2934</v>
      </c>
      <c r="E497" s="416" t="s">
        <v>557</v>
      </c>
      <c r="F497" s="416" t="s">
        <v>559</v>
      </c>
      <c r="G497" s="416" t="s">
        <v>1280</v>
      </c>
      <c r="H497" s="416" t="s">
        <v>2935</v>
      </c>
      <c r="I497" s="416" t="s">
        <v>2936</v>
      </c>
      <c r="J497" s="415" t="s">
        <v>661</v>
      </c>
      <c r="K497" s="417">
        <v>-10.763299999999999</v>
      </c>
      <c r="L497" s="417">
        <v>-75.261799999999994</v>
      </c>
      <c r="M497" s="418">
        <v>30</v>
      </c>
      <c r="N497" s="418" t="s">
        <v>2310</v>
      </c>
      <c r="O497" s="418" t="s">
        <v>2411</v>
      </c>
      <c r="P497" s="415">
        <v>2</v>
      </c>
      <c r="Q497" s="415">
        <v>30</v>
      </c>
      <c r="R497" s="415">
        <v>5</v>
      </c>
      <c r="S497" s="415">
        <f t="shared" si="21"/>
        <v>5</v>
      </c>
      <c r="T497" s="419">
        <f t="shared" si="22"/>
        <v>0.83333333333333337</v>
      </c>
      <c r="U497" s="419">
        <f t="shared" si="23"/>
        <v>5.833333333333333</v>
      </c>
      <c r="V497" s="415" t="s">
        <v>662</v>
      </c>
      <c r="W497" s="415" t="s">
        <v>610</v>
      </c>
      <c r="X497" s="415" t="s">
        <v>673</v>
      </c>
      <c r="Y497" s="415"/>
    </row>
    <row r="498" spans="1:25" hidden="1" x14ac:dyDescent="0.25">
      <c r="A498" s="415">
        <v>497</v>
      </c>
      <c r="B498" s="415">
        <v>433</v>
      </c>
      <c r="C498" s="415">
        <v>409862</v>
      </c>
      <c r="D498" s="416" t="s">
        <v>2937</v>
      </c>
      <c r="E498" s="416" t="s">
        <v>557</v>
      </c>
      <c r="F498" s="416" t="s">
        <v>559</v>
      </c>
      <c r="G498" s="416" t="s">
        <v>1280</v>
      </c>
      <c r="H498" s="416" t="s">
        <v>2938</v>
      </c>
      <c r="I498" s="416" t="s">
        <v>2939</v>
      </c>
      <c r="J498" s="415" t="s">
        <v>661</v>
      </c>
      <c r="K498" s="417">
        <v>-10.738683999999999</v>
      </c>
      <c r="L498" s="417">
        <v>-75.163988000000003</v>
      </c>
      <c r="M498" s="418">
        <v>30</v>
      </c>
      <c r="N498" s="418" t="s">
        <v>2310</v>
      </c>
      <c r="O498" s="418" t="s">
        <v>2411</v>
      </c>
      <c r="P498" s="415">
        <v>2</v>
      </c>
      <c r="Q498" s="415">
        <v>30</v>
      </c>
      <c r="R498" s="415">
        <v>5</v>
      </c>
      <c r="S498" s="415">
        <f t="shared" si="21"/>
        <v>5</v>
      </c>
      <c r="T498" s="419">
        <f t="shared" si="22"/>
        <v>0.83333333333333337</v>
      </c>
      <c r="U498" s="419">
        <f t="shared" si="23"/>
        <v>5.833333333333333</v>
      </c>
      <c r="V498" s="415" t="s">
        <v>662</v>
      </c>
      <c r="W498" s="415" t="s">
        <v>610</v>
      </c>
      <c r="X498" s="415" t="s">
        <v>673</v>
      </c>
      <c r="Y498" s="415"/>
    </row>
    <row r="499" spans="1:25" hidden="1" x14ac:dyDescent="0.25">
      <c r="A499" s="415">
        <v>498</v>
      </c>
      <c r="B499" s="415">
        <v>434</v>
      </c>
      <c r="C499" s="415">
        <v>409536</v>
      </c>
      <c r="D499" s="416" t="s">
        <v>1893</v>
      </c>
      <c r="E499" s="416" t="s">
        <v>557</v>
      </c>
      <c r="F499" s="416" t="s">
        <v>559</v>
      </c>
      <c r="G499" s="416" t="s">
        <v>1280</v>
      </c>
      <c r="H499" s="416" t="s">
        <v>1894</v>
      </c>
      <c r="I499" s="416" t="s">
        <v>1895</v>
      </c>
      <c r="J499" s="415" t="s">
        <v>661</v>
      </c>
      <c r="K499" s="417">
        <v>-10.7456</v>
      </c>
      <c r="L499" s="417">
        <v>-75.241100000000003</v>
      </c>
      <c r="M499" s="418">
        <v>30</v>
      </c>
      <c r="N499" s="418" t="s">
        <v>2310</v>
      </c>
      <c r="O499" s="418" t="s">
        <v>2411</v>
      </c>
      <c r="P499" s="415">
        <v>2</v>
      </c>
      <c r="Q499" s="415">
        <v>30</v>
      </c>
      <c r="R499" s="415">
        <v>5</v>
      </c>
      <c r="S499" s="415">
        <f t="shared" si="21"/>
        <v>5</v>
      </c>
      <c r="T499" s="419">
        <f t="shared" si="22"/>
        <v>0.83333333333333337</v>
      </c>
      <c r="U499" s="419">
        <f t="shared" si="23"/>
        <v>5.833333333333333</v>
      </c>
      <c r="V499" s="415" t="s">
        <v>662</v>
      </c>
      <c r="W499" s="415" t="s">
        <v>610</v>
      </c>
      <c r="X499" s="415" t="s">
        <v>673</v>
      </c>
      <c r="Y499" s="415"/>
    </row>
    <row r="500" spans="1:25" hidden="1" x14ac:dyDescent="0.25">
      <c r="A500" s="415">
        <v>499</v>
      </c>
      <c r="B500" s="415">
        <v>435</v>
      </c>
      <c r="C500" s="415">
        <v>691667</v>
      </c>
      <c r="D500" s="416" t="s">
        <v>2940</v>
      </c>
      <c r="E500" s="416" t="s">
        <v>557</v>
      </c>
      <c r="F500" s="416" t="s">
        <v>559</v>
      </c>
      <c r="G500" s="416" t="s">
        <v>1280</v>
      </c>
      <c r="H500" s="416" t="s">
        <v>2941</v>
      </c>
      <c r="I500" s="416" t="s">
        <v>2942</v>
      </c>
      <c r="J500" s="415" t="s">
        <v>661</v>
      </c>
      <c r="K500" s="417">
        <v>-10.8056</v>
      </c>
      <c r="L500" s="417">
        <v>-75.3048</v>
      </c>
      <c r="M500" s="418">
        <v>30</v>
      </c>
      <c r="N500" s="418" t="s">
        <v>2310</v>
      </c>
      <c r="O500" s="418" t="s">
        <v>2411</v>
      </c>
      <c r="P500" s="415">
        <v>2</v>
      </c>
      <c r="Q500" s="415">
        <v>30</v>
      </c>
      <c r="R500" s="415">
        <v>5</v>
      </c>
      <c r="S500" s="415">
        <f t="shared" si="21"/>
        <v>5</v>
      </c>
      <c r="T500" s="419">
        <f t="shared" si="22"/>
        <v>0.83333333333333337</v>
      </c>
      <c r="U500" s="419">
        <f t="shared" si="23"/>
        <v>5.833333333333333</v>
      </c>
      <c r="V500" s="415" t="s">
        <v>662</v>
      </c>
      <c r="W500" s="415" t="s">
        <v>610</v>
      </c>
      <c r="X500" s="415" t="s">
        <v>673</v>
      </c>
      <c r="Y500" s="415"/>
    </row>
    <row r="501" spans="1:25" hidden="1" x14ac:dyDescent="0.25">
      <c r="A501" s="415">
        <v>500</v>
      </c>
      <c r="B501" s="415">
        <v>436</v>
      </c>
      <c r="C501" s="415">
        <v>400183</v>
      </c>
      <c r="D501" s="416" t="s">
        <v>2943</v>
      </c>
      <c r="E501" s="416" t="s">
        <v>557</v>
      </c>
      <c r="F501" s="416" t="s">
        <v>557</v>
      </c>
      <c r="G501" s="416" t="s">
        <v>2944</v>
      </c>
      <c r="H501" s="416" t="s">
        <v>2944</v>
      </c>
      <c r="I501" s="416" t="s">
        <v>2945</v>
      </c>
      <c r="J501" s="415" t="s">
        <v>747</v>
      </c>
      <c r="K501" s="417">
        <v>-10.68671</v>
      </c>
      <c r="L501" s="417">
        <v>-76.254360000000005</v>
      </c>
      <c r="M501" s="418">
        <v>30</v>
      </c>
      <c r="N501" s="418" t="s">
        <v>2310</v>
      </c>
      <c r="O501" s="418" t="s">
        <v>2411</v>
      </c>
      <c r="P501" s="415">
        <v>2</v>
      </c>
      <c r="Q501" s="415">
        <v>30</v>
      </c>
      <c r="R501" s="415">
        <v>5</v>
      </c>
      <c r="S501" s="415">
        <f t="shared" si="21"/>
        <v>5</v>
      </c>
      <c r="T501" s="419">
        <f t="shared" si="22"/>
        <v>0.83333333333333337</v>
      </c>
      <c r="U501" s="419">
        <f t="shared" si="23"/>
        <v>5.833333333333333</v>
      </c>
      <c r="V501" s="415" t="s">
        <v>662</v>
      </c>
      <c r="W501" s="415" t="s">
        <v>610</v>
      </c>
      <c r="X501" s="415" t="s">
        <v>673</v>
      </c>
      <c r="Y501" s="415"/>
    </row>
    <row r="502" spans="1:25" hidden="1" x14ac:dyDescent="0.25">
      <c r="A502" s="415">
        <v>501</v>
      </c>
      <c r="B502" s="415">
        <v>437</v>
      </c>
      <c r="C502" s="415">
        <v>400215</v>
      </c>
      <c r="D502" s="416" t="s">
        <v>558</v>
      </c>
      <c r="E502" s="416" t="s">
        <v>557</v>
      </c>
      <c r="F502" s="416" t="s">
        <v>557</v>
      </c>
      <c r="G502" s="416" t="s">
        <v>2944</v>
      </c>
      <c r="H502" s="416" t="s">
        <v>2944</v>
      </c>
      <c r="I502" s="416" t="s">
        <v>1014</v>
      </c>
      <c r="J502" s="415" t="s">
        <v>747</v>
      </c>
      <c r="K502" s="417">
        <v>-10.688404999999999</v>
      </c>
      <c r="L502" s="417">
        <v>-76.253523000000001</v>
      </c>
      <c r="M502" s="418">
        <v>30</v>
      </c>
      <c r="N502" s="418" t="s">
        <v>2310</v>
      </c>
      <c r="O502" s="418" t="s">
        <v>2411</v>
      </c>
      <c r="P502" s="415">
        <v>2</v>
      </c>
      <c r="Q502" s="415">
        <v>30</v>
      </c>
      <c r="R502" s="415">
        <v>5</v>
      </c>
      <c r="S502" s="415">
        <f t="shared" si="21"/>
        <v>5</v>
      </c>
      <c r="T502" s="419">
        <f t="shared" si="22"/>
        <v>0.83333333333333337</v>
      </c>
      <c r="U502" s="419">
        <f t="shared" si="23"/>
        <v>5.833333333333333</v>
      </c>
      <c r="V502" s="415" t="s">
        <v>662</v>
      </c>
      <c r="W502" s="415" t="s">
        <v>610</v>
      </c>
      <c r="X502" s="415" t="s">
        <v>673</v>
      </c>
      <c r="Y502" s="415"/>
    </row>
    <row r="503" spans="1:25" hidden="1" x14ac:dyDescent="0.25">
      <c r="A503" s="415">
        <v>502</v>
      </c>
      <c r="B503" s="415">
        <v>438</v>
      </c>
      <c r="C503" s="415">
        <v>400588</v>
      </c>
      <c r="D503" s="416" t="s">
        <v>2946</v>
      </c>
      <c r="E503" s="416" t="s">
        <v>557</v>
      </c>
      <c r="F503" s="416" t="s">
        <v>557</v>
      </c>
      <c r="G503" s="416" t="s">
        <v>2947</v>
      </c>
      <c r="H503" s="416" t="s">
        <v>492</v>
      </c>
      <c r="I503" s="416" t="s">
        <v>492</v>
      </c>
      <c r="J503" s="415" t="s">
        <v>747</v>
      </c>
      <c r="K503" s="417">
        <v>-10.449529999999999</v>
      </c>
      <c r="L503" s="417">
        <v>-76.179789999999997</v>
      </c>
      <c r="M503" s="418">
        <v>30</v>
      </c>
      <c r="N503" s="418" t="s">
        <v>2310</v>
      </c>
      <c r="O503" s="418" t="s">
        <v>2411</v>
      </c>
      <c r="P503" s="415">
        <v>2</v>
      </c>
      <c r="Q503" s="415">
        <v>30</v>
      </c>
      <c r="R503" s="415">
        <v>5</v>
      </c>
      <c r="S503" s="415">
        <f t="shared" si="21"/>
        <v>5</v>
      </c>
      <c r="T503" s="419">
        <f t="shared" si="22"/>
        <v>0.83333333333333337</v>
      </c>
      <c r="U503" s="419">
        <f t="shared" si="23"/>
        <v>5.833333333333333</v>
      </c>
      <c r="V503" s="415" t="s">
        <v>662</v>
      </c>
      <c r="W503" s="415" t="s">
        <v>610</v>
      </c>
      <c r="X503" s="415" t="s">
        <v>673</v>
      </c>
      <c r="Y503" s="415"/>
    </row>
    <row r="504" spans="1:25" hidden="1" x14ac:dyDescent="0.25">
      <c r="A504" s="415">
        <v>503</v>
      </c>
      <c r="B504" s="415">
        <v>439</v>
      </c>
      <c r="C504" s="415">
        <v>401917</v>
      </c>
      <c r="D504" s="416" t="s">
        <v>2948</v>
      </c>
      <c r="E504" s="416" t="s">
        <v>557</v>
      </c>
      <c r="F504" s="416" t="s">
        <v>557</v>
      </c>
      <c r="G504" s="416" t="s">
        <v>483</v>
      </c>
      <c r="H504" s="416" t="s">
        <v>2948</v>
      </c>
      <c r="I504" s="416" t="s">
        <v>2949</v>
      </c>
      <c r="J504" s="415" t="s">
        <v>661</v>
      </c>
      <c r="K504" s="417">
        <v>-10.8255</v>
      </c>
      <c r="L504" s="417">
        <v>-75.851699999999994</v>
      </c>
      <c r="M504" s="418">
        <v>30</v>
      </c>
      <c r="N504" s="418" t="s">
        <v>2310</v>
      </c>
      <c r="O504" s="418" t="s">
        <v>2411</v>
      </c>
      <c r="P504" s="415">
        <v>2</v>
      </c>
      <c r="Q504" s="415">
        <v>30</v>
      </c>
      <c r="R504" s="415">
        <v>5</v>
      </c>
      <c r="S504" s="415">
        <f t="shared" si="21"/>
        <v>5</v>
      </c>
      <c r="T504" s="419">
        <f t="shared" si="22"/>
        <v>0.83333333333333337</v>
      </c>
      <c r="U504" s="419">
        <f t="shared" si="23"/>
        <v>5.833333333333333</v>
      </c>
      <c r="V504" s="415" t="s">
        <v>662</v>
      </c>
      <c r="W504" s="415" t="s">
        <v>610</v>
      </c>
      <c r="X504" s="415" t="s">
        <v>673</v>
      </c>
      <c r="Y504" s="415"/>
    </row>
    <row r="505" spans="1:25" hidden="1" x14ac:dyDescent="0.25">
      <c r="A505" s="415">
        <v>504</v>
      </c>
      <c r="B505" s="415">
        <v>440</v>
      </c>
      <c r="C505" s="415">
        <v>402115</v>
      </c>
      <c r="D505" s="416" t="s">
        <v>1877</v>
      </c>
      <c r="E505" s="416" t="s">
        <v>557</v>
      </c>
      <c r="F505" s="416" t="s">
        <v>557</v>
      </c>
      <c r="G505" s="416" t="s">
        <v>1878</v>
      </c>
      <c r="H505" s="416" t="s">
        <v>1879</v>
      </c>
      <c r="I505" s="416" t="s">
        <v>1880</v>
      </c>
      <c r="J505" s="415" t="s">
        <v>661</v>
      </c>
      <c r="K505" s="417">
        <v>-10.548360000000001</v>
      </c>
      <c r="L505" s="417">
        <v>-76.220219999999998</v>
      </c>
      <c r="M505" s="418">
        <v>30</v>
      </c>
      <c r="N505" s="418" t="s">
        <v>2310</v>
      </c>
      <c r="O505" s="418" t="s">
        <v>2411</v>
      </c>
      <c r="P505" s="415">
        <v>2</v>
      </c>
      <c r="Q505" s="415">
        <v>30</v>
      </c>
      <c r="R505" s="415">
        <v>5</v>
      </c>
      <c r="S505" s="415">
        <f t="shared" si="21"/>
        <v>5</v>
      </c>
      <c r="T505" s="419">
        <f t="shared" si="22"/>
        <v>0.83333333333333337</v>
      </c>
      <c r="U505" s="419">
        <f t="shared" si="23"/>
        <v>5.833333333333333</v>
      </c>
      <c r="V505" s="415" t="s">
        <v>662</v>
      </c>
      <c r="W505" s="415" t="s">
        <v>610</v>
      </c>
      <c r="X505" s="415" t="s">
        <v>673</v>
      </c>
      <c r="Y505" s="415"/>
    </row>
    <row r="506" spans="1:25" hidden="1" x14ac:dyDescent="0.25">
      <c r="A506" s="415">
        <v>505</v>
      </c>
      <c r="B506" s="415">
        <v>441</v>
      </c>
      <c r="C506" s="415">
        <v>760613</v>
      </c>
      <c r="D506" s="416" t="s">
        <v>2270</v>
      </c>
      <c r="E506" s="416" t="s">
        <v>557</v>
      </c>
      <c r="F506" s="416" t="s">
        <v>557</v>
      </c>
      <c r="G506" s="416" t="s">
        <v>2271</v>
      </c>
      <c r="H506" s="416" t="s">
        <v>2272</v>
      </c>
      <c r="I506" s="416" t="s">
        <v>2273</v>
      </c>
      <c r="J506" s="415" t="s">
        <v>661</v>
      </c>
      <c r="K506" s="417">
        <v>-10.336026</v>
      </c>
      <c r="L506" s="417">
        <v>-75.922740000000005</v>
      </c>
      <c r="M506" s="418">
        <v>30</v>
      </c>
      <c r="N506" s="418" t="s">
        <v>2310</v>
      </c>
      <c r="O506" s="418" t="s">
        <v>2411</v>
      </c>
      <c r="P506" s="415">
        <v>2</v>
      </c>
      <c r="Q506" s="415">
        <v>30</v>
      </c>
      <c r="R506" s="415">
        <v>5</v>
      </c>
      <c r="S506" s="415">
        <f t="shared" si="21"/>
        <v>5</v>
      </c>
      <c r="T506" s="419">
        <f t="shared" si="22"/>
        <v>0.83333333333333337</v>
      </c>
      <c r="U506" s="419">
        <f t="shared" si="23"/>
        <v>5.833333333333333</v>
      </c>
      <c r="V506" s="415" t="s">
        <v>662</v>
      </c>
      <c r="W506" s="415" t="s">
        <v>610</v>
      </c>
      <c r="X506" s="415" t="s">
        <v>673</v>
      </c>
      <c r="Y506" s="415"/>
    </row>
    <row r="507" spans="1:25" hidden="1" x14ac:dyDescent="0.25">
      <c r="A507" s="415">
        <v>506</v>
      </c>
      <c r="B507" s="415">
        <v>442</v>
      </c>
      <c r="C507" s="415">
        <v>403389</v>
      </c>
      <c r="D507" s="416" t="s">
        <v>2950</v>
      </c>
      <c r="E507" s="416" t="s">
        <v>557</v>
      </c>
      <c r="F507" s="416" t="s">
        <v>557</v>
      </c>
      <c r="G507" s="416" t="s">
        <v>1882</v>
      </c>
      <c r="H507" s="416" t="s">
        <v>2951</v>
      </c>
      <c r="I507" s="416" t="s">
        <v>2952</v>
      </c>
      <c r="J507" s="415" t="s">
        <v>661</v>
      </c>
      <c r="K507" s="417">
        <v>-10.618474000000001</v>
      </c>
      <c r="L507" s="417">
        <v>-76.187316999999993</v>
      </c>
      <c r="M507" s="418">
        <v>30</v>
      </c>
      <c r="N507" s="418" t="s">
        <v>2310</v>
      </c>
      <c r="O507" s="418" t="s">
        <v>2411</v>
      </c>
      <c r="P507" s="415">
        <v>2</v>
      </c>
      <c r="Q507" s="415">
        <v>30</v>
      </c>
      <c r="R507" s="415">
        <v>5</v>
      </c>
      <c r="S507" s="415">
        <f t="shared" si="21"/>
        <v>5</v>
      </c>
      <c r="T507" s="419">
        <f t="shared" si="22"/>
        <v>0.83333333333333337</v>
      </c>
      <c r="U507" s="419">
        <f t="shared" si="23"/>
        <v>5.833333333333333</v>
      </c>
      <c r="V507" s="415" t="s">
        <v>662</v>
      </c>
      <c r="W507" s="415" t="s">
        <v>610</v>
      </c>
      <c r="X507" s="415" t="s">
        <v>673</v>
      </c>
      <c r="Y507" s="415"/>
    </row>
    <row r="508" spans="1:25" hidden="1" x14ac:dyDescent="0.25">
      <c r="A508" s="415">
        <v>507</v>
      </c>
      <c r="B508" s="415">
        <v>443</v>
      </c>
      <c r="C508" s="415">
        <v>403582</v>
      </c>
      <c r="D508" s="416" t="s">
        <v>1881</v>
      </c>
      <c r="E508" s="416" t="s">
        <v>557</v>
      </c>
      <c r="F508" s="416" t="s">
        <v>557</v>
      </c>
      <c r="G508" s="416" t="s">
        <v>1882</v>
      </c>
      <c r="H508" s="416" t="s">
        <v>1883</v>
      </c>
      <c r="I508" s="416" t="s">
        <v>1884</v>
      </c>
      <c r="J508" s="415" t="s">
        <v>661</v>
      </c>
      <c r="K508" s="417">
        <v>-10.575951999999999</v>
      </c>
      <c r="L508" s="417">
        <v>-76.273607999999996</v>
      </c>
      <c r="M508" s="418">
        <v>30</v>
      </c>
      <c r="N508" s="418" t="s">
        <v>2310</v>
      </c>
      <c r="O508" s="418" t="s">
        <v>2411</v>
      </c>
      <c r="P508" s="415">
        <v>2</v>
      </c>
      <c r="Q508" s="415">
        <v>30</v>
      </c>
      <c r="R508" s="415">
        <v>5</v>
      </c>
      <c r="S508" s="415">
        <f t="shared" si="21"/>
        <v>5</v>
      </c>
      <c r="T508" s="419">
        <f t="shared" si="22"/>
        <v>0.83333333333333337</v>
      </c>
      <c r="U508" s="419">
        <f t="shared" si="23"/>
        <v>5.833333333333333</v>
      </c>
      <c r="V508" s="415" t="s">
        <v>662</v>
      </c>
      <c r="W508" s="415" t="s">
        <v>610</v>
      </c>
      <c r="X508" s="415" t="s">
        <v>673</v>
      </c>
      <c r="Y508" s="415"/>
    </row>
    <row r="509" spans="1:25" hidden="1" x14ac:dyDescent="0.25">
      <c r="A509" s="415">
        <v>508</v>
      </c>
      <c r="B509" s="415">
        <v>907</v>
      </c>
      <c r="C509" s="415">
        <v>42458</v>
      </c>
      <c r="D509" s="416" t="s">
        <v>825</v>
      </c>
      <c r="E509" s="416" t="s">
        <v>434</v>
      </c>
      <c r="F509" s="416" t="s">
        <v>438</v>
      </c>
      <c r="G509" s="416" t="s">
        <v>438</v>
      </c>
      <c r="H509" s="416" t="s">
        <v>826</v>
      </c>
      <c r="I509" s="416" t="s">
        <v>826</v>
      </c>
      <c r="J509" s="415" t="s">
        <v>661</v>
      </c>
      <c r="K509" s="417">
        <v>-13.626545</v>
      </c>
      <c r="L509" s="417">
        <v>-72.845432000000002</v>
      </c>
      <c r="M509" s="418">
        <v>30</v>
      </c>
      <c r="N509" s="418" t="s">
        <v>2310</v>
      </c>
      <c r="O509" s="418" t="s">
        <v>2953</v>
      </c>
      <c r="P509" s="415">
        <v>3</v>
      </c>
      <c r="Q509" s="415">
        <v>30</v>
      </c>
      <c r="R509" s="415">
        <v>5</v>
      </c>
      <c r="S509" s="415">
        <f t="shared" si="21"/>
        <v>5</v>
      </c>
      <c r="T509" s="419">
        <f t="shared" si="22"/>
        <v>0.83333333333333337</v>
      </c>
      <c r="U509" s="419">
        <f t="shared" si="23"/>
        <v>5.833333333333333</v>
      </c>
      <c r="V509" s="415" t="s">
        <v>662</v>
      </c>
      <c r="W509" s="415" t="s">
        <v>613</v>
      </c>
      <c r="X509" s="415" t="s">
        <v>671</v>
      </c>
      <c r="Y509" s="415"/>
    </row>
    <row r="510" spans="1:25" hidden="1" x14ac:dyDescent="0.25">
      <c r="A510" s="415">
        <v>509</v>
      </c>
      <c r="B510" s="415">
        <v>908</v>
      </c>
      <c r="C510" s="415">
        <v>42477</v>
      </c>
      <c r="D510" s="416" t="s">
        <v>827</v>
      </c>
      <c r="E510" s="416" t="s">
        <v>434</v>
      </c>
      <c r="F510" s="416" t="s">
        <v>438</v>
      </c>
      <c r="G510" s="416" t="s">
        <v>438</v>
      </c>
      <c r="H510" s="416" t="s">
        <v>828</v>
      </c>
      <c r="I510" s="416" t="s">
        <v>828</v>
      </c>
      <c r="J510" s="415" t="s">
        <v>661</v>
      </c>
      <c r="K510" s="417">
        <v>-13.649886</v>
      </c>
      <c r="L510" s="417">
        <v>-72.852062000000004</v>
      </c>
      <c r="M510" s="418">
        <v>30</v>
      </c>
      <c r="N510" s="418" t="s">
        <v>2310</v>
      </c>
      <c r="O510" s="418" t="s">
        <v>2953</v>
      </c>
      <c r="P510" s="415">
        <v>3</v>
      </c>
      <c r="Q510" s="415">
        <v>30</v>
      </c>
      <c r="R510" s="415">
        <v>5</v>
      </c>
      <c r="S510" s="415">
        <f t="shared" si="21"/>
        <v>5</v>
      </c>
      <c r="T510" s="419">
        <f t="shared" si="22"/>
        <v>0.83333333333333337</v>
      </c>
      <c r="U510" s="419">
        <f t="shared" si="23"/>
        <v>5.833333333333333</v>
      </c>
      <c r="V510" s="415" t="s">
        <v>662</v>
      </c>
      <c r="W510" s="415" t="s">
        <v>613</v>
      </c>
      <c r="X510" s="415" t="s">
        <v>671</v>
      </c>
      <c r="Y510" s="415"/>
    </row>
    <row r="511" spans="1:25" hidden="1" x14ac:dyDescent="0.25">
      <c r="A511" s="415">
        <v>510</v>
      </c>
      <c r="B511" s="415">
        <v>909</v>
      </c>
      <c r="C511" s="415">
        <v>42868</v>
      </c>
      <c r="D511" s="416" t="s">
        <v>2954</v>
      </c>
      <c r="E511" s="416" t="s">
        <v>434</v>
      </c>
      <c r="F511" s="416" t="s">
        <v>438</v>
      </c>
      <c r="G511" s="416" t="s">
        <v>2285</v>
      </c>
      <c r="H511" s="416" t="s">
        <v>2955</v>
      </c>
      <c r="I511" s="416" t="s">
        <v>2956</v>
      </c>
      <c r="J511" s="415" t="s">
        <v>661</v>
      </c>
      <c r="K511" s="417">
        <v>-13.876797</v>
      </c>
      <c r="L511" s="417">
        <v>-73.026432</v>
      </c>
      <c r="M511" s="418">
        <v>30</v>
      </c>
      <c r="N511" s="418" t="s">
        <v>2310</v>
      </c>
      <c r="O511" s="418" t="s">
        <v>2953</v>
      </c>
      <c r="P511" s="415">
        <v>3</v>
      </c>
      <c r="Q511" s="415">
        <v>30</v>
      </c>
      <c r="R511" s="415">
        <v>5</v>
      </c>
      <c r="S511" s="415">
        <f t="shared" si="21"/>
        <v>5</v>
      </c>
      <c r="T511" s="419">
        <f t="shared" si="22"/>
        <v>0.83333333333333337</v>
      </c>
      <c r="U511" s="419">
        <f t="shared" si="23"/>
        <v>5.833333333333333</v>
      </c>
      <c r="V511" s="415" t="s">
        <v>662</v>
      </c>
      <c r="W511" s="415" t="s">
        <v>613</v>
      </c>
      <c r="X511" s="415" t="s">
        <v>671</v>
      </c>
      <c r="Y511" s="415"/>
    </row>
    <row r="512" spans="1:25" hidden="1" x14ac:dyDescent="0.25">
      <c r="A512" s="415">
        <v>511</v>
      </c>
      <c r="B512" s="415">
        <v>910</v>
      </c>
      <c r="C512" s="415">
        <v>833469</v>
      </c>
      <c r="D512" s="416" t="s">
        <v>2284</v>
      </c>
      <c r="E512" s="416" t="s">
        <v>434</v>
      </c>
      <c r="F512" s="416" t="s">
        <v>438</v>
      </c>
      <c r="G512" s="416" t="s">
        <v>2285</v>
      </c>
      <c r="H512" s="416" t="s">
        <v>2285</v>
      </c>
      <c r="I512" s="416" t="s">
        <v>2028</v>
      </c>
      <c r="J512" s="415" t="s">
        <v>661</v>
      </c>
      <c r="K512" s="417">
        <v>-13.94129</v>
      </c>
      <c r="L512" s="417">
        <v>-72.991290000000006</v>
      </c>
      <c r="M512" s="418">
        <v>30</v>
      </c>
      <c r="N512" s="418" t="s">
        <v>2310</v>
      </c>
      <c r="O512" s="418" t="s">
        <v>2953</v>
      </c>
      <c r="P512" s="415">
        <v>3</v>
      </c>
      <c r="Q512" s="415">
        <v>30</v>
      </c>
      <c r="R512" s="415">
        <v>5</v>
      </c>
      <c r="S512" s="415">
        <f t="shared" si="21"/>
        <v>5</v>
      </c>
      <c r="T512" s="419">
        <f t="shared" si="22"/>
        <v>0.83333333333333337</v>
      </c>
      <c r="U512" s="419">
        <f t="shared" si="23"/>
        <v>5.833333333333333</v>
      </c>
      <c r="V512" s="415" t="s">
        <v>662</v>
      </c>
      <c r="W512" s="415" t="s">
        <v>613</v>
      </c>
      <c r="X512" s="415" t="s">
        <v>671</v>
      </c>
      <c r="Y512" s="415"/>
    </row>
    <row r="513" spans="1:25" hidden="1" x14ac:dyDescent="0.25">
      <c r="A513" s="415">
        <v>512</v>
      </c>
      <c r="B513" s="415">
        <v>911</v>
      </c>
      <c r="C513" s="415">
        <v>43090</v>
      </c>
      <c r="D513" s="416" t="s">
        <v>830</v>
      </c>
      <c r="E513" s="416" t="s">
        <v>434</v>
      </c>
      <c r="F513" s="416" t="s">
        <v>438</v>
      </c>
      <c r="G513" s="416" t="s">
        <v>829</v>
      </c>
      <c r="H513" s="416" t="s">
        <v>831</v>
      </c>
      <c r="I513" s="416" t="s">
        <v>831</v>
      </c>
      <c r="J513" s="415" t="s">
        <v>661</v>
      </c>
      <c r="K513" s="417">
        <v>-13.9687</v>
      </c>
      <c r="L513" s="417">
        <v>-72.891199999999998</v>
      </c>
      <c r="M513" s="418">
        <v>30</v>
      </c>
      <c r="N513" s="418" t="s">
        <v>2310</v>
      </c>
      <c r="O513" s="418" t="s">
        <v>2953</v>
      </c>
      <c r="P513" s="415">
        <v>3</v>
      </c>
      <c r="Q513" s="415">
        <v>30</v>
      </c>
      <c r="R513" s="415">
        <v>5</v>
      </c>
      <c r="S513" s="415">
        <f t="shared" si="21"/>
        <v>5</v>
      </c>
      <c r="T513" s="419">
        <f t="shared" si="22"/>
        <v>0.83333333333333337</v>
      </c>
      <c r="U513" s="419">
        <f t="shared" si="23"/>
        <v>5.833333333333333</v>
      </c>
      <c r="V513" s="415" t="s">
        <v>662</v>
      </c>
      <c r="W513" s="415" t="s">
        <v>613</v>
      </c>
      <c r="X513" s="415" t="s">
        <v>671</v>
      </c>
      <c r="Y513" s="415"/>
    </row>
    <row r="514" spans="1:25" hidden="1" x14ac:dyDescent="0.25">
      <c r="A514" s="415">
        <v>513</v>
      </c>
      <c r="B514" s="415">
        <v>912</v>
      </c>
      <c r="C514" s="415">
        <v>43231</v>
      </c>
      <c r="D514" s="416" t="s">
        <v>832</v>
      </c>
      <c r="E514" s="416" t="s">
        <v>434</v>
      </c>
      <c r="F514" s="416" t="s">
        <v>438</v>
      </c>
      <c r="G514" s="416" t="s">
        <v>833</v>
      </c>
      <c r="H514" s="416" t="s">
        <v>834</v>
      </c>
      <c r="I514" s="416" t="s">
        <v>834</v>
      </c>
      <c r="J514" s="415" t="s">
        <v>661</v>
      </c>
      <c r="K514" s="417">
        <v>-13.6419</v>
      </c>
      <c r="L514" s="417">
        <v>-72.571700000000007</v>
      </c>
      <c r="M514" s="418">
        <v>30</v>
      </c>
      <c r="N514" s="418" t="s">
        <v>2310</v>
      </c>
      <c r="O514" s="418" t="s">
        <v>2953</v>
      </c>
      <c r="P514" s="415">
        <v>3</v>
      </c>
      <c r="Q514" s="415">
        <v>30</v>
      </c>
      <c r="R514" s="415">
        <v>5</v>
      </c>
      <c r="S514" s="415">
        <f t="shared" si="21"/>
        <v>5</v>
      </c>
      <c r="T514" s="419">
        <f t="shared" si="22"/>
        <v>0.83333333333333337</v>
      </c>
      <c r="U514" s="419">
        <f t="shared" si="23"/>
        <v>5.833333333333333</v>
      </c>
      <c r="V514" s="415" t="s">
        <v>662</v>
      </c>
      <c r="W514" s="415" t="s">
        <v>613</v>
      </c>
      <c r="X514" s="415" t="s">
        <v>671</v>
      </c>
      <c r="Y514" s="415"/>
    </row>
    <row r="515" spans="1:25" hidden="1" x14ac:dyDescent="0.25">
      <c r="A515" s="415">
        <v>514</v>
      </c>
      <c r="B515" s="415">
        <v>913</v>
      </c>
      <c r="C515" s="415">
        <v>538958</v>
      </c>
      <c r="D515" s="416" t="s">
        <v>1953</v>
      </c>
      <c r="E515" s="416" t="s">
        <v>434</v>
      </c>
      <c r="F515" s="416" t="s">
        <v>438</v>
      </c>
      <c r="G515" s="416" t="s">
        <v>833</v>
      </c>
      <c r="H515" s="416" t="s">
        <v>834</v>
      </c>
      <c r="I515" s="416" t="s">
        <v>2214</v>
      </c>
      <c r="J515" s="415" t="s">
        <v>661</v>
      </c>
      <c r="K515" s="417">
        <v>-13.642300000000001</v>
      </c>
      <c r="L515" s="417">
        <v>-72.571700000000007</v>
      </c>
      <c r="M515" s="418">
        <v>30</v>
      </c>
      <c r="N515" s="418" t="s">
        <v>2310</v>
      </c>
      <c r="O515" s="418" t="s">
        <v>2953</v>
      </c>
      <c r="P515" s="415">
        <v>3</v>
      </c>
      <c r="Q515" s="415">
        <v>30</v>
      </c>
      <c r="R515" s="415">
        <v>5</v>
      </c>
      <c r="S515" s="415">
        <f t="shared" ref="S515:S578" si="24">Q515/$AB$1</f>
        <v>5</v>
      </c>
      <c r="T515" s="419">
        <f t="shared" ref="T515:T578" si="25">R515/$AB$1</f>
        <v>0.83333333333333337</v>
      </c>
      <c r="U515" s="419">
        <f t="shared" ref="U515:U578" si="26">S515+T515</f>
        <v>5.833333333333333</v>
      </c>
      <c r="V515" s="415" t="s">
        <v>662</v>
      </c>
      <c r="W515" s="415" t="s">
        <v>613</v>
      </c>
      <c r="X515" s="415" t="s">
        <v>671</v>
      </c>
      <c r="Y515" s="415"/>
    </row>
    <row r="516" spans="1:25" hidden="1" x14ac:dyDescent="0.25">
      <c r="A516" s="415">
        <v>515</v>
      </c>
      <c r="B516" s="415">
        <v>914</v>
      </c>
      <c r="C516" s="415">
        <v>308066</v>
      </c>
      <c r="D516" s="416" t="s">
        <v>2957</v>
      </c>
      <c r="E516" s="416" t="s">
        <v>434</v>
      </c>
      <c r="F516" s="416" t="s">
        <v>438</v>
      </c>
      <c r="G516" s="416" t="s">
        <v>833</v>
      </c>
      <c r="H516" s="416" t="s">
        <v>2958</v>
      </c>
      <c r="I516" s="416" t="s">
        <v>2958</v>
      </c>
      <c r="J516" s="415" t="s">
        <v>661</v>
      </c>
      <c r="K516" s="417">
        <v>-13.56723</v>
      </c>
      <c r="L516" s="417">
        <v>-72.694419999999994</v>
      </c>
      <c r="M516" s="418">
        <v>30</v>
      </c>
      <c r="N516" s="418" t="s">
        <v>2310</v>
      </c>
      <c r="O516" s="418" t="s">
        <v>2953</v>
      </c>
      <c r="P516" s="415">
        <v>3</v>
      </c>
      <c r="Q516" s="415">
        <v>30</v>
      </c>
      <c r="R516" s="415">
        <v>5</v>
      </c>
      <c r="S516" s="415">
        <f t="shared" si="24"/>
        <v>5</v>
      </c>
      <c r="T516" s="419">
        <f t="shared" si="25"/>
        <v>0.83333333333333337</v>
      </c>
      <c r="U516" s="419">
        <f t="shared" si="26"/>
        <v>5.833333333333333</v>
      </c>
      <c r="V516" s="415" t="s">
        <v>662</v>
      </c>
      <c r="W516" s="415" t="s">
        <v>613</v>
      </c>
      <c r="X516" s="415" t="s">
        <v>671</v>
      </c>
      <c r="Y516" s="415"/>
    </row>
    <row r="517" spans="1:25" hidden="1" x14ac:dyDescent="0.25">
      <c r="A517" s="415">
        <v>516</v>
      </c>
      <c r="B517" s="415">
        <v>915</v>
      </c>
      <c r="C517" s="415">
        <v>44650</v>
      </c>
      <c r="D517" s="416" t="s">
        <v>835</v>
      </c>
      <c r="E517" s="416" t="s">
        <v>434</v>
      </c>
      <c r="F517" s="416" t="s">
        <v>436</v>
      </c>
      <c r="G517" s="416" t="s">
        <v>436</v>
      </c>
      <c r="H517" s="416" t="s">
        <v>836</v>
      </c>
      <c r="I517" s="416" t="s">
        <v>836</v>
      </c>
      <c r="J517" s="415" t="s">
        <v>661</v>
      </c>
      <c r="K517" s="417">
        <v>-13.774322</v>
      </c>
      <c r="L517" s="417">
        <v>-73.407024000000007</v>
      </c>
      <c r="M517" s="418">
        <v>30</v>
      </c>
      <c r="N517" s="418" t="s">
        <v>2310</v>
      </c>
      <c r="O517" s="418" t="s">
        <v>2953</v>
      </c>
      <c r="P517" s="415">
        <v>3</v>
      </c>
      <c r="Q517" s="415">
        <v>30</v>
      </c>
      <c r="R517" s="415">
        <v>5</v>
      </c>
      <c r="S517" s="415">
        <f t="shared" si="24"/>
        <v>5</v>
      </c>
      <c r="T517" s="419">
        <f t="shared" si="25"/>
        <v>0.83333333333333337</v>
      </c>
      <c r="U517" s="419">
        <f t="shared" si="26"/>
        <v>5.833333333333333</v>
      </c>
      <c r="V517" s="415" t="s">
        <v>662</v>
      </c>
      <c r="W517" s="415" t="s">
        <v>613</v>
      </c>
      <c r="X517" s="415" t="s">
        <v>671</v>
      </c>
      <c r="Y517" s="415"/>
    </row>
    <row r="518" spans="1:25" hidden="1" x14ac:dyDescent="0.25">
      <c r="A518" s="415">
        <v>517</v>
      </c>
      <c r="B518" s="415">
        <v>916</v>
      </c>
      <c r="C518" s="415">
        <v>44891</v>
      </c>
      <c r="D518" s="416" t="s">
        <v>2959</v>
      </c>
      <c r="E518" s="416" t="s">
        <v>434</v>
      </c>
      <c r="F518" s="416" t="s">
        <v>436</v>
      </c>
      <c r="G518" s="416" t="s">
        <v>436</v>
      </c>
      <c r="H518" s="416" t="s">
        <v>2960</v>
      </c>
      <c r="I518" s="416" t="s">
        <v>2961</v>
      </c>
      <c r="J518" s="415" t="s">
        <v>661</v>
      </c>
      <c r="K518" s="417">
        <v>-13.6913</v>
      </c>
      <c r="L518" s="417">
        <v>-73.365007000000006</v>
      </c>
      <c r="M518" s="418">
        <v>30</v>
      </c>
      <c r="N518" s="418" t="s">
        <v>2310</v>
      </c>
      <c r="O518" s="418" t="s">
        <v>2953</v>
      </c>
      <c r="P518" s="415">
        <v>3</v>
      </c>
      <c r="Q518" s="415">
        <v>30</v>
      </c>
      <c r="R518" s="415">
        <v>5</v>
      </c>
      <c r="S518" s="415">
        <f t="shared" si="24"/>
        <v>5</v>
      </c>
      <c r="T518" s="419">
        <f t="shared" si="25"/>
        <v>0.83333333333333337</v>
      </c>
      <c r="U518" s="419">
        <f t="shared" si="26"/>
        <v>5.833333333333333</v>
      </c>
      <c r="V518" s="415" t="s">
        <v>662</v>
      </c>
      <c r="W518" s="415" t="s">
        <v>613</v>
      </c>
      <c r="X518" s="415" t="s">
        <v>671</v>
      </c>
      <c r="Y518" s="415"/>
    </row>
    <row r="519" spans="1:25" hidden="1" x14ac:dyDescent="0.25">
      <c r="A519" s="415">
        <v>518</v>
      </c>
      <c r="B519" s="415">
        <v>917</v>
      </c>
      <c r="C519" s="415">
        <v>44730</v>
      </c>
      <c r="D519" s="416" t="s">
        <v>837</v>
      </c>
      <c r="E519" s="416" t="s">
        <v>434</v>
      </c>
      <c r="F519" s="416" t="s">
        <v>436</v>
      </c>
      <c r="G519" s="416" t="s">
        <v>436</v>
      </c>
      <c r="H519" s="416" t="s">
        <v>838</v>
      </c>
      <c r="I519" s="416" t="s">
        <v>839</v>
      </c>
      <c r="J519" s="415" t="s">
        <v>661</v>
      </c>
      <c r="K519" s="417">
        <v>-13.680956</v>
      </c>
      <c r="L519" s="417">
        <v>-73.409667999999996</v>
      </c>
      <c r="M519" s="418">
        <v>30</v>
      </c>
      <c r="N519" s="418" t="s">
        <v>2310</v>
      </c>
      <c r="O519" s="418" t="s">
        <v>2953</v>
      </c>
      <c r="P519" s="415">
        <v>3</v>
      </c>
      <c r="Q519" s="415">
        <v>30</v>
      </c>
      <c r="R519" s="415">
        <v>5</v>
      </c>
      <c r="S519" s="415">
        <f t="shared" si="24"/>
        <v>5</v>
      </c>
      <c r="T519" s="419">
        <f t="shared" si="25"/>
        <v>0.83333333333333337</v>
      </c>
      <c r="U519" s="419">
        <f t="shared" si="26"/>
        <v>5.833333333333333</v>
      </c>
      <c r="V519" s="415" t="s">
        <v>662</v>
      </c>
      <c r="W519" s="415" t="s">
        <v>613</v>
      </c>
      <c r="X519" s="415" t="s">
        <v>671</v>
      </c>
      <c r="Y519" s="415"/>
    </row>
    <row r="520" spans="1:25" hidden="1" x14ac:dyDescent="0.25">
      <c r="A520" s="415">
        <v>519</v>
      </c>
      <c r="B520" s="415">
        <v>918</v>
      </c>
      <c r="C520" s="415">
        <v>45956</v>
      </c>
      <c r="D520" s="416" t="s">
        <v>2962</v>
      </c>
      <c r="E520" s="416" t="s">
        <v>434</v>
      </c>
      <c r="F520" s="416" t="s">
        <v>436</v>
      </c>
      <c r="G520" s="416" t="s">
        <v>669</v>
      </c>
      <c r="H520" s="416" t="s">
        <v>2963</v>
      </c>
      <c r="I520" s="416" t="s">
        <v>2963</v>
      </c>
      <c r="J520" s="415" t="s">
        <v>661</v>
      </c>
      <c r="K520" s="417">
        <v>-13.60665</v>
      </c>
      <c r="L520" s="417">
        <v>-73.156079000000005</v>
      </c>
      <c r="M520" s="418">
        <v>30</v>
      </c>
      <c r="N520" s="418" t="s">
        <v>2310</v>
      </c>
      <c r="O520" s="418" t="s">
        <v>2953</v>
      </c>
      <c r="P520" s="415">
        <v>3</v>
      </c>
      <c r="Q520" s="415">
        <v>30</v>
      </c>
      <c r="R520" s="415">
        <v>5</v>
      </c>
      <c r="S520" s="415">
        <f t="shared" si="24"/>
        <v>5</v>
      </c>
      <c r="T520" s="419">
        <f t="shared" si="25"/>
        <v>0.83333333333333337</v>
      </c>
      <c r="U520" s="419">
        <f t="shared" si="26"/>
        <v>5.833333333333333</v>
      </c>
      <c r="V520" s="415" t="s">
        <v>662</v>
      </c>
      <c r="W520" s="415" t="s">
        <v>613</v>
      </c>
      <c r="X520" s="415" t="s">
        <v>671</v>
      </c>
      <c r="Y520" s="415"/>
    </row>
    <row r="521" spans="1:25" hidden="1" x14ac:dyDescent="0.25">
      <c r="A521" s="415">
        <v>520</v>
      </c>
      <c r="B521" s="415">
        <v>919</v>
      </c>
      <c r="C521" s="415">
        <v>538982</v>
      </c>
      <c r="D521" s="416" t="s">
        <v>2964</v>
      </c>
      <c r="E521" s="416" t="s">
        <v>434</v>
      </c>
      <c r="F521" s="416" t="s">
        <v>436</v>
      </c>
      <c r="G521" s="416" t="s">
        <v>669</v>
      </c>
      <c r="H521" s="416" t="s">
        <v>1079</v>
      </c>
      <c r="I521" s="416" t="s">
        <v>1079</v>
      </c>
      <c r="J521" s="415" t="s">
        <v>661</v>
      </c>
      <c r="K521" s="417">
        <v>-13.631703</v>
      </c>
      <c r="L521" s="417">
        <v>-73.199843000000001</v>
      </c>
      <c r="M521" s="418">
        <v>30</v>
      </c>
      <c r="N521" s="418" t="s">
        <v>2310</v>
      </c>
      <c r="O521" s="418" t="s">
        <v>2953</v>
      </c>
      <c r="P521" s="415">
        <v>3</v>
      </c>
      <c r="Q521" s="415">
        <v>30</v>
      </c>
      <c r="R521" s="415">
        <v>5</v>
      </c>
      <c r="S521" s="415">
        <f t="shared" si="24"/>
        <v>5</v>
      </c>
      <c r="T521" s="419">
        <f t="shared" si="25"/>
        <v>0.83333333333333337</v>
      </c>
      <c r="U521" s="419">
        <f t="shared" si="26"/>
        <v>5.833333333333333</v>
      </c>
      <c r="V521" s="415" t="s">
        <v>662</v>
      </c>
      <c r="W521" s="415" t="s">
        <v>613</v>
      </c>
      <c r="X521" s="415" t="s">
        <v>671</v>
      </c>
      <c r="Y521" s="415"/>
    </row>
    <row r="522" spans="1:25" hidden="1" x14ac:dyDescent="0.25">
      <c r="A522" s="415">
        <v>521</v>
      </c>
      <c r="B522" s="415">
        <v>920</v>
      </c>
      <c r="C522" s="415">
        <v>46003</v>
      </c>
      <c r="D522" s="416" t="s">
        <v>841</v>
      </c>
      <c r="E522" s="416" t="s">
        <v>434</v>
      </c>
      <c r="F522" s="416" t="s">
        <v>436</v>
      </c>
      <c r="G522" s="416" t="s">
        <v>669</v>
      </c>
      <c r="H522" s="416" t="s">
        <v>842</v>
      </c>
      <c r="I522" s="416" t="s">
        <v>842</v>
      </c>
      <c r="J522" s="415" t="s">
        <v>661</v>
      </c>
      <c r="K522" s="417">
        <v>-13.600227</v>
      </c>
      <c r="L522" s="417">
        <v>-73.172386000000003</v>
      </c>
      <c r="M522" s="418">
        <v>30</v>
      </c>
      <c r="N522" s="418" t="s">
        <v>2310</v>
      </c>
      <c r="O522" s="418" t="s">
        <v>2953</v>
      </c>
      <c r="P522" s="415">
        <v>3</v>
      </c>
      <c r="Q522" s="415">
        <v>30</v>
      </c>
      <c r="R522" s="415">
        <v>5</v>
      </c>
      <c r="S522" s="415">
        <f t="shared" si="24"/>
        <v>5</v>
      </c>
      <c r="T522" s="419">
        <f t="shared" si="25"/>
        <v>0.83333333333333337</v>
      </c>
      <c r="U522" s="419">
        <f t="shared" si="26"/>
        <v>5.833333333333333</v>
      </c>
      <c r="V522" s="415" t="s">
        <v>662</v>
      </c>
      <c r="W522" s="415" t="s">
        <v>613</v>
      </c>
      <c r="X522" s="415" t="s">
        <v>671</v>
      </c>
      <c r="Y522" s="415"/>
    </row>
    <row r="523" spans="1:25" hidden="1" x14ac:dyDescent="0.25">
      <c r="A523" s="415">
        <v>522</v>
      </c>
      <c r="B523" s="415">
        <v>921</v>
      </c>
      <c r="C523" s="415">
        <v>1250</v>
      </c>
      <c r="D523" s="416" t="s">
        <v>668</v>
      </c>
      <c r="E523" s="416" t="s">
        <v>434</v>
      </c>
      <c r="F523" s="416" t="s">
        <v>436</v>
      </c>
      <c r="G523" s="416" t="s">
        <v>669</v>
      </c>
      <c r="H523" s="416" t="s">
        <v>670</v>
      </c>
      <c r="I523" s="416" t="s">
        <v>670</v>
      </c>
      <c r="J523" s="415" t="s">
        <v>661</v>
      </c>
      <c r="K523" s="417">
        <v>-13.631262</v>
      </c>
      <c r="L523" s="417">
        <v>-73.171323000000001</v>
      </c>
      <c r="M523" s="418">
        <v>30</v>
      </c>
      <c r="N523" s="418" t="s">
        <v>2310</v>
      </c>
      <c r="O523" s="418" t="s">
        <v>2953</v>
      </c>
      <c r="P523" s="415">
        <v>3</v>
      </c>
      <c r="Q523" s="415">
        <v>30</v>
      </c>
      <c r="R523" s="415">
        <v>5</v>
      </c>
      <c r="S523" s="415">
        <f t="shared" si="24"/>
        <v>5</v>
      </c>
      <c r="T523" s="419">
        <f t="shared" si="25"/>
        <v>0.83333333333333337</v>
      </c>
      <c r="U523" s="419">
        <f t="shared" si="26"/>
        <v>5.833333333333333</v>
      </c>
      <c r="V523" s="415" t="s">
        <v>662</v>
      </c>
      <c r="W523" s="415" t="s">
        <v>613</v>
      </c>
      <c r="X523" s="415" t="s">
        <v>671</v>
      </c>
      <c r="Y523" s="415"/>
    </row>
    <row r="524" spans="1:25" hidden="1" x14ac:dyDescent="0.25">
      <c r="A524" s="415">
        <v>523</v>
      </c>
      <c r="B524" s="415">
        <v>922</v>
      </c>
      <c r="C524" s="415">
        <v>46178</v>
      </c>
      <c r="D524" s="416" t="s">
        <v>843</v>
      </c>
      <c r="E524" s="416" t="s">
        <v>434</v>
      </c>
      <c r="F524" s="416" t="s">
        <v>436</v>
      </c>
      <c r="G524" s="416" t="s">
        <v>844</v>
      </c>
      <c r="H524" s="416" t="s">
        <v>575</v>
      </c>
      <c r="I524" s="416" t="s">
        <v>845</v>
      </c>
      <c r="J524" s="415" t="s">
        <v>661</v>
      </c>
      <c r="K524" s="417">
        <v>-13.611954000000001</v>
      </c>
      <c r="L524" s="417">
        <v>-73.106685999999996</v>
      </c>
      <c r="M524" s="418">
        <v>30</v>
      </c>
      <c r="N524" s="418" t="s">
        <v>2310</v>
      </c>
      <c r="O524" s="418" t="s">
        <v>2953</v>
      </c>
      <c r="P524" s="415">
        <v>3</v>
      </c>
      <c r="Q524" s="415">
        <v>30</v>
      </c>
      <c r="R524" s="415">
        <v>5</v>
      </c>
      <c r="S524" s="415">
        <f t="shared" si="24"/>
        <v>5</v>
      </c>
      <c r="T524" s="419">
        <f t="shared" si="25"/>
        <v>0.83333333333333337</v>
      </c>
      <c r="U524" s="419">
        <f t="shared" si="26"/>
        <v>5.833333333333333</v>
      </c>
      <c r="V524" s="415" t="s">
        <v>662</v>
      </c>
      <c r="W524" s="415" t="s">
        <v>613</v>
      </c>
      <c r="X524" s="415" t="s">
        <v>671</v>
      </c>
      <c r="Y524" s="415"/>
    </row>
    <row r="525" spans="1:25" hidden="1" x14ac:dyDescent="0.25">
      <c r="A525" s="415">
        <v>524</v>
      </c>
      <c r="B525" s="415">
        <v>923</v>
      </c>
      <c r="C525" s="415">
        <v>46499</v>
      </c>
      <c r="D525" s="416" t="s">
        <v>2965</v>
      </c>
      <c r="E525" s="416" t="s">
        <v>434</v>
      </c>
      <c r="F525" s="416" t="s">
        <v>436</v>
      </c>
      <c r="G525" s="416" t="s">
        <v>2966</v>
      </c>
      <c r="H525" s="416" t="s">
        <v>2967</v>
      </c>
      <c r="I525" s="416" t="s">
        <v>2967</v>
      </c>
      <c r="J525" s="415" t="s">
        <v>661</v>
      </c>
      <c r="K525" s="417">
        <v>-13.586672999999999</v>
      </c>
      <c r="L525" s="417">
        <v>-73.274001999999996</v>
      </c>
      <c r="M525" s="418">
        <v>30</v>
      </c>
      <c r="N525" s="418" t="s">
        <v>2310</v>
      </c>
      <c r="O525" s="418" t="s">
        <v>2953</v>
      </c>
      <c r="P525" s="415">
        <v>3</v>
      </c>
      <c r="Q525" s="415">
        <v>30</v>
      </c>
      <c r="R525" s="415">
        <v>5</v>
      </c>
      <c r="S525" s="415">
        <f t="shared" si="24"/>
        <v>5</v>
      </c>
      <c r="T525" s="419">
        <f t="shared" si="25"/>
        <v>0.83333333333333337</v>
      </c>
      <c r="U525" s="419">
        <f t="shared" si="26"/>
        <v>5.833333333333333</v>
      </c>
      <c r="V525" s="415" t="s">
        <v>662</v>
      </c>
      <c r="W525" s="415" t="s">
        <v>613</v>
      </c>
      <c r="X525" s="415" t="s">
        <v>671</v>
      </c>
      <c r="Y525" s="415"/>
    </row>
    <row r="526" spans="1:25" hidden="1" x14ac:dyDescent="0.25">
      <c r="A526" s="415">
        <v>525</v>
      </c>
      <c r="B526" s="415">
        <v>924</v>
      </c>
      <c r="C526" s="415">
        <v>46753</v>
      </c>
      <c r="D526" s="416" t="s">
        <v>2968</v>
      </c>
      <c r="E526" s="416" t="s">
        <v>434</v>
      </c>
      <c r="F526" s="416" t="s">
        <v>436</v>
      </c>
      <c r="G526" s="416" t="s">
        <v>2969</v>
      </c>
      <c r="H526" s="416" t="s">
        <v>2970</v>
      </c>
      <c r="I526" s="416" t="s">
        <v>2971</v>
      </c>
      <c r="J526" s="415" t="s">
        <v>661</v>
      </c>
      <c r="K526" s="417">
        <v>-13.813119</v>
      </c>
      <c r="L526" s="417">
        <v>-73.627561999999998</v>
      </c>
      <c r="M526" s="418">
        <v>30</v>
      </c>
      <c r="N526" s="418" t="s">
        <v>2310</v>
      </c>
      <c r="O526" s="418" t="s">
        <v>2953</v>
      </c>
      <c r="P526" s="415">
        <v>3</v>
      </c>
      <c r="Q526" s="415">
        <v>30</v>
      </c>
      <c r="R526" s="415">
        <v>5</v>
      </c>
      <c r="S526" s="415">
        <f t="shared" si="24"/>
        <v>5</v>
      </c>
      <c r="T526" s="419">
        <f t="shared" si="25"/>
        <v>0.83333333333333337</v>
      </c>
      <c r="U526" s="419">
        <f t="shared" si="26"/>
        <v>5.833333333333333</v>
      </c>
      <c r="V526" s="415" t="s">
        <v>662</v>
      </c>
      <c r="W526" s="415" t="s">
        <v>613</v>
      </c>
      <c r="X526" s="415" t="s">
        <v>671</v>
      </c>
      <c r="Y526" s="415"/>
    </row>
    <row r="527" spans="1:25" hidden="1" x14ac:dyDescent="0.25">
      <c r="A527" s="415">
        <v>526</v>
      </c>
      <c r="B527" s="415">
        <v>925</v>
      </c>
      <c r="C527" s="415">
        <v>47012</v>
      </c>
      <c r="D527" s="416" t="s">
        <v>846</v>
      </c>
      <c r="E527" s="416" t="s">
        <v>434</v>
      </c>
      <c r="F527" s="416" t="s">
        <v>436</v>
      </c>
      <c r="G527" s="416" t="s">
        <v>847</v>
      </c>
      <c r="H527" s="416" t="s">
        <v>848</v>
      </c>
      <c r="I527" s="416" t="s">
        <v>848</v>
      </c>
      <c r="J527" s="415" t="s">
        <v>661</v>
      </c>
      <c r="K527" s="417">
        <v>-13.679233</v>
      </c>
      <c r="L527" s="417">
        <v>-73.267515000000003</v>
      </c>
      <c r="M527" s="418">
        <v>30</v>
      </c>
      <c r="N527" s="418" t="s">
        <v>2310</v>
      </c>
      <c r="O527" s="418" t="s">
        <v>2953</v>
      </c>
      <c r="P527" s="415">
        <v>3</v>
      </c>
      <c r="Q527" s="415">
        <v>30</v>
      </c>
      <c r="R527" s="415">
        <v>5</v>
      </c>
      <c r="S527" s="415">
        <f t="shared" si="24"/>
        <v>5</v>
      </c>
      <c r="T527" s="419">
        <f t="shared" si="25"/>
        <v>0.83333333333333337</v>
      </c>
      <c r="U527" s="419">
        <f t="shared" si="26"/>
        <v>5.833333333333333</v>
      </c>
      <c r="V527" s="415" t="s">
        <v>662</v>
      </c>
      <c r="W527" s="415" t="s">
        <v>613</v>
      </c>
      <c r="X527" s="415" t="s">
        <v>671</v>
      </c>
      <c r="Y527" s="415"/>
    </row>
    <row r="528" spans="1:25" hidden="1" x14ac:dyDescent="0.25">
      <c r="A528" s="415">
        <v>527</v>
      </c>
      <c r="B528" s="415">
        <v>926</v>
      </c>
      <c r="C528" s="415">
        <v>47366</v>
      </c>
      <c r="D528" s="416" t="s">
        <v>849</v>
      </c>
      <c r="E528" s="416" t="s">
        <v>434</v>
      </c>
      <c r="F528" s="416" t="s">
        <v>436</v>
      </c>
      <c r="G528" s="416" t="s">
        <v>850</v>
      </c>
      <c r="H528" s="416" t="s">
        <v>851</v>
      </c>
      <c r="I528" s="416" t="s">
        <v>851</v>
      </c>
      <c r="J528" s="415" t="s">
        <v>661</v>
      </c>
      <c r="K528" s="417">
        <v>-13.674300000000001</v>
      </c>
      <c r="L528" s="417">
        <v>-73.469300000000004</v>
      </c>
      <c r="M528" s="418">
        <v>30</v>
      </c>
      <c r="N528" s="418" t="s">
        <v>2310</v>
      </c>
      <c r="O528" s="418" t="s">
        <v>2953</v>
      </c>
      <c r="P528" s="415">
        <v>3</v>
      </c>
      <c r="Q528" s="415">
        <v>30</v>
      </c>
      <c r="R528" s="415">
        <v>5</v>
      </c>
      <c r="S528" s="415">
        <f t="shared" si="24"/>
        <v>5</v>
      </c>
      <c r="T528" s="419">
        <f t="shared" si="25"/>
        <v>0.83333333333333337</v>
      </c>
      <c r="U528" s="419">
        <f t="shared" si="26"/>
        <v>5.833333333333333</v>
      </c>
      <c r="V528" s="415" t="s">
        <v>662</v>
      </c>
      <c r="W528" s="415" t="s">
        <v>613</v>
      </c>
      <c r="X528" s="415" t="s">
        <v>671</v>
      </c>
      <c r="Y528" s="415"/>
    </row>
    <row r="529" spans="1:25" hidden="1" x14ac:dyDescent="0.25">
      <c r="A529" s="415">
        <v>528</v>
      </c>
      <c r="B529" s="415">
        <v>927</v>
      </c>
      <c r="C529" s="415">
        <v>47601</v>
      </c>
      <c r="D529" s="416" t="s">
        <v>852</v>
      </c>
      <c r="E529" s="416" t="s">
        <v>434</v>
      </c>
      <c r="F529" s="416" t="s">
        <v>436</v>
      </c>
      <c r="G529" s="416" t="s">
        <v>853</v>
      </c>
      <c r="H529" s="416" t="s">
        <v>854</v>
      </c>
      <c r="I529" s="416" t="s">
        <v>854</v>
      </c>
      <c r="J529" s="415" t="s">
        <v>661</v>
      </c>
      <c r="K529" s="417">
        <v>-13.6798</v>
      </c>
      <c r="L529" s="417">
        <v>-73.456627999999995</v>
      </c>
      <c r="M529" s="418">
        <v>30</v>
      </c>
      <c r="N529" s="418" t="s">
        <v>2310</v>
      </c>
      <c r="O529" s="418" t="s">
        <v>2953</v>
      </c>
      <c r="P529" s="415">
        <v>3</v>
      </c>
      <c r="Q529" s="415">
        <v>30</v>
      </c>
      <c r="R529" s="415">
        <v>5</v>
      </c>
      <c r="S529" s="415">
        <f t="shared" si="24"/>
        <v>5</v>
      </c>
      <c r="T529" s="419">
        <f t="shared" si="25"/>
        <v>0.83333333333333337</v>
      </c>
      <c r="U529" s="419">
        <f t="shared" si="26"/>
        <v>5.833333333333333</v>
      </c>
      <c r="V529" s="415" t="s">
        <v>662</v>
      </c>
      <c r="W529" s="415" t="s">
        <v>613</v>
      </c>
      <c r="X529" s="415" t="s">
        <v>671</v>
      </c>
      <c r="Y529" s="415"/>
    </row>
    <row r="530" spans="1:25" hidden="1" x14ac:dyDescent="0.25">
      <c r="A530" s="415">
        <v>529</v>
      </c>
      <c r="B530" s="415">
        <v>928</v>
      </c>
      <c r="C530" s="415">
        <v>48021</v>
      </c>
      <c r="D530" s="416" t="s">
        <v>2972</v>
      </c>
      <c r="E530" s="416" t="s">
        <v>434</v>
      </c>
      <c r="F530" s="416" t="s">
        <v>436</v>
      </c>
      <c r="G530" s="416" t="s">
        <v>856</v>
      </c>
      <c r="H530" s="416" t="s">
        <v>856</v>
      </c>
      <c r="I530" s="416" t="s">
        <v>2973</v>
      </c>
      <c r="J530" s="415" t="s">
        <v>661</v>
      </c>
      <c r="K530" s="417">
        <v>-13.7859</v>
      </c>
      <c r="L530" s="417">
        <v>-73.469899999999996</v>
      </c>
      <c r="M530" s="418">
        <v>30</v>
      </c>
      <c r="N530" s="418" t="s">
        <v>2310</v>
      </c>
      <c r="O530" s="418" t="s">
        <v>2953</v>
      </c>
      <c r="P530" s="415">
        <v>3</v>
      </c>
      <c r="Q530" s="415">
        <v>30</v>
      </c>
      <c r="R530" s="415">
        <v>5</v>
      </c>
      <c r="S530" s="415">
        <f t="shared" si="24"/>
        <v>5</v>
      </c>
      <c r="T530" s="419">
        <f t="shared" si="25"/>
        <v>0.83333333333333337</v>
      </c>
      <c r="U530" s="419">
        <f t="shared" si="26"/>
        <v>5.833333333333333</v>
      </c>
      <c r="V530" s="415" t="s">
        <v>662</v>
      </c>
      <c r="W530" s="415" t="s">
        <v>613</v>
      </c>
      <c r="X530" s="415" t="s">
        <v>671</v>
      </c>
      <c r="Y530" s="415"/>
    </row>
    <row r="531" spans="1:25" hidden="1" x14ac:dyDescent="0.25">
      <c r="A531" s="415">
        <v>530</v>
      </c>
      <c r="B531" s="415">
        <v>929</v>
      </c>
      <c r="C531" s="415">
        <v>53381</v>
      </c>
      <c r="D531" s="416" t="s">
        <v>2974</v>
      </c>
      <c r="E531" s="416" t="s">
        <v>434</v>
      </c>
      <c r="F531" s="416" t="s">
        <v>435</v>
      </c>
      <c r="G531" s="416" t="s">
        <v>2975</v>
      </c>
      <c r="H531" s="416" t="s">
        <v>855</v>
      </c>
      <c r="I531" s="416" t="s">
        <v>2976</v>
      </c>
      <c r="J531" s="415" t="s">
        <v>661</v>
      </c>
      <c r="K531" s="417">
        <v>-13.536746000000001</v>
      </c>
      <c r="L531" s="417">
        <v>-73.662899999999993</v>
      </c>
      <c r="M531" s="418">
        <v>30</v>
      </c>
      <c r="N531" s="418" t="s">
        <v>2310</v>
      </c>
      <c r="O531" s="418" t="s">
        <v>2953</v>
      </c>
      <c r="P531" s="415">
        <v>3</v>
      </c>
      <c r="Q531" s="415">
        <v>30</v>
      </c>
      <c r="R531" s="415">
        <v>5</v>
      </c>
      <c r="S531" s="415">
        <f t="shared" si="24"/>
        <v>5</v>
      </c>
      <c r="T531" s="419">
        <f t="shared" si="25"/>
        <v>0.83333333333333337</v>
      </c>
      <c r="U531" s="419">
        <f t="shared" si="26"/>
        <v>5.833333333333333</v>
      </c>
      <c r="V531" s="415" t="s">
        <v>662</v>
      </c>
      <c r="W531" s="415" t="s">
        <v>613</v>
      </c>
      <c r="X531" s="415" t="s">
        <v>671</v>
      </c>
      <c r="Y531" s="415"/>
    </row>
    <row r="532" spans="1:25" hidden="1" x14ac:dyDescent="0.25">
      <c r="A532" s="415">
        <v>531</v>
      </c>
      <c r="B532" s="415">
        <v>930</v>
      </c>
      <c r="C532" s="415">
        <v>52857</v>
      </c>
      <c r="D532" s="416" t="s">
        <v>2977</v>
      </c>
      <c r="E532" s="416" t="s">
        <v>434</v>
      </c>
      <c r="F532" s="416" t="s">
        <v>435</v>
      </c>
      <c r="G532" s="416" t="s">
        <v>861</v>
      </c>
      <c r="H532" s="416" t="s">
        <v>2978</v>
      </c>
      <c r="I532" s="416" t="s">
        <v>2978</v>
      </c>
      <c r="J532" s="415" t="s">
        <v>661</v>
      </c>
      <c r="K532" s="417">
        <v>-13.354924</v>
      </c>
      <c r="L532" s="417">
        <v>-73.674785999999997</v>
      </c>
      <c r="M532" s="418">
        <v>30</v>
      </c>
      <c r="N532" s="418" t="s">
        <v>2310</v>
      </c>
      <c r="O532" s="418" t="s">
        <v>2953</v>
      </c>
      <c r="P532" s="415">
        <v>3</v>
      </c>
      <c r="Q532" s="415">
        <v>30</v>
      </c>
      <c r="R532" s="415">
        <v>5</v>
      </c>
      <c r="S532" s="415">
        <f t="shared" si="24"/>
        <v>5</v>
      </c>
      <c r="T532" s="419">
        <f t="shared" si="25"/>
        <v>0.83333333333333337</v>
      </c>
      <c r="U532" s="419">
        <f t="shared" si="26"/>
        <v>5.833333333333333</v>
      </c>
      <c r="V532" s="415" t="s">
        <v>662</v>
      </c>
      <c r="W532" s="415" t="s">
        <v>613</v>
      </c>
      <c r="X532" s="415" t="s">
        <v>671</v>
      </c>
      <c r="Y532" s="415"/>
    </row>
    <row r="533" spans="1:25" hidden="1" x14ac:dyDescent="0.25">
      <c r="A533" s="415">
        <v>532</v>
      </c>
      <c r="B533" s="415">
        <v>931</v>
      </c>
      <c r="C533" s="415">
        <v>52697</v>
      </c>
      <c r="D533" s="416" t="s">
        <v>2979</v>
      </c>
      <c r="E533" s="416" t="s">
        <v>434</v>
      </c>
      <c r="F533" s="416" t="s">
        <v>435</v>
      </c>
      <c r="G533" s="416" t="s">
        <v>861</v>
      </c>
      <c r="H533" s="416" t="s">
        <v>2980</v>
      </c>
      <c r="I533" s="416" t="s">
        <v>2981</v>
      </c>
      <c r="J533" s="415" t="s">
        <v>661</v>
      </c>
      <c r="K533" s="417">
        <v>-13.360880999999999</v>
      </c>
      <c r="L533" s="417">
        <v>-73.673401999999996</v>
      </c>
      <c r="M533" s="418">
        <v>30</v>
      </c>
      <c r="N533" s="418" t="s">
        <v>2310</v>
      </c>
      <c r="O533" s="418" t="s">
        <v>2953</v>
      </c>
      <c r="P533" s="415">
        <v>3</v>
      </c>
      <c r="Q533" s="415">
        <v>30</v>
      </c>
      <c r="R533" s="415">
        <v>5</v>
      </c>
      <c r="S533" s="415">
        <f t="shared" si="24"/>
        <v>5</v>
      </c>
      <c r="T533" s="419">
        <f t="shared" si="25"/>
        <v>0.83333333333333337</v>
      </c>
      <c r="U533" s="419">
        <f t="shared" si="26"/>
        <v>5.833333333333333</v>
      </c>
      <c r="V533" s="415" t="s">
        <v>662</v>
      </c>
      <c r="W533" s="415" t="s">
        <v>613</v>
      </c>
      <c r="X533" s="415" t="s">
        <v>671</v>
      </c>
      <c r="Y533" s="415"/>
    </row>
    <row r="534" spans="1:25" hidden="1" x14ac:dyDescent="0.25">
      <c r="A534" s="415">
        <v>533</v>
      </c>
      <c r="B534" s="415">
        <v>932</v>
      </c>
      <c r="C534" s="415">
        <v>51462</v>
      </c>
      <c r="D534" s="416" t="s">
        <v>857</v>
      </c>
      <c r="E534" s="416" t="s">
        <v>434</v>
      </c>
      <c r="F534" s="416" t="s">
        <v>441</v>
      </c>
      <c r="G534" s="416" t="s">
        <v>858</v>
      </c>
      <c r="H534" s="416" t="s">
        <v>859</v>
      </c>
      <c r="I534" s="416" t="s">
        <v>859</v>
      </c>
      <c r="J534" s="415" t="s">
        <v>661</v>
      </c>
      <c r="K534" s="417">
        <v>-14.345227</v>
      </c>
      <c r="L534" s="417">
        <v>-72.189228</v>
      </c>
      <c r="M534" s="418">
        <v>30</v>
      </c>
      <c r="N534" s="418" t="s">
        <v>2310</v>
      </c>
      <c r="O534" s="418" t="s">
        <v>2953</v>
      </c>
      <c r="P534" s="415">
        <v>3</v>
      </c>
      <c r="Q534" s="415">
        <v>30</v>
      </c>
      <c r="R534" s="415">
        <v>5</v>
      </c>
      <c r="S534" s="415">
        <f t="shared" si="24"/>
        <v>5</v>
      </c>
      <c r="T534" s="419">
        <f t="shared" si="25"/>
        <v>0.83333333333333337</v>
      </c>
      <c r="U534" s="419">
        <f t="shared" si="26"/>
        <v>5.833333333333333</v>
      </c>
      <c r="V534" s="415" t="s">
        <v>662</v>
      </c>
      <c r="W534" s="415" t="s">
        <v>613</v>
      </c>
      <c r="X534" s="415" t="s">
        <v>671</v>
      </c>
      <c r="Y534" s="415"/>
    </row>
    <row r="535" spans="1:25" hidden="1" x14ac:dyDescent="0.25">
      <c r="A535" s="415">
        <v>534</v>
      </c>
      <c r="B535" s="415">
        <v>933</v>
      </c>
      <c r="C535" s="415">
        <v>541828</v>
      </c>
      <c r="D535" s="416" t="s">
        <v>1910</v>
      </c>
      <c r="E535" s="416" t="s">
        <v>434</v>
      </c>
      <c r="F535" s="416" t="s">
        <v>441</v>
      </c>
      <c r="G535" s="416" t="s">
        <v>858</v>
      </c>
      <c r="H535" s="416" t="s">
        <v>2982</v>
      </c>
      <c r="I535" s="416" t="s">
        <v>2982</v>
      </c>
      <c r="J535" s="415" t="s">
        <v>661</v>
      </c>
      <c r="K535" s="417">
        <v>-14.298581</v>
      </c>
      <c r="L535" s="417">
        <v>-72.275953000000001</v>
      </c>
      <c r="M535" s="418">
        <v>30</v>
      </c>
      <c r="N535" s="418" t="s">
        <v>2310</v>
      </c>
      <c r="O535" s="418" t="s">
        <v>2953</v>
      </c>
      <c r="P535" s="415">
        <v>3</v>
      </c>
      <c r="Q535" s="415">
        <v>30</v>
      </c>
      <c r="R535" s="415">
        <v>5</v>
      </c>
      <c r="S535" s="415">
        <f t="shared" si="24"/>
        <v>5</v>
      </c>
      <c r="T535" s="419">
        <f t="shared" si="25"/>
        <v>0.83333333333333337</v>
      </c>
      <c r="U535" s="419">
        <f t="shared" si="26"/>
        <v>5.833333333333333</v>
      </c>
      <c r="V535" s="415" t="s">
        <v>662</v>
      </c>
      <c r="W535" s="415" t="s">
        <v>613</v>
      </c>
      <c r="X535" s="415" t="s">
        <v>671</v>
      </c>
      <c r="Y535" s="415"/>
    </row>
    <row r="536" spans="1:25" hidden="1" x14ac:dyDescent="0.25">
      <c r="A536" s="415">
        <v>535</v>
      </c>
      <c r="B536" s="415">
        <v>934</v>
      </c>
      <c r="C536" s="415">
        <v>63785</v>
      </c>
      <c r="D536" s="416" t="s">
        <v>862</v>
      </c>
      <c r="E536" s="416" t="s">
        <v>442</v>
      </c>
      <c r="F536" s="416" t="s">
        <v>442</v>
      </c>
      <c r="G536" s="416" t="s">
        <v>863</v>
      </c>
      <c r="H536" s="416" t="s">
        <v>864</v>
      </c>
      <c r="I536" s="416" t="s">
        <v>865</v>
      </c>
      <c r="J536" s="415" t="s">
        <v>661</v>
      </c>
      <c r="K536" s="417">
        <v>-16.321065999999998</v>
      </c>
      <c r="L536" s="417">
        <v>-71.151083999999997</v>
      </c>
      <c r="M536" s="418">
        <v>30</v>
      </c>
      <c r="N536" s="418" t="s">
        <v>2310</v>
      </c>
      <c r="O536" s="418" t="s">
        <v>2953</v>
      </c>
      <c r="P536" s="415">
        <v>3</v>
      </c>
      <c r="Q536" s="415">
        <v>30</v>
      </c>
      <c r="R536" s="415">
        <v>5</v>
      </c>
      <c r="S536" s="415">
        <f t="shared" si="24"/>
        <v>5</v>
      </c>
      <c r="T536" s="419">
        <f t="shared" si="25"/>
        <v>0.83333333333333337</v>
      </c>
      <c r="U536" s="419">
        <f t="shared" si="26"/>
        <v>5.833333333333333</v>
      </c>
      <c r="V536" s="415" t="s">
        <v>662</v>
      </c>
      <c r="W536" s="415" t="s">
        <v>614</v>
      </c>
      <c r="X536" s="415" t="s">
        <v>671</v>
      </c>
      <c r="Y536" s="415"/>
    </row>
    <row r="537" spans="1:25" hidden="1" x14ac:dyDescent="0.25">
      <c r="A537" s="415">
        <v>536</v>
      </c>
      <c r="B537" s="415">
        <v>935</v>
      </c>
      <c r="C537" s="415">
        <v>67123</v>
      </c>
      <c r="D537" s="416" t="s">
        <v>2983</v>
      </c>
      <c r="E537" s="416" t="s">
        <v>442</v>
      </c>
      <c r="F537" s="416" t="s">
        <v>448</v>
      </c>
      <c r="G537" s="416" t="s">
        <v>2984</v>
      </c>
      <c r="H537" s="416" t="s">
        <v>2233</v>
      </c>
      <c r="I537" s="416" t="s">
        <v>2985</v>
      </c>
      <c r="J537" s="415" t="s">
        <v>747</v>
      </c>
      <c r="K537" s="417">
        <v>-16.599882000000001</v>
      </c>
      <c r="L537" s="417">
        <v>-72.694834999999998</v>
      </c>
      <c r="M537" s="418">
        <v>30</v>
      </c>
      <c r="N537" s="418" t="s">
        <v>2310</v>
      </c>
      <c r="O537" s="418" t="s">
        <v>2953</v>
      </c>
      <c r="P537" s="415">
        <v>3</v>
      </c>
      <c r="Q537" s="415">
        <v>30</v>
      </c>
      <c r="R537" s="415">
        <v>5</v>
      </c>
      <c r="S537" s="415">
        <f t="shared" si="24"/>
        <v>5</v>
      </c>
      <c r="T537" s="419">
        <f t="shared" si="25"/>
        <v>0.83333333333333337</v>
      </c>
      <c r="U537" s="419">
        <f t="shared" si="26"/>
        <v>5.833333333333333</v>
      </c>
      <c r="V537" s="415" t="s">
        <v>662</v>
      </c>
      <c r="W537" s="415" t="s">
        <v>614</v>
      </c>
      <c r="X537" s="415" t="s">
        <v>671</v>
      </c>
      <c r="Y537" s="415"/>
    </row>
    <row r="538" spans="1:25" hidden="1" x14ac:dyDescent="0.25">
      <c r="A538" s="415">
        <v>537</v>
      </c>
      <c r="B538" s="415">
        <v>936</v>
      </c>
      <c r="C538" s="415">
        <v>68603</v>
      </c>
      <c r="D538" s="416" t="s">
        <v>868</v>
      </c>
      <c r="E538" s="416" t="s">
        <v>442</v>
      </c>
      <c r="F538" s="416" t="s">
        <v>869</v>
      </c>
      <c r="G538" s="416" t="s">
        <v>870</v>
      </c>
      <c r="H538" s="416" t="s">
        <v>871</v>
      </c>
      <c r="I538" s="416" t="s">
        <v>872</v>
      </c>
      <c r="J538" s="415" t="s">
        <v>661</v>
      </c>
      <c r="K538" s="417">
        <v>-14.90096</v>
      </c>
      <c r="L538" s="417">
        <v>-72.025279999999995</v>
      </c>
      <c r="M538" s="418">
        <v>30</v>
      </c>
      <c r="N538" s="418" t="s">
        <v>2310</v>
      </c>
      <c r="O538" s="418" t="s">
        <v>2953</v>
      </c>
      <c r="P538" s="415">
        <v>3</v>
      </c>
      <c r="Q538" s="415">
        <v>30</v>
      </c>
      <c r="R538" s="415">
        <v>5</v>
      </c>
      <c r="S538" s="415">
        <f t="shared" si="24"/>
        <v>5</v>
      </c>
      <c r="T538" s="419">
        <f t="shared" si="25"/>
        <v>0.83333333333333337</v>
      </c>
      <c r="U538" s="419">
        <f t="shared" si="26"/>
        <v>5.833333333333333</v>
      </c>
      <c r="V538" s="415" t="s">
        <v>662</v>
      </c>
      <c r="W538" s="415" t="s">
        <v>613</v>
      </c>
      <c r="X538" s="415" t="s">
        <v>671</v>
      </c>
      <c r="Y538" s="415"/>
    </row>
    <row r="539" spans="1:25" hidden="1" x14ac:dyDescent="0.25">
      <c r="A539" s="415">
        <v>538</v>
      </c>
      <c r="B539" s="415">
        <v>937</v>
      </c>
      <c r="C539" s="415">
        <v>70007</v>
      </c>
      <c r="D539" s="416" t="s">
        <v>876</v>
      </c>
      <c r="E539" s="416" t="s">
        <v>442</v>
      </c>
      <c r="F539" s="416" t="s">
        <v>445</v>
      </c>
      <c r="G539" s="416" t="s">
        <v>445</v>
      </c>
      <c r="H539" s="416" t="s">
        <v>877</v>
      </c>
      <c r="I539" s="416" t="s">
        <v>877</v>
      </c>
      <c r="J539" s="415" t="s">
        <v>661</v>
      </c>
      <c r="K539" s="417">
        <v>-14.961695000000001</v>
      </c>
      <c r="L539" s="417">
        <v>-71.836287999999996</v>
      </c>
      <c r="M539" s="418">
        <v>30</v>
      </c>
      <c r="N539" s="418" t="s">
        <v>2310</v>
      </c>
      <c r="O539" s="418" t="s">
        <v>2953</v>
      </c>
      <c r="P539" s="415">
        <v>3</v>
      </c>
      <c r="Q539" s="415">
        <v>30</v>
      </c>
      <c r="R539" s="415">
        <v>5</v>
      </c>
      <c r="S539" s="415">
        <f t="shared" si="24"/>
        <v>5</v>
      </c>
      <c r="T539" s="419">
        <f t="shared" si="25"/>
        <v>0.83333333333333337</v>
      </c>
      <c r="U539" s="419">
        <f t="shared" si="26"/>
        <v>5.833333333333333</v>
      </c>
      <c r="V539" s="415" t="s">
        <v>662</v>
      </c>
      <c r="W539" s="415" t="s">
        <v>614</v>
      </c>
      <c r="X539" s="415" t="s">
        <v>671</v>
      </c>
      <c r="Y539" s="415"/>
    </row>
    <row r="540" spans="1:25" hidden="1" x14ac:dyDescent="0.25">
      <c r="A540" s="415">
        <v>539</v>
      </c>
      <c r="B540" s="415">
        <v>938</v>
      </c>
      <c r="C540" s="415">
        <v>69985</v>
      </c>
      <c r="D540" s="416" t="s">
        <v>874</v>
      </c>
      <c r="E540" s="416" t="s">
        <v>442</v>
      </c>
      <c r="F540" s="416" t="s">
        <v>445</v>
      </c>
      <c r="G540" s="416" t="s">
        <v>445</v>
      </c>
      <c r="H540" s="416" t="s">
        <v>875</v>
      </c>
      <c r="I540" s="416" t="s">
        <v>875</v>
      </c>
      <c r="J540" s="415" t="s">
        <v>661</v>
      </c>
      <c r="K540" s="417">
        <v>-14.914781</v>
      </c>
      <c r="L540" s="417">
        <v>-71.875069999999994</v>
      </c>
      <c r="M540" s="418">
        <v>30</v>
      </c>
      <c r="N540" s="418" t="s">
        <v>2310</v>
      </c>
      <c r="O540" s="418" t="s">
        <v>2953</v>
      </c>
      <c r="P540" s="415">
        <v>3</v>
      </c>
      <c r="Q540" s="415">
        <v>30</v>
      </c>
      <c r="R540" s="415">
        <v>5</v>
      </c>
      <c r="S540" s="415">
        <f t="shared" si="24"/>
        <v>5</v>
      </c>
      <c r="T540" s="419">
        <f t="shared" si="25"/>
        <v>0.83333333333333337</v>
      </c>
      <c r="U540" s="419">
        <f t="shared" si="26"/>
        <v>5.833333333333333</v>
      </c>
      <c r="V540" s="415" t="s">
        <v>662</v>
      </c>
      <c r="W540" s="415" t="s">
        <v>614</v>
      </c>
      <c r="X540" s="415" t="s">
        <v>671</v>
      </c>
      <c r="Y540" s="415"/>
    </row>
    <row r="541" spans="1:25" hidden="1" x14ac:dyDescent="0.25">
      <c r="A541" s="415">
        <v>540</v>
      </c>
      <c r="B541" s="415">
        <v>939</v>
      </c>
      <c r="C541" s="415">
        <v>70979</v>
      </c>
      <c r="D541" s="416" t="s">
        <v>878</v>
      </c>
      <c r="E541" s="416" t="s">
        <v>442</v>
      </c>
      <c r="F541" s="416" t="s">
        <v>445</v>
      </c>
      <c r="G541" s="416" t="s">
        <v>879</v>
      </c>
      <c r="H541" s="416" t="s">
        <v>880</v>
      </c>
      <c r="I541" s="416" t="s">
        <v>880</v>
      </c>
      <c r="J541" s="415" t="s">
        <v>661</v>
      </c>
      <c r="K541" s="417">
        <v>-15.675985000000001</v>
      </c>
      <c r="L541" s="417">
        <v>-71.047763000000003</v>
      </c>
      <c r="M541" s="418">
        <v>30</v>
      </c>
      <c r="N541" s="418" t="s">
        <v>2310</v>
      </c>
      <c r="O541" s="418" t="s">
        <v>2953</v>
      </c>
      <c r="P541" s="415">
        <v>3</v>
      </c>
      <c r="Q541" s="415">
        <v>30</v>
      </c>
      <c r="R541" s="415">
        <v>5</v>
      </c>
      <c r="S541" s="415">
        <f t="shared" si="24"/>
        <v>5</v>
      </c>
      <c r="T541" s="419">
        <f t="shared" si="25"/>
        <v>0.83333333333333337</v>
      </c>
      <c r="U541" s="419">
        <f t="shared" si="26"/>
        <v>5.833333333333333</v>
      </c>
      <c r="V541" s="415" t="s">
        <v>662</v>
      </c>
      <c r="W541" s="415" t="s">
        <v>614</v>
      </c>
      <c r="X541" s="415" t="s">
        <v>671</v>
      </c>
      <c r="Y541" s="415"/>
    </row>
    <row r="542" spans="1:25" hidden="1" x14ac:dyDescent="0.25">
      <c r="A542" s="415">
        <v>541</v>
      </c>
      <c r="B542" s="415">
        <v>940</v>
      </c>
      <c r="C542" s="415">
        <v>71196</v>
      </c>
      <c r="D542" s="416" t="s">
        <v>881</v>
      </c>
      <c r="E542" s="416" t="s">
        <v>442</v>
      </c>
      <c r="F542" s="416" t="s">
        <v>445</v>
      </c>
      <c r="G542" s="416" t="s">
        <v>882</v>
      </c>
      <c r="H542" s="416" t="s">
        <v>883</v>
      </c>
      <c r="I542" s="416" t="s">
        <v>884</v>
      </c>
      <c r="J542" s="415" t="s">
        <v>661</v>
      </c>
      <c r="K542" s="417">
        <v>-15.215299999999999</v>
      </c>
      <c r="L542" s="417">
        <v>-71.388199999999998</v>
      </c>
      <c r="M542" s="418">
        <v>30</v>
      </c>
      <c r="N542" s="418" t="s">
        <v>2310</v>
      </c>
      <c r="O542" s="418" t="s">
        <v>2953</v>
      </c>
      <c r="P542" s="415">
        <v>3</v>
      </c>
      <c r="Q542" s="415">
        <v>30</v>
      </c>
      <c r="R542" s="415">
        <v>5</v>
      </c>
      <c r="S542" s="415">
        <f t="shared" si="24"/>
        <v>5</v>
      </c>
      <c r="T542" s="419">
        <f t="shared" si="25"/>
        <v>0.83333333333333337</v>
      </c>
      <c r="U542" s="419">
        <f t="shared" si="26"/>
        <v>5.833333333333333</v>
      </c>
      <c r="V542" s="415" t="s">
        <v>662</v>
      </c>
      <c r="W542" s="415" t="s">
        <v>614</v>
      </c>
      <c r="X542" s="415" t="s">
        <v>671</v>
      </c>
      <c r="Y542" s="415"/>
    </row>
    <row r="543" spans="1:25" hidden="1" x14ac:dyDescent="0.25">
      <c r="A543" s="415">
        <v>542</v>
      </c>
      <c r="B543" s="415">
        <v>941</v>
      </c>
      <c r="C543" s="415">
        <v>71766</v>
      </c>
      <c r="D543" s="416" t="s">
        <v>2986</v>
      </c>
      <c r="E543" s="416" t="s">
        <v>442</v>
      </c>
      <c r="F543" s="416" t="s">
        <v>446</v>
      </c>
      <c r="G543" s="416" t="s">
        <v>886</v>
      </c>
      <c r="H543" s="416" t="s">
        <v>887</v>
      </c>
      <c r="I543" s="416" t="s">
        <v>888</v>
      </c>
      <c r="J543" s="415" t="s">
        <v>661</v>
      </c>
      <c r="K543" s="417">
        <v>-15.0412</v>
      </c>
      <c r="L543" s="417">
        <v>-72.2761</v>
      </c>
      <c r="M543" s="418">
        <v>30</v>
      </c>
      <c r="N543" s="418" t="s">
        <v>2310</v>
      </c>
      <c r="O543" s="418" t="s">
        <v>2953</v>
      </c>
      <c r="P543" s="415">
        <v>3</v>
      </c>
      <c r="Q543" s="415">
        <v>30</v>
      </c>
      <c r="R543" s="415">
        <v>5</v>
      </c>
      <c r="S543" s="415">
        <f t="shared" si="24"/>
        <v>5</v>
      </c>
      <c r="T543" s="419">
        <f t="shared" si="25"/>
        <v>0.83333333333333337</v>
      </c>
      <c r="U543" s="419">
        <f t="shared" si="26"/>
        <v>5.833333333333333</v>
      </c>
      <c r="V543" s="415" t="s">
        <v>662</v>
      </c>
      <c r="W543" s="415" t="s">
        <v>613</v>
      </c>
      <c r="X543" s="415" t="s">
        <v>671</v>
      </c>
      <c r="Y543" s="415"/>
    </row>
    <row r="544" spans="1:25" hidden="1" x14ac:dyDescent="0.25">
      <c r="A544" s="415">
        <v>543</v>
      </c>
      <c r="B544" s="415">
        <v>942</v>
      </c>
      <c r="C544" s="415">
        <v>71629</v>
      </c>
      <c r="D544" s="416" t="s">
        <v>2987</v>
      </c>
      <c r="E544" s="416" t="s">
        <v>442</v>
      </c>
      <c r="F544" s="416" t="s">
        <v>446</v>
      </c>
      <c r="G544" s="416" t="s">
        <v>600</v>
      </c>
      <c r="H544" s="416" t="s">
        <v>600</v>
      </c>
      <c r="I544" s="416" t="s">
        <v>2988</v>
      </c>
      <c r="J544" s="415" t="s">
        <v>747</v>
      </c>
      <c r="K544" s="417">
        <v>-15.843025000000001</v>
      </c>
      <c r="L544" s="417">
        <v>-72.649413999999993</v>
      </c>
      <c r="M544" s="418">
        <v>30</v>
      </c>
      <c r="N544" s="418" t="s">
        <v>2310</v>
      </c>
      <c r="O544" s="418" t="s">
        <v>2953</v>
      </c>
      <c r="P544" s="415">
        <v>3</v>
      </c>
      <c r="Q544" s="415">
        <v>30</v>
      </c>
      <c r="R544" s="415">
        <v>5</v>
      </c>
      <c r="S544" s="415">
        <f t="shared" si="24"/>
        <v>5</v>
      </c>
      <c r="T544" s="419">
        <f t="shared" si="25"/>
        <v>0.83333333333333337</v>
      </c>
      <c r="U544" s="419">
        <f t="shared" si="26"/>
        <v>5.833333333333333</v>
      </c>
      <c r="V544" s="415" t="s">
        <v>662</v>
      </c>
      <c r="W544" s="415" t="s">
        <v>613</v>
      </c>
      <c r="X544" s="415" t="s">
        <v>671</v>
      </c>
      <c r="Y544" s="415"/>
    </row>
    <row r="545" spans="1:25" hidden="1" x14ac:dyDescent="0.25">
      <c r="A545" s="415">
        <v>544</v>
      </c>
      <c r="B545" s="415">
        <v>943</v>
      </c>
      <c r="C545" s="415">
        <v>72737</v>
      </c>
      <c r="D545" s="416" t="s">
        <v>2989</v>
      </c>
      <c r="E545" s="416" t="s">
        <v>442</v>
      </c>
      <c r="F545" s="416" t="s">
        <v>449</v>
      </c>
      <c r="G545" s="416" t="s">
        <v>2990</v>
      </c>
      <c r="H545" s="416" t="s">
        <v>2991</v>
      </c>
      <c r="I545" s="416" t="s">
        <v>1040</v>
      </c>
      <c r="J545" s="415" t="s">
        <v>661</v>
      </c>
      <c r="K545" s="417">
        <v>-17.070429000000001</v>
      </c>
      <c r="L545" s="417">
        <v>-71.724771000000004</v>
      </c>
      <c r="M545" s="418">
        <v>30</v>
      </c>
      <c r="N545" s="418" t="s">
        <v>2310</v>
      </c>
      <c r="O545" s="418" t="s">
        <v>2953</v>
      </c>
      <c r="P545" s="415">
        <v>3</v>
      </c>
      <c r="Q545" s="415">
        <v>30</v>
      </c>
      <c r="R545" s="415">
        <v>5</v>
      </c>
      <c r="S545" s="415">
        <f t="shared" si="24"/>
        <v>5</v>
      </c>
      <c r="T545" s="419">
        <f t="shared" si="25"/>
        <v>0.83333333333333337</v>
      </c>
      <c r="U545" s="419">
        <f t="shared" si="26"/>
        <v>5.833333333333333</v>
      </c>
      <c r="V545" s="415" t="s">
        <v>662</v>
      </c>
      <c r="W545" s="415" t="s">
        <v>614</v>
      </c>
      <c r="X545" s="415" t="s">
        <v>671</v>
      </c>
      <c r="Y545" s="415"/>
    </row>
    <row r="546" spans="1:25" hidden="1" x14ac:dyDescent="0.25">
      <c r="A546" s="415">
        <v>545</v>
      </c>
      <c r="B546" s="415">
        <v>944</v>
      </c>
      <c r="C546" s="415">
        <v>72742</v>
      </c>
      <c r="D546" s="416" t="s">
        <v>2991</v>
      </c>
      <c r="E546" s="416" t="s">
        <v>442</v>
      </c>
      <c r="F546" s="416" t="s">
        <v>449</v>
      </c>
      <c r="G546" s="416" t="s">
        <v>2990</v>
      </c>
      <c r="H546" s="416" t="s">
        <v>2991</v>
      </c>
      <c r="I546" s="416" t="s">
        <v>2992</v>
      </c>
      <c r="J546" s="415" t="s">
        <v>661</v>
      </c>
      <c r="K546" s="417">
        <v>-17.070667</v>
      </c>
      <c r="L546" s="417">
        <v>-71.724081999999996</v>
      </c>
      <c r="M546" s="418">
        <v>30</v>
      </c>
      <c r="N546" s="418" t="s">
        <v>2310</v>
      </c>
      <c r="O546" s="418" t="s">
        <v>2953</v>
      </c>
      <c r="P546" s="415">
        <v>3</v>
      </c>
      <c r="Q546" s="415">
        <v>30</v>
      </c>
      <c r="R546" s="415">
        <v>5</v>
      </c>
      <c r="S546" s="415">
        <f t="shared" si="24"/>
        <v>5</v>
      </c>
      <c r="T546" s="419">
        <f t="shared" si="25"/>
        <v>0.83333333333333337</v>
      </c>
      <c r="U546" s="419">
        <f t="shared" si="26"/>
        <v>5.833333333333333</v>
      </c>
      <c r="V546" s="415" t="s">
        <v>662</v>
      </c>
      <c r="W546" s="415" t="s">
        <v>614</v>
      </c>
      <c r="X546" s="415" t="s">
        <v>671</v>
      </c>
      <c r="Y546" s="415"/>
    </row>
    <row r="547" spans="1:25" hidden="1" x14ac:dyDescent="0.25">
      <c r="A547" s="415">
        <v>546</v>
      </c>
      <c r="B547" s="415">
        <v>945</v>
      </c>
      <c r="C547" s="415">
        <v>72978</v>
      </c>
      <c r="D547" s="416" t="s">
        <v>2993</v>
      </c>
      <c r="E547" s="416" t="s">
        <v>442</v>
      </c>
      <c r="F547" s="416" t="s">
        <v>449</v>
      </c>
      <c r="G547" s="416" t="s">
        <v>2994</v>
      </c>
      <c r="H547" s="416" t="s">
        <v>2995</v>
      </c>
      <c r="I547" s="416" t="s">
        <v>2996</v>
      </c>
      <c r="J547" s="415" t="s">
        <v>661</v>
      </c>
      <c r="K547" s="417">
        <v>-17.171946999999999</v>
      </c>
      <c r="L547" s="417">
        <v>-71.807480999999996</v>
      </c>
      <c r="M547" s="418">
        <v>30</v>
      </c>
      <c r="N547" s="418" t="s">
        <v>2310</v>
      </c>
      <c r="O547" s="418" t="s">
        <v>2953</v>
      </c>
      <c r="P547" s="415">
        <v>3</v>
      </c>
      <c r="Q547" s="415">
        <v>30</v>
      </c>
      <c r="R547" s="415">
        <v>5</v>
      </c>
      <c r="S547" s="415">
        <f t="shared" si="24"/>
        <v>5</v>
      </c>
      <c r="T547" s="419">
        <f t="shared" si="25"/>
        <v>0.83333333333333337</v>
      </c>
      <c r="U547" s="419">
        <f t="shared" si="26"/>
        <v>5.833333333333333</v>
      </c>
      <c r="V547" s="415" t="s">
        <v>662</v>
      </c>
      <c r="W547" s="415" t="s">
        <v>614</v>
      </c>
      <c r="X547" s="415" t="s">
        <v>671</v>
      </c>
      <c r="Y547" s="415"/>
    </row>
    <row r="548" spans="1:25" hidden="1" x14ac:dyDescent="0.25">
      <c r="A548" s="415">
        <v>547</v>
      </c>
      <c r="B548" s="415">
        <v>946</v>
      </c>
      <c r="C548" s="415">
        <v>73341</v>
      </c>
      <c r="D548" s="416" t="s">
        <v>2997</v>
      </c>
      <c r="E548" s="416" t="s">
        <v>442</v>
      </c>
      <c r="F548" s="416" t="s">
        <v>444</v>
      </c>
      <c r="G548" s="416" t="s">
        <v>889</v>
      </c>
      <c r="H548" s="416" t="s">
        <v>2998</v>
      </c>
      <c r="I548" s="416" t="s">
        <v>860</v>
      </c>
      <c r="J548" s="415" t="s">
        <v>661</v>
      </c>
      <c r="K548" s="417">
        <v>-15.0937</v>
      </c>
      <c r="L548" s="417">
        <v>-72.778300000000002</v>
      </c>
      <c r="M548" s="418">
        <v>30</v>
      </c>
      <c r="N548" s="418" t="s">
        <v>2310</v>
      </c>
      <c r="O548" s="418" t="s">
        <v>2953</v>
      </c>
      <c r="P548" s="415">
        <v>3</v>
      </c>
      <c r="Q548" s="415">
        <v>30</v>
      </c>
      <c r="R548" s="415">
        <v>5</v>
      </c>
      <c r="S548" s="415">
        <f t="shared" si="24"/>
        <v>5</v>
      </c>
      <c r="T548" s="419">
        <f t="shared" si="25"/>
        <v>0.83333333333333337</v>
      </c>
      <c r="U548" s="419">
        <f t="shared" si="26"/>
        <v>5.833333333333333</v>
      </c>
      <c r="V548" s="415" t="s">
        <v>662</v>
      </c>
      <c r="W548" s="415" t="s">
        <v>613</v>
      </c>
      <c r="X548" s="415" t="s">
        <v>671</v>
      </c>
      <c r="Y548" s="415"/>
    </row>
    <row r="549" spans="1:25" hidden="1" x14ac:dyDescent="0.25">
      <c r="A549" s="415">
        <v>548</v>
      </c>
      <c r="B549" s="415">
        <v>947</v>
      </c>
      <c r="C549" s="415">
        <v>73303</v>
      </c>
      <c r="D549" s="416" t="s">
        <v>2999</v>
      </c>
      <c r="E549" s="416" t="s">
        <v>442</v>
      </c>
      <c r="F549" s="416" t="s">
        <v>444</v>
      </c>
      <c r="G549" s="416" t="s">
        <v>889</v>
      </c>
      <c r="H549" s="416" t="s">
        <v>3000</v>
      </c>
      <c r="I549" s="416" t="s">
        <v>860</v>
      </c>
      <c r="J549" s="415" t="s">
        <v>661</v>
      </c>
      <c r="K549" s="417">
        <v>-15.149554</v>
      </c>
      <c r="L549" s="417">
        <v>-72.819957000000002</v>
      </c>
      <c r="M549" s="418">
        <v>30</v>
      </c>
      <c r="N549" s="418" t="s">
        <v>2310</v>
      </c>
      <c r="O549" s="418" t="s">
        <v>2953</v>
      </c>
      <c r="P549" s="415">
        <v>3</v>
      </c>
      <c r="Q549" s="415">
        <v>30</v>
      </c>
      <c r="R549" s="415">
        <v>5</v>
      </c>
      <c r="S549" s="415">
        <f t="shared" si="24"/>
        <v>5</v>
      </c>
      <c r="T549" s="419">
        <f t="shared" si="25"/>
        <v>0.83333333333333337</v>
      </c>
      <c r="U549" s="419">
        <f t="shared" si="26"/>
        <v>5.833333333333333</v>
      </c>
      <c r="V549" s="415" t="s">
        <v>662</v>
      </c>
      <c r="W549" s="415" t="s">
        <v>613</v>
      </c>
      <c r="X549" s="415" t="s">
        <v>671</v>
      </c>
      <c r="Y549" s="415"/>
    </row>
    <row r="550" spans="1:25" hidden="1" x14ac:dyDescent="0.25">
      <c r="A550" s="415">
        <v>549</v>
      </c>
      <c r="B550" s="415">
        <v>948</v>
      </c>
      <c r="C550" s="415">
        <v>77872</v>
      </c>
      <c r="D550" s="416" t="s">
        <v>3001</v>
      </c>
      <c r="E550" s="416" t="s">
        <v>450</v>
      </c>
      <c r="F550" s="416" t="s">
        <v>454</v>
      </c>
      <c r="G550" s="416" t="s">
        <v>454</v>
      </c>
      <c r="H550" s="416" t="s">
        <v>454</v>
      </c>
      <c r="I550" s="416" t="s">
        <v>3002</v>
      </c>
      <c r="J550" s="415" t="s">
        <v>747</v>
      </c>
      <c r="K550" s="417">
        <v>-13.631819999999999</v>
      </c>
      <c r="L550" s="417">
        <v>-74.142240000000001</v>
      </c>
      <c r="M550" s="418">
        <v>30</v>
      </c>
      <c r="N550" s="418" t="s">
        <v>2310</v>
      </c>
      <c r="O550" s="418" t="s">
        <v>2953</v>
      </c>
      <c r="P550" s="415">
        <v>3</v>
      </c>
      <c r="Q550" s="415">
        <v>30</v>
      </c>
      <c r="R550" s="415">
        <v>5</v>
      </c>
      <c r="S550" s="415">
        <f t="shared" si="24"/>
        <v>5</v>
      </c>
      <c r="T550" s="419">
        <f t="shared" si="25"/>
        <v>0.83333333333333337</v>
      </c>
      <c r="U550" s="419">
        <f t="shared" si="26"/>
        <v>5.833333333333333</v>
      </c>
      <c r="V550" s="415" t="s">
        <v>662</v>
      </c>
      <c r="W550" s="415" t="s">
        <v>613</v>
      </c>
      <c r="X550" s="415" t="s">
        <v>671</v>
      </c>
      <c r="Y550" s="415"/>
    </row>
    <row r="551" spans="1:25" hidden="1" x14ac:dyDescent="0.25">
      <c r="A551" s="415">
        <v>550</v>
      </c>
      <c r="B551" s="415">
        <v>949</v>
      </c>
      <c r="C551" s="415">
        <v>78051</v>
      </c>
      <c r="D551" s="416" t="s">
        <v>3003</v>
      </c>
      <c r="E551" s="416" t="s">
        <v>450</v>
      </c>
      <c r="F551" s="416" t="s">
        <v>454</v>
      </c>
      <c r="G551" s="416" t="s">
        <v>910</v>
      </c>
      <c r="H551" s="416" t="s">
        <v>3004</v>
      </c>
      <c r="I551" s="416" t="s">
        <v>860</v>
      </c>
      <c r="J551" s="415" t="s">
        <v>661</v>
      </c>
      <c r="K551" s="417">
        <v>-13.597</v>
      </c>
      <c r="L551" s="417">
        <v>-74.327200000000005</v>
      </c>
      <c r="M551" s="418">
        <v>30</v>
      </c>
      <c r="N551" s="418" t="s">
        <v>2310</v>
      </c>
      <c r="O551" s="418" t="s">
        <v>2953</v>
      </c>
      <c r="P551" s="415">
        <v>3</v>
      </c>
      <c r="Q551" s="415">
        <v>30</v>
      </c>
      <c r="R551" s="415">
        <v>5</v>
      </c>
      <c r="S551" s="415">
        <f t="shared" si="24"/>
        <v>5</v>
      </c>
      <c r="T551" s="419">
        <f t="shared" si="25"/>
        <v>0.83333333333333337</v>
      </c>
      <c r="U551" s="419">
        <f t="shared" si="26"/>
        <v>5.833333333333333</v>
      </c>
      <c r="V551" s="415" t="s">
        <v>662</v>
      </c>
      <c r="W551" s="415" t="s">
        <v>612</v>
      </c>
      <c r="X551" s="415" t="s">
        <v>671</v>
      </c>
      <c r="Y551" s="415"/>
    </row>
    <row r="552" spans="1:25" hidden="1" x14ac:dyDescent="0.25">
      <c r="A552" s="415">
        <v>551</v>
      </c>
      <c r="B552" s="415">
        <v>950</v>
      </c>
      <c r="C552" s="415">
        <v>78131</v>
      </c>
      <c r="D552" s="416" t="s">
        <v>916</v>
      </c>
      <c r="E552" s="416" t="s">
        <v>450</v>
      </c>
      <c r="F552" s="416" t="s">
        <v>454</v>
      </c>
      <c r="G552" s="416" t="s">
        <v>910</v>
      </c>
      <c r="H552" s="416" t="s">
        <v>917</v>
      </c>
      <c r="I552" s="416" t="s">
        <v>892</v>
      </c>
      <c r="J552" s="415" t="s">
        <v>661</v>
      </c>
      <c r="K552" s="417">
        <v>-13.5321</v>
      </c>
      <c r="L552" s="417">
        <v>-74.430499999999995</v>
      </c>
      <c r="M552" s="418">
        <v>30</v>
      </c>
      <c r="N552" s="418" t="s">
        <v>2310</v>
      </c>
      <c r="O552" s="418" t="s">
        <v>2953</v>
      </c>
      <c r="P552" s="415">
        <v>3</v>
      </c>
      <c r="Q552" s="415">
        <v>30</v>
      </c>
      <c r="R552" s="415">
        <v>5</v>
      </c>
      <c r="S552" s="415">
        <f t="shared" si="24"/>
        <v>5</v>
      </c>
      <c r="T552" s="419">
        <f t="shared" si="25"/>
        <v>0.83333333333333337</v>
      </c>
      <c r="U552" s="419">
        <f t="shared" si="26"/>
        <v>5.833333333333333</v>
      </c>
      <c r="V552" s="415" t="s">
        <v>662</v>
      </c>
      <c r="W552" s="415" t="s">
        <v>612</v>
      </c>
      <c r="X552" s="415" t="s">
        <v>671</v>
      </c>
      <c r="Y552" s="415"/>
    </row>
    <row r="553" spans="1:25" hidden="1" x14ac:dyDescent="0.25">
      <c r="A553" s="415">
        <v>552</v>
      </c>
      <c r="B553" s="415">
        <v>951</v>
      </c>
      <c r="C553" s="415">
        <v>78126</v>
      </c>
      <c r="D553" s="416" t="s">
        <v>3005</v>
      </c>
      <c r="E553" s="416" t="s">
        <v>450</v>
      </c>
      <c r="F553" s="416" t="s">
        <v>454</v>
      </c>
      <c r="G553" s="416" t="s">
        <v>910</v>
      </c>
      <c r="H553" s="416" t="s">
        <v>3006</v>
      </c>
      <c r="I553" s="416" t="s">
        <v>860</v>
      </c>
      <c r="J553" s="415" t="s">
        <v>661</v>
      </c>
      <c r="K553" s="417">
        <v>-13.589510000000001</v>
      </c>
      <c r="L553" s="417">
        <v>-74.327979999999997</v>
      </c>
      <c r="M553" s="418">
        <v>30</v>
      </c>
      <c r="N553" s="418" t="s">
        <v>2310</v>
      </c>
      <c r="O553" s="418" t="s">
        <v>2953</v>
      </c>
      <c r="P553" s="415">
        <v>3</v>
      </c>
      <c r="Q553" s="415">
        <v>30</v>
      </c>
      <c r="R553" s="415">
        <v>5</v>
      </c>
      <c r="S553" s="415">
        <f t="shared" si="24"/>
        <v>5</v>
      </c>
      <c r="T553" s="419">
        <f t="shared" si="25"/>
        <v>0.83333333333333337</v>
      </c>
      <c r="U553" s="419">
        <f t="shared" si="26"/>
        <v>5.833333333333333</v>
      </c>
      <c r="V553" s="415" t="s">
        <v>662</v>
      </c>
      <c r="W553" s="415" t="s">
        <v>612</v>
      </c>
      <c r="X553" s="415" t="s">
        <v>671</v>
      </c>
      <c r="Y553" s="415"/>
    </row>
    <row r="554" spans="1:25" hidden="1" x14ac:dyDescent="0.25">
      <c r="A554" s="415">
        <v>553</v>
      </c>
      <c r="B554" s="415">
        <v>952</v>
      </c>
      <c r="C554" s="415">
        <v>78107</v>
      </c>
      <c r="D554" s="416" t="s">
        <v>911</v>
      </c>
      <c r="E554" s="416" t="s">
        <v>450</v>
      </c>
      <c r="F554" s="416" t="s">
        <v>454</v>
      </c>
      <c r="G554" s="416" t="s">
        <v>910</v>
      </c>
      <c r="H554" s="416" t="s">
        <v>912</v>
      </c>
      <c r="I554" s="416" t="s">
        <v>860</v>
      </c>
      <c r="J554" s="415" t="s">
        <v>661</v>
      </c>
      <c r="K554" s="417">
        <v>-13.4482</v>
      </c>
      <c r="L554" s="417">
        <v>-74.348100000000002</v>
      </c>
      <c r="M554" s="418">
        <v>30</v>
      </c>
      <c r="N554" s="418" t="s">
        <v>2310</v>
      </c>
      <c r="O554" s="418" t="s">
        <v>2953</v>
      </c>
      <c r="P554" s="415">
        <v>3</v>
      </c>
      <c r="Q554" s="415">
        <v>30</v>
      </c>
      <c r="R554" s="415">
        <v>5</v>
      </c>
      <c r="S554" s="415">
        <f t="shared" si="24"/>
        <v>5</v>
      </c>
      <c r="T554" s="419">
        <f t="shared" si="25"/>
        <v>0.83333333333333337</v>
      </c>
      <c r="U554" s="419">
        <f t="shared" si="26"/>
        <v>5.833333333333333</v>
      </c>
      <c r="V554" s="415" t="s">
        <v>662</v>
      </c>
      <c r="W554" s="415" t="s">
        <v>612</v>
      </c>
      <c r="X554" s="415" t="s">
        <v>671</v>
      </c>
      <c r="Y554" s="415"/>
    </row>
    <row r="555" spans="1:25" hidden="1" x14ac:dyDescent="0.25">
      <c r="A555" s="415">
        <v>554</v>
      </c>
      <c r="B555" s="415">
        <v>953</v>
      </c>
      <c r="C555" s="415">
        <v>78046</v>
      </c>
      <c r="D555" s="416" t="s">
        <v>3007</v>
      </c>
      <c r="E555" s="416" t="s">
        <v>450</v>
      </c>
      <c r="F555" s="416" t="s">
        <v>454</v>
      </c>
      <c r="G555" s="416" t="s">
        <v>910</v>
      </c>
      <c r="H555" s="416" t="s">
        <v>3008</v>
      </c>
      <c r="I555" s="416" t="s">
        <v>860</v>
      </c>
      <c r="J555" s="415" t="s">
        <v>747</v>
      </c>
      <c r="K555" s="417">
        <v>-13.4663</v>
      </c>
      <c r="L555" s="417">
        <v>-74.400800000000004</v>
      </c>
      <c r="M555" s="418">
        <v>30</v>
      </c>
      <c r="N555" s="418" t="s">
        <v>2310</v>
      </c>
      <c r="O555" s="418" t="s">
        <v>2953</v>
      </c>
      <c r="P555" s="415">
        <v>3</v>
      </c>
      <c r="Q555" s="415">
        <v>30</v>
      </c>
      <c r="R555" s="415">
        <v>5</v>
      </c>
      <c r="S555" s="415">
        <f t="shared" si="24"/>
        <v>5</v>
      </c>
      <c r="T555" s="419">
        <f t="shared" si="25"/>
        <v>0.83333333333333337</v>
      </c>
      <c r="U555" s="419">
        <f t="shared" si="26"/>
        <v>5.833333333333333</v>
      </c>
      <c r="V555" s="415" t="s">
        <v>662</v>
      </c>
      <c r="W555" s="415" t="s">
        <v>612</v>
      </c>
      <c r="X555" s="415" t="s">
        <v>671</v>
      </c>
      <c r="Y555" s="415"/>
    </row>
    <row r="556" spans="1:25" hidden="1" x14ac:dyDescent="0.25">
      <c r="A556" s="415">
        <v>555</v>
      </c>
      <c r="B556" s="415">
        <v>954</v>
      </c>
      <c r="C556" s="415">
        <v>78150</v>
      </c>
      <c r="D556" s="416" t="s">
        <v>3009</v>
      </c>
      <c r="E556" s="416" t="s">
        <v>450</v>
      </c>
      <c r="F556" s="416" t="s">
        <v>454</v>
      </c>
      <c r="G556" s="416" t="s">
        <v>910</v>
      </c>
      <c r="H556" s="416" t="s">
        <v>2487</v>
      </c>
      <c r="I556" s="416" t="s">
        <v>860</v>
      </c>
      <c r="J556" s="415" t="s">
        <v>661</v>
      </c>
      <c r="K556" s="417">
        <v>-13.341144999999999</v>
      </c>
      <c r="L556" s="417">
        <v>-74.540069000000003</v>
      </c>
      <c r="M556" s="418">
        <v>30</v>
      </c>
      <c r="N556" s="418" t="s">
        <v>2310</v>
      </c>
      <c r="O556" s="418" t="s">
        <v>2953</v>
      </c>
      <c r="P556" s="415">
        <v>3</v>
      </c>
      <c r="Q556" s="415">
        <v>30</v>
      </c>
      <c r="R556" s="415">
        <v>5</v>
      </c>
      <c r="S556" s="415">
        <f t="shared" si="24"/>
        <v>5</v>
      </c>
      <c r="T556" s="419">
        <f t="shared" si="25"/>
        <v>0.83333333333333337</v>
      </c>
      <c r="U556" s="419">
        <f t="shared" si="26"/>
        <v>5.833333333333333</v>
      </c>
      <c r="V556" s="415" t="s">
        <v>662</v>
      </c>
      <c r="W556" s="415" t="s">
        <v>612</v>
      </c>
      <c r="X556" s="415" t="s">
        <v>671</v>
      </c>
      <c r="Y556" s="415"/>
    </row>
    <row r="557" spans="1:25" hidden="1" x14ac:dyDescent="0.25">
      <c r="A557" s="415">
        <v>556</v>
      </c>
      <c r="B557" s="415">
        <v>955</v>
      </c>
      <c r="C557" s="415">
        <v>78112</v>
      </c>
      <c r="D557" s="416" t="s">
        <v>913</v>
      </c>
      <c r="E557" s="416" t="s">
        <v>450</v>
      </c>
      <c r="F557" s="416" t="s">
        <v>454</v>
      </c>
      <c r="G557" s="416" t="s">
        <v>910</v>
      </c>
      <c r="H557" s="416" t="s">
        <v>914</v>
      </c>
      <c r="I557" s="416" t="s">
        <v>915</v>
      </c>
      <c r="J557" s="415" t="s">
        <v>661</v>
      </c>
      <c r="K557" s="417">
        <v>-13.500373</v>
      </c>
      <c r="L557" s="417">
        <v>-74.470556999999999</v>
      </c>
      <c r="M557" s="418">
        <v>30</v>
      </c>
      <c r="N557" s="418" t="s">
        <v>2310</v>
      </c>
      <c r="O557" s="418" t="s">
        <v>2953</v>
      </c>
      <c r="P557" s="415">
        <v>3</v>
      </c>
      <c r="Q557" s="415">
        <v>30</v>
      </c>
      <c r="R557" s="415">
        <v>5</v>
      </c>
      <c r="S557" s="415">
        <f t="shared" si="24"/>
        <v>5</v>
      </c>
      <c r="T557" s="419">
        <f t="shared" si="25"/>
        <v>0.83333333333333337</v>
      </c>
      <c r="U557" s="419">
        <f t="shared" si="26"/>
        <v>5.833333333333333</v>
      </c>
      <c r="V557" s="415" t="s">
        <v>662</v>
      </c>
      <c r="W557" s="415" t="s">
        <v>612</v>
      </c>
      <c r="X557" s="415" t="s">
        <v>671</v>
      </c>
      <c r="Y557" s="415"/>
    </row>
    <row r="558" spans="1:25" hidden="1" x14ac:dyDescent="0.25">
      <c r="A558" s="415">
        <v>557</v>
      </c>
      <c r="B558" s="415">
        <v>956</v>
      </c>
      <c r="C558" s="415">
        <v>78348</v>
      </c>
      <c r="D558" s="416" t="s">
        <v>918</v>
      </c>
      <c r="E558" s="416" t="s">
        <v>450</v>
      </c>
      <c r="F558" s="416" t="s">
        <v>454</v>
      </c>
      <c r="G558" s="416" t="s">
        <v>919</v>
      </c>
      <c r="H558" s="416" t="s">
        <v>920</v>
      </c>
      <c r="I558" s="416" t="s">
        <v>860</v>
      </c>
      <c r="J558" s="415" t="s">
        <v>661</v>
      </c>
      <c r="K558" s="417">
        <v>-13.5313</v>
      </c>
      <c r="L558" s="417">
        <v>-74.207700000000003</v>
      </c>
      <c r="M558" s="418">
        <v>30</v>
      </c>
      <c r="N558" s="418" t="s">
        <v>2310</v>
      </c>
      <c r="O558" s="418" t="s">
        <v>2953</v>
      </c>
      <c r="P558" s="415">
        <v>3</v>
      </c>
      <c r="Q558" s="415">
        <v>30</v>
      </c>
      <c r="R558" s="415">
        <v>5</v>
      </c>
      <c r="S558" s="415">
        <f t="shared" si="24"/>
        <v>5</v>
      </c>
      <c r="T558" s="419">
        <f t="shared" si="25"/>
        <v>0.83333333333333337</v>
      </c>
      <c r="U558" s="419">
        <f t="shared" si="26"/>
        <v>5.833333333333333</v>
      </c>
      <c r="V558" s="415" t="s">
        <v>662</v>
      </c>
      <c r="W558" s="415" t="s">
        <v>612</v>
      </c>
      <c r="X558" s="415" t="s">
        <v>671</v>
      </c>
      <c r="Y558" s="415"/>
    </row>
    <row r="559" spans="1:25" hidden="1" x14ac:dyDescent="0.25">
      <c r="A559" s="415">
        <v>558</v>
      </c>
      <c r="B559" s="415">
        <v>957</v>
      </c>
      <c r="C559" s="415">
        <v>78287</v>
      </c>
      <c r="D559" s="416" t="s">
        <v>3010</v>
      </c>
      <c r="E559" s="416" t="s">
        <v>450</v>
      </c>
      <c r="F559" s="416" t="s">
        <v>454</v>
      </c>
      <c r="G559" s="416" t="s">
        <v>919</v>
      </c>
      <c r="H559" s="416" t="s">
        <v>3011</v>
      </c>
      <c r="I559" s="416" t="s">
        <v>860</v>
      </c>
      <c r="J559" s="415" t="s">
        <v>661</v>
      </c>
      <c r="K559" s="417">
        <v>-13.4338</v>
      </c>
      <c r="L559" s="417">
        <v>-74.267399999999995</v>
      </c>
      <c r="M559" s="418">
        <v>30</v>
      </c>
      <c r="N559" s="418" t="s">
        <v>2310</v>
      </c>
      <c r="O559" s="418" t="s">
        <v>2953</v>
      </c>
      <c r="P559" s="415">
        <v>3</v>
      </c>
      <c r="Q559" s="415">
        <v>30</v>
      </c>
      <c r="R559" s="415">
        <v>5</v>
      </c>
      <c r="S559" s="415">
        <f t="shared" si="24"/>
        <v>5</v>
      </c>
      <c r="T559" s="419">
        <f t="shared" si="25"/>
        <v>0.83333333333333337</v>
      </c>
      <c r="U559" s="419">
        <f t="shared" si="26"/>
        <v>5.833333333333333</v>
      </c>
      <c r="V559" s="415" t="s">
        <v>662</v>
      </c>
      <c r="W559" s="415" t="s">
        <v>612</v>
      </c>
      <c r="X559" s="415" t="s">
        <v>671</v>
      </c>
      <c r="Y559" s="415"/>
    </row>
    <row r="560" spans="1:25" hidden="1" x14ac:dyDescent="0.25">
      <c r="A560" s="415">
        <v>559</v>
      </c>
      <c r="B560" s="415">
        <v>958</v>
      </c>
      <c r="C560" s="415">
        <v>78433</v>
      </c>
      <c r="D560" s="416" t="s">
        <v>3012</v>
      </c>
      <c r="E560" s="416" t="s">
        <v>450</v>
      </c>
      <c r="F560" s="416" t="s">
        <v>454</v>
      </c>
      <c r="G560" s="416" t="s">
        <v>3001</v>
      </c>
      <c r="H560" s="416" t="s">
        <v>3013</v>
      </c>
      <c r="I560" s="416" t="s">
        <v>892</v>
      </c>
      <c r="J560" s="415" t="s">
        <v>661</v>
      </c>
      <c r="K560" s="417">
        <v>-13.565200000000001</v>
      </c>
      <c r="L560" s="417">
        <v>-74.278899999999993</v>
      </c>
      <c r="M560" s="418">
        <v>30</v>
      </c>
      <c r="N560" s="418" t="s">
        <v>2310</v>
      </c>
      <c r="O560" s="418" t="s">
        <v>2953</v>
      </c>
      <c r="P560" s="415">
        <v>3</v>
      </c>
      <c r="Q560" s="415">
        <v>30</v>
      </c>
      <c r="R560" s="415">
        <v>5</v>
      </c>
      <c r="S560" s="415">
        <f t="shared" si="24"/>
        <v>5</v>
      </c>
      <c r="T560" s="419">
        <f t="shared" si="25"/>
        <v>0.83333333333333337</v>
      </c>
      <c r="U560" s="419">
        <f t="shared" si="26"/>
        <v>5.833333333333333</v>
      </c>
      <c r="V560" s="415" t="s">
        <v>662</v>
      </c>
      <c r="W560" s="415" t="s">
        <v>612</v>
      </c>
      <c r="X560" s="415" t="s">
        <v>671</v>
      </c>
      <c r="Y560" s="415"/>
    </row>
    <row r="561" spans="1:25" hidden="1" x14ac:dyDescent="0.25">
      <c r="A561" s="415">
        <v>560</v>
      </c>
      <c r="B561" s="415">
        <v>959</v>
      </c>
      <c r="C561" s="415">
        <v>78758</v>
      </c>
      <c r="D561" s="416" t="s">
        <v>2054</v>
      </c>
      <c r="E561" s="416" t="s">
        <v>450</v>
      </c>
      <c r="F561" s="416" t="s">
        <v>454</v>
      </c>
      <c r="G561" s="416" t="s">
        <v>922</v>
      </c>
      <c r="H561" s="416" t="s">
        <v>3014</v>
      </c>
      <c r="I561" s="416" t="s">
        <v>3015</v>
      </c>
      <c r="J561" s="415" t="s">
        <v>661</v>
      </c>
      <c r="K561" s="417">
        <v>-13.357967</v>
      </c>
      <c r="L561" s="417">
        <v>-74.859133999999997</v>
      </c>
      <c r="M561" s="418">
        <v>30</v>
      </c>
      <c r="N561" s="418" t="s">
        <v>2310</v>
      </c>
      <c r="O561" s="418" t="s">
        <v>2953</v>
      </c>
      <c r="P561" s="415">
        <v>3</v>
      </c>
      <c r="Q561" s="415">
        <v>30</v>
      </c>
      <c r="R561" s="415">
        <v>5</v>
      </c>
      <c r="S561" s="415">
        <f t="shared" si="24"/>
        <v>5</v>
      </c>
      <c r="T561" s="419">
        <f t="shared" si="25"/>
        <v>0.83333333333333337</v>
      </c>
      <c r="U561" s="419">
        <f t="shared" si="26"/>
        <v>5.833333333333333</v>
      </c>
      <c r="V561" s="415" t="s">
        <v>662</v>
      </c>
      <c r="W561" s="415" t="s">
        <v>612</v>
      </c>
      <c r="X561" s="415" t="s">
        <v>671</v>
      </c>
      <c r="Y561" s="415"/>
    </row>
    <row r="562" spans="1:25" hidden="1" x14ac:dyDescent="0.25">
      <c r="A562" s="415">
        <v>561</v>
      </c>
      <c r="B562" s="415">
        <v>960</v>
      </c>
      <c r="C562" s="415">
        <v>78598</v>
      </c>
      <c r="D562" s="416" t="s">
        <v>921</v>
      </c>
      <c r="E562" s="416" t="s">
        <v>450</v>
      </c>
      <c r="F562" s="416" t="s">
        <v>454</v>
      </c>
      <c r="G562" s="416" t="s">
        <v>922</v>
      </c>
      <c r="H562" s="416" t="s">
        <v>923</v>
      </c>
      <c r="I562" s="416" t="s">
        <v>860</v>
      </c>
      <c r="J562" s="415" t="s">
        <v>661</v>
      </c>
      <c r="K562" s="417">
        <v>-13.527200000000001</v>
      </c>
      <c r="L562" s="417">
        <v>-74.607900000000001</v>
      </c>
      <c r="M562" s="418">
        <v>30</v>
      </c>
      <c r="N562" s="418" t="s">
        <v>2310</v>
      </c>
      <c r="O562" s="418" t="s">
        <v>2953</v>
      </c>
      <c r="P562" s="415">
        <v>3</v>
      </c>
      <c r="Q562" s="415">
        <v>30</v>
      </c>
      <c r="R562" s="415">
        <v>5</v>
      </c>
      <c r="S562" s="415">
        <f t="shared" si="24"/>
        <v>5</v>
      </c>
      <c r="T562" s="419">
        <f t="shared" si="25"/>
        <v>0.83333333333333337</v>
      </c>
      <c r="U562" s="419">
        <f t="shared" si="26"/>
        <v>5.833333333333333</v>
      </c>
      <c r="V562" s="415" t="s">
        <v>662</v>
      </c>
      <c r="W562" s="415" t="s">
        <v>612</v>
      </c>
      <c r="X562" s="415" t="s">
        <v>671</v>
      </c>
      <c r="Y562" s="415"/>
    </row>
    <row r="563" spans="1:25" hidden="1" x14ac:dyDescent="0.25">
      <c r="A563" s="415">
        <v>562</v>
      </c>
      <c r="B563" s="415">
        <v>961</v>
      </c>
      <c r="C563" s="415">
        <v>78640</v>
      </c>
      <c r="D563" s="416" t="s">
        <v>926</v>
      </c>
      <c r="E563" s="416" t="s">
        <v>450</v>
      </c>
      <c r="F563" s="416" t="s">
        <v>454</v>
      </c>
      <c r="G563" s="416" t="s">
        <v>922</v>
      </c>
      <c r="H563" s="416" t="s">
        <v>927</v>
      </c>
      <c r="I563" s="416" t="s">
        <v>860</v>
      </c>
      <c r="J563" s="415" t="s">
        <v>661</v>
      </c>
      <c r="K563" s="417">
        <v>-13.517300000000001</v>
      </c>
      <c r="L563" s="417">
        <v>-74.6554</v>
      </c>
      <c r="M563" s="418">
        <v>30</v>
      </c>
      <c r="N563" s="418" t="s">
        <v>2310</v>
      </c>
      <c r="O563" s="418" t="s">
        <v>2953</v>
      </c>
      <c r="P563" s="415">
        <v>3</v>
      </c>
      <c r="Q563" s="415">
        <v>30</v>
      </c>
      <c r="R563" s="415">
        <v>5</v>
      </c>
      <c r="S563" s="415">
        <f t="shared" si="24"/>
        <v>5</v>
      </c>
      <c r="T563" s="419">
        <f t="shared" si="25"/>
        <v>0.83333333333333337</v>
      </c>
      <c r="U563" s="419">
        <f t="shared" si="26"/>
        <v>5.833333333333333</v>
      </c>
      <c r="V563" s="415" t="s">
        <v>662</v>
      </c>
      <c r="W563" s="415" t="s">
        <v>612</v>
      </c>
      <c r="X563" s="415" t="s">
        <v>671</v>
      </c>
      <c r="Y563" s="415"/>
    </row>
    <row r="564" spans="1:25" hidden="1" x14ac:dyDescent="0.25">
      <c r="A564" s="415">
        <v>563</v>
      </c>
      <c r="B564" s="415">
        <v>962</v>
      </c>
      <c r="C564" s="415">
        <v>78621</v>
      </c>
      <c r="D564" s="416" t="s">
        <v>924</v>
      </c>
      <c r="E564" s="416" t="s">
        <v>450</v>
      </c>
      <c r="F564" s="416" t="s">
        <v>454</v>
      </c>
      <c r="G564" s="416" t="s">
        <v>922</v>
      </c>
      <c r="H564" s="416" t="s">
        <v>925</v>
      </c>
      <c r="I564" s="416" t="s">
        <v>860</v>
      </c>
      <c r="J564" s="415" t="s">
        <v>661</v>
      </c>
      <c r="K564" s="417">
        <v>-13.440597</v>
      </c>
      <c r="L564" s="417">
        <v>-74.796152000000006</v>
      </c>
      <c r="M564" s="418">
        <v>30</v>
      </c>
      <c r="N564" s="418" t="s">
        <v>2310</v>
      </c>
      <c r="O564" s="418" t="s">
        <v>2953</v>
      </c>
      <c r="P564" s="415">
        <v>3</v>
      </c>
      <c r="Q564" s="415">
        <v>30</v>
      </c>
      <c r="R564" s="415">
        <v>5</v>
      </c>
      <c r="S564" s="415">
        <f t="shared" si="24"/>
        <v>5</v>
      </c>
      <c r="T564" s="419">
        <f t="shared" si="25"/>
        <v>0.83333333333333337</v>
      </c>
      <c r="U564" s="419">
        <f t="shared" si="26"/>
        <v>5.833333333333333</v>
      </c>
      <c r="V564" s="415" t="s">
        <v>662</v>
      </c>
      <c r="W564" s="415" t="s">
        <v>612</v>
      </c>
      <c r="X564" s="415" t="s">
        <v>671</v>
      </c>
      <c r="Y564" s="415"/>
    </row>
    <row r="565" spans="1:25" hidden="1" x14ac:dyDescent="0.25">
      <c r="A565" s="415">
        <v>564</v>
      </c>
      <c r="B565" s="415">
        <v>963</v>
      </c>
      <c r="C565" s="415">
        <v>78560</v>
      </c>
      <c r="D565" s="416" t="s">
        <v>3016</v>
      </c>
      <c r="E565" s="416" t="s">
        <v>450</v>
      </c>
      <c r="F565" s="416" t="s">
        <v>454</v>
      </c>
      <c r="G565" s="416" t="s">
        <v>922</v>
      </c>
      <c r="H565" s="416" t="s">
        <v>3017</v>
      </c>
      <c r="I565" s="416" t="s">
        <v>860</v>
      </c>
      <c r="J565" s="415" t="s">
        <v>661</v>
      </c>
      <c r="K565" s="417">
        <v>-13.5573</v>
      </c>
      <c r="L565" s="417">
        <v>-74.732699999999994</v>
      </c>
      <c r="M565" s="418">
        <v>30</v>
      </c>
      <c r="N565" s="418" t="s">
        <v>2310</v>
      </c>
      <c r="O565" s="418" t="s">
        <v>2953</v>
      </c>
      <c r="P565" s="415">
        <v>3</v>
      </c>
      <c r="Q565" s="415">
        <v>30</v>
      </c>
      <c r="R565" s="415">
        <v>5</v>
      </c>
      <c r="S565" s="415">
        <f t="shared" si="24"/>
        <v>5</v>
      </c>
      <c r="T565" s="419">
        <f t="shared" si="25"/>
        <v>0.83333333333333337</v>
      </c>
      <c r="U565" s="419">
        <f t="shared" si="26"/>
        <v>5.833333333333333</v>
      </c>
      <c r="V565" s="415" t="s">
        <v>662</v>
      </c>
      <c r="W565" s="415" t="s">
        <v>612</v>
      </c>
      <c r="X565" s="415" t="s">
        <v>671</v>
      </c>
      <c r="Y565" s="415"/>
    </row>
    <row r="566" spans="1:25" hidden="1" x14ac:dyDescent="0.25">
      <c r="A566" s="415">
        <v>565</v>
      </c>
      <c r="B566" s="415">
        <v>964</v>
      </c>
      <c r="C566" s="415">
        <v>78904</v>
      </c>
      <c r="D566" s="416" t="s">
        <v>1007</v>
      </c>
      <c r="E566" s="416" t="s">
        <v>450</v>
      </c>
      <c r="F566" s="416" t="s">
        <v>454</v>
      </c>
      <c r="G566" s="416" t="s">
        <v>3018</v>
      </c>
      <c r="H566" s="416" t="s">
        <v>3019</v>
      </c>
      <c r="I566" s="416" t="s">
        <v>860</v>
      </c>
      <c r="J566" s="415" t="s">
        <v>661</v>
      </c>
      <c r="K566" s="417">
        <v>-13.579542999999999</v>
      </c>
      <c r="L566" s="417">
        <v>-74.469108000000006</v>
      </c>
      <c r="M566" s="418">
        <v>30</v>
      </c>
      <c r="N566" s="418" t="s">
        <v>2310</v>
      </c>
      <c r="O566" s="418" t="s">
        <v>2953</v>
      </c>
      <c r="P566" s="415">
        <v>3</v>
      </c>
      <c r="Q566" s="415">
        <v>30</v>
      </c>
      <c r="R566" s="415">
        <v>5</v>
      </c>
      <c r="S566" s="415">
        <f t="shared" si="24"/>
        <v>5</v>
      </c>
      <c r="T566" s="419">
        <f t="shared" si="25"/>
        <v>0.83333333333333337</v>
      </c>
      <c r="U566" s="419">
        <f t="shared" si="26"/>
        <v>5.833333333333333</v>
      </c>
      <c r="V566" s="415" t="s">
        <v>662</v>
      </c>
      <c r="W566" s="415" t="s">
        <v>612</v>
      </c>
      <c r="X566" s="415" t="s">
        <v>671</v>
      </c>
      <c r="Y566" s="415"/>
    </row>
    <row r="567" spans="1:25" hidden="1" x14ac:dyDescent="0.25">
      <c r="A567" s="415">
        <v>566</v>
      </c>
      <c r="B567" s="415">
        <v>965</v>
      </c>
      <c r="C567" s="415">
        <v>78796</v>
      </c>
      <c r="D567" s="416" t="s">
        <v>3020</v>
      </c>
      <c r="E567" s="416" t="s">
        <v>450</v>
      </c>
      <c r="F567" s="416" t="s">
        <v>454</v>
      </c>
      <c r="G567" s="416" t="s">
        <v>3018</v>
      </c>
      <c r="H567" s="416" t="s">
        <v>3021</v>
      </c>
      <c r="I567" s="416" t="s">
        <v>892</v>
      </c>
      <c r="J567" s="415" t="s">
        <v>661</v>
      </c>
      <c r="K567" s="417">
        <v>-13.569599999999999</v>
      </c>
      <c r="L567" s="417">
        <v>-74.523600000000002</v>
      </c>
      <c r="M567" s="418">
        <v>30</v>
      </c>
      <c r="N567" s="418" t="s">
        <v>2310</v>
      </c>
      <c r="O567" s="418" t="s">
        <v>2953</v>
      </c>
      <c r="P567" s="415">
        <v>3</v>
      </c>
      <c r="Q567" s="415">
        <v>30</v>
      </c>
      <c r="R567" s="415">
        <v>5</v>
      </c>
      <c r="S567" s="415">
        <f t="shared" si="24"/>
        <v>5</v>
      </c>
      <c r="T567" s="419">
        <f t="shared" si="25"/>
        <v>0.83333333333333337</v>
      </c>
      <c r="U567" s="419">
        <f t="shared" si="26"/>
        <v>5.833333333333333</v>
      </c>
      <c r="V567" s="415" t="s">
        <v>662</v>
      </c>
      <c r="W567" s="415" t="s">
        <v>612</v>
      </c>
      <c r="X567" s="415" t="s">
        <v>671</v>
      </c>
      <c r="Y567" s="415"/>
    </row>
    <row r="568" spans="1:25" hidden="1" x14ac:dyDescent="0.25">
      <c r="A568" s="415">
        <v>567</v>
      </c>
      <c r="B568" s="415">
        <v>966</v>
      </c>
      <c r="C568" s="415">
        <v>75038</v>
      </c>
      <c r="D568" s="416" t="s">
        <v>3022</v>
      </c>
      <c r="E568" s="416" t="s">
        <v>450</v>
      </c>
      <c r="F568" s="416" t="s">
        <v>453</v>
      </c>
      <c r="G568" s="416" t="s">
        <v>895</v>
      </c>
      <c r="H568" s="416" t="s">
        <v>912</v>
      </c>
      <c r="I568" s="416" t="s">
        <v>3023</v>
      </c>
      <c r="J568" s="415" t="s">
        <v>661</v>
      </c>
      <c r="K568" s="417">
        <v>-13.261837999999999</v>
      </c>
      <c r="L568" s="417">
        <v>-74.045748000000003</v>
      </c>
      <c r="M568" s="418">
        <v>30</v>
      </c>
      <c r="N568" s="418" t="s">
        <v>2310</v>
      </c>
      <c r="O568" s="418" t="s">
        <v>2953</v>
      </c>
      <c r="P568" s="415">
        <v>3</v>
      </c>
      <c r="Q568" s="415">
        <v>30</v>
      </c>
      <c r="R568" s="415">
        <v>5</v>
      </c>
      <c r="S568" s="415">
        <f t="shared" si="24"/>
        <v>5</v>
      </c>
      <c r="T568" s="419">
        <f t="shared" si="25"/>
        <v>0.83333333333333337</v>
      </c>
      <c r="U568" s="419">
        <f t="shared" si="26"/>
        <v>5.833333333333333</v>
      </c>
      <c r="V568" s="415" t="s">
        <v>662</v>
      </c>
      <c r="W568" s="415" t="s">
        <v>612</v>
      </c>
      <c r="X568" s="415" t="s">
        <v>671</v>
      </c>
      <c r="Y568" s="415"/>
    </row>
    <row r="569" spans="1:25" hidden="1" x14ac:dyDescent="0.25">
      <c r="A569" s="415">
        <v>568</v>
      </c>
      <c r="B569" s="415">
        <v>967</v>
      </c>
      <c r="C569" s="415">
        <v>75316</v>
      </c>
      <c r="D569" s="416" t="s">
        <v>3024</v>
      </c>
      <c r="E569" s="416" t="s">
        <v>450</v>
      </c>
      <c r="F569" s="416" t="s">
        <v>453</v>
      </c>
      <c r="G569" s="416" t="s">
        <v>897</v>
      </c>
      <c r="H569" s="416" t="s">
        <v>3025</v>
      </c>
      <c r="I569" s="416" t="s">
        <v>909</v>
      </c>
      <c r="J569" s="415" t="s">
        <v>661</v>
      </c>
      <c r="K569" s="417">
        <v>-13.185843</v>
      </c>
      <c r="L569" s="417">
        <v>-74.024786000000006</v>
      </c>
      <c r="M569" s="418">
        <v>30</v>
      </c>
      <c r="N569" s="418" t="s">
        <v>2310</v>
      </c>
      <c r="O569" s="418" t="s">
        <v>2953</v>
      </c>
      <c r="P569" s="415">
        <v>3</v>
      </c>
      <c r="Q569" s="415">
        <v>30</v>
      </c>
      <c r="R569" s="415">
        <v>5</v>
      </c>
      <c r="S569" s="415">
        <f t="shared" si="24"/>
        <v>5</v>
      </c>
      <c r="T569" s="419">
        <f t="shared" si="25"/>
        <v>0.83333333333333337</v>
      </c>
      <c r="U569" s="419">
        <f t="shared" si="26"/>
        <v>5.833333333333333</v>
      </c>
      <c r="V569" s="415" t="s">
        <v>662</v>
      </c>
      <c r="W569" s="415" t="s">
        <v>612</v>
      </c>
      <c r="X569" s="415" t="s">
        <v>671</v>
      </c>
      <c r="Y569" s="415"/>
    </row>
    <row r="570" spans="1:25" hidden="1" x14ac:dyDescent="0.25">
      <c r="A570" s="415">
        <v>569</v>
      </c>
      <c r="B570" s="415">
        <v>968</v>
      </c>
      <c r="C570" s="415">
        <v>75302</v>
      </c>
      <c r="D570" s="416" t="s">
        <v>896</v>
      </c>
      <c r="E570" s="416" t="s">
        <v>450</v>
      </c>
      <c r="F570" s="416" t="s">
        <v>453</v>
      </c>
      <c r="G570" s="416" t="s">
        <v>897</v>
      </c>
      <c r="H570" s="416" t="s">
        <v>898</v>
      </c>
      <c r="I570" s="416" t="s">
        <v>899</v>
      </c>
      <c r="J570" s="415" t="s">
        <v>661</v>
      </c>
      <c r="K570" s="417">
        <v>-13.162986999999999</v>
      </c>
      <c r="L570" s="417">
        <v>-74.063675000000003</v>
      </c>
      <c r="M570" s="418">
        <v>30</v>
      </c>
      <c r="N570" s="418" t="s">
        <v>2310</v>
      </c>
      <c r="O570" s="418" t="s">
        <v>2953</v>
      </c>
      <c r="P570" s="415">
        <v>3</v>
      </c>
      <c r="Q570" s="415">
        <v>30</v>
      </c>
      <c r="R570" s="415">
        <v>5</v>
      </c>
      <c r="S570" s="415">
        <f t="shared" si="24"/>
        <v>5</v>
      </c>
      <c r="T570" s="419">
        <f t="shared" si="25"/>
        <v>0.83333333333333337</v>
      </c>
      <c r="U570" s="419">
        <f t="shared" si="26"/>
        <v>5.833333333333333</v>
      </c>
      <c r="V570" s="415" t="s">
        <v>662</v>
      </c>
      <c r="W570" s="415" t="s">
        <v>612</v>
      </c>
      <c r="X570" s="415" t="s">
        <v>671</v>
      </c>
      <c r="Y570" s="415"/>
    </row>
    <row r="571" spans="1:25" hidden="1" x14ac:dyDescent="0.25">
      <c r="A571" s="415">
        <v>570</v>
      </c>
      <c r="B571" s="415">
        <v>969</v>
      </c>
      <c r="C571" s="415">
        <v>74406</v>
      </c>
      <c r="D571" s="416" t="s">
        <v>3026</v>
      </c>
      <c r="E571" s="416" t="s">
        <v>450</v>
      </c>
      <c r="F571" s="416" t="s">
        <v>453</v>
      </c>
      <c r="G571" s="416" t="s">
        <v>3027</v>
      </c>
      <c r="H571" s="416" t="s">
        <v>3028</v>
      </c>
      <c r="I571" s="416" t="s">
        <v>3029</v>
      </c>
      <c r="J571" s="415" t="s">
        <v>747</v>
      </c>
      <c r="K571" s="417">
        <v>-13.16319</v>
      </c>
      <c r="L571" s="417">
        <v>-74.217389999999995</v>
      </c>
      <c r="M571" s="418">
        <v>30</v>
      </c>
      <c r="N571" s="418" t="s">
        <v>2310</v>
      </c>
      <c r="O571" s="418" t="s">
        <v>2953</v>
      </c>
      <c r="P571" s="415">
        <v>3</v>
      </c>
      <c r="Q571" s="415">
        <v>30</v>
      </c>
      <c r="R571" s="415">
        <v>5</v>
      </c>
      <c r="S571" s="415">
        <f t="shared" si="24"/>
        <v>5</v>
      </c>
      <c r="T571" s="419">
        <f t="shared" si="25"/>
        <v>0.83333333333333337</v>
      </c>
      <c r="U571" s="419">
        <f t="shared" si="26"/>
        <v>5.833333333333333</v>
      </c>
      <c r="V571" s="415" t="s">
        <v>662</v>
      </c>
      <c r="W571" s="415" t="s">
        <v>612</v>
      </c>
      <c r="X571" s="415" t="s">
        <v>671</v>
      </c>
      <c r="Y571" s="415"/>
    </row>
    <row r="572" spans="1:25" hidden="1" x14ac:dyDescent="0.25">
      <c r="A572" s="415">
        <v>571</v>
      </c>
      <c r="B572" s="415">
        <v>970</v>
      </c>
      <c r="C572" s="415">
        <v>74350</v>
      </c>
      <c r="D572" s="416" t="s">
        <v>1931</v>
      </c>
      <c r="E572" s="416" t="s">
        <v>450</v>
      </c>
      <c r="F572" s="416" t="s">
        <v>453</v>
      </c>
      <c r="G572" s="416" t="s">
        <v>3027</v>
      </c>
      <c r="H572" s="416" t="s">
        <v>3030</v>
      </c>
      <c r="I572" s="416" t="s">
        <v>3031</v>
      </c>
      <c r="J572" s="415" t="s">
        <v>747</v>
      </c>
      <c r="K572" s="417">
        <v>-13.16197</v>
      </c>
      <c r="L572" s="417">
        <v>-74.210880000000003</v>
      </c>
      <c r="M572" s="418">
        <v>30</v>
      </c>
      <c r="N572" s="418" t="s">
        <v>2310</v>
      </c>
      <c r="O572" s="418" t="s">
        <v>2953</v>
      </c>
      <c r="P572" s="415">
        <v>3</v>
      </c>
      <c r="Q572" s="415">
        <v>30</v>
      </c>
      <c r="R572" s="415">
        <v>5</v>
      </c>
      <c r="S572" s="415">
        <f t="shared" si="24"/>
        <v>5</v>
      </c>
      <c r="T572" s="419">
        <f t="shared" si="25"/>
        <v>0.83333333333333337</v>
      </c>
      <c r="U572" s="419">
        <f t="shared" si="26"/>
        <v>5.833333333333333</v>
      </c>
      <c r="V572" s="415" t="s">
        <v>662</v>
      </c>
      <c r="W572" s="415" t="s">
        <v>612</v>
      </c>
      <c r="X572" s="415" t="s">
        <v>671</v>
      </c>
      <c r="Y572" s="415"/>
    </row>
    <row r="573" spans="1:25" hidden="1" x14ac:dyDescent="0.25">
      <c r="A573" s="415">
        <v>572</v>
      </c>
      <c r="B573" s="415">
        <v>971</v>
      </c>
      <c r="C573" s="415">
        <v>74326</v>
      </c>
      <c r="D573" s="416" t="s">
        <v>3032</v>
      </c>
      <c r="E573" s="416" t="s">
        <v>450</v>
      </c>
      <c r="F573" s="416" t="s">
        <v>453</v>
      </c>
      <c r="G573" s="416" t="s">
        <v>3027</v>
      </c>
      <c r="H573" s="416" t="s">
        <v>1219</v>
      </c>
      <c r="I573" s="416" t="s">
        <v>3033</v>
      </c>
      <c r="J573" s="415" t="s">
        <v>747</v>
      </c>
      <c r="K573" s="417">
        <v>-13.1707</v>
      </c>
      <c r="L573" s="417">
        <v>-74.198406000000006</v>
      </c>
      <c r="M573" s="418">
        <v>30</v>
      </c>
      <c r="N573" s="418" t="s">
        <v>2310</v>
      </c>
      <c r="O573" s="418" t="s">
        <v>2953</v>
      </c>
      <c r="P573" s="415">
        <v>3</v>
      </c>
      <c r="Q573" s="415">
        <v>30</v>
      </c>
      <c r="R573" s="415">
        <v>5</v>
      </c>
      <c r="S573" s="415">
        <f t="shared" si="24"/>
        <v>5</v>
      </c>
      <c r="T573" s="419">
        <f t="shared" si="25"/>
        <v>0.83333333333333337</v>
      </c>
      <c r="U573" s="419">
        <f t="shared" si="26"/>
        <v>5.833333333333333</v>
      </c>
      <c r="V573" s="415" t="s">
        <v>662</v>
      </c>
      <c r="W573" s="415" t="s">
        <v>612</v>
      </c>
      <c r="X573" s="415" t="s">
        <v>671</v>
      </c>
      <c r="Y573" s="415"/>
    </row>
    <row r="574" spans="1:25" hidden="1" x14ac:dyDescent="0.25">
      <c r="A574" s="415">
        <v>573</v>
      </c>
      <c r="B574" s="415">
        <v>972</v>
      </c>
      <c r="C574" s="415">
        <v>74294</v>
      </c>
      <c r="D574" s="416" t="s">
        <v>3034</v>
      </c>
      <c r="E574" s="416" t="s">
        <v>450</v>
      </c>
      <c r="F574" s="416" t="s">
        <v>453</v>
      </c>
      <c r="G574" s="416" t="s">
        <v>450</v>
      </c>
      <c r="H574" s="416" t="s">
        <v>3035</v>
      </c>
      <c r="I574" s="416" t="s">
        <v>3035</v>
      </c>
      <c r="J574" s="415" t="s">
        <v>747</v>
      </c>
      <c r="K574" s="417">
        <v>-13.15366</v>
      </c>
      <c r="L574" s="417">
        <v>-74.231470000000002</v>
      </c>
      <c r="M574" s="418">
        <v>30</v>
      </c>
      <c r="N574" s="418" t="s">
        <v>2310</v>
      </c>
      <c r="O574" s="418" t="s">
        <v>2953</v>
      </c>
      <c r="P574" s="415">
        <v>3</v>
      </c>
      <c r="Q574" s="415">
        <v>30</v>
      </c>
      <c r="R574" s="415">
        <v>5</v>
      </c>
      <c r="S574" s="415">
        <f t="shared" si="24"/>
        <v>5</v>
      </c>
      <c r="T574" s="419">
        <f t="shared" si="25"/>
        <v>0.83333333333333337</v>
      </c>
      <c r="U574" s="419">
        <f t="shared" si="26"/>
        <v>5.833333333333333</v>
      </c>
      <c r="V574" s="415" t="s">
        <v>662</v>
      </c>
      <c r="W574" s="415" t="s">
        <v>612</v>
      </c>
      <c r="X574" s="415" t="s">
        <v>671</v>
      </c>
      <c r="Y574" s="415"/>
    </row>
    <row r="575" spans="1:25" hidden="1" x14ac:dyDescent="0.25">
      <c r="A575" s="415">
        <v>574</v>
      </c>
      <c r="B575" s="415">
        <v>973</v>
      </c>
      <c r="C575" s="415">
        <v>73968</v>
      </c>
      <c r="D575" s="416" t="s">
        <v>3036</v>
      </c>
      <c r="E575" s="416" t="s">
        <v>450</v>
      </c>
      <c r="F575" s="416" t="s">
        <v>453</v>
      </c>
      <c r="G575" s="416" t="s">
        <v>450</v>
      </c>
      <c r="H575" s="416" t="s">
        <v>450</v>
      </c>
      <c r="I575" s="416" t="s">
        <v>3037</v>
      </c>
      <c r="J575" s="415" t="s">
        <v>747</v>
      </c>
      <c r="K575" s="417">
        <v>-13.149660000000001</v>
      </c>
      <c r="L575" s="417">
        <v>-74.218100000000007</v>
      </c>
      <c r="M575" s="418">
        <v>30</v>
      </c>
      <c r="N575" s="418" t="s">
        <v>2310</v>
      </c>
      <c r="O575" s="418" t="s">
        <v>2953</v>
      </c>
      <c r="P575" s="415">
        <v>3</v>
      </c>
      <c r="Q575" s="415">
        <v>30</v>
      </c>
      <c r="R575" s="415">
        <v>5</v>
      </c>
      <c r="S575" s="415">
        <f t="shared" si="24"/>
        <v>5</v>
      </c>
      <c r="T575" s="419">
        <f t="shared" si="25"/>
        <v>0.83333333333333337</v>
      </c>
      <c r="U575" s="419">
        <f t="shared" si="26"/>
        <v>5.833333333333333</v>
      </c>
      <c r="V575" s="415" t="s">
        <v>662</v>
      </c>
      <c r="W575" s="415" t="s">
        <v>612</v>
      </c>
      <c r="X575" s="415" t="s">
        <v>671</v>
      </c>
      <c r="Y575" s="415"/>
    </row>
    <row r="576" spans="1:25" hidden="1" x14ac:dyDescent="0.25">
      <c r="A576" s="415">
        <v>575</v>
      </c>
      <c r="B576" s="415">
        <v>974</v>
      </c>
      <c r="C576" s="415">
        <v>74147</v>
      </c>
      <c r="D576" s="416" t="s">
        <v>587</v>
      </c>
      <c r="E576" s="416" t="s">
        <v>450</v>
      </c>
      <c r="F576" s="416" t="s">
        <v>453</v>
      </c>
      <c r="G576" s="416" t="s">
        <v>450</v>
      </c>
      <c r="H576" s="416" t="s">
        <v>450</v>
      </c>
      <c r="I576" s="416" t="s">
        <v>3038</v>
      </c>
      <c r="J576" s="415" t="s">
        <v>747</v>
      </c>
      <c r="K576" s="417">
        <v>-13.150309999999999</v>
      </c>
      <c r="L576" s="417">
        <v>-74.223240000000004</v>
      </c>
      <c r="M576" s="418">
        <v>30</v>
      </c>
      <c r="N576" s="418" t="s">
        <v>2310</v>
      </c>
      <c r="O576" s="418" t="s">
        <v>2953</v>
      </c>
      <c r="P576" s="415">
        <v>3</v>
      </c>
      <c r="Q576" s="415">
        <v>30</v>
      </c>
      <c r="R576" s="415">
        <v>5</v>
      </c>
      <c r="S576" s="415">
        <f t="shared" si="24"/>
        <v>5</v>
      </c>
      <c r="T576" s="419">
        <f t="shared" si="25"/>
        <v>0.83333333333333337</v>
      </c>
      <c r="U576" s="419">
        <f t="shared" si="26"/>
        <v>5.833333333333333</v>
      </c>
      <c r="V576" s="415" t="s">
        <v>662</v>
      </c>
      <c r="W576" s="415" t="s">
        <v>612</v>
      </c>
      <c r="X576" s="415" t="s">
        <v>671</v>
      </c>
      <c r="Y576" s="415"/>
    </row>
    <row r="577" spans="1:25" hidden="1" x14ac:dyDescent="0.25">
      <c r="A577" s="415">
        <v>576</v>
      </c>
      <c r="B577" s="415">
        <v>975</v>
      </c>
      <c r="C577" s="415">
        <v>74166</v>
      </c>
      <c r="D577" s="416" t="s">
        <v>3039</v>
      </c>
      <c r="E577" s="416" t="s">
        <v>450</v>
      </c>
      <c r="F577" s="416" t="s">
        <v>453</v>
      </c>
      <c r="G577" s="416" t="s">
        <v>450</v>
      </c>
      <c r="H577" s="416" t="s">
        <v>450</v>
      </c>
      <c r="I577" s="416" t="s">
        <v>3040</v>
      </c>
      <c r="J577" s="415" t="s">
        <v>747</v>
      </c>
      <c r="K577" s="417">
        <v>-13.15254</v>
      </c>
      <c r="L577" s="417">
        <v>-74.225610000000003</v>
      </c>
      <c r="M577" s="418">
        <v>30</v>
      </c>
      <c r="N577" s="418" t="s">
        <v>2310</v>
      </c>
      <c r="O577" s="418" t="s">
        <v>2953</v>
      </c>
      <c r="P577" s="415">
        <v>3</v>
      </c>
      <c r="Q577" s="415">
        <v>30</v>
      </c>
      <c r="R577" s="415">
        <v>5</v>
      </c>
      <c r="S577" s="415">
        <f t="shared" si="24"/>
        <v>5</v>
      </c>
      <c r="T577" s="419">
        <f t="shared" si="25"/>
        <v>0.83333333333333337</v>
      </c>
      <c r="U577" s="419">
        <f t="shared" si="26"/>
        <v>5.833333333333333</v>
      </c>
      <c r="V577" s="415" t="s">
        <v>662</v>
      </c>
      <c r="W577" s="415" t="s">
        <v>612</v>
      </c>
      <c r="X577" s="415" t="s">
        <v>671</v>
      </c>
      <c r="Y577" s="415"/>
    </row>
    <row r="578" spans="1:25" hidden="1" x14ac:dyDescent="0.25">
      <c r="A578" s="415">
        <v>577</v>
      </c>
      <c r="B578" s="415">
        <v>976</v>
      </c>
      <c r="C578" s="415">
        <v>74208</v>
      </c>
      <c r="D578" s="416" t="s">
        <v>3041</v>
      </c>
      <c r="E578" s="416" t="s">
        <v>450</v>
      </c>
      <c r="F578" s="416" t="s">
        <v>453</v>
      </c>
      <c r="G578" s="416" t="s">
        <v>450</v>
      </c>
      <c r="H578" s="416" t="s">
        <v>450</v>
      </c>
      <c r="I578" s="416" t="s">
        <v>3042</v>
      </c>
      <c r="J578" s="415" t="s">
        <v>747</v>
      </c>
      <c r="K578" s="417">
        <v>-13.157249999999999</v>
      </c>
      <c r="L578" s="417">
        <v>-74.230760000000004</v>
      </c>
      <c r="M578" s="418">
        <v>30</v>
      </c>
      <c r="N578" s="418" t="s">
        <v>2310</v>
      </c>
      <c r="O578" s="418" t="s">
        <v>2953</v>
      </c>
      <c r="P578" s="415">
        <v>3</v>
      </c>
      <c r="Q578" s="415">
        <v>30</v>
      </c>
      <c r="R578" s="415">
        <v>5</v>
      </c>
      <c r="S578" s="415">
        <f t="shared" si="24"/>
        <v>5</v>
      </c>
      <c r="T578" s="419">
        <f t="shared" si="25"/>
        <v>0.83333333333333337</v>
      </c>
      <c r="U578" s="419">
        <f t="shared" si="26"/>
        <v>5.833333333333333</v>
      </c>
      <c r="V578" s="415" t="s">
        <v>662</v>
      </c>
      <c r="W578" s="415" t="s">
        <v>612</v>
      </c>
      <c r="X578" s="415" t="s">
        <v>671</v>
      </c>
      <c r="Y578" s="415"/>
    </row>
    <row r="579" spans="1:25" hidden="1" x14ac:dyDescent="0.25">
      <c r="A579" s="415">
        <v>578</v>
      </c>
      <c r="B579" s="415">
        <v>977</v>
      </c>
      <c r="C579" s="415">
        <v>74227</v>
      </c>
      <c r="D579" s="416" t="s">
        <v>3043</v>
      </c>
      <c r="E579" s="416" t="s">
        <v>450</v>
      </c>
      <c r="F579" s="416" t="s">
        <v>453</v>
      </c>
      <c r="G579" s="416" t="s">
        <v>450</v>
      </c>
      <c r="H579" s="416" t="s">
        <v>450</v>
      </c>
      <c r="I579" s="416" t="s">
        <v>3044</v>
      </c>
      <c r="J579" s="415" t="s">
        <v>747</v>
      </c>
      <c r="K579" s="417">
        <v>-13.16038</v>
      </c>
      <c r="L579" s="417">
        <v>-74.227699999999999</v>
      </c>
      <c r="M579" s="418">
        <v>30</v>
      </c>
      <c r="N579" s="418" t="s">
        <v>2310</v>
      </c>
      <c r="O579" s="418" t="s">
        <v>2953</v>
      </c>
      <c r="P579" s="415">
        <v>3</v>
      </c>
      <c r="Q579" s="415">
        <v>30</v>
      </c>
      <c r="R579" s="415">
        <v>5</v>
      </c>
      <c r="S579" s="415">
        <f t="shared" ref="S579:S642" si="27">Q579/$AB$1</f>
        <v>5</v>
      </c>
      <c r="T579" s="419">
        <f t="shared" ref="T579:T642" si="28">R579/$AB$1</f>
        <v>0.83333333333333337</v>
      </c>
      <c r="U579" s="419">
        <f t="shared" ref="U579:U642" si="29">S579+T579</f>
        <v>5.833333333333333</v>
      </c>
      <c r="V579" s="415" t="s">
        <v>662</v>
      </c>
      <c r="W579" s="415" t="s">
        <v>612</v>
      </c>
      <c r="X579" s="415" t="s">
        <v>671</v>
      </c>
      <c r="Y579" s="415"/>
    </row>
    <row r="580" spans="1:25" hidden="1" x14ac:dyDescent="0.25">
      <c r="A580" s="415">
        <v>579</v>
      </c>
      <c r="B580" s="415">
        <v>978</v>
      </c>
      <c r="C580" s="415">
        <v>74265</v>
      </c>
      <c r="D580" s="416" t="s">
        <v>3045</v>
      </c>
      <c r="E580" s="416" t="s">
        <v>450</v>
      </c>
      <c r="F580" s="416" t="s">
        <v>453</v>
      </c>
      <c r="G580" s="416" t="s">
        <v>450</v>
      </c>
      <c r="H580" s="416" t="s">
        <v>450</v>
      </c>
      <c r="I580" s="416" t="s">
        <v>3046</v>
      </c>
      <c r="J580" s="415" t="s">
        <v>747</v>
      </c>
      <c r="K580" s="417">
        <v>-13.15826</v>
      </c>
      <c r="L580" s="417">
        <v>-74.234999999999999</v>
      </c>
      <c r="M580" s="418">
        <v>30</v>
      </c>
      <c r="N580" s="418" t="s">
        <v>2310</v>
      </c>
      <c r="O580" s="418" t="s">
        <v>2953</v>
      </c>
      <c r="P580" s="415">
        <v>3</v>
      </c>
      <c r="Q580" s="415">
        <v>30</v>
      </c>
      <c r="R580" s="415">
        <v>5</v>
      </c>
      <c r="S580" s="415">
        <f t="shared" si="27"/>
        <v>5</v>
      </c>
      <c r="T580" s="419">
        <f t="shared" si="28"/>
        <v>0.83333333333333337</v>
      </c>
      <c r="U580" s="419">
        <f t="shared" si="29"/>
        <v>5.833333333333333</v>
      </c>
      <c r="V580" s="415" t="s">
        <v>662</v>
      </c>
      <c r="W580" s="415" t="s">
        <v>612</v>
      </c>
      <c r="X580" s="415" t="s">
        <v>671</v>
      </c>
      <c r="Y580" s="415"/>
    </row>
    <row r="581" spans="1:25" hidden="1" x14ac:dyDescent="0.25">
      <c r="A581" s="415">
        <v>580</v>
      </c>
      <c r="B581" s="415">
        <v>979</v>
      </c>
      <c r="C581" s="415">
        <v>74289</v>
      </c>
      <c r="D581" s="416" t="s">
        <v>3047</v>
      </c>
      <c r="E581" s="416" t="s">
        <v>450</v>
      </c>
      <c r="F581" s="416" t="s">
        <v>453</v>
      </c>
      <c r="G581" s="416" t="s">
        <v>450</v>
      </c>
      <c r="H581" s="416" t="s">
        <v>450</v>
      </c>
      <c r="I581" s="416" t="s">
        <v>3048</v>
      </c>
      <c r="J581" s="415" t="s">
        <v>747</v>
      </c>
      <c r="K581" s="417">
        <v>-13.159269999999999</v>
      </c>
      <c r="L581" s="417">
        <v>-74.228380000000001</v>
      </c>
      <c r="M581" s="418">
        <v>30</v>
      </c>
      <c r="N581" s="418" t="s">
        <v>2310</v>
      </c>
      <c r="O581" s="418" t="s">
        <v>2953</v>
      </c>
      <c r="P581" s="415">
        <v>3</v>
      </c>
      <c r="Q581" s="415">
        <v>30</v>
      </c>
      <c r="R581" s="415">
        <v>5</v>
      </c>
      <c r="S581" s="415">
        <f t="shared" si="27"/>
        <v>5</v>
      </c>
      <c r="T581" s="419">
        <f t="shared" si="28"/>
        <v>0.83333333333333337</v>
      </c>
      <c r="U581" s="419">
        <f t="shared" si="29"/>
        <v>5.833333333333333</v>
      </c>
      <c r="V581" s="415" t="s">
        <v>662</v>
      </c>
      <c r="W581" s="415" t="s">
        <v>612</v>
      </c>
      <c r="X581" s="415" t="s">
        <v>671</v>
      </c>
      <c r="Y581" s="415"/>
    </row>
    <row r="582" spans="1:25" hidden="1" x14ac:dyDescent="0.25">
      <c r="A582" s="415">
        <v>581</v>
      </c>
      <c r="B582" s="415">
        <v>980</v>
      </c>
      <c r="C582" s="415">
        <v>74312</v>
      </c>
      <c r="D582" s="416" t="s">
        <v>3049</v>
      </c>
      <c r="E582" s="416" t="s">
        <v>450</v>
      </c>
      <c r="F582" s="416" t="s">
        <v>453</v>
      </c>
      <c r="G582" s="416" t="s">
        <v>450</v>
      </c>
      <c r="H582" s="416" t="s">
        <v>450</v>
      </c>
      <c r="I582" s="416" t="s">
        <v>3050</v>
      </c>
      <c r="J582" s="415" t="s">
        <v>747</v>
      </c>
      <c r="K582" s="417">
        <v>-13.16113</v>
      </c>
      <c r="L582" s="417">
        <v>-74.231570000000005</v>
      </c>
      <c r="M582" s="418">
        <v>30</v>
      </c>
      <c r="N582" s="418" t="s">
        <v>2310</v>
      </c>
      <c r="O582" s="418" t="s">
        <v>2953</v>
      </c>
      <c r="P582" s="415">
        <v>3</v>
      </c>
      <c r="Q582" s="415">
        <v>30</v>
      </c>
      <c r="R582" s="415">
        <v>5</v>
      </c>
      <c r="S582" s="415">
        <f t="shared" si="27"/>
        <v>5</v>
      </c>
      <c r="T582" s="419">
        <f t="shared" si="28"/>
        <v>0.83333333333333337</v>
      </c>
      <c r="U582" s="419">
        <f t="shared" si="29"/>
        <v>5.833333333333333</v>
      </c>
      <c r="V582" s="415" t="s">
        <v>662</v>
      </c>
      <c r="W582" s="415" t="s">
        <v>612</v>
      </c>
      <c r="X582" s="415" t="s">
        <v>671</v>
      </c>
      <c r="Y582" s="415"/>
    </row>
    <row r="583" spans="1:25" hidden="1" x14ac:dyDescent="0.25">
      <c r="A583" s="415">
        <v>582</v>
      </c>
      <c r="B583" s="415">
        <v>981</v>
      </c>
      <c r="C583" s="415">
        <v>74388</v>
      </c>
      <c r="D583" s="416" t="s">
        <v>2147</v>
      </c>
      <c r="E583" s="416" t="s">
        <v>450</v>
      </c>
      <c r="F583" s="416" t="s">
        <v>453</v>
      </c>
      <c r="G583" s="416" t="s">
        <v>450</v>
      </c>
      <c r="H583" s="416" t="s">
        <v>450</v>
      </c>
      <c r="I583" s="416" t="s">
        <v>3051</v>
      </c>
      <c r="J583" s="415" t="s">
        <v>747</v>
      </c>
      <c r="K583" s="417">
        <v>-13.17085</v>
      </c>
      <c r="L583" s="417">
        <v>-74.227649999999997</v>
      </c>
      <c r="M583" s="418">
        <v>30</v>
      </c>
      <c r="N583" s="418" t="s">
        <v>2310</v>
      </c>
      <c r="O583" s="418" t="s">
        <v>2953</v>
      </c>
      <c r="P583" s="415">
        <v>3</v>
      </c>
      <c r="Q583" s="415">
        <v>30</v>
      </c>
      <c r="R583" s="415">
        <v>5</v>
      </c>
      <c r="S583" s="415">
        <f t="shared" si="27"/>
        <v>5</v>
      </c>
      <c r="T583" s="419">
        <f t="shared" si="28"/>
        <v>0.83333333333333337</v>
      </c>
      <c r="U583" s="419">
        <f t="shared" si="29"/>
        <v>5.833333333333333</v>
      </c>
      <c r="V583" s="415" t="s">
        <v>662</v>
      </c>
      <c r="W583" s="415" t="s">
        <v>612</v>
      </c>
      <c r="X583" s="415" t="s">
        <v>671</v>
      </c>
      <c r="Y583" s="415"/>
    </row>
    <row r="584" spans="1:25" hidden="1" x14ac:dyDescent="0.25">
      <c r="A584" s="415">
        <v>583</v>
      </c>
      <c r="B584" s="415">
        <v>982</v>
      </c>
      <c r="C584" s="415">
        <v>74425</v>
      </c>
      <c r="D584" s="416" t="s">
        <v>3052</v>
      </c>
      <c r="E584" s="416" t="s">
        <v>450</v>
      </c>
      <c r="F584" s="416" t="s">
        <v>453</v>
      </c>
      <c r="G584" s="416" t="s">
        <v>450</v>
      </c>
      <c r="H584" s="416" t="s">
        <v>3053</v>
      </c>
      <c r="I584" s="416" t="s">
        <v>3054</v>
      </c>
      <c r="J584" s="415" t="s">
        <v>747</v>
      </c>
      <c r="K584" s="417">
        <v>-13.151562</v>
      </c>
      <c r="L584" s="417">
        <v>-74.231802000000002</v>
      </c>
      <c r="M584" s="418">
        <v>30</v>
      </c>
      <c r="N584" s="418" t="s">
        <v>2310</v>
      </c>
      <c r="O584" s="418" t="s">
        <v>2953</v>
      </c>
      <c r="P584" s="415">
        <v>3</v>
      </c>
      <c r="Q584" s="415">
        <v>30</v>
      </c>
      <c r="R584" s="415">
        <v>5</v>
      </c>
      <c r="S584" s="415">
        <f t="shared" si="27"/>
        <v>5</v>
      </c>
      <c r="T584" s="419">
        <f t="shared" si="28"/>
        <v>0.83333333333333337</v>
      </c>
      <c r="U584" s="419">
        <f t="shared" si="29"/>
        <v>5.833333333333333</v>
      </c>
      <c r="V584" s="415" t="s">
        <v>662</v>
      </c>
      <c r="W584" s="415" t="s">
        <v>612</v>
      </c>
      <c r="X584" s="415" t="s">
        <v>671</v>
      </c>
      <c r="Y584" s="415"/>
    </row>
    <row r="585" spans="1:25" hidden="1" x14ac:dyDescent="0.25">
      <c r="A585" s="415">
        <v>584</v>
      </c>
      <c r="B585" s="415">
        <v>983</v>
      </c>
      <c r="C585" s="415">
        <v>74246</v>
      </c>
      <c r="D585" s="416" t="s">
        <v>3055</v>
      </c>
      <c r="E585" s="416" t="s">
        <v>450</v>
      </c>
      <c r="F585" s="416" t="s">
        <v>453</v>
      </c>
      <c r="G585" s="416" t="s">
        <v>450</v>
      </c>
      <c r="H585" s="416" t="s">
        <v>1824</v>
      </c>
      <c r="I585" s="416" t="s">
        <v>3056</v>
      </c>
      <c r="J585" s="415" t="s">
        <v>747</v>
      </c>
      <c r="K585" s="417">
        <v>-13.16403</v>
      </c>
      <c r="L585" s="417">
        <v>-74.233800000000002</v>
      </c>
      <c r="M585" s="418">
        <v>30</v>
      </c>
      <c r="N585" s="418" t="s">
        <v>2310</v>
      </c>
      <c r="O585" s="418" t="s">
        <v>2953</v>
      </c>
      <c r="P585" s="415">
        <v>3</v>
      </c>
      <c r="Q585" s="415">
        <v>30</v>
      </c>
      <c r="R585" s="415">
        <v>5</v>
      </c>
      <c r="S585" s="415">
        <f t="shared" si="27"/>
        <v>5</v>
      </c>
      <c r="T585" s="419">
        <f t="shared" si="28"/>
        <v>0.83333333333333337</v>
      </c>
      <c r="U585" s="419">
        <f t="shared" si="29"/>
        <v>5.833333333333333</v>
      </c>
      <c r="V585" s="415" t="s">
        <v>662</v>
      </c>
      <c r="W585" s="415" t="s">
        <v>612</v>
      </c>
      <c r="X585" s="415" t="s">
        <v>671</v>
      </c>
      <c r="Y585" s="415"/>
    </row>
    <row r="586" spans="1:25" hidden="1" x14ac:dyDescent="0.25">
      <c r="A586" s="415">
        <v>585</v>
      </c>
      <c r="B586" s="415">
        <v>984</v>
      </c>
      <c r="C586" s="415">
        <v>74369</v>
      </c>
      <c r="D586" s="416" t="s">
        <v>893</v>
      </c>
      <c r="E586" s="416" t="s">
        <v>450</v>
      </c>
      <c r="F586" s="416" t="s">
        <v>453</v>
      </c>
      <c r="G586" s="416" t="s">
        <v>450</v>
      </c>
      <c r="H586" s="416" t="s">
        <v>894</v>
      </c>
      <c r="I586" s="416" t="s">
        <v>860</v>
      </c>
      <c r="J586" s="415" t="s">
        <v>661</v>
      </c>
      <c r="K586" s="417">
        <v>-13.130699999999999</v>
      </c>
      <c r="L586" s="417">
        <v>-74.252600000000001</v>
      </c>
      <c r="M586" s="418">
        <v>30</v>
      </c>
      <c r="N586" s="418" t="s">
        <v>2310</v>
      </c>
      <c r="O586" s="418" t="s">
        <v>2953</v>
      </c>
      <c r="P586" s="415">
        <v>3</v>
      </c>
      <c r="Q586" s="415">
        <v>30</v>
      </c>
      <c r="R586" s="415">
        <v>5</v>
      </c>
      <c r="S586" s="415">
        <f t="shared" si="27"/>
        <v>5</v>
      </c>
      <c r="T586" s="419">
        <f t="shared" si="28"/>
        <v>0.83333333333333337</v>
      </c>
      <c r="U586" s="419">
        <f t="shared" si="29"/>
        <v>5.833333333333333</v>
      </c>
      <c r="V586" s="415" t="s">
        <v>662</v>
      </c>
      <c r="W586" s="415" t="s">
        <v>612</v>
      </c>
      <c r="X586" s="415" t="s">
        <v>671</v>
      </c>
      <c r="Y586" s="415"/>
    </row>
    <row r="587" spans="1:25" hidden="1" x14ac:dyDescent="0.25">
      <c r="A587" s="415">
        <v>586</v>
      </c>
      <c r="B587" s="415">
        <v>985</v>
      </c>
      <c r="C587" s="415">
        <v>74331</v>
      </c>
      <c r="D587" s="416" t="s">
        <v>1963</v>
      </c>
      <c r="E587" s="416" t="s">
        <v>450</v>
      </c>
      <c r="F587" s="416" t="s">
        <v>453</v>
      </c>
      <c r="G587" s="416" t="s">
        <v>450</v>
      </c>
      <c r="H587" s="416" t="s">
        <v>3057</v>
      </c>
      <c r="I587" s="416" t="s">
        <v>860</v>
      </c>
      <c r="J587" s="415" t="s">
        <v>661</v>
      </c>
      <c r="K587" s="417">
        <v>-13.164979000000001</v>
      </c>
      <c r="L587" s="417">
        <v>-74.249260000000007</v>
      </c>
      <c r="M587" s="418">
        <v>30</v>
      </c>
      <c r="N587" s="418" t="s">
        <v>2310</v>
      </c>
      <c r="O587" s="418" t="s">
        <v>2953</v>
      </c>
      <c r="P587" s="415">
        <v>3</v>
      </c>
      <c r="Q587" s="415">
        <v>30</v>
      </c>
      <c r="R587" s="415">
        <v>5</v>
      </c>
      <c r="S587" s="415">
        <f t="shared" si="27"/>
        <v>5</v>
      </c>
      <c r="T587" s="419">
        <f t="shared" si="28"/>
        <v>0.83333333333333337</v>
      </c>
      <c r="U587" s="419">
        <f t="shared" si="29"/>
        <v>5.833333333333333</v>
      </c>
      <c r="V587" s="415" t="s">
        <v>662</v>
      </c>
      <c r="W587" s="415" t="s">
        <v>612</v>
      </c>
      <c r="X587" s="415" t="s">
        <v>671</v>
      </c>
      <c r="Y587" s="415"/>
    </row>
    <row r="588" spans="1:25" hidden="1" x14ac:dyDescent="0.25">
      <c r="A588" s="415">
        <v>587</v>
      </c>
      <c r="B588" s="415">
        <v>986</v>
      </c>
      <c r="C588" s="415">
        <v>74468</v>
      </c>
      <c r="D588" s="416" t="s">
        <v>3058</v>
      </c>
      <c r="E588" s="416" t="s">
        <v>450</v>
      </c>
      <c r="F588" s="416" t="s">
        <v>453</v>
      </c>
      <c r="G588" s="416" t="s">
        <v>450</v>
      </c>
      <c r="H588" s="416" t="s">
        <v>3059</v>
      </c>
      <c r="I588" s="416" t="s">
        <v>3060</v>
      </c>
      <c r="J588" s="415" t="s">
        <v>747</v>
      </c>
      <c r="K588" s="417">
        <v>-13.145709999999999</v>
      </c>
      <c r="L588" s="417">
        <v>-74.227329999999995</v>
      </c>
      <c r="M588" s="418">
        <v>30</v>
      </c>
      <c r="N588" s="418" t="s">
        <v>2310</v>
      </c>
      <c r="O588" s="418" t="s">
        <v>2953</v>
      </c>
      <c r="P588" s="415">
        <v>3</v>
      </c>
      <c r="Q588" s="415">
        <v>30</v>
      </c>
      <c r="R588" s="415">
        <v>5</v>
      </c>
      <c r="S588" s="415">
        <f t="shared" si="27"/>
        <v>5</v>
      </c>
      <c r="T588" s="419">
        <f t="shared" si="28"/>
        <v>0.83333333333333337</v>
      </c>
      <c r="U588" s="419">
        <f t="shared" si="29"/>
        <v>5.833333333333333</v>
      </c>
      <c r="V588" s="415" t="s">
        <v>662</v>
      </c>
      <c r="W588" s="415" t="s">
        <v>612</v>
      </c>
      <c r="X588" s="415" t="s">
        <v>671</v>
      </c>
      <c r="Y588" s="415"/>
    </row>
    <row r="589" spans="1:25" hidden="1" x14ac:dyDescent="0.25">
      <c r="A589" s="415">
        <v>588</v>
      </c>
      <c r="B589" s="415">
        <v>987</v>
      </c>
      <c r="C589" s="415">
        <v>74393</v>
      </c>
      <c r="D589" s="416" t="s">
        <v>3061</v>
      </c>
      <c r="E589" s="416" t="s">
        <v>450</v>
      </c>
      <c r="F589" s="416" t="s">
        <v>453</v>
      </c>
      <c r="G589" s="416" t="s">
        <v>450</v>
      </c>
      <c r="H589" s="416" t="s">
        <v>3062</v>
      </c>
      <c r="I589" s="416" t="s">
        <v>3063</v>
      </c>
      <c r="J589" s="415" t="s">
        <v>747</v>
      </c>
      <c r="K589" s="417">
        <v>-13.168834</v>
      </c>
      <c r="L589" s="417">
        <v>-74.236532999999994</v>
      </c>
      <c r="M589" s="418">
        <v>30</v>
      </c>
      <c r="N589" s="418" t="s">
        <v>2310</v>
      </c>
      <c r="O589" s="418" t="s">
        <v>2953</v>
      </c>
      <c r="P589" s="415">
        <v>3</v>
      </c>
      <c r="Q589" s="415">
        <v>30</v>
      </c>
      <c r="R589" s="415">
        <v>5</v>
      </c>
      <c r="S589" s="415">
        <f t="shared" si="27"/>
        <v>5</v>
      </c>
      <c r="T589" s="419">
        <f t="shared" si="28"/>
        <v>0.83333333333333337</v>
      </c>
      <c r="U589" s="419">
        <f t="shared" si="29"/>
        <v>5.833333333333333</v>
      </c>
      <c r="V589" s="415" t="s">
        <v>662</v>
      </c>
      <c r="W589" s="415" t="s">
        <v>612</v>
      </c>
      <c r="X589" s="415" t="s">
        <v>671</v>
      </c>
      <c r="Y589" s="415"/>
    </row>
    <row r="590" spans="1:25" hidden="1" x14ac:dyDescent="0.25">
      <c r="A590" s="415">
        <v>589</v>
      </c>
      <c r="B590" s="415">
        <v>988</v>
      </c>
      <c r="C590" s="415">
        <v>74345</v>
      </c>
      <c r="D590" s="416" t="s">
        <v>890</v>
      </c>
      <c r="E590" s="416" t="s">
        <v>450</v>
      </c>
      <c r="F590" s="416" t="s">
        <v>453</v>
      </c>
      <c r="G590" s="416" t="s">
        <v>450</v>
      </c>
      <c r="H590" s="416" t="s">
        <v>891</v>
      </c>
      <c r="I590" s="416" t="s">
        <v>892</v>
      </c>
      <c r="J590" s="415" t="s">
        <v>661</v>
      </c>
      <c r="K590" s="417">
        <v>-13.187457999999999</v>
      </c>
      <c r="L590" s="417">
        <v>-74.261199000000005</v>
      </c>
      <c r="M590" s="418">
        <v>30</v>
      </c>
      <c r="N590" s="418" t="s">
        <v>2310</v>
      </c>
      <c r="O590" s="418" t="s">
        <v>2953</v>
      </c>
      <c r="P590" s="415">
        <v>3</v>
      </c>
      <c r="Q590" s="415">
        <v>30</v>
      </c>
      <c r="R590" s="415">
        <v>5</v>
      </c>
      <c r="S590" s="415">
        <f t="shared" si="27"/>
        <v>5</v>
      </c>
      <c r="T590" s="419">
        <f t="shared" si="28"/>
        <v>0.83333333333333337</v>
      </c>
      <c r="U590" s="419">
        <f t="shared" si="29"/>
        <v>5.833333333333333</v>
      </c>
      <c r="V590" s="415" t="s">
        <v>662</v>
      </c>
      <c r="W590" s="415" t="s">
        <v>612</v>
      </c>
      <c r="X590" s="415" t="s">
        <v>671</v>
      </c>
      <c r="Y590" s="415"/>
    </row>
    <row r="591" spans="1:25" hidden="1" x14ac:dyDescent="0.25">
      <c r="A591" s="415">
        <v>590</v>
      </c>
      <c r="B591" s="415">
        <v>989</v>
      </c>
      <c r="C591" s="415">
        <v>521868</v>
      </c>
      <c r="D591" s="416" t="s">
        <v>2209</v>
      </c>
      <c r="E591" s="416" t="s">
        <v>450</v>
      </c>
      <c r="F591" s="416" t="s">
        <v>453</v>
      </c>
      <c r="G591" s="416" t="s">
        <v>450</v>
      </c>
      <c r="H591" s="416" t="s">
        <v>891</v>
      </c>
      <c r="I591" s="416" t="s">
        <v>915</v>
      </c>
      <c r="J591" s="415" t="s">
        <v>661</v>
      </c>
      <c r="K591" s="417">
        <v>-13.182</v>
      </c>
      <c r="L591" s="417">
        <v>-74.265100000000004</v>
      </c>
      <c r="M591" s="418">
        <v>30</v>
      </c>
      <c r="N591" s="418" t="s">
        <v>2310</v>
      </c>
      <c r="O591" s="418" t="s">
        <v>2953</v>
      </c>
      <c r="P591" s="415">
        <v>3</v>
      </c>
      <c r="Q591" s="415">
        <v>30</v>
      </c>
      <c r="R591" s="415">
        <v>5</v>
      </c>
      <c r="S591" s="415">
        <f t="shared" si="27"/>
        <v>5</v>
      </c>
      <c r="T591" s="419">
        <f t="shared" si="28"/>
        <v>0.83333333333333337</v>
      </c>
      <c r="U591" s="419">
        <f t="shared" si="29"/>
        <v>5.833333333333333</v>
      </c>
      <c r="V591" s="415" t="s">
        <v>662</v>
      </c>
      <c r="W591" s="415" t="s">
        <v>612</v>
      </c>
      <c r="X591" s="415" t="s">
        <v>671</v>
      </c>
      <c r="Y591" s="415"/>
    </row>
    <row r="592" spans="1:25" hidden="1" x14ac:dyDescent="0.25">
      <c r="A592" s="415">
        <v>591</v>
      </c>
      <c r="B592" s="415">
        <v>990</v>
      </c>
      <c r="C592" s="415">
        <v>74307</v>
      </c>
      <c r="D592" s="416" t="s">
        <v>3064</v>
      </c>
      <c r="E592" s="416" t="s">
        <v>450</v>
      </c>
      <c r="F592" s="416" t="s">
        <v>453</v>
      </c>
      <c r="G592" s="416" t="s">
        <v>450</v>
      </c>
      <c r="H592" s="416" t="s">
        <v>949</v>
      </c>
      <c r="I592" s="416" t="s">
        <v>885</v>
      </c>
      <c r="J592" s="415" t="s">
        <v>747</v>
      </c>
      <c r="K592" s="417">
        <v>-13.170173999999999</v>
      </c>
      <c r="L592" s="417">
        <v>-74.230903999999995</v>
      </c>
      <c r="M592" s="418">
        <v>30</v>
      </c>
      <c r="N592" s="418" t="s">
        <v>2310</v>
      </c>
      <c r="O592" s="418" t="s">
        <v>2953</v>
      </c>
      <c r="P592" s="415">
        <v>3</v>
      </c>
      <c r="Q592" s="415">
        <v>30</v>
      </c>
      <c r="R592" s="415">
        <v>5</v>
      </c>
      <c r="S592" s="415">
        <f t="shared" si="27"/>
        <v>5</v>
      </c>
      <c r="T592" s="419">
        <f t="shared" si="28"/>
        <v>0.83333333333333337</v>
      </c>
      <c r="U592" s="419">
        <f t="shared" si="29"/>
        <v>5.833333333333333</v>
      </c>
      <c r="V592" s="415" t="s">
        <v>662</v>
      </c>
      <c r="W592" s="415" t="s">
        <v>612</v>
      </c>
      <c r="X592" s="415" t="s">
        <v>671</v>
      </c>
      <c r="Y592" s="415"/>
    </row>
    <row r="593" spans="1:25" hidden="1" x14ac:dyDescent="0.25">
      <c r="A593" s="415">
        <v>592</v>
      </c>
      <c r="B593" s="415">
        <v>991</v>
      </c>
      <c r="C593" s="415">
        <v>74430</v>
      </c>
      <c r="D593" s="416" t="s">
        <v>3065</v>
      </c>
      <c r="E593" s="416" t="s">
        <v>450</v>
      </c>
      <c r="F593" s="416" t="s">
        <v>453</v>
      </c>
      <c r="G593" s="416" t="s">
        <v>450</v>
      </c>
      <c r="H593" s="416" t="s">
        <v>3066</v>
      </c>
      <c r="I593" s="416" t="s">
        <v>3067</v>
      </c>
      <c r="J593" s="415" t="s">
        <v>747</v>
      </c>
      <c r="K593" s="417">
        <v>-13.162191999999999</v>
      </c>
      <c r="L593" s="417">
        <v>-74.233239999999995</v>
      </c>
      <c r="M593" s="418">
        <v>30</v>
      </c>
      <c r="N593" s="418" t="s">
        <v>2310</v>
      </c>
      <c r="O593" s="418" t="s">
        <v>2953</v>
      </c>
      <c r="P593" s="415">
        <v>3</v>
      </c>
      <c r="Q593" s="415">
        <v>30</v>
      </c>
      <c r="R593" s="415">
        <v>5</v>
      </c>
      <c r="S593" s="415">
        <f t="shared" si="27"/>
        <v>5</v>
      </c>
      <c r="T593" s="419">
        <f t="shared" si="28"/>
        <v>0.83333333333333337</v>
      </c>
      <c r="U593" s="419">
        <f t="shared" si="29"/>
        <v>5.833333333333333</v>
      </c>
      <c r="V593" s="415" t="s">
        <v>662</v>
      </c>
      <c r="W593" s="415" t="s">
        <v>612</v>
      </c>
      <c r="X593" s="415" t="s">
        <v>671</v>
      </c>
      <c r="Y593" s="415"/>
    </row>
    <row r="594" spans="1:25" hidden="1" x14ac:dyDescent="0.25">
      <c r="A594" s="415">
        <v>593</v>
      </c>
      <c r="B594" s="415">
        <v>992</v>
      </c>
      <c r="C594" s="415">
        <v>75401</v>
      </c>
      <c r="D594" s="416" t="s">
        <v>3068</v>
      </c>
      <c r="E594" s="416" t="s">
        <v>450</v>
      </c>
      <c r="F594" s="416" t="s">
        <v>453</v>
      </c>
      <c r="G594" s="416" t="s">
        <v>1530</v>
      </c>
      <c r="H594" s="416" t="s">
        <v>1530</v>
      </c>
      <c r="I594" s="416" t="s">
        <v>3069</v>
      </c>
      <c r="J594" s="415" t="s">
        <v>747</v>
      </c>
      <c r="K594" s="417">
        <v>-13.17609</v>
      </c>
      <c r="L594" s="417">
        <v>-74.224239999999995</v>
      </c>
      <c r="M594" s="418">
        <v>30</v>
      </c>
      <c r="N594" s="418" t="s">
        <v>2310</v>
      </c>
      <c r="O594" s="418" t="s">
        <v>2953</v>
      </c>
      <c r="P594" s="415">
        <v>3</v>
      </c>
      <c r="Q594" s="415">
        <v>30</v>
      </c>
      <c r="R594" s="415">
        <v>5</v>
      </c>
      <c r="S594" s="415">
        <f t="shared" si="27"/>
        <v>5</v>
      </c>
      <c r="T594" s="419">
        <f t="shared" si="28"/>
        <v>0.83333333333333337</v>
      </c>
      <c r="U594" s="419">
        <f t="shared" si="29"/>
        <v>5.833333333333333</v>
      </c>
      <c r="V594" s="415" t="s">
        <v>662</v>
      </c>
      <c r="W594" s="415" t="s">
        <v>612</v>
      </c>
      <c r="X594" s="415" t="s">
        <v>671</v>
      </c>
      <c r="Y594" s="415"/>
    </row>
    <row r="595" spans="1:25" hidden="1" x14ac:dyDescent="0.25">
      <c r="A595" s="415">
        <v>594</v>
      </c>
      <c r="B595" s="415">
        <v>993</v>
      </c>
      <c r="C595" s="415">
        <v>75458</v>
      </c>
      <c r="D595" s="416" t="s">
        <v>3070</v>
      </c>
      <c r="E595" s="416" t="s">
        <v>450</v>
      </c>
      <c r="F595" s="416" t="s">
        <v>453</v>
      </c>
      <c r="G595" s="416" t="s">
        <v>1530</v>
      </c>
      <c r="H595" s="416" t="s">
        <v>3071</v>
      </c>
      <c r="I595" s="416" t="s">
        <v>3072</v>
      </c>
      <c r="J595" s="415" t="s">
        <v>747</v>
      </c>
      <c r="K595" s="417">
        <v>-13.1884</v>
      </c>
      <c r="L595" s="417">
        <v>-74.226600000000005</v>
      </c>
      <c r="M595" s="418">
        <v>30</v>
      </c>
      <c r="N595" s="418" t="s">
        <v>2310</v>
      </c>
      <c r="O595" s="418" t="s">
        <v>2953</v>
      </c>
      <c r="P595" s="415">
        <v>3</v>
      </c>
      <c r="Q595" s="415">
        <v>30</v>
      </c>
      <c r="R595" s="415">
        <v>5</v>
      </c>
      <c r="S595" s="415">
        <f t="shared" si="27"/>
        <v>5</v>
      </c>
      <c r="T595" s="419">
        <f t="shared" si="28"/>
        <v>0.83333333333333337</v>
      </c>
      <c r="U595" s="419">
        <f t="shared" si="29"/>
        <v>5.833333333333333</v>
      </c>
      <c r="V595" s="415" t="s">
        <v>662</v>
      </c>
      <c r="W595" s="415" t="s">
        <v>612</v>
      </c>
      <c r="X595" s="415" t="s">
        <v>671</v>
      </c>
      <c r="Y595" s="415"/>
    </row>
    <row r="596" spans="1:25" hidden="1" x14ac:dyDescent="0.25">
      <c r="A596" s="415">
        <v>595</v>
      </c>
      <c r="B596" s="415">
        <v>994</v>
      </c>
      <c r="C596" s="415">
        <v>75420</v>
      </c>
      <c r="D596" s="416" t="s">
        <v>3073</v>
      </c>
      <c r="E596" s="416" t="s">
        <v>450</v>
      </c>
      <c r="F596" s="416" t="s">
        <v>453</v>
      </c>
      <c r="G596" s="416" t="s">
        <v>1530</v>
      </c>
      <c r="H596" s="416" t="s">
        <v>3074</v>
      </c>
      <c r="I596" s="416" t="s">
        <v>860</v>
      </c>
      <c r="J596" s="415" t="s">
        <v>661</v>
      </c>
      <c r="K596" s="417">
        <v>-13.2203</v>
      </c>
      <c r="L596" s="417">
        <v>-74.228700000000003</v>
      </c>
      <c r="M596" s="418">
        <v>30</v>
      </c>
      <c r="N596" s="418" t="s">
        <v>2310</v>
      </c>
      <c r="O596" s="418" t="s">
        <v>2953</v>
      </c>
      <c r="P596" s="415">
        <v>3</v>
      </c>
      <c r="Q596" s="415">
        <v>30</v>
      </c>
      <c r="R596" s="415">
        <v>5</v>
      </c>
      <c r="S596" s="415">
        <f t="shared" si="27"/>
        <v>5</v>
      </c>
      <c r="T596" s="419">
        <f t="shared" si="28"/>
        <v>0.83333333333333337</v>
      </c>
      <c r="U596" s="419">
        <f t="shared" si="29"/>
        <v>5.833333333333333</v>
      </c>
      <c r="V596" s="415" t="s">
        <v>662</v>
      </c>
      <c r="W596" s="415" t="s">
        <v>612</v>
      </c>
      <c r="X596" s="415" t="s">
        <v>671</v>
      </c>
      <c r="Y596" s="415"/>
    </row>
    <row r="597" spans="1:25" hidden="1" x14ac:dyDescent="0.25">
      <c r="A597" s="415">
        <v>596</v>
      </c>
      <c r="B597" s="415">
        <v>995</v>
      </c>
      <c r="C597" s="415">
        <v>75415</v>
      </c>
      <c r="D597" s="416" t="s">
        <v>3075</v>
      </c>
      <c r="E597" s="416" t="s">
        <v>450</v>
      </c>
      <c r="F597" s="416" t="s">
        <v>453</v>
      </c>
      <c r="G597" s="416" t="s">
        <v>1530</v>
      </c>
      <c r="H597" s="416" t="s">
        <v>713</v>
      </c>
      <c r="I597" s="416" t="s">
        <v>3076</v>
      </c>
      <c r="J597" s="415" t="s">
        <v>747</v>
      </c>
      <c r="K597" s="417">
        <v>-13.1806</v>
      </c>
      <c r="L597" s="417">
        <v>-74.221000000000004</v>
      </c>
      <c r="M597" s="418">
        <v>30</v>
      </c>
      <c r="N597" s="418" t="s">
        <v>2310</v>
      </c>
      <c r="O597" s="418" t="s">
        <v>2953</v>
      </c>
      <c r="P597" s="415">
        <v>3</v>
      </c>
      <c r="Q597" s="415">
        <v>30</v>
      </c>
      <c r="R597" s="415">
        <v>5</v>
      </c>
      <c r="S597" s="415">
        <f t="shared" si="27"/>
        <v>5</v>
      </c>
      <c r="T597" s="419">
        <f t="shared" si="28"/>
        <v>0.83333333333333337</v>
      </c>
      <c r="U597" s="419">
        <f t="shared" si="29"/>
        <v>5.833333333333333</v>
      </c>
      <c r="V597" s="415" t="s">
        <v>662</v>
      </c>
      <c r="W597" s="415" t="s">
        <v>612</v>
      </c>
      <c r="X597" s="415" t="s">
        <v>671</v>
      </c>
      <c r="Y597" s="415"/>
    </row>
    <row r="598" spans="1:25" hidden="1" x14ac:dyDescent="0.25">
      <c r="A598" s="415">
        <v>597</v>
      </c>
      <c r="B598" s="415">
        <v>996</v>
      </c>
      <c r="C598" s="415">
        <v>262271</v>
      </c>
      <c r="D598" s="416" t="s">
        <v>1646</v>
      </c>
      <c r="E598" s="416" t="s">
        <v>450</v>
      </c>
      <c r="F598" s="416" t="s">
        <v>453</v>
      </c>
      <c r="G598" s="416" t="s">
        <v>900</v>
      </c>
      <c r="H598" s="416" t="s">
        <v>901</v>
      </c>
      <c r="I598" s="416" t="s">
        <v>901</v>
      </c>
      <c r="J598" s="415" t="s">
        <v>661</v>
      </c>
      <c r="K598" s="417">
        <v>-13.3919</v>
      </c>
      <c r="L598" s="417">
        <v>-74.265699999999995</v>
      </c>
      <c r="M598" s="418">
        <v>30</v>
      </c>
      <c r="N598" s="418" t="s">
        <v>2310</v>
      </c>
      <c r="O598" s="418" t="s">
        <v>2953</v>
      </c>
      <c r="P598" s="415">
        <v>3</v>
      </c>
      <c r="Q598" s="415">
        <v>30</v>
      </c>
      <c r="R598" s="415">
        <v>5</v>
      </c>
      <c r="S598" s="415">
        <f t="shared" si="27"/>
        <v>5</v>
      </c>
      <c r="T598" s="419">
        <f t="shared" si="28"/>
        <v>0.83333333333333337</v>
      </c>
      <c r="U598" s="419">
        <f t="shared" si="29"/>
        <v>5.833333333333333</v>
      </c>
      <c r="V598" s="415" t="s">
        <v>662</v>
      </c>
      <c r="W598" s="415" t="s">
        <v>612</v>
      </c>
      <c r="X598" s="415" t="s">
        <v>671</v>
      </c>
      <c r="Y598" s="415"/>
    </row>
    <row r="599" spans="1:25" hidden="1" x14ac:dyDescent="0.25">
      <c r="A599" s="415">
        <v>598</v>
      </c>
      <c r="B599" s="415">
        <v>997</v>
      </c>
      <c r="C599" s="415">
        <v>74171</v>
      </c>
      <c r="D599" s="416" t="s">
        <v>2279</v>
      </c>
      <c r="E599" s="416" t="s">
        <v>450</v>
      </c>
      <c r="F599" s="416" t="s">
        <v>453</v>
      </c>
      <c r="G599" s="416" t="s">
        <v>3077</v>
      </c>
      <c r="H599" s="416" t="s">
        <v>2926</v>
      </c>
      <c r="I599" s="416" t="s">
        <v>3078</v>
      </c>
      <c r="J599" s="415" t="s">
        <v>747</v>
      </c>
      <c r="K599" s="417">
        <v>-13.15648</v>
      </c>
      <c r="L599" s="417">
        <v>-74.216149999999999</v>
      </c>
      <c r="M599" s="418">
        <v>30</v>
      </c>
      <c r="N599" s="418" t="s">
        <v>2310</v>
      </c>
      <c r="O599" s="418" t="s">
        <v>2953</v>
      </c>
      <c r="P599" s="415">
        <v>3</v>
      </c>
      <c r="Q599" s="415">
        <v>30</v>
      </c>
      <c r="R599" s="415">
        <v>5</v>
      </c>
      <c r="S599" s="415">
        <f t="shared" si="27"/>
        <v>5</v>
      </c>
      <c r="T599" s="419">
        <f t="shared" si="28"/>
        <v>0.83333333333333337</v>
      </c>
      <c r="U599" s="419">
        <f t="shared" si="29"/>
        <v>5.833333333333333</v>
      </c>
      <c r="V599" s="415" t="s">
        <v>662</v>
      </c>
      <c r="W599" s="415" t="s">
        <v>612</v>
      </c>
      <c r="X599" s="415" t="s">
        <v>671</v>
      </c>
      <c r="Y599" s="415"/>
    </row>
    <row r="600" spans="1:25" hidden="1" x14ac:dyDescent="0.25">
      <c r="A600" s="415">
        <v>599</v>
      </c>
      <c r="B600" s="415">
        <v>998</v>
      </c>
      <c r="C600" s="415">
        <v>74185</v>
      </c>
      <c r="D600" s="416" t="s">
        <v>3079</v>
      </c>
      <c r="E600" s="416" t="s">
        <v>450</v>
      </c>
      <c r="F600" s="416" t="s">
        <v>453</v>
      </c>
      <c r="G600" s="416" t="s">
        <v>3077</v>
      </c>
      <c r="H600" s="416" t="s">
        <v>2926</v>
      </c>
      <c r="I600" s="416" t="s">
        <v>3080</v>
      </c>
      <c r="J600" s="415" t="s">
        <v>747</v>
      </c>
      <c r="K600" s="417">
        <v>-13.15394</v>
      </c>
      <c r="L600" s="417">
        <v>-74.212630000000004</v>
      </c>
      <c r="M600" s="418">
        <v>30</v>
      </c>
      <c r="N600" s="418" t="s">
        <v>2310</v>
      </c>
      <c r="O600" s="418" t="s">
        <v>2953</v>
      </c>
      <c r="P600" s="415">
        <v>3</v>
      </c>
      <c r="Q600" s="415">
        <v>30</v>
      </c>
      <c r="R600" s="415">
        <v>5</v>
      </c>
      <c r="S600" s="415">
        <f t="shared" si="27"/>
        <v>5</v>
      </c>
      <c r="T600" s="419">
        <f t="shared" si="28"/>
        <v>0.83333333333333337</v>
      </c>
      <c r="U600" s="419">
        <f t="shared" si="29"/>
        <v>5.833333333333333</v>
      </c>
      <c r="V600" s="415" t="s">
        <v>662</v>
      </c>
      <c r="W600" s="415" t="s">
        <v>612</v>
      </c>
      <c r="X600" s="415" t="s">
        <v>671</v>
      </c>
      <c r="Y600" s="415"/>
    </row>
    <row r="601" spans="1:25" hidden="1" x14ac:dyDescent="0.25">
      <c r="A601" s="415">
        <v>600</v>
      </c>
      <c r="B601" s="415">
        <v>999</v>
      </c>
      <c r="C601" s="415">
        <v>74109</v>
      </c>
      <c r="D601" s="416" t="s">
        <v>3081</v>
      </c>
      <c r="E601" s="416" t="s">
        <v>450</v>
      </c>
      <c r="F601" s="416" t="s">
        <v>453</v>
      </c>
      <c r="G601" s="416" t="s">
        <v>3077</v>
      </c>
      <c r="H601" s="416" t="s">
        <v>2227</v>
      </c>
      <c r="I601" s="416" t="s">
        <v>3082</v>
      </c>
      <c r="J601" s="415" t="s">
        <v>747</v>
      </c>
      <c r="K601" s="417">
        <v>-13.141389999999999</v>
      </c>
      <c r="L601" s="417">
        <v>-74.213350000000005</v>
      </c>
      <c r="M601" s="418">
        <v>30</v>
      </c>
      <c r="N601" s="418" t="s">
        <v>2310</v>
      </c>
      <c r="O601" s="418" t="s">
        <v>2953</v>
      </c>
      <c r="P601" s="415">
        <v>3</v>
      </c>
      <c r="Q601" s="415">
        <v>30</v>
      </c>
      <c r="R601" s="415">
        <v>5</v>
      </c>
      <c r="S601" s="415">
        <f t="shared" si="27"/>
        <v>5</v>
      </c>
      <c r="T601" s="419">
        <f t="shared" si="28"/>
        <v>0.83333333333333337</v>
      </c>
      <c r="U601" s="419">
        <f t="shared" si="29"/>
        <v>5.833333333333333</v>
      </c>
      <c r="V601" s="415" t="s">
        <v>662</v>
      </c>
      <c r="W601" s="415" t="s">
        <v>612</v>
      </c>
      <c r="X601" s="415" t="s">
        <v>671</v>
      </c>
      <c r="Y601" s="415"/>
    </row>
    <row r="602" spans="1:25" hidden="1" x14ac:dyDescent="0.25">
      <c r="A602" s="415">
        <v>601</v>
      </c>
      <c r="B602" s="415">
        <v>1000</v>
      </c>
      <c r="C602" s="415">
        <v>74411</v>
      </c>
      <c r="D602" s="416" t="s">
        <v>3083</v>
      </c>
      <c r="E602" s="416" t="s">
        <v>450</v>
      </c>
      <c r="F602" s="416" t="s">
        <v>453</v>
      </c>
      <c r="G602" s="416" t="s">
        <v>3077</v>
      </c>
      <c r="H602" s="416" t="s">
        <v>3084</v>
      </c>
      <c r="I602" s="416" t="s">
        <v>3085</v>
      </c>
      <c r="J602" s="415" t="s">
        <v>747</v>
      </c>
      <c r="K602" s="417">
        <v>-13.14672</v>
      </c>
      <c r="L602" s="417">
        <v>-74.213179999999994</v>
      </c>
      <c r="M602" s="418">
        <v>30</v>
      </c>
      <c r="N602" s="418" t="s">
        <v>2310</v>
      </c>
      <c r="O602" s="418" t="s">
        <v>2953</v>
      </c>
      <c r="P602" s="415">
        <v>3</v>
      </c>
      <c r="Q602" s="415">
        <v>30</v>
      </c>
      <c r="R602" s="415">
        <v>5</v>
      </c>
      <c r="S602" s="415">
        <f t="shared" si="27"/>
        <v>5</v>
      </c>
      <c r="T602" s="419">
        <f t="shared" si="28"/>
        <v>0.83333333333333337</v>
      </c>
      <c r="U602" s="419">
        <f t="shared" si="29"/>
        <v>5.833333333333333</v>
      </c>
      <c r="V602" s="415" t="s">
        <v>662</v>
      </c>
      <c r="W602" s="415" t="s">
        <v>612</v>
      </c>
      <c r="X602" s="415" t="s">
        <v>671</v>
      </c>
      <c r="Y602" s="415"/>
    </row>
    <row r="603" spans="1:25" hidden="1" x14ac:dyDescent="0.25">
      <c r="A603" s="415">
        <v>602</v>
      </c>
      <c r="B603" s="415">
        <v>1001</v>
      </c>
      <c r="C603" s="415">
        <v>558376</v>
      </c>
      <c r="D603" s="416" t="s">
        <v>3086</v>
      </c>
      <c r="E603" s="416" t="s">
        <v>450</v>
      </c>
      <c r="F603" s="416" t="s">
        <v>453</v>
      </c>
      <c r="G603" s="416" t="s">
        <v>427</v>
      </c>
      <c r="H603" s="416" t="s">
        <v>3087</v>
      </c>
      <c r="I603" s="416" t="s">
        <v>3088</v>
      </c>
      <c r="J603" s="415" t="s">
        <v>661</v>
      </c>
      <c r="K603" s="417">
        <v>-13.41417</v>
      </c>
      <c r="L603" s="417">
        <v>-73.84348</v>
      </c>
      <c r="M603" s="418">
        <v>30</v>
      </c>
      <c r="N603" s="418" t="s">
        <v>2310</v>
      </c>
      <c r="O603" s="418" t="s">
        <v>2953</v>
      </c>
      <c r="P603" s="415">
        <v>3</v>
      </c>
      <c r="Q603" s="415">
        <v>30</v>
      </c>
      <c r="R603" s="415">
        <v>5</v>
      </c>
      <c r="S603" s="415">
        <f t="shared" si="27"/>
        <v>5</v>
      </c>
      <c r="T603" s="419">
        <f t="shared" si="28"/>
        <v>0.83333333333333337</v>
      </c>
      <c r="U603" s="419">
        <f t="shared" si="29"/>
        <v>5.833333333333333</v>
      </c>
      <c r="V603" s="415" t="s">
        <v>662</v>
      </c>
      <c r="W603" s="415" t="s">
        <v>613</v>
      </c>
      <c r="X603" s="415" t="s">
        <v>671</v>
      </c>
      <c r="Y603" s="415"/>
    </row>
    <row r="604" spans="1:25" hidden="1" x14ac:dyDescent="0.25">
      <c r="A604" s="415">
        <v>603</v>
      </c>
      <c r="B604" s="415">
        <v>1002</v>
      </c>
      <c r="C604" s="415">
        <v>75788</v>
      </c>
      <c r="D604" s="416" t="s">
        <v>3089</v>
      </c>
      <c r="E604" s="416" t="s">
        <v>450</v>
      </c>
      <c r="F604" s="416" t="s">
        <v>453</v>
      </c>
      <c r="G604" s="416" t="s">
        <v>427</v>
      </c>
      <c r="H604" s="416" t="s">
        <v>3090</v>
      </c>
      <c r="I604" s="416" t="s">
        <v>860</v>
      </c>
      <c r="J604" s="415" t="s">
        <v>661</v>
      </c>
      <c r="K604" s="417">
        <v>-13.377262999999999</v>
      </c>
      <c r="L604" s="417">
        <v>-73.903485000000003</v>
      </c>
      <c r="M604" s="418">
        <v>30</v>
      </c>
      <c r="N604" s="418" t="s">
        <v>2310</v>
      </c>
      <c r="O604" s="418" t="s">
        <v>2953</v>
      </c>
      <c r="P604" s="415">
        <v>3</v>
      </c>
      <c r="Q604" s="415">
        <v>30</v>
      </c>
      <c r="R604" s="415">
        <v>5</v>
      </c>
      <c r="S604" s="415">
        <f t="shared" si="27"/>
        <v>5</v>
      </c>
      <c r="T604" s="419">
        <f t="shared" si="28"/>
        <v>0.83333333333333337</v>
      </c>
      <c r="U604" s="419">
        <f t="shared" si="29"/>
        <v>5.833333333333333</v>
      </c>
      <c r="V604" s="415" t="s">
        <v>662</v>
      </c>
      <c r="W604" s="415" t="s">
        <v>613</v>
      </c>
      <c r="X604" s="415" t="s">
        <v>671</v>
      </c>
      <c r="Y604" s="415"/>
    </row>
    <row r="605" spans="1:25" hidden="1" x14ac:dyDescent="0.25">
      <c r="A605" s="415">
        <v>604</v>
      </c>
      <c r="B605" s="415">
        <v>1003</v>
      </c>
      <c r="C605" s="415">
        <v>75712</v>
      </c>
      <c r="D605" s="416" t="s">
        <v>3091</v>
      </c>
      <c r="E605" s="416" t="s">
        <v>450</v>
      </c>
      <c r="F605" s="416" t="s">
        <v>453</v>
      </c>
      <c r="G605" s="416" t="s">
        <v>427</v>
      </c>
      <c r="H605" s="416" t="s">
        <v>3092</v>
      </c>
      <c r="I605" s="416" t="s">
        <v>860</v>
      </c>
      <c r="J605" s="415" t="s">
        <v>661</v>
      </c>
      <c r="K605" s="417">
        <v>-13.3643</v>
      </c>
      <c r="L605" s="417">
        <v>-73.893900000000002</v>
      </c>
      <c r="M605" s="418">
        <v>30</v>
      </c>
      <c r="N605" s="418" t="s">
        <v>2310</v>
      </c>
      <c r="O605" s="418" t="s">
        <v>2953</v>
      </c>
      <c r="P605" s="415">
        <v>3</v>
      </c>
      <c r="Q605" s="415">
        <v>30</v>
      </c>
      <c r="R605" s="415">
        <v>5</v>
      </c>
      <c r="S605" s="415">
        <f t="shared" si="27"/>
        <v>5</v>
      </c>
      <c r="T605" s="419">
        <f t="shared" si="28"/>
        <v>0.83333333333333337</v>
      </c>
      <c r="U605" s="419">
        <f t="shared" si="29"/>
        <v>5.833333333333333</v>
      </c>
      <c r="V605" s="415" t="s">
        <v>662</v>
      </c>
      <c r="W605" s="415" t="s">
        <v>613</v>
      </c>
      <c r="X605" s="415" t="s">
        <v>671</v>
      </c>
      <c r="Y605" s="415"/>
    </row>
    <row r="606" spans="1:25" hidden="1" x14ac:dyDescent="0.25">
      <c r="A606" s="415">
        <v>605</v>
      </c>
      <c r="B606" s="415">
        <v>1004</v>
      </c>
      <c r="C606" s="415">
        <v>75873</v>
      </c>
      <c r="D606" s="416" t="s">
        <v>3093</v>
      </c>
      <c r="E606" s="416" t="s">
        <v>450</v>
      </c>
      <c r="F606" s="416" t="s">
        <v>453</v>
      </c>
      <c r="G606" s="416" t="s">
        <v>427</v>
      </c>
      <c r="H606" s="416" t="s">
        <v>3094</v>
      </c>
      <c r="I606" s="416" t="s">
        <v>3094</v>
      </c>
      <c r="J606" s="415" t="s">
        <v>661</v>
      </c>
      <c r="K606" s="417">
        <v>-13.417999999999999</v>
      </c>
      <c r="L606" s="417">
        <v>-73.853099999999998</v>
      </c>
      <c r="M606" s="418">
        <v>30</v>
      </c>
      <c r="N606" s="418" t="s">
        <v>2310</v>
      </c>
      <c r="O606" s="418" t="s">
        <v>2953</v>
      </c>
      <c r="P606" s="415">
        <v>3</v>
      </c>
      <c r="Q606" s="415">
        <v>30</v>
      </c>
      <c r="R606" s="415">
        <v>5</v>
      </c>
      <c r="S606" s="415">
        <f t="shared" si="27"/>
        <v>5</v>
      </c>
      <c r="T606" s="419">
        <f t="shared" si="28"/>
        <v>0.83333333333333337</v>
      </c>
      <c r="U606" s="419">
        <f t="shared" si="29"/>
        <v>5.833333333333333</v>
      </c>
      <c r="V606" s="415" t="s">
        <v>662</v>
      </c>
      <c r="W606" s="415" t="s">
        <v>613</v>
      </c>
      <c r="X606" s="415" t="s">
        <v>671</v>
      </c>
      <c r="Y606" s="415"/>
    </row>
    <row r="607" spans="1:25" hidden="1" x14ac:dyDescent="0.25">
      <c r="A607" s="415">
        <v>606</v>
      </c>
      <c r="B607" s="415">
        <v>1005</v>
      </c>
      <c r="C607" s="415">
        <v>75967</v>
      </c>
      <c r="D607" s="416" t="s">
        <v>902</v>
      </c>
      <c r="E607" s="416" t="s">
        <v>450</v>
      </c>
      <c r="F607" s="416" t="s">
        <v>453</v>
      </c>
      <c r="G607" s="416" t="s">
        <v>903</v>
      </c>
      <c r="H607" s="416" t="s">
        <v>903</v>
      </c>
      <c r="I607" s="416" t="s">
        <v>892</v>
      </c>
      <c r="J607" s="415" t="s">
        <v>661</v>
      </c>
      <c r="K607" s="417">
        <v>-13.0571</v>
      </c>
      <c r="L607" s="417">
        <v>-74.214600000000004</v>
      </c>
      <c r="M607" s="418">
        <v>30</v>
      </c>
      <c r="N607" s="418" t="s">
        <v>2310</v>
      </c>
      <c r="O607" s="418" t="s">
        <v>2953</v>
      </c>
      <c r="P607" s="415">
        <v>3</v>
      </c>
      <c r="Q607" s="415">
        <v>30</v>
      </c>
      <c r="R607" s="415">
        <v>5</v>
      </c>
      <c r="S607" s="415">
        <f t="shared" si="27"/>
        <v>5</v>
      </c>
      <c r="T607" s="419">
        <f t="shared" si="28"/>
        <v>0.83333333333333337</v>
      </c>
      <c r="U607" s="419">
        <f t="shared" si="29"/>
        <v>5.833333333333333</v>
      </c>
      <c r="V607" s="415" t="s">
        <v>662</v>
      </c>
      <c r="W607" s="415" t="s">
        <v>612</v>
      </c>
      <c r="X607" s="415" t="s">
        <v>671</v>
      </c>
      <c r="Y607" s="415"/>
    </row>
    <row r="608" spans="1:25" hidden="1" x14ac:dyDescent="0.25">
      <c r="A608" s="415">
        <v>607</v>
      </c>
      <c r="B608" s="415">
        <v>1006</v>
      </c>
      <c r="C608" s="415">
        <v>76047</v>
      </c>
      <c r="D608" s="416" t="s">
        <v>3095</v>
      </c>
      <c r="E608" s="416" t="s">
        <v>450</v>
      </c>
      <c r="F608" s="416" t="s">
        <v>453</v>
      </c>
      <c r="G608" s="416" t="s">
        <v>1943</v>
      </c>
      <c r="H608" s="416" t="s">
        <v>3096</v>
      </c>
      <c r="I608" s="416" t="s">
        <v>3097</v>
      </c>
      <c r="J608" s="415" t="s">
        <v>747</v>
      </c>
      <c r="K608" s="417">
        <v>-13.053175</v>
      </c>
      <c r="L608" s="417">
        <v>-74.140671999999995</v>
      </c>
      <c r="M608" s="418">
        <v>30</v>
      </c>
      <c r="N608" s="418" t="s">
        <v>2310</v>
      </c>
      <c r="O608" s="418" t="s">
        <v>2953</v>
      </c>
      <c r="P608" s="415">
        <v>3</v>
      </c>
      <c r="Q608" s="415">
        <v>30</v>
      </c>
      <c r="R608" s="415">
        <v>5</v>
      </c>
      <c r="S608" s="415">
        <f t="shared" si="27"/>
        <v>5</v>
      </c>
      <c r="T608" s="419">
        <f t="shared" si="28"/>
        <v>0.83333333333333337</v>
      </c>
      <c r="U608" s="419">
        <f t="shared" si="29"/>
        <v>5.833333333333333</v>
      </c>
      <c r="V608" s="415" t="s">
        <v>662</v>
      </c>
      <c r="W608" s="415" t="s">
        <v>612</v>
      </c>
      <c r="X608" s="415" t="s">
        <v>671</v>
      </c>
      <c r="Y608" s="415"/>
    </row>
    <row r="609" spans="1:25" hidden="1" x14ac:dyDescent="0.25">
      <c r="A609" s="415">
        <v>608</v>
      </c>
      <c r="B609" s="415">
        <v>1007</v>
      </c>
      <c r="C609" s="415">
        <v>76108</v>
      </c>
      <c r="D609" s="416" t="s">
        <v>3098</v>
      </c>
      <c r="E609" s="416" t="s">
        <v>450</v>
      </c>
      <c r="F609" s="416" t="s">
        <v>453</v>
      </c>
      <c r="G609" s="416" t="s">
        <v>1943</v>
      </c>
      <c r="H609" s="416" t="s">
        <v>3099</v>
      </c>
      <c r="I609" s="416" t="s">
        <v>892</v>
      </c>
      <c r="J609" s="415" t="s">
        <v>661</v>
      </c>
      <c r="K609" s="417">
        <v>-13.113915</v>
      </c>
      <c r="L609" s="417">
        <v>-74.192762999999999</v>
      </c>
      <c r="M609" s="418">
        <v>30</v>
      </c>
      <c r="N609" s="418" t="s">
        <v>2310</v>
      </c>
      <c r="O609" s="418" t="s">
        <v>2953</v>
      </c>
      <c r="P609" s="415">
        <v>3</v>
      </c>
      <c r="Q609" s="415">
        <v>30</v>
      </c>
      <c r="R609" s="415">
        <v>5</v>
      </c>
      <c r="S609" s="415">
        <f t="shared" si="27"/>
        <v>5</v>
      </c>
      <c r="T609" s="419">
        <f t="shared" si="28"/>
        <v>0.83333333333333337</v>
      </c>
      <c r="U609" s="419">
        <f t="shared" si="29"/>
        <v>5.833333333333333</v>
      </c>
      <c r="V609" s="415" t="s">
        <v>662</v>
      </c>
      <c r="W609" s="415" t="s">
        <v>612</v>
      </c>
      <c r="X609" s="415" t="s">
        <v>671</v>
      </c>
      <c r="Y609" s="415"/>
    </row>
    <row r="610" spans="1:25" hidden="1" x14ac:dyDescent="0.25">
      <c r="A610" s="415">
        <v>609</v>
      </c>
      <c r="B610" s="415">
        <v>1008</v>
      </c>
      <c r="C610" s="415">
        <v>76995</v>
      </c>
      <c r="D610" s="416" t="s">
        <v>3100</v>
      </c>
      <c r="E610" s="416" t="s">
        <v>450</v>
      </c>
      <c r="F610" s="416" t="s">
        <v>453</v>
      </c>
      <c r="G610" s="416" t="s">
        <v>1062</v>
      </c>
      <c r="H610" s="416" t="s">
        <v>3101</v>
      </c>
      <c r="I610" s="416" t="s">
        <v>3102</v>
      </c>
      <c r="J610" s="415" t="s">
        <v>661</v>
      </c>
      <c r="K610" s="417">
        <v>-13.231966</v>
      </c>
      <c r="L610" s="417">
        <v>-74.109010999999995</v>
      </c>
      <c r="M610" s="418">
        <v>30</v>
      </c>
      <c r="N610" s="418" t="s">
        <v>2310</v>
      </c>
      <c r="O610" s="418" t="s">
        <v>2953</v>
      </c>
      <c r="P610" s="415">
        <v>3</v>
      </c>
      <c r="Q610" s="415">
        <v>30</v>
      </c>
      <c r="R610" s="415">
        <v>5</v>
      </c>
      <c r="S610" s="415">
        <f t="shared" si="27"/>
        <v>5</v>
      </c>
      <c r="T610" s="419">
        <f t="shared" si="28"/>
        <v>0.83333333333333337</v>
      </c>
      <c r="U610" s="419">
        <f t="shared" si="29"/>
        <v>5.833333333333333</v>
      </c>
      <c r="V610" s="415" t="s">
        <v>662</v>
      </c>
      <c r="W610" s="415" t="s">
        <v>612</v>
      </c>
      <c r="X610" s="415" t="s">
        <v>671</v>
      </c>
      <c r="Y610" s="415"/>
    </row>
    <row r="611" spans="1:25" hidden="1" x14ac:dyDescent="0.25">
      <c r="A611" s="415">
        <v>610</v>
      </c>
      <c r="B611" s="415">
        <v>1009</v>
      </c>
      <c r="C611" s="415">
        <v>77589</v>
      </c>
      <c r="D611" s="416" t="s">
        <v>3103</v>
      </c>
      <c r="E611" s="416" t="s">
        <v>450</v>
      </c>
      <c r="F611" s="416" t="s">
        <v>453</v>
      </c>
      <c r="G611" s="416" t="s">
        <v>905</v>
      </c>
      <c r="H611" s="416" t="s">
        <v>3104</v>
      </c>
      <c r="I611" s="416" t="s">
        <v>3104</v>
      </c>
      <c r="J611" s="415" t="s">
        <v>661</v>
      </c>
      <c r="K611" s="417">
        <v>-13.241441999999999</v>
      </c>
      <c r="L611" s="417">
        <v>-74.355626000000001</v>
      </c>
      <c r="M611" s="418">
        <v>30</v>
      </c>
      <c r="N611" s="418" t="s">
        <v>2310</v>
      </c>
      <c r="O611" s="418" t="s">
        <v>2953</v>
      </c>
      <c r="P611" s="415">
        <v>3</v>
      </c>
      <c r="Q611" s="415">
        <v>30</v>
      </c>
      <c r="R611" s="415">
        <v>5</v>
      </c>
      <c r="S611" s="415">
        <f t="shared" si="27"/>
        <v>5</v>
      </c>
      <c r="T611" s="419">
        <f t="shared" si="28"/>
        <v>0.83333333333333337</v>
      </c>
      <c r="U611" s="419">
        <f t="shared" si="29"/>
        <v>5.833333333333333</v>
      </c>
      <c r="V611" s="415" t="s">
        <v>662</v>
      </c>
      <c r="W611" s="415" t="s">
        <v>612</v>
      </c>
      <c r="X611" s="415" t="s">
        <v>671</v>
      </c>
      <c r="Y611" s="415"/>
    </row>
    <row r="612" spans="1:25" hidden="1" x14ac:dyDescent="0.25">
      <c r="A612" s="415">
        <v>611</v>
      </c>
      <c r="B612" s="415">
        <v>1010</v>
      </c>
      <c r="C612" s="415">
        <v>77117</v>
      </c>
      <c r="D612" s="416" t="s">
        <v>904</v>
      </c>
      <c r="E612" s="416" t="s">
        <v>450</v>
      </c>
      <c r="F612" s="416" t="s">
        <v>453</v>
      </c>
      <c r="G612" s="416" t="s">
        <v>905</v>
      </c>
      <c r="H612" s="416" t="s">
        <v>906</v>
      </c>
      <c r="I612" s="416" t="s">
        <v>907</v>
      </c>
      <c r="J612" s="415" t="s">
        <v>661</v>
      </c>
      <c r="K612" s="417">
        <v>-13.2956</v>
      </c>
      <c r="L612" s="417">
        <v>-74.340599999999995</v>
      </c>
      <c r="M612" s="418">
        <v>30</v>
      </c>
      <c r="N612" s="418" t="s">
        <v>2310</v>
      </c>
      <c r="O612" s="418" t="s">
        <v>2953</v>
      </c>
      <c r="P612" s="415">
        <v>3</v>
      </c>
      <c r="Q612" s="415">
        <v>30</v>
      </c>
      <c r="R612" s="415">
        <v>5</v>
      </c>
      <c r="S612" s="415">
        <f t="shared" si="27"/>
        <v>5</v>
      </c>
      <c r="T612" s="419">
        <f t="shared" si="28"/>
        <v>0.83333333333333337</v>
      </c>
      <c r="U612" s="419">
        <f t="shared" si="29"/>
        <v>5.833333333333333</v>
      </c>
      <c r="V612" s="415" t="s">
        <v>662</v>
      </c>
      <c r="W612" s="415" t="s">
        <v>612</v>
      </c>
      <c r="X612" s="415" t="s">
        <v>671</v>
      </c>
      <c r="Y612" s="415"/>
    </row>
    <row r="613" spans="1:25" hidden="1" x14ac:dyDescent="0.25">
      <c r="A613" s="415">
        <v>612</v>
      </c>
      <c r="B613" s="415">
        <v>1011</v>
      </c>
      <c r="C613" s="415">
        <v>712636</v>
      </c>
      <c r="D613" s="416" t="s">
        <v>2251</v>
      </c>
      <c r="E613" s="416" t="s">
        <v>450</v>
      </c>
      <c r="F613" s="416" t="s">
        <v>453</v>
      </c>
      <c r="G613" s="416" t="s">
        <v>905</v>
      </c>
      <c r="H613" s="416" t="s">
        <v>840</v>
      </c>
      <c r="I613" s="416" t="s">
        <v>840</v>
      </c>
      <c r="J613" s="415" t="s">
        <v>661</v>
      </c>
      <c r="K613" s="417">
        <v>-13.24058</v>
      </c>
      <c r="L613" s="417">
        <v>-74.474310000000003</v>
      </c>
      <c r="M613" s="418">
        <v>30</v>
      </c>
      <c r="N613" s="418" t="s">
        <v>2310</v>
      </c>
      <c r="O613" s="418" t="s">
        <v>2953</v>
      </c>
      <c r="P613" s="415">
        <v>3</v>
      </c>
      <c r="Q613" s="415">
        <v>30</v>
      </c>
      <c r="R613" s="415">
        <v>5</v>
      </c>
      <c r="S613" s="415">
        <f t="shared" si="27"/>
        <v>5</v>
      </c>
      <c r="T613" s="419">
        <f t="shared" si="28"/>
        <v>0.83333333333333337</v>
      </c>
      <c r="U613" s="419">
        <f t="shared" si="29"/>
        <v>5.833333333333333</v>
      </c>
      <c r="V613" s="415" t="s">
        <v>662</v>
      </c>
      <c r="W613" s="415" t="s">
        <v>612</v>
      </c>
      <c r="X613" s="415" t="s">
        <v>671</v>
      </c>
      <c r="Y613" s="415"/>
    </row>
    <row r="614" spans="1:25" hidden="1" x14ac:dyDescent="0.25">
      <c r="A614" s="415">
        <v>613</v>
      </c>
      <c r="B614" s="415">
        <v>1012</v>
      </c>
      <c r="C614" s="415">
        <v>78956</v>
      </c>
      <c r="D614" s="416" t="s">
        <v>1672</v>
      </c>
      <c r="E614" s="416" t="s">
        <v>450</v>
      </c>
      <c r="F614" s="416" t="s">
        <v>3105</v>
      </c>
      <c r="G614" s="416" t="s">
        <v>964</v>
      </c>
      <c r="H614" s="416" t="s">
        <v>3105</v>
      </c>
      <c r="I614" s="416" t="s">
        <v>3106</v>
      </c>
      <c r="J614" s="415" t="s">
        <v>747</v>
      </c>
      <c r="K614" s="417">
        <v>-13.918200000000001</v>
      </c>
      <c r="L614" s="417">
        <v>-74.332705000000004</v>
      </c>
      <c r="M614" s="418">
        <v>30</v>
      </c>
      <c r="N614" s="418" t="s">
        <v>2310</v>
      </c>
      <c r="O614" s="418" t="s">
        <v>2953</v>
      </c>
      <c r="P614" s="415">
        <v>3</v>
      </c>
      <c r="Q614" s="415">
        <v>30</v>
      </c>
      <c r="R614" s="415">
        <v>5</v>
      </c>
      <c r="S614" s="415">
        <f t="shared" si="27"/>
        <v>5</v>
      </c>
      <c r="T614" s="419">
        <f t="shared" si="28"/>
        <v>0.83333333333333337</v>
      </c>
      <c r="U614" s="419">
        <f t="shared" si="29"/>
        <v>5.833333333333333</v>
      </c>
      <c r="V614" s="415" t="s">
        <v>662</v>
      </c>
      <c r="W614" s="415" t="s">
        <v>613</v>
      </c>
      <c r="X614" s="415" t="s">
        <v>671</v>
      </c>
      <c r="Y614" s="415"/>
    </row>
    <row r="615" spans="1:25" hidden="1" x14ac:dyDescent="0.25">
      <c r="A615" s="415">
        <v>614</v>
      </c>
      <c r="B615" s="415">
        <v>1013</v>
      </c>
      <c r="C615" s="415">
        <v>77805</v>
      </c>
      <c r="D615" s="416" t="s">
        <v>3107</v>
      </c>
      <c r="E615" s="416" t="s">
        <v>450</v>
      </c>
      <c r="F615" s="416" t="s">
        <v>451</v>
      </c>
      <c r="G615" s="416" t="s">
        <v>908</v>
      </c>
      <c r="H615" s="416" t="s">
        <v>3108</v>
      </c>
      <c r="I615" s="416" t="s">
        <v>3108</v>
      </c>
      <c r="J615" s="415" t="s">
        <v>661</v>
      </c>
      <c r="K615" s="417">
        <v>-12.3116</v>
      </c>
      <c r="L615" s="417">
        <v>-73.981999999999999</v>
      </c>
      <c r="M615" s="418">
        <v>30</v>
      </c>
      <c r="N615" s="418" t="s">
        <v>2310</v>
      </c>
      <c r="O615" s="418" t="s">
        <v>2953</v>
      </c>
      <c r="P615" s="415">
        <v>3</v>
      </c>
      <c r="Q615" s="415">
        <v>30</v>
      </c>
      <c r="R615" s="415">
        <v>5</v>
      </c>
      <c r="S615" s="415">
        <f t="shared" si="27"/>
        <v>5</v>
      </c>
      <c r="T615" s="419">
        <f t="shared" si="28"/>
        <v>0.83333333333333337</v>
      </c>
      <c r="U615" s="419">
        <f t="shared" si="29"/>
        <v>5.833333333333333</v>
      </c>
      <c r="V615" s="415" t="s">
        <v>662</v>
      </c>
      <c r="W615" s="415" t="s">
        <v>612</v>
      </c>
      <c r="X615" s="415" t="s">
        <v>671</v>
      </c>
      <c r="Y615" s="415"/>
    </row>
    <row r="616" spans="1:25" hidden="1" x14ac:dyDescent="0.25">
      <c r="A616" s="415">
        <v>615</v>
      </c>
      <c r="B616" s="415">
        <v>1014</v>
      </c>
      <c r="C616" s="415">
        <v>510803</v>
      </c>
      <c r="D616" s="416" t="s">
        <v>3109</v>
      </c>
      <c r="E616" s="416" t="s">
        <v>450</v>
      </c>
      <c r="F616" s="416" t="s">
        <v>451</v>
      </c>
      <c r="G616" s="416" t="s">
        <v>2199</v>
      </c>
      <c r="H616" s="416" t="s">
        <v>599</v>
      </c>
      <c r="I616" s="416" t="s">
        <v>3110</v>
      </c>
      <c r="J616" s="415" t="s">
        <v>661</v>
      </c>
      <c r="K616" s="417">
        <v>-12.78323</v>
      </c>
      <c r="L616" s="417">
        <v>-74.167280000000005</v>
      </c>
      <c r="M616" s="418">
        <v>30</v>
      </c>
      <c r="N616" s="418" t="s">
        <v>2310</v>
      </c>
      <c r="O616" s="418" t="s">
        <v>2953</v>
      </c>
      <c r="P616" s="415">
        <v>3</v>
      </c>
      <c r="Q616" s="415">
        <v>30</v>
      </c>
      <c r="R616" s="415">
        <v>5</v>
      </c>
      <c r="S616" s="415">
        <f t="shared" si="27"/>
        <v>5</v>
      </c>
      <c r="T616" s="419">
        <f t="shared" si="28"/>
        <v>0.83333333333333337</v>
      </c>
      <c r="U616" s="419">
        <f t="shared" si="29"/>
        <v>5.833333333333333</v>
      </c>
      <c r="V616" s="415" t="s">
        <v>662</v>
      </c>
      <c r="W616" s="415" t="s">
        <v>612</v>
      </c>
      <c r="X616" s="415" t="s">
        <v>671</v>
      </c>
      <c r="Y616" s="415"/>
    </row>
    <row r="617" spans="1:25" hidden="1" x14ac:dyDescent="0.25">
      <c r="A617" s="415">
        <v>616</v>
      </c>
      <c r="B617" s="415">
        <v>1015</v>
      </c>
      <c r="C617" s="415">
        <v>505439</v>
      </c>
      <c r="D617" s="416" t="s">
        <v>2197</v>
      </c>
      <c r="E617" s="416" t="s">
        <v>450</v>
      </c>
      <c r="F617" s="416" t="s">
        <v>451</v>
      </c>
      <c r="G617" s="416" t="s">
        <v>934</v>
      </c>
      <c r="H617" s="416" t="s">
        <v>2198</v>
      </c>
      <c r="I617" s="416" t="s">
        <v>860</v>
      </c>
      <c r="J617" s="415" t="s">
        <v>661</v>
      </c>
      <c r="K617" s="417">
        <v>-13.023300000000001</v>
      </c>
      <c r="L617" s="417">
        <v>-74.186300000000003</v>
      </c>
      <c r="M617" s="418">
        <v>30</v>
      </c>
      <c r="N617" s="418" t="s">
        <v>2310</v>
      </c>
      <c r="O617" s="418" t="s">
        <v>2953</v>
      </c>
      <c r="P617" s="415">
        <v>3</v>
      </c>
      <c r="Q617" s="415">
        <v>30</v>
      </c>
      <c r="R617" s="415">
        <v>5</v>
      </c>
      <c r="S617" s="415">
        <f t="shared" si="27"/>
        <v>5</v>
      </c>
      <c r="T617" s="419">
        <f t="shared" si="28"/>
        <v>0.83333333333333337</v>
      </c>
      <c r="U617" s="419">
        <f t="shared" si="29"/>
        <v>5.833333333333333</v>
      </c>
      <c r="V617" s="415" t="s">
        <v>662</v>
      </c>
      <c r="W617" s="415" t="s">
        <v>612</v>
      </c>
      <c r="X617" s="415" t="s">
        <v>671</v>
      </c>
      <c r="Y617" s="415"/>
    </row>
    <row r="618" spans="1:25" hidden="1" x14ac:dyDescent="0.25">
      <c r="A618" s="415">
        <v>617</v>
      </c>
      <c r="B618" s="415">
        <v>1016</v>
      </c>
      <c r="C618" s="415">
        <v>80389</v>
      </c>
      <c r="D618" s="416" t="s">
        <v>933</v>
      </c>
      <c r="E618" s="416" t="s">
        <v>450</v>
      </c>
      <c r="F618" s="416" t="s">
        <v>451</v>
      </c>
      <c r="G618" s="416" t="s">
        <v>934</v>
      </c>
      <c r="H618" s="416" t="s">
        <v>935</v>
      </c>
      <c r="I618" s="416" t="s">
        <v>936</v>
      </c>
      <c r="J618" s="415" t="s">
        <v>661</v>
      </c>
      <c r="K618" s="417">
        <v>-13.029201</v>
      </c>
      <c r="L618" s="417">
        <v>-74.189722000000003</v>
      </c>
      <c r="M618" s="418">
        <v>30</v>
      </c>
      <c r="N618" s="418" t="s">
        <v>2310</v>
      </c>
      <c r="O618" s="418" t="s">
        <v>2953</v>
      </c>
      <c r="P618" s="415">
        <v>3</v>
      </c>
      <c r="Q618" s="415">
        <v>30</v>
      </c>
      <c r="R618" s="415">
        <v>5</v>
      </c>
      <c r="S618" s="415">
        <f t="shared" si="27"/>
        <v>5</v>
      </c>
      <c r="T618" s="419">
        <f t="shared" si="28"/>
        <v>0.83333333333333337</v>
      </c>
      <c r="U618" s="419">
        <f t="shared" si="29"/>
        <v>5.833333333333333</v>
      </c>
      <c r="V618" s="415" t="s">
        <v>662</v>
      </c>
      <c r="W618" s="415" t="s">
        <v>612</v>
      </c>
      <c r="X618" s="415" t="s">
        <v>671</v>
      </c>
      <c r="Y618" s="415"/>
    </row>
    <row r="619" spans="1:25" hidden="1" x14ac:dyDescent="0.25">
      <c r="A619" s="415">
        <v>618</v>
      </c>
      <c r="B619" s="415">
        <v>1017</v>
      </c>
      <c r="C619" s="415">
        <v>80407</v>
      </c>
      <c r="D619" s="416" t="s">
        <v>937</v>
      </c>
      <c r="E619" s="416" t="s">
        <v>450</v>
      </c>
      <c r="F619" s="416" t="s">
        <v>451</v>
      </c>
      <c r="G619" s="416" t="s">
        <v>934</v>
      </c>
      <c r="H619" s="416" t="s">
        <v>938</v>
      </c>
      <c r="I619" s="416" t="s">
        <v>860</v>
      </c>
      <c r="J619" s="415" t="s">
        <v>661</v>
      </c>
      <c r="K619" s="417">
        <v>-13.028</v>
      </c>
      <c r="L619" s="417">
        <v>-74.213999999999999</v>
      </c>
      <c r="M619" s="418">
        <v>30</v>
      </c>
      <c r="N619" s="418" t="s">
        <v>2310</v>
      </c>
      <c r="O619" s="418" t="s">
        <v>2953</v>
      </c>
      <c r="P619" s="415">
        <v>3</v>
      </c>
      <c r="Q619" s="415">
        <v>30</v>
      </c>
      <c r="R619" s="415">
        <v>5</v>
      </c>
      <c r="S619" s="415">
        <f t="shared" si="27"/>
        <v>5</v>
      </c>
      <c r="T619" s="419">
        <f t="shared" si="28"/>
        <v>0.83333333333333337</v>
      </c>
      <c r="U619" s="419">
        <f t="shared" si="29"/>
        <v>5.833333333333333</v>
      </c>
      <c r="V619" s="415" t="s">
        <v>662</v>
      </c>
      <c r="W619" s="415" t="s">
        <v>612</v>
      </c>
      <c r="X619" s="415" t="s">
        <v>671</v>
      </c>
      <c r="Y619" s="415"/>
    </row>
    <row r="620" spans="1:25" hidden="1" x14ac:dyDescent="0.25">
      <c r="A620" s="415">
        <v>619</v>
      </c>
      <c r="B620" s="415">
        <v>1018</v>
      </c>
      <c r="C620" s="415">
        <v>517055</v>
      </c>
      <c r="D620" s="416" t="s">
        <v>2204</v>
      </c>
      <c r="E620" s="416" t="s">
        <v>450</v>
      </c>
      <c r="F620" s="416" t="s">
        <v>451</v>
      </c>
      <c r="G620" s="416" t="s">
        <v>934</v>
      </c>
      <c r="H620" s="416" t="s">
        <v>938</v>
      </c>
      <c r="I620" s="416" t="s">
        <v>2205</v>
      </c>
      <c r="J620" s="415" t="s">
        <v>661</v>
      </c>
      <c r="K620" s="417">
        <v>-13.028700000000001</v>
      </c>
      <c r="L620" s="417">
        <v>-74.213200000000001</v>
      </c>
      <c r="M620" s="418">
        <v>30</v>
      </c>
      <c r="N620" s="418" t="s">
        <v>2310</v>
      </c>
      <c r="O620" s="418" t="s">
        <v>2953</v>
      </c>
      <c r="P620" s="415">
        <v>3</v>
      </c>
      <c r="Q620" s="415">
        <v>30</v>
      </c>
      <c r="R620" s="415">
        <v>5</v>
      </c>
      <c r="S620" s="415">
        <f t="shared" si="27"/>
        <v>5</v>
      </c>
      <c r="T620" s="419">
        <f t="shared" si="28"/>
        <v>0.83333333333333337</v>
      </c>
      <c r="U620" s="419">
        <f t="shared" si="29"/>
        <v>5.833333333333333</v>
      </c>
      <c r="V620" s="415" t="s">
        <v>662</v>
      </c>
      <c r="W620" s="415" t="s">
        <v>612</v>
      </c>
      <c r="X620" s="415" t="s">
        <v>671</v>
      </c>
      <c r="Y620" s="415"/>
    </row>
    <row r="621" spans="1:25" hidden="1" x14ac:dyDescent="0.25">
      <c r="A621" s="415">
        <v>620</v>
      </c>
      <c r="B621" s="415">
        <v>1019</v>
      </c>
      <c r="C621" s="415">
        <v>79994</v>
      </c>
      <c r="D621" s="416" t="s">
        <v>3111</v>
      </c>
      <c r="E621" s="416" t="s">
        <v>450</v>
      </c>
      <c r="F621" s="416" t="s">
        <v>451</v>
      </c>
      <c r="G621" s="416" t="s">
        <v>451</v>
      </c>
      <c r="H621" s="416" t="s">
        <v>3112</v>
      </c>
      <c r="I621" s="416" t="s">
        <v>860</v>
      </c>
      <c r="J621" s="415" t="s">
        <v>661</v>
      </c>
      <c r="K621" s="417">
        <v>-12.9214</v>
      </c>
      <c r="L621" s="417">
        <v>-74.248199999999997</v>
      </c>
      <c r="M621" s="418">
        <v>30</v>
      </c>
      <c r="N621" s="418" t="s">
        <v>2310</v>
      </c>
      <c r="O621" s="418" t="s">
        <v>2953</v>
      </c>
      <c r="P621" s="415">
        <v>3</v>
      </c>
      <c r="Q621" s="415">
        <v>30</v>
      </c>
      <c r="R621" s="415">
        <v>5</v>
      </c>
      <c r="S621" s="415">
        <f t="shared" si="27"/>
        <v>5</v>
      </c>
      <c r="T621" s="419">
        <f t="shared" si="28"/>
        <v>0.83333333333333337</v>
      </c>
      <c r="U621" s="419">
        <f t="shared" si="29"/>
        <v>5.833333333333333</v>
      </c>
      <c r="V621" s="415" t="s">
        <v>662</v>
      </c>
      <c r="W621" s="415" t="s">
        <v>612</v>
      </c>
      <c r="X621" s="415" t="s">
        <v>671</v>
      </c>
      <c r="Y621" s="415"/>
    </row>
    <row r="622" spans="1:25" hidden="1" x14ac:dyDescent="0.25">
      <c r="A622" s="415">
        <v>621</v>
      </c>
      <c r="B622" s="415">
        <v>1020</v>
      </c>
      <c r="C622" s="415">
        <v>79404</v>
      </c>
      <c r="D622" s="416" t="s">
        <v>3113</v>
      </c>
      <c r="E622" s="416" t="s">
        <v>450</v>
      </c>
      <c r="F622" s="416" t="s">
        <v>451</v>
      </c>
      <c r="G622" s="416" t="s">
        <v>451</v>
      </c>
      <c r="H622" s="416" t="s">
        <v>3114</v>
      </c>
      <c r="I622" s="416" t="s">
        <v>3115</v>
      </c>
      <c r="J622" s="415" t="s">
        <v>661</v>
      </c>
      <c r="K622" s="417">
        <v>-12.9544</v>
      </c>
      <c r="L622" s="417">
        <v>-74.236699999999999</v>
      </c>
      <c r="M622" s="418">
        <v>30</v>
      </c>
      <c r="N622" s="418" t="s">
        <v>2310</v>
      </c>
      <c r="O622" s="418" t="s">
        <v>2953</v>
      </c>
      <c r="P622" s="415">
        <v>3</v>
      </c>
      <c r="Q622" s="415">
        <v>30</v>
      </c>
      <c r="R622" s="415">
        <v>5</v>
      </c>
      <c r="S622" s="415">
        <f t="shared" si="27"/>
        <v>5</v>
      </c>
      <c r="T622" s="419">
        <f t="shared" si="28"/>
        <v>0.83333333333333337</v>
      </c>
      <c r="U622" s="419">
        <f t="shared" si="29"/>
        <v>5.833333333333333</v>
      </c>
      <c r="V622" s="415" t="s">
        <v>662</v>
      </c>
      <c r="W622" s="415" t="s">
        <v>612</v>
      </c>
      <c r="X622" s="415" t="s">
        <v>671</v>
      </c>
      <c r="Y622" s="415"/>
    </row>
    <row r="623" spans="1:25" hidden="1" x14ac:dyDescent="0.25">
      <c r="A623" s="415">
        <v>622</v>
      </c>
      <c r="B623" s="415">
        <v>1021</v>
      </c>
      <c r="C623" s="415">
        <v>79890</v>
      </c>
      <c r="D623" s="416" t="s">
        <v>3116</v>
      </c>
      <c r="E623" s="416" t="s">
        <v>450</v>
      </c>
      <c r="F623" s="416" t="s">
        <v>451</v>
      </c>
      <c r="G623" s="416" t="s">
        <v>451</v>
      </c>
      <c r="H623" s="416" t="s">
        <v>3117</v>
      </c>
      <c r="I623" s="416" t="s">
        <v>3118</v>
      </c>
      <c r="J623" s="415" t="s">
        <v>661</v>
      </c>
      <c r="K623" s="417">
        <v>-12.9358</v>
      </c>
      <c r="L623" s="417">
        <v>-74.265699999999995</v>
      </c>
      <c r="M623" s="418">
        <v>30</v>
      </c>
      <c r="N623" s="418" t="s">
        <v>2310</v>
      </c>
      <c r="O623" s="418" t="s">
        <v>2953</v>
      </c>
      <c r="P623" s="415">
        <v>3</v>
      </c>
      <c r="Q623" s="415">
        <v>30</v>
      </c>
      <c r="R623" s="415">
        <v>5</v>
      </c>
      <c r="S623" s="415">
        <f t="shared" si="27"/>
        <v>5</v>
      </c>
      <c r="T623" s="419">
        <f t="shared" si="28"/>
        <v>0.83333333333333337</v>
      </c>
      <c r="U623" s="419">
        <f t="shared" si="29"/>
        <v>5.833333333333333</v>
      </c>
      <c r="V623" s="415" t="s">
        <v>662</v>
      </c>
      <c r="W623" s="415" t="s">
        <v>612</v>
      </c>
      <c r="X623" s="415" t="s">
        <v>671</v>
      </c>
      <c r="Y623" s="415"/>
    </row>
    <row r="624" spans="1:25" hidden="1" x14ac:dyDescent="0.25">
      <c r="A624" s="415">
        <v>623</v>
      </c>
      <c r="B624" s="415">
        <v>1022</v>
      </c>
      <c r="C624" s="415">
        <v>561406</v>
      </c>
      <c r="D624" s="416" t="s">
        <v>3119</v>
      </c>
      <c r="E624" s="416" t="s">
        <v>450</v>
      </c>
      <c r="F624" s="416" t="s">
        <v>451</v>
      </c>
      <c r="G624" s="416" t="s">
        <v>451</v>
      </c>
      <c r="H624" s="416" t="s">
        <v>3120</v>
      </c>
      <c r="I624" s="416" t="s">
        <v>3121</v>
      </c>
      <c r="J624" s="415" t="s">
        <v>661</v>
      </c>
      <c r="K624" s="417">
        <v>-12.9068</v>
      </c>
      <c r="L624" s="417">
        <v>-74.2393</v>
      </c>
      <c r="M624" s="418">
        <v>30</v>
      </c>
      <c r="N624" s="418" t="s">
        <v>2310</v>
      </c>
      <c r="O624" s="418" t="s">
        <v>2953</v>
      </c>
      <c r="P624" s="415">
        <v>3</v>
      </c>
      <c r="Q624" s="415">
        <v>30</v>
      </c>
      <c r="R624" s="415">
        <v>5</v>
      </c>
      <c r="S624" s="415">
        <f t="shared" si="27"/>
        <v>5</v>
      </c>
      <c r="T624" s="419">
        <f t="shared" si="28"/>
        <v>0.83333333333333337</v>
      </c>
      <c r="U624" s="419">
        <f t="shared" si="29"/>
        <v>5.833333333333333</v>
      </c>
      <c r="V624" s="415" t="s">
        <v>662</v>
      </c>
      <c r="W624" s="415" t="s">
        <v>612</v>
      </c>
      <c r="X624" s="415" t="s">
        <v>671</v>
      </c>
      <c r="Y624" s="415"/>
    </row>
    <row r="625" spans="1:25" hidden="1" x14ac:dyDescent="0.25">
      <c r="A625" s="415">
        <v>624</v>
      </c>
      <c r="B625" s="415">
        <v>1023</v>
      </c>
      <c r="C625" s="415">
        <v>79593</v>
      </c>
      <c r="D625" s="416" t="s">
        <v>3122</v>
      </c>
      <c r="E625" s="416" t="s">
        <v>450</v>
      </c>
      <c r="F625" s="416" t="s">
        <v>451</v>
      </c>
      <c r="G625" s="416" t="s">
        <v>451</v>
      </c>
      <c r="H625" s="416" t="s">
        <v>3123</v>
      </c>
      <c r="I625" s="416" t="s">
        <v>3123</v>
      </c>
      <c r="J625" s="415" t="s">
        <v>661</v>
      </c>
      <c r="K625" s="417">
        <v>-12.909367</v>
      </c>
      <c r="L625" s="417">
        <v>-74.235380000000006</v>
      </c>
      <c r="M625" s="418">
        <v>30</v>
      </c>
      <c r="N625" s="418" t="s">
        <v>2310</v>
      </c>
      <c r="O625" s="418" t="s">
        <v>2953</v>
      </c>
      <c r="P625" s="415">
        <v>3</v>
      </c>
      <c r="Q625" s="415">
        <v>30</v>
      </c>
      <c r="R625" s="415">
        <v>5</v>
      </c>
      <c r="S625" s="415">
        <f t="shared" si="27"/>
        <v>5</v>
      </c>
      <c r="T625" s="419">
        <f t="shared" si="28"/>
        <v>0.83333333333333337</v>
      </c>
      <c r="U625" s="419">
        <f t="shared" si="29"/>
        <v>5.833333333333333</v>
      </c>
      <c r="V625" s="415" t="s">
        <v>662</v>
      </c>
      <c r="W625" s="415" t="s">
        <v>612</v>
      </c>
      <c r="X625" s="415" t="s">
        <v>671</v>
      </c>
      <c r="Y625" s="415"/>
    </row>
    <row r="626" spans="1:25" hidden="1" x14ac:dyDescent="0.25">
      <c r="A626" s="415">
        <v>625</v>
      </c>
      <c r="B626" s="415">
        <v>1024</v>
      </c>
      <c r="C626" s="415">
        <v>79423</v>
      </c>
      <c r="D626" s="416" t="s">
        <v>3124</v>
      </c>
      <c r="E626" s="416" t="s">
        <v>450</v>
      </c>
      <c r="F626" s="416" t="s">
        <v>451</v>
      </c>
      <c r="G626" s="416" t="s">
        <v>451</v>
      </c>
      <c r="H626" s="416" t="s">
        <v>3125</v>
      </c>
      <c r="I626" s="416" t="s">
        <v>3126</v>
      </c>
      <c r="J626" s="415" t="s">
        <v>747</v>
      </c>
      <c r="K626" s="417">
        <v>-12.930199999999999</v>
      </c>
      <c r="L626" s="417">
        <v>-74.242199999999997</v>
      </c>
      <c r="M626" s="418">
        <v>30</v>
      </c>
      <c r="N626" s="418" t="s">
        <v>2310</v>
      </c>
      <c r="O626" s="418" t="s">
        <v>2953</v>
      </c>
      <c r="P626" s="415">
        <v>3</v>
      </c>
      <c r="Q626" s="415">
        <v>30</v>
      </c>
      <c r="R626" s="415">
        <v>5</v>
      </c>
      <c r="S626" s="415">
        <f t="shared" si="27"/>
        <v>5</v>
      </c>
      <c r="T626" s="419">
        <f t="shared" si="28"/>
        <v>0.83333333333333337</v>
      </c>
      <c r="U626" s="419">
        <f t="shared" si="29"/>
        <v>5.833333333333333</v>
      </c>
      <c r="V626" s="415" t="s">
        <v>662</v>
      </c>
      <c r="W626" s="415" t="s">
        <v>612</v>
      </c>
      <c r="X626" s="415" t="s">
        <v>671</v>
      </c>
      <c r="Y626" s="415"/>
    </row>
    <row r="627" spans="1:25" hidden="1" x14ac:dyDescent="0.25">
      <c r="A627" s="415">
        <v>626</v>
      </c>
      <c r="B627" s="415">
        <v>1025</v>
      </c>
      <c r="C627" s="415">
        <v>79507</v>
      </c>
      <c r="D627" s="416" t="s">
        <v>3127</v>
      </c>
      <c r="E627" s="416" t="s">
        <v>450</v>
      </c>
      <c r="F627" s="416" t="s">
        <v>451</v>
      </c>
      <c r="G627" s="416" t="s">
        <v>451</v>
      </c>
      <c r="H627" s="416" t="s">
        <v>3128</v>
      </c>
      <c r="I627" s="416" t="s">
        <v>3128</v>
      </c>
      <c r="J627" s="415" t="s">
        <v>661</v>
      </c>
      <c r="K627" s="417">
        <v>-12.9406</v>
      </c>
      <c r="L627" s="417">
        <v>-74.269549999999995</v>
      </c>
      <c r="M627" s="418">
        <v>30</v>
      </c>
      <c r="N627" s="418" t="s">
        <v>2310</v>
      </c>
      <c r="O627" s="418" t="s">
        <v>2953</v>
      </c>
      <c r="P627" s="415">
        <v>3</v>
      </c>
      <c r="Q627" s="415">
        <v>30</v>
      </c>
      <c r="R627" s="415">
        <v>5</v>
      </c>
      <c r="S627" s="415">
        <f t="shared" si="27"/>
        <v>5</v>
      </c>
      <c r="T627" s="419">
        <f t="shared" si="28"/>
        <v>0.83333333333333337</v>
      </c>
      <c r="U627" s="419">
        <f t="shared" si="29"/>
        <v>5.833333333333333</v>
      </c>
      <c r="V627" s="415" t="s">
        <v>662</v>
      </c>
      <c r="W627" s="415" t="s">
        <v>612</v>
      </c>
      <c r="X627" s="415" t="s">
        <v>671</v>
      </c>
      <c r="Y627" s="415"/>
    </row>
    <row r="628" spans="1:25" hidden="1" x14ac:dyDescent="0.25">
      <c r="A628" s="415">
        <v>627</v>
      </c>
      <c r="B628" s="415">
        <v>1026</v>
      </c>
      <c r="C628" s="415">
        <v>849559</v>
      </c>
      <c r="D628" s="416" t="s">
        <v>2286</v>
      </c>
      <c r="E628" s="416" t="s">
        <v>450</v>
      </c>
      <c r="F628" s="416" t="s">
        <v>451</v>
      </c>
      <c r="G628" s="416" t="s">
        <v>2245</v>
      </c>
      <c r="H628" s="416" t="s">
        <v>2287</v>
      </c>
      <c r="I628" s="416" t="s">
        <v>2287</v>
      </c>
      <c r="J628" s="415" t="s">
        <v>661</v>
      </c>
      <c r="K628" s="417">
        <v>-12.48048</v>
      </c>
      <c r="L628" s="417">
        <v>-74.077550000000002</v>
      </c>
      <c r="M628" s="418">
        <v>30</v>
      </c>
      <c r="N628" s="418" t="s">
        <v>2310</v>
      </c>
      <c r="O628" s="418" t="s">
        <v>2953</v>
      </c>
      <c r="P628" s="415">
        <v>3</v>
      </c>
      <c r="Q628" s="415">
        <v>30</v>
      </c>
      <c r="R628" s="415">
        <v>5</v>
      </c>
      <c r="S628" s="415">
        <f t="shared" si="27"/>
        <v>5</v>
      </c>
      <c r="T628" s="419">
        <f t="shared" si="28"/>
        <v>0.83333333333333337</v>
      </c>
      <c r="U628" s="419">
        <f t="shared" si="29"/>
        <v>5.833333333333333</v>
      </c>
      <c r="V628" s="415" t="s">
        <v>662</v>
      </c>
      <c r="W628" s="415" t="s">
        <v>612</v>
      </c>
      <c r="X628" s="415" t="s">
        <v>671</v>
      </c>
      <c r="Y628" s="415"/>
    </row>
    <row r="629" spans="1:25" hidden="1" x14ac:dyDescent="0.25">
      <c r="A629" s="415">
        <v>628</v>
      </c>
      <c r="B629" s="415">
        <v>1027</v>
      </c>
      <c r="C629" s="415">
        <v>80638</v>
      </c>
      <c r="D629" s="416" t="s">
        <v>3129</v>
      </c>
      <c r="E629" s="416" t="s">
        <v>450</v>
      </c>
      <c r="F629" s="416" t="s">
        <v>451</v>
      </c>
      <c r="G629" s="416" t="s">
        <v>940</v>
      </c>
      <c r="H629" s="416" t="s">
        <v>572</v>
      </c>
      <c r="I629" s="416" t="s">
        <v>3130</v>
      </c>
      <c r="J629" s="415" t="s">
        <v>661</v>
      </c>
      <c r="K629" s="417">
        <v>-12.925800000000001</v>
      </c>
      <c r="L629" s="417">
        <v>-74.2971</v>
      </c>
      <c r="M629" s="418">
        <v>30</v>
      </c>
      <c r="N629" s="418" t="s">
        <v>2310</v>
      </c>
      <c r="O629" s="418" t="s">
        <v>2953</v>
      </c>
      <c r="P629" s="415">
        <v>3</v>
      </c>
      <c r="Q629" s="415">
        <v>30</v>
      </c>
      <c r="R629" s="415">
        <v>5</v>
      </c>
      <c r="S629" s="415">
        <f t="shared" si="27"/>
        <v>5</v>
      </c>
      <c r="T629" s="419">
        <f t="shared" si="28"/>
        <v>0.83333333333333337</v>
      </c>
      <c r="U629" s="419">
        <f t="shared" si="29"/>
        <v>5.833333333333333</v>
      </c>
      <c r="V629" s="415" t="s">
        <v>662</v>
      </c>
      <c r="W629" s="415" t="s">
        <v>612</v>
      </c>
      <c r="X629" s="415" t="s">
        <v>671</v>
      </c>
      <c r="Y629" s="415"/>
    </row>
    <row r="630" spans="1:25" hidden="1" x14ac:dyDescent="0.25">
      <c r="A630" s="415">
        <v>629</v>
      </c>
      <c r="B630" s="415">
        <v>1028</v>
      </c>
      <c r="C630" s="415">
        <v>80577</v>
      </c>
      <c r="D630" s="416" t="s">
        <v>3131</v>
      </c>
      <c r="E630" s="416" t="s">
        <v>450</v>
      </c>
      <c r="F630" s="416" t="s">
        <v>451</v>
      </c>
      <c r="G630" s="416" t="s">
        <v>940</v>
      </c>
      <c r="H630" s="416" t="s">
        <v>940</v>
      </c>
      <c r="I630" s="416" t="s">
        <v>3132</v>
      </c>
      <c r="J630" s="415" t="s">
        <v>661</v>
      </c>
      <c r="K630" s="417">
        <v>-12.9011</v>
      </c>
      <c r="L630" s="417">
        <v>-74.274100000000004</v>
      </c>
      <c r="M630" s="418">
        <v>30</v>
      </c>
      <c r="N630" s="418" t="s">
        <v>2310</v>
      </c>
      <c r="O630" s="418" t="s">
        <v>2953</v>
      </c>
      <c r="P630" s="415">
        <v>3</v>
      </c>
      <c r="Q630" s="415">
        <v>30</v>
      </c>
      <c r="R630" s="415">
        <v>5</v>
      </c>
      <c r="S630" s="415">
        <f t="shared" si="27"/>
        <v>5</v>
      </c>
      <c r="T630" s="419">
        <f t="shared" si="28"/>
        <v>0.83333333333333337</v>
      </c>
      <c r="U630" s="419">
        <f t="shared" si="29"/>
        <v>5.833333333333333</v>
      </c>
      <c r="V630" s="415" t="s">
        <v>662</v>
      </c>
      <c r="W630" s="415" t="s">
        <v>612</v>
      </c>
      <c r="X630" s="415" t="s">
        <v>671</v>
      </c>
      <c r="Y630" s="415"/>
    </row>
    <row r="631" spans="1:25" hidden="1" x14ac:dyDescent="0.25">
      <c r="A631" s="415">
        <v>630</v>
      </c>
      <c r="B631" s="415">
        <v>1029</v>
      </c>
      <c r="C631" s="415">
        <v>80582</v>
      </c>
      <c r="D631" s="416" t="s">
        <v>3133</v>
      </c>
      <c r="E631" s="416" t="s">
        <v>450</v>
      </c>
      <c r="F631" s="416" t="s">
        <v>451</v>
      </c>
      <c r="G631" s="416" t="s">
        <v>940</v>
      </c>
      <c r="H631" s="416" t="s">
        <v>940</v>
      </c>
      <c r="I631" s="416" t="s">
        <v>3134</v>
      </c>
      <c r="J631" s="415" t="s">
        <v>661</v>
      </c>
      <c r="K631" s="417">
        <v>-12.9009</v>
      </c>
      <c r="L631" s="417">
        <v>-74.272400000000005</v>
      </c>
      <c r="M631" s="418">
        <v>30</v>
      </c>
      <c r="N631" s="418" t="s">
        <v>2310</v>
      </c>
      <c r="O631" s="418" t="s">
        <v>2953</v>
      </c>
      <c r="P631" s="415">
        <v>3</v>
      </c>
      <c r="Q631" s="415">
        <v>30</v>
      </c>
      <c r="R631" s="415">
        <v>5</v>
      </c>
      <c r="S631" s="415">
        <f t="shared" si="27"/>
        <v>5</v>
      </c>
      <c r="T631" s="419">
        <f t="shared" si="28"/>
        <v>0.83333333333333337</v>
      </c>
      <c r="U631" s="419">
        <f t="shared" si="29"/>
        <v>5.833333333333333</v>
      </c>
      <c r="V631" s="415" t="s">
        <v>662</v>
      </c>
      <c r="W631" s="415" t="s">
        <v>612</v>
      </c>
      <c r="X631" s="415" t="s">
        <v>671</v>
      </c>
      <c r="Y631" s="415"/>
    </row>
    <row r="632" spans="1:25" hidden="1" x14ac:dyDescent="0.25">
      <c r="A632" s="415">
        <v>631</v>
      </c>
      <c r="B632" s="415">
        <v>1030</v>
      </c>
      <c r="C632" s="415">
        <v>80600</v>
      </c>
      <c r="D632" s="416" t="s">
        <v>939</v>
      </c>
      <c r="E632" s="416" t="s">
        <v>450</v>
      </c>
      <c r="F632" s="416" t="s">
        <v>451</v>
      </c>
      <c r="G632" s="416" t="s">
        <v>940</v>
      </c>
      <c r="H632" s="416" t="s">
        <v>941</v>
      </c>
      <c r="I632" s="416" t="s">
        <v>860</v>
      </c>
      <c r="J632" s="415" t="s">
        <v>661</v>
      </c>
      <c r="K632" s="417">
        <v>-12.8787</v>
      </c>
      <c r="L632" s="417">
        <v>-74.286299999999997</v>
      </c>
      <c r="M632" s="418">
        <v>30</v>
      </c>
      <c r="N632" s="418" t="s">
        <v>2310</v>
      </c>
      <c r="O632" s="418" t="s">
        <v>2953</v>
      </c>
      <c r="P632" s="415">
        <v>3</v>
      </c>
      <c r="Q632" s="415">
        <v>30</v>
      </c>
      <c r="R632" s="415">
        <v>5</v>
      </c>
      <c r="S632" s="415">
        <f t="shared" si="27"/>
        <v>5</v>
      </c>
      <c r="T632" s="419">
        <f t="shared" si="28"/>
        <v>0.83333333333333337</v>
      </c>
      <c r="U632" s="419">
        <f t="shared" si="29"/>
        <v>5.833333333333333</v>
      </c>
      <c r="V632" s="415" t="s">
        <v>662</v>
      </c>
      <c r="W632" s="415" t="s">
        <v>612</v>
      </c>
      <c r="X632" s="415" t="s">
        <v>671</v>
      </c>
      <c r="Y632" s="415"/>
    </row>
    <row r="633" spans="1:25" hidden="1" x14ac:dyDescent="0.25">
      <c r="A633" s="415">
        <v>632</v>
      </c>
      <c r="B633" s="415">
        <v>1031</v>
      </c>
      <c r="C633" s="415">
        <v>79673</v>
      </c>
      <c r="D633" s="416" t="s">
        <v>931</v>
      </c>
      <c r="E633" s="416" t="s">
        <v>450</v>
      </c>
      <c r="F633" s="416" t="s">
        <v>451</v>
      </c>
      <c r="G633" s="416" t="s">
        <v>928</v>
      </c>
      <c r="H633" s="416" t="s">
        <v>932</v>
      </c>
      <c r="I633" s="416" t="s">
        <v>932</v>
      </c>
      <c r="J633" s="415" t="s">
        <v>661</v>
      </c>
      <c r="K633" s="417">
        <v>-12.779299999999999</v>
      </c>
      <c r="L633" s="417">
        <v>-74.106800000000007</v>
      </c>
      <c r="M633" s="418">
        <v>30</v>
      </c>
      <c r="N633" s="418" t="s">
        <v>2310</v>
      </c>
      <c r="O633" s="418" t="s">
        <v>2953</v>
      </c>
      <c r="P633" s="415">
        <v>3</v>
      </c>
      <c r="Q633" s="415">
        <v>30</v>
      </c>
      <c r="R633" s="415">
        <v>5</v>
      </c>
      <c r="S633" s="415">
        <f t="shared" si="27"/>
        <v>5</v>
      </c>
      <c r="T633" s="419">
        <f t="shared" si="28"/>
        <v>0.83333333333333337</v>
      </c>
      <c r="U633" s="419">
        <f t="shared" si="29"/>
        <v>5.833333333333333</v>
      </c>
      <c r="V633" s="415" t="s">
        <v>662</v>
      </c>
      <c r="W633" s="415" t="s">
        <v>612</v>
      </c>
      <c r="X633" s="415" t="s">
        <v>671</v>
      </c>
      <c r="Y633" s="415"/>
    </row>
    <row r="634" spans="1:25" hidden="1" x14ac:dyDescent="0.25">
      <c r="A634" s="415">
        <v>633</v>
      </c>
      <c r="B634" s="415">
        <v>1032</v>
      </c>
      <c r="C634" s="415">
        <v>79654</v>
      </c>
      <c r="D634" s="416" t="s">
        <v>929</v>
      </c>
      <c r="E634" s="416" t="s">
        <v>450</v>
      </c>
      <c r="F634" s="416" t="s">
        <v>451</v>
      </c>
      <c r="G634" s="416" t="s">
        <v>928</v>
      </c>
      <c r="H634" s="416" t="s">
        <v>928</v>
      </c>
      <c r="I634" s="416" t="s">
        <v>930</v>
      </c>
      <c r="J634" s="415" t="s">
        <v>661</v>
      </c>
      <c r="K634" s="417">
        <v>-12.826892000000001</v>
      </c>
      <c r="L634" s="417">
        <v>-74.110174000000001</v>
      </c>
      <c r="M634" s="418">
        <v>30</v>
      </c>
      <c r="N634" s="418" t="s">
        <v>2310</v>
      </c>
      <c r="O634" s="418" t="s">
        <v>2953</v>
      </c>
      <c r="P634" s="415">
        <v>3</v>
      </c>
      <c r="Q634" s="415">
        <v>30</v>
      </c>
      <c r="R634" s="415">
        <v>5</v>
      </c>
      <c r="S634" s="415">
        <f t="shared" si="27"/>
        <v>5</v>
      </c>
      <c r="T634" s="419">
        <f t="shared" si="28"/>
        <v>0.83333333333333337</v>
      </c>
      <c r="U634" s="419">
        <f t="shared" si="29"/>
        <v>5.833333333333333</v>
      </c>
      <c r="V634" s="415" t="s">
        <v>662</v>
      </c>
      <c r="W634" s="415" t="s">
        <v>612</v>
      </c>
      <c r="X634" s="415" t="s">
        <v>671</v>
      </c>
      <c r="Y634" s="415"/>
    </row>
    <row r="635" spans="1:25" hidden="1" x14ac:dyDescent="0.25">
      <c r="A635" s="415">
        <v>634</v>
      </c>
      <c r="B635" s="415">
        <v>1033</v>
      </c>
      <c r="C635" s="415">
        <v>82213</v>
      </c>
      <c r="D635" s="416" t="s">
        <v>3135</v>
      </c>
      <c r="E635" s="416" t="s">
        <v>450</v>
      </c>
      <c r="F635" s="416" t="s">
        <v>452</v>
      </c>
      <c r="G635" s="416" t="s">
        <v>472</v>
      </c>
      <c r="H635" s="416" t="s">
        <v>472</v>
      </c>
      <c r="I635" s="416" t="s">
        <v>3136</v>
      </c>
      <c r="J635" s="415" t="s">
        <v>747</v>
      </c>
      <c r="K635" s="417">
        <v>-13.013793</v>
      </c>
      <c r="L635" s="417">
        <v>-73.980045000000004</v>
      </c>
      <c r="M635" s="418">
        <v>30</v>
      </c>
      <c r="N635" s="418" t="s">
        <v>2310</v>
      </c>
      <c r="O635" s="418" t="s">
        <v>2953</v>
      </c>
      <c r="P635" s="415">
        <v>3</v>
      </c>
      <c r="Q635" s="415">
        <v>30</v>
      </c>
      <c r="R635" s="415">
        <v>5</v>
      </c>
      <c r="S635" s="415">
        <f t="shared" si="27"/>
        <v>5</v>
      </c>
      <c r="T635" s="419">
        <f t="shared" si="28"/>
        <v>0.83333333333333337</v>
      </c>
      <c r="U635" s="419">
        <f t="shared" si="29"/>
        <v>5.833333333333333</v>
      </c>
      <c r="V635" s="415" t="s">
        <v>662</v>
      </c>
      <c r="W635" s="415" t="s">
        <v>612</v>
      </c>
      <c r="X635" s="415" t="s">
        <v>671</v>
      </c>
      <c r="Y635" s="415"/>
    </row>
    <row r="636" spans="1:25" hidden="1" x14ac:dyDescent="0.25">
      <c r="A636" s="415">
        <v>635</v>
      </c>
      <c r="B636" s="415">
        <v>1034</v>
      </c>
      <c r="C636" s="415">
        <v>84151</v>
      </c>
      <c r="D636" s="416" t="s">
        <v>945</v>
      </c>
      <c r="E636" s="416" t="s">
        <v>450</v>
      </c>
      <c r="F636" s="416" t="s">
        <v>452</v>
      </c>
      <c r="G636" s="416" t="s">
        <v>946</v>
      </c>
      <c r="H636" s="416" t="s">
        <v>947</v>
      </c>
      <c r="I636" s="416" t="s">
        <v>947</v>
      </c>
      <c r="J636" s="415" t="s">
        <v>661</v>
      </c>
      <c r="K636" s="417">
        <v>-12.869598</v>
      </c>
      <c r="L636" s="417">
        <v>-74.026213999999996</v>
      </c>
      <c r="M636" s="418">
        <v>30</v>
      </c>
      <c r="N636" s="418" t="s">
        <v>2310</v>
      </c>
      <c r="O636" s="418" t="s">
        <v>2953</v>
      </c>
      <c r="P636" s="415">
        <v>3</v>
      </c>
      <c r="Q636" s="415">
        <v>30</v>
      </c>
      <c r="R636" s="415">
        <v>5</v>
      </c>
      <c r="S636" s="415">
        <f t="shared" si="27"/>
        <v>5</v>
      </c>
      <c r="T636" s="419">
        <f t="shared" si="28"/>
        <v>0.83333333333333337</v>
      </c>
      <c r="U636" s="419">
        <f t="shared" si="29"/>
        <v>5.833333333333333</v>
      </c>
      <c r="V636" s="415" t="s">
        <v>662</v>
      </c>
      <c r="W636" s="415" t="s">
        <v>612</v>
      </c>
      <c r="X636" s="415" t="s">
        <v>671</v>
      </c>
      <c r="Y636" s="415"/>
    </row>
    <row r="637" spans="1:25" hidden="1" x14ac:dyDescent="0.25">
      <c r="A637" s="415">
        <v>636</v>
      </c>
      <c r="B637" s="415">
        <v>1035</v>
      </c>
      <c r="C637" s="415">
        <v>84033</v>
      </c>
      <c r="D637" s="416" t="s">
        <v>3137</v>
      </c>
      <c r="E637" s="416" t="s">
        <v>450</v>
      </c>
      <c r="F637" s="416" t="s">
        <v>452</v>
      </c>
      <c r="G637" s="416" t="s">
        <v>946</v>
      </c>
      <c r="H637" s="416" t="s">
        <v>3138</v>
      </c>
      <c r="I637" s="416" t="s">
        <v>3139</v>
      </c>
      <c r="J637" s="415" t="s">
        <v>747</v>
      </c>
      <c r="K637" s="417">
        <v>-12.946294999999999</v>
      </c>
      <c r="L637" s="417">
        <v>-74.012727999999996</v>
      </c>
      <c r="M637" s="418">
        <v>30</v>
      </c>
      <c r="N637" s="418" t="s">
        <v>2310</v>
      </c>
      <c r="O637" s="418" t="s">
        <v>2953</v>
      </c>
      <c r="P637" s="415">
        <v>3</v>
      </c>
      <c r="Q637" s="415">
        <v>30</v>
      </c>
      <c r="R637" s="415">
        <v>5</v>
      </c>
      <c r="S637" s="415">
        <f t="shared" si="27"/>
        <v>5</v>
      </c>
      <c r="T637" s="419">
        <f t="shared" si="28"/>
        <v>0.83333333333333337</v>
      </c>
      <c r="U637" s="419">
        <f t="shared" si="29"/>
        <v>5.833333333333333</v>
      </c>
      <c r="V637" s="415" t="s">
        <v>662</v>
      </c>
      <c r="W637" s="415" t="s">
        <v>612</v>
      </c>
      <c r="X637" s="415" t="s">
        <v>671</v>
      </c>
      <c r="Y637" s="415"/>
    </row>
    <row r="638" spans="1:25" hidden="1" x14ac:dyDescent="0.25">
      <c r="A638" s="415">
        <v>637</v>
      </c>
      <c r="B638" s="415">
        <v>1036</v>
      </c>
      <c r="C638" s="415">
        <v>566852</v>
      </c>
      <c r="D638" s="416" t="s">
        <v>2225</v>
      </c>
      <c r="E638" s="416" t="s">
        <v>450</v>
      </c>
      <c r="F638" s="416" t="s">
        <v>459</v>
      </c>
      <c r="G638" s="416" t="s">
        <v>948</v>
      </c>
      <c r="H638" s="416" t="s">
        <v>949</v>
      </c>
      <c r="I638" s="416" t="s">
        <v>2226</v>
      </c>
      <c r="J638" s="415" t="s">
        <v>661</v>
      </c>
      <c r="K638" s="417">
        <v>-14.198264999999999</v>
      </c>
      <c r="L638" s="417">
        <v>-74.087705999999997</v>
      </c>
      <c r="M638" s="418">
        <v>30</v>
      </c>
      <c r="N638" s="418" t="s">
        <v>2310</v>
      </c>
      <c r="O638" s="418" t="s">
        <v>2953</v>
      </c>
      <c r="P638" s="415">
        <v>3</v>
      </c>
      <c r="Q638" s="415">
        <v>30</v>
      </c>
      <c r="R638" s="415">
        <v>5</v>
      </c>
      <c r="S638" s="415">
        <f t="shared" si="27"/>
        <v>5</v>
      </c>
      <c r="T638" s="419">
        <f t="shared" si="28"/>
        <v>0.83333333333333337</v>
      </c>
      <c r="U638" s="419">
        <f t="shared" si="29"/>
        <v>5.833333333333333</v>
      </c>
      <c r="V638" s="415" t="s">
        <v>662</v>
      </c>
      <c r="W638" s="415" t="s">
        <v>613</v>
      </c>
      <c r="X638" s="415" t="s">
        <v>671</v>
      </c>
      <c r="Y638" s="415"/>
    </row>
    <row r="639" spans="1:25" hidden="1" x14ac:dyDescent="0.25">
      <c r="A639" s="415">
        <v>638</v>
      </c>
      <c r="B639" s="415">
        <v>1037</v>
      </c>
      <c r="C639" s="415">
        <v>513774</v>
      </c>
      <c r="D639" s="416" t="s">
        <v>2200</v>
      </c>
      <c r="E639" s="416" t="s">
        <v>450</v>
      </c>
      <c r="F639" s="416" t="s">
        <v>459</v>
      </c>
      <c r="G639" s="416" t="s">
        <v>950</v>
      </c>
      <c r="H639" s="416" t="s">
        <v>2201</v>
      </c>
      <c r="I639" s="416" t="s">
        <v>2201</v>
      </c>
      <c r="J639" s="415" t="s">
        <v>661</v>
      </c>
      <c r="K639" s="417">
        <v>-14.509613</v>
      </c>
      <c r="L639" s="417">
        <v>-73.595631999999995</v>
      </c>
      <c r="M639" s="418">
        <v>30</v>
      </c>
      <c r="N639" s="418" t="s">
        <v>2310</v>
      </c>
      <c r="O639" s="418" t="s">
        <v>2953</v>
      </c>
      <c r="P639" s="415">
        <v>3</v>
      </c>
      <c r="Q639" s="415">
        <v>30</v>
      </c>
      <c r="R639" s="415">
        <v>5</v>
      </c>
      <c r="S639" s="415">
        <f t="shared" si="27"/>
        <v>5</v>
      </c>
      <c r="T639" s="419">
        <f t="shared" si="28"/>
        <v>0.83333333333333337</v>
      </c>
      <c r="U639" s="419">
        <f t="shared" si="29"/>
        <v>5.833333333333333</v>
      </c>
      <c r="V639" s="415" t="s">
        <v>662</v>
      </c>
      <c r="W639" s="415" t="s">
        <v>613</v>
      </c>
      <c r="X639" s="415" t="s">
        <v>671</v>
      </c>
      <c r="Y639" s="415"/>
    </row>
    <row r="640" spans="1:25" hidden="1" x14ac:dyDescent="0.25">
      <c r="A640" s="415">
        <v>639</v>
      </c>
      <c r="B640" s="415">
        <v>1038</v>
      </c>
      <c r="C640" s="415">
        <v>86046</v>
      </c>
      <c r="D640" s="416" t="s">
        <v>952</v>
      </c>
      <c r="E640" s="416" t="s">
        <v>450</v>
      </c>
      <c r="F640" s="416" t="s">
        <v>459</v>
      </c>
      <c r="G640" s="416" t="s">
        <v>459</v>
      </c>
      <c r="H640" s="416" t="s">
        <v>953</v>
      </c>
      <c r="I640" s="416" t="s">
        <v>954</v>
      </c>
      <c r="J640" s="415" t="s">
        <v>661</v>
      </c>
      <c r="K640" s="417">
        <v>-14.602674</v>
      </c>
      <c r="L640" s="417">
        <v>-74.233182999999997</v>
      </c>
      <c r="M640" s="418">
        <v>30</v>
      </c>
      <c r="N640" s="418" t="s">
        <v>2310</v>
      </c>
      <c r="O640" s="418" t="s">
        <v>2953</v>
      </c>
      <c r="P640" s="415">
        <v>3</v>
      </c>
      <c r="Q640" s="415">
        <v>30</v>
      </c>
      <c r="R640" s="415">
        <v>5</v>
      </c>
      <c r="S640" s="415">
        <f t="shared" si="27"/>
        <v>5</v>
      </c>
      <c r="T640" s="419">
        <f t="shared" si="28"/>
        <v>0.83333333333333337</v>
      </c>
      <c r="U640" s="419">
        <f t="shared" si="29"/>
        <v>5.833333333333333</v>
      </c>
      <c r="V640" s="415" t="s">
        <v>662</v>
      </c>
      <c r="W640" s="415" t="s">
        <v>613</v>
      </c>
      <c r="X640" s="415" t="s">
        <v>671</v>
      </c>
      <c r="Y640" s="415"/>
    </row>
    <row r="641" spans="1:25" hidden="1" x14ac:dyDescent="0.25">
      <c r="A641" s="415">
        <v>640</v>
      </c>
      <c r="B641" s="415">
        <v>1039</v>
      </c>
      <c r="C641" s="415">
        <v>86051</v>
      </c>
      <c r="D641" s="416" t="s">
        <v>955</v>
      </c>
      <c r="E641" s="416" t="s">
        <v>450</v>
      </c>
      <c r="F641" s="416" t="s">
        <v>459</v>
      </c>
      <c r="G641" s="416" t="s">
        <v>459</v>
      </c>
      <c r="H641" s="416" t="s">
        <v>956</v>
      </c>
      <c r="I641" s="416" t="s">
        <v>957</v>
      </c>
      <c r="J641" s="415" t="s">
        <v>661</v>
      </c>
      <c r="K641" s="417">
        <v>-14.433439999999999</v>
      </c>
      <c r="L641" s="417">
        <v>-74.433768000000001</v>
      </c>
      <c r="M641" s="418">
        <v>30</v>
      </c>
      <c r="N641" s="418" t="s">
        <v>2310</v>
      </c>
      <c r="O641" s="418" t="s">
        <v>2953</v>
      </c>
      <c r="P641" s="415">
        <v>3</v>
      </c>
      <c r="Q641" s="415">
        <v>30</v>
      </c>
      <c r="R641" s="415">
        <v>5</v>
      </c>
      <c r="S641" s="415">
        <f t="shared" si="27"/>
        <v>5</v>
      </c>
      <c r="T641" s="419">
        <f t="shared" si="28"/>
        <v>0.83333333333333337</v>
      </c>
      <c r="U641" s="419">
        <f t="shared" si="29"/>
        <v>5.833333333333333</v>
      </c>
      <c r="V641" s="415" t="s">
        <v>662</v>
      </c>
      <c r="W641" s="415" t="s">
        <v>613</v>
      </c>
      <c r="X641" s="415" t="s">
        <v>671</v>
      </c>
      <c r="Y641" s="415"/>
    </row>
    <row r="642" spans="1:25" hidden="1" x14ac:dyDescent="0.25">
      <c r="A642" s="415">
        <v>641</v>
      </c>
      <c r="B642" s="415">
        <v>1040</v>
      </c>
      <c r="C642" s="415">
        <v>566531</v>
      </c>
      <c r="D642" s="416" t="s">
        <v>2223</v>
      </c>
      <c r="E642" s="416" t="s">
        <v>450</v>
      </c>
      <c r="F642" s="416" t="s">
        <v>459</v>
      </c>
      <c r="G642" s="416" t="s">
        <v>459</v>
      </c>
      <c r="H642" s="416" t="s">
        <v>2224</v>
      </c>
      <c r="I642" s="416" t="s">
        <v>2224</v>
      </c>
      <c r="J642" s="415" t="s">
        <v>661</v>
      </c>
      <c r="K642" s="417">
        <v>-14.605600000000001</v>
      </c>
      <c r="L642" s="417">
        <v>-74.272499999999994</v>
      </c>
      <c r="M642" s="418">
        <v>30</v>
      </c>
      <c r="N642" s="418" t="s">
        <v>2310</v>
      </c>
      <c r="O642" s="418" t="s">
        <v>2953</v>
      </c>
      <c r="P642" s="415">
        <v>3</v>
      </c>
      <c r="Q642" s="415">
        <v>30</v>
      </c>
      <c r="R642" s="415">
        <v>5</v>
      </c>
      <c r="S642" s="415">
        <f t="shared" si="27"/>
        <v>5</v>
      </c>
      <c r="T642" s="419">
        <f t="shared" si="28"/>
        <v>0.83333333333333337</v>
      </c>
      <c r="U642" s="419">
        <f t="shared" si="29"/>
        <v>5.833333333333333</v>
      </c>
      <c r="V642" s="415" t="s">
        <v>662</v>
      </c>
      <c r="W642" s="415" t="s">
        <v>613</v>
      </c>
      <c r="X642" s="415" t="s">
        <v>671</v>
      </c>
      <c r="Y642" s="415"/>
    </row>
    <row r="643" spans="1:25" hidden="1" x14ac:dyDescent="0.25">
      <c r="A643" s="415">
        <v>642</v>
      </c>
      <c r="B643" s="415">
        <v>1041</v>
      </c>
      <c r="C643" s="415">
        <v>86211</v>
      </c>
      <c r="D643" s="416" t="s">
        <v>958</v>
      </c>
      <c r="E643" s="416" t="s">
        <v>450</v>
      </c>
      <c r="F643" s="416" t="s">
        <v>459</v>
      </c>
      <c r="G643" s="416" t="s">
        <v>959</v>
      </c>
      <c r="H643" s="416" t="s">
        <v>960</v>
      </c>
      <c r="I643" s="416" t="s">
        <v>960</v>
      </c>
      <c r="J643" s="415" t="s">
        <v>661</v>
      </c>
      <c r="K643" s="417">
        <v>-14.3354</v>
      </c>
      <c r="L643" s="417">
        <v>-74.771600000000007</v>
      </c>
      <c r="M643" s="418">
        <v>30</v>
      </c>
      <c r="N643" s="418" t="s">
        <v>2310</v>
      </c>
      <c r="O643" s="418" t="s">
        <v>2953</v>
      </c>
      <c r="P643" s="415">
        <v>3</v>
      </c>
      <c r="Q643" s="415">
        <v>30</v>
      </c>
      <c r="R643" s="415">
        <v>5</v>
      </c>
      <c r="S643" s="415">
        <f t="shared" ref="S643:S706" si="30">Q643/$AB$1</f>
        <v>5</v>
      </c>
      <c r="T643" s="419">
        <f t="shared" ref="T643:T706" si="31">R643/$AB$1</f>
        <v>0.83333333333333337</v>
      </c>
      <c r="U643" s="419">
        <f t="shared" ref="U643:U706" si="32">S643+T643</f>
        <v>5.833333333333333</v>
      </c>
      <c r="V643" s="415" t="s">
        <v>662</v>
      </c>
      <c r="W643" s="415" t="s">
        <v>613</v>
      </c>
      <c r="X643" s="415" t="s">
        <v>671</v>
      </c>
      <c r="Y643" s="415"/>
    </row>
    <row r="644" spans="1:25" hidden="1" x14ac:dyDescent="0.25">
      <c r="A644" s="415">
        <v>643</v>
      </c>
      <c r="B644" s="415">
        <v>1042</v>
      </c>
      <c r="C644" s="415">
        <v>86334</v>
      </c>
      <c r="D644" s="416" t="s">
        <v>961</v>
      </c>
      <c r="E644" s="416" t="s">
        <v>450</v>
      </c>
      <c r="F644" s="416" t="s">
        <v>459</v>
      </c>
      <c r="G644" s="416" t="s">
        <v>959</v>
      </c>
      <c r="H644" s="416" t="s">
        <v>962</v>
      </c>
      <c r="I644" s="416" t="s">
        <v>963</v>
      </c>
      <c r="J644" s="415" t="s">
        <v>661</v>
      </c>
      <c r="K644" s="417">
        <v>-14.382199999999999</v>
      </c>
      <c r="L644" s="417">
        <v>-74.674199999999999</v>
      </c>
      <c r="M644" s="418">
        <v>30</v>
      </c>
      <c r="N644" s="418" t="s">
        <v>2310</v>
      </c>
      <c r="O644" s="418" t="s">
        <v>2953</v>
      </c>
      <c r="P644" s="415">
        <v>3</v>
      </c>
      <c r="Q644" s="415">
        <v>30</v>
      </c>
      <c r="R644" s="415">
        <v>5</v>
      </c>
      <c r="S644" s="415">
        <f t="shared" si="30"/>
        <v>5</v>
      </c>
      <c r="T644" s="419">
        <f t="shared" si="31"/>
        <v>0.83333333333333337</v>
      </c>
      <c r="U644" s="419">
        <f t="shared" si="32"/>
        <v>5.833333333333333</v>
      </c>
      <c r="V644" s="415" t="s">
        <v>662</v>
      </c>
      <c r="W644" s="415" t="s">
        <v>613</v>
      </c>
      <c r="X644" s="415" t="s">
        <v>671</v>
      </c>
      <c r="Y644" s="415"/>
    </row>
    <row r="645" spans="1:25" hidden="1" x14ac:dyDescent="0.25">
      <c r="A645" s="415">
        <v>644</v>
      </c>
      <c r="B645" s="415">
        <v>1043</v>
      </c>
      <c r="C645" s="415">
        <v>84325</v>
      </c>
      <c r="D645" s="416" t="s">
        <v>3140</v>
      </c>
      <c r="E645" s="416" t="s">
        <v>450</v>
      </c>
      <c r="F645" s="416" t="s">
        <v>459</v>
      </c>
      <c r="G645" s="416" t="s">
        <v>3141</v>
      </c>
      <c r="H645" s="416" t="s">
        <v>581</v>
      </c>
      <c r="I645" s="416" t="s">
        <v>3142</v>
      </c>
      <c r="J645" s="415" t="s">
        <v>747</v>
      </c>
      <c r="K645" s="417">
        <v>-14.701375000000001</v>
      </c>
      <c r="L645" s="417">
        <v>-74.133123999999995</v>
      </c>
      <c r="M645" s="418">
        <v>30</v>
      </c>
      <c r="N645" s="418" t="s">
        <v>2310</v>
      </c>
      <c r="O645" s="418" t="s">
        <v>2953</v>
      </c>
      <c r="P645" s="415">
        <v>3</v>
      </c>
      <c r="Q645" s="415">
        <v>30</v>
      </c>
      <c r="R645" s="415">
        <v>5</v>
      </c>
      <c r="S645" s="415">
        <f t="shared" si="30"/>
        <v>5</v>
      </c>
      <c r="T645" s="419">
        <f t="shared" si="31"/>
        <v>0.83333333333333337</v>
      </c>
      <c r="U645" s="419">
        <f t="shared" si="32"/>
        <v>5.833333333333333</v>
      </c>
      <c r="V645" s="415" t="s">
        <v>662</v>
      </c>
      <c r="W645" s="415" t="s">
        <v>613</v>
      </c>
      <c r="X645" s="415" t="s">
        <v>671</v>
      </c>
      <c r="Y645" s="415"/>
    </row>
    <row r="646" spans="1:25" hidden="1" x14ac:dyDescent="0.25">
      <c r="A646" s="415">
        <v>645</v>
      </c>
      <c r="B646" s="415">
        <v>1044</v>
      </c>
      <c r="C646" s="415">
        <v>566526</v>
      </c>
      <c r="D646" s="416" t="s">
        <v>3143</v>
      </c>
      <c r="E646" s="416" t="s">
        <v>450</v>
      </c>
      <c r="F646" s="416" t="s">
        <v>459</v>
      </c>
      <c r="G646" s="416" t="s">
        <v>964</v>
      </c>
      <c r="H646" s="416" t="s">
        <v>3144</v>
      </c>
      <c r="I646" s="416" t="s">
        <v>3144</v>
      </c>
      <c r="J646" s="415" t="s">
        <v>661</v>
      </c>
      <c r="K646" s="417">
        <v>-15.335896999999999</v>
      </c>
      <c r="L646" s="417">
        <v>-74.276375999999999</v>
      </c>
      <c r="M646" s="418">
        <v>30</v>
      </c>
      <c r="N646" s="418" t="s">
        <v>2310</v>
      </c>
      <c r="O646" s="418" t="s">
        <v>2953</v>
      </c>
      <c r="P646" s="415">
        <v>3</v>
      </c>
      <c r="Q646" s="415">
        <v>30</v>
      </c>
      <c r="R646" s="415">
        <v>5</v>
      </c>
      <c r="S646" s="415">
        <f t="shared" si="30"/>
        <v>5</v>
      </c>
      <c r="T646" s="419">
        <f t="shared" si="31"/>
        <v>0.83333333333333337</v>
      </c>
      <c r="U646" s="419">
        <f t="shared" si="32"/>
        <v>5.833333333333333</v>
      </c>
      <c r="V646" s="415" t="s">
        <v>662</v>
      </c>
      <c r="W646" s="415" t="s">
        <v>613</v>
      </c>
      <c r="X646" s="415" t="s">
        <v>671</v>
      </c>
      <c r="Y646" s="415"/>
    </row>
    <row r="647" spans="1:25" hidden="1" x14ac:dyDescent="0.25">
      <c r="A647" s="415">
        <v>646</v>
      </c>
      <c r="B647" s="415">
        <v>1045</v>
      </c>
      <c r="C647" s="415">
        <v>88192</v>
      </c>
      <c r="D647" s="416" t="s">
        <v>3145</v>
      </c>
      <c r="E647" s="416" t="s">
        <v>450</v>
      </c>
      <c r="F647" s="416" t="s">
        <v>460</v>
      </c>
      <c r="G647" s="416" t="s">
        <v>966</v>
      </c>
      <c r="H647" s="416" t="s">
        <v>3146</v>
      </c>
      <c r="I647" s="416" t="s">
        <v>3147</v>
      </c>
      <c r="J647" s="415" t="s">
        <v>661</v>
      </c>
      <c r="K647" s="417">
        <v>-14.6088</v>
      </c>
      <c r="L647" s="417">
        <v>-73.647499999999994</v>
      </c>
      <c r="M647" s="418">
        <v>30</v>
      </c>
      <c r="N647" s="418" t="s">
        <v>2310</v>
      </c>
      <c r="O647" s="418" t="s">
        <v>2953</v>
      </c>
      <c r="P647" s="415">
        <v>3</v>
      </c>
      <c r="Q647" s="415">
        <v>30</v>
      </c>
      <c r="R647" s="415">
        <v>5</v>
      </c>
      <c r="S647" s="415">
        <f t="shared" si="30"/>
        <v>5</v>
      </c>
      <c r="T647" s="419">
        <f t="shared" si="31"/>
        <v>0.83333333333333337</v>
      </c>
      <c r="U647" s="419">
        <f t="shared" si="32"/>
        <v>5.833333333333333</v>
      </c>
      <c r="V647" s="415" t="s">
        <v>662</v>
      </c>
      <c r="W647" s="415" t="s">
        <v>613</v>
      </c>
      <c r="X647" s="415" t="s">
        <v>671</v>
      </c>
      <c r="Y647" s="415"/>
    </row>
    <row r="648" spans="1:25" hidden="1" x14ac:dyDescent="0.25">
      <c r="A648" s="415">
        <v>647</v>
      </c>
      <c r="B648" s="415">
        <v>1046</v>
      </c>
      <c r="C648" s="415">
        <v>565744</v>
      </c>
      <c r="D648" s="416" t="s">
        <v>3148</v>
      </c>
      <c r="E648" s="416" t="s">
        <v>450</v>
      </c>
      <c r="F648" s="416" t="s">
        <v>460</v>
      </c>
      <c r="G648" s="416" t="s">
        <v>966</v>
      </c>
      <c r="H648" s="416" t="s">
        <v>3148</v>
      </c>
      <c r="I648" s="416" t="s">
        <v>3149</v>
      </c>
      <c r="J648" s="415" t="s">
        <v>661</v>
      </c>
      <c r="K648" s="417">
        <v>-14.644299999999999</v>
      </c>
      <c r="L648" s="417">
        <v>-73.755099999999999</v>
      </c>
      <c r="M648" s="418">
        <v>30</v>
      </c>
      <c r="N648" s="418" t="s">
        <v>2310</v>
      </c>
      <c r="O648" s="418" t="s">
        <v>2953</v>
      </c>
      <c r="P648" s="415">
        <v>3</v>
      </c>
      <c r="Q648" s="415">
        <v>30</v>
      </c>
      <c r="R648" s="415">
        <v>5</v>
      </c>
      <c r="S648" s="415">
        <f t="shared" si="30"/>
        <v>5</v>
      </c>
      <c r="T648" s="419">
        <f t="shared" si="31"/>
        <v>0.83333333333333337</v>
      </c>
      <c r="U648" s="419">
        <f t="shared" si="32"/>
        <v>5.833333333333333</v>
      </c>
      <c r="V648" s="415" t="s">
        <v>662</v>
      </c>
      <c r="W648" s="415" t="s">
        <v>613</v>
      </c>
      <c r="X648" s="415" t="s">
        <v>671</v>
      </c>
      <c r="Y648" s="415"/>
    </row>
    <row r="649" spans="1:25" hidden="1" x14ac:dyDescent="0.25">
      <c r="A649" s="415">
        <v>648</v>
      </c>
      <c r="B649" s="415">
        <v>1047</v>
      </c>
      <c r="C649" s="415">
        <v>590705</v>
      </c>
      <c r="D649" s="416" t="s">
        <v>3150</v>
      </c>
      <c r="E649" s="416" t="s">
        <v>450</v>
      </c>
      <c r="F649" s="416" t="s">
        <v>460</v>
      </c>
      <c r="G649" s="416" t="s">
        <v>966</v>
      </c>
      <c r="H649" s="416" t="s">
        <v>912</v>
      </c>
      <c r="I649" s="416" t="s">
        <v>912</v>
      </c>
      <c r="J649" s="415" t="s">
        <v>661</v>
      </c>
      <c r="K649" s="417">
        <v>-14.5695</v>
      </c>
      <c r="L649" s="417">
        <v>-73.561199999999999</v>
      </c>
      <c r="M649" s="418">
        <v>30</v>
      </c>
      <c r="N649" s="418" t="s">
        <v>2310</v>
      </c>
      <c r="O649" s="418" t="s">
        <v>2953</v>
      </c>
      <c r="P649" s="415">
        <v>3</v>
      </c>
      <c r="Q649" s="415">
        <v>30</v>
      </c>
      <c r="R649" s="415">
        <v>5</v>
      </c>
      <c r="S649" s="415">
        <f t="shared" si="30"/>
        <v>5</v>
      </c>
      <c r="T649" s="419">
        <f t="shared" si="31"/>
        <v>0.83333333333333337</v>
      </c>
      <c r="U649" s="419">
        <f t="shared" si="32"/>
        <v>5.833333333333333</v>
      </c>
      <c r="V649" s="415" t="s">
        <v>662</v>
      </c>
      <c r="W649" s="415" t="s">
        <v>613</v>
      </c>
      <c r="X649" s="415" t="s">
        <v>671</v>
      </c>
      <c r="Y649" s="415"/>
    </row>
    <row r="650" spans="1:25" hidden="1" x14ac:dyDescent="0.25">
      <c r="A650" s="415">
        <v>649</v>
      </c>
      <c r="B650" s="415">
        <v>1048</v>
      </c>
      <c r="C650" s="415">
        <v>88922</v>
      </c>
      <c r="D650" s="416" t="s">
        <v>970</v>
      </c>
      <c r="E650" s="416" t="s">
        <v>450</v>
      </c>
      <c r="F650" s="416" t="s">
        <v>460</v>
      </c>
      <c r="G650" s="416" t="s">
        <v>967</v>
      </c>
      <c r="H650" s="416" t="s">
        <v>968</v>
      </c>
      <c r="I650" s="416" t="s">
        <v>969</v>
      </c>
      <c r="J650" s="415" t="s">
        <v>661</v>
      </c>
      <c r="K650" s="417">
        <v>-15.2064</v>
      </c>
      <c r="L650" s="417">
        <v>-74.037099999999995</v>
      </c>
      <c r="M650" s="418">
        <v>30</v>
      </c>
      <c r="N650" s="418" t="s">
        <v>2310</v>
      </c>
      <c r="O650" s="418" t="s">
        <v>2953</v>
      </c>
      <c r="P650" s="415">
        <v>3</v>
      </c>
      <c r="Q650" s="415">
        <v>30</v>
      </c>
      <c r="R650" s="415">
        <v>5</v>
      </c>
      <c r="S650" s="415">
        <f t="shared" si="30"/>
        <v>5</v>
      </c>
      <c r="T650" s="419">
        <f t="shared" si="31"/>
        <v>0.83333333333333337</v>
      </c>
      <c r="U650" s="419">
        <f t="shared" si="32"/>
        <v>5.833333333333333</v>
      </c>
      <c r="V650" s="415" t="s">
        <v>662</v>
      </c>
      <c r="W650" s="415" t="s">
        <v>613</v>
      </c>
      <c r="X650" s="415" t="s">
        <v>671</v>
      </c>
      <c r="Y650" s="415"/>
    </row>
    <row r="651" spans="1:25" hidden="1" x14ac:dyDescent="0.25">
      <c r="A651" s="415">
        <v>650</v>
      </c>
      <c r="B651" s="415">
        <v>1049</v>
      </c>
      <c r="C651" s="415">
        <v>90213</v>
      </c>
      <c r="D651" s="416" t="s">
        <v>474</v>
      </c>
      <c r="E651" s="416" t="s">
        <v>450</v>
      </c>
      <c r="F651" s="416" t="s">
        <v>461</v>
      </c>
      <c r="G651" s="416" t="s">
        <v>971</v>
      </c>
      <c r="H651" s="416" t="s">
        <v>971</v>
      </c>
      <c r="I651" s="416" t="s">
        <v>972</v>
      </c>
      <c r="J651" s="415" t="s">
        <v>661</v>
      </c>
      <c r="K651" s="417">
        <v>-15.219011999999999</v>
      </c>
      <c r="L651" s="417">
        <v>-73.462937999999994</v>
      </c>
      <c r="M651" s="418">
        <v>30</v>
      </c>
      <c r="N651" s="418" t="s">
        <v>2310</v>
      </c>
      <c r="O651" s="418" t="s">
        <v>2953</v>
      </c>
      <c r="P651" s="415">
        <v>3</v>
      </c>
      <c r="Q651" s="415">
        <v>30</v>
      </c>
      <c r="R651" s="415">
        <v>5</v>
      </c>
      <c r="S651" s="415">
        <f t="shared" si="30"/>
        <v>5</v>
      </c>
      <c r="T651" s="419">
        <f t="shared" si="31"/>
        <v>0.83333333333333337</v>
      </c>
      <c r="U651" s="419">
        <f t="shared" si="32"/>
        <v>5.833333333333333</v>
      </c>
      <c r="V651" s="415" t="s">
        <v>662</v>
      </c>
      <c r="W651" s="415" t="s">
        <v>613</v>
      </c>
      <c r="X651" s="415" t="s">
        <v>671</v>
      </c>
      <c r="Y651" s="415"/>
    </row>
    <row r="652" spans="1:25" hidden="1" x14ac:dyDescent="0.25">
      <c r="A652" s="415">
        <v>651</v>
      </c>
      <c r="B652" s="415">
        <v>1050</v>
      </c>
      <c r="C652" s="415">
        <v>90411</v>
      </c>
      <c r="D652" s="416" t="s">
        <v>973</v>
      </c>
      <c r="E652" s="416" t="s">
        <v>450</v>
      </c>
      <c r="F652" s="416" t="s">
        <v>458</v>
      </c>
      <c r="G652" s="416" t="s">
        <v>974</v>
      </c>
      <c r="H652" s="416" t="s">
        <v>975</v>
      </c>
      <c r="I652" s="416" t="s">
        <v>976</v>
      </c>
      <c r="J652" s="415" t="s">
        <v>661</v>
      </c>
      <c r="K652" s="417">
        <v>-13.940602</v>
      </c>
      <c r="L652" s="417">
        <v>-73.755225999999993</v>
      </c>
      <c r="M652" s="418">
        <v>30</v>
      </c>
      <c r="N652" s="418" t="s">
        <v>2310</v>
      </c>
      <c r="O652" s="418" t="s">
        <v>2953</v>
      </c>
      <c r="P652" s="415">
        <v>3</v>
      </c>
      <c r="Q652" s="415">
        <v>30</v>
      </c>
      <c r="R652" s="415">
        <v>5</v>
      </c>
      <c r="S652" s="415">
        <f t="shared" si="30"/>
        <v>5</v>
      </c>
      <c r="T652" s="419">
        <f t="shared" si="31"/>
        <v>0.83333333333333337</v>
      </c>
      <c r="U652" s="419">
        <f t="shared" si="32"/>
        <v>5.833333333333333</v>
      </c>
      <c r="V652" s="415" t="s">
        <v>662</v>
      </c>
      <c r="W652" s="415" t="s">
        <v>613</v>
      </c>
      <c r="X652" s="415" t="s">
        <v>671</v>
      </c>
      <c r="Y652" s="415"/>
    </row>
    <row r="653" spans="1:25" hidden="1" x14ac:dyDescent="0.25">
      <c r="A653" s="415">
        <v>652</v>
      </c>
      <c r="B653" s="415">
        <v>1051</v>
      </c>
      <c r="C653" s="415">
        <v>91873</v>
      </c>
      <c r="D653" s="416" t="s">
        <v>977</v>
      </c>
      <c r="E653" s="416" t="s">
        <v>450</v>
      </c>
      <c r="F653" s="416" t="s">
        <v>457</v>
      </c>
      <c r="G653" s="416" t="s">
        <v>978</v>
      </c>
      <c r="H653" s="416" t="s">
        <v>979</v>
      </c>
      <c r="I653" s="416" t="s">
        <v>980</v>
      </c>
      <c r="J653" s="415" t="s">
        <v>661</v>
      </c>
      <c r="K653" s="417">
        <v>-14.12773</v>
      </c>
      <c r="L653" s="417">
        <v>-74.032499999999999</v>
      </c>
      <c r="M653" s="418">
        <v>30</v>
      </c>
      <c r="N653" s="418" t="s">
        <v>2310</v>
      </c>
      <c r="O653" s="418" t="s">
        <v>2953</v>
      </c>
      <c r="P653" s="415">
        <v>3</v>
      </c>
      <c r="Q653" s="415">
        <v>30</v>
      </c>
      <c r="R653" s="415">
        <v>5</v>
      </c>
      <c r="S653" s="415">
        <f t="shared" si="30"/>
        <v>5</v>
      </c>
      <c r="T653" s="419">
        <f t="shared" si="31"/>
        <v>0.83333333333333337</v>
      </c>
      <c r="U653" s="419">
        <f t="shared" si="32"/>
        <v>5.833333333333333</v>
      </c>
      <c r="V653" s="415" t="s">
        <v>662</v>
      </c>
      <c r="W653" s="415" t="s">
        <v>613</v>
      </c>
      <c r="X653" s="415" t="s">
        <v>671</v>
      </c>
      <c r="Y653" s="415"/>
    </row>
    <row r="654" spans="1:25" hidden="1" x14ac:dyDescent="0.25">
      <c r="A654" s="415">
        <v>653</v>
      </c>
      <c r="B654" s="415">
        <v>1052</v>
      </c>
      <c r="C654" s="415">
        <v>91953</v>
      </c>
      <c r="D654" s="416" t="s">
        <v>981</v>
      </c>
      <c r="E654" s="416" t="s">
        <v>450</v>
      </c>
      <c r="F654" s="416" t="s">
        <v>457</v>
      </c>
      <c r="G654" s="416" t="s">
        <v>982</v>
      </c>
      <c r="H654" s="416" t="s">
        <v>983</v>
      </c>
      <c r="I654" s="416" t="s">
        <v>984</v>
      </c>
      <c r="J654" s="415" t="s">
        <v>661</v>
      </c>
      <c r="K654" s="417">
        <v>-13.718999999999999</v>
      </c>
      <c r="L654" s="417">
        <v>-74.309299999999993</v>
      </c>
      <c r="M654" s="418">
        <v>30</v>
      </c>
      <c r="N654" s="418" t="s">
        <v>2310</v>
      </c>
      <c r="O654" s="418" t="s">
        <v>2953</v>
      </c>
      <c r="P654" s="415">
        <v>3</v>
      </c>
      <c r="Q654" s="415">
        <v>30</v>
      </c>
      <c r="R654" s="415">
        <v>5</v>
      </c>
      <c r="S654" s="415">
        <f t="shared" si="30"/>
        <v>5</v>
      </c>
      <c r="T654" s="419">
        <f t="shared" si="31"/>
        <v>0.83333333333333337</v>
      </c>
      <c r="U654" s="419">
        <f t="shared" si="32"/>
        <v>5.833333333333333</v>
      </c>
      <c r="V654" s="415" t="s">
        <v>662</v>
      </c>
      <c r="W654" s="415" t="s">
        <v>613</v>
      </c>
      <c r="X654" s="415" t="s">
        <v>671</v>
      </c>
      <c r="Y654" s="415"/>
    </row>
    <row r="655" spans="1:25" hidden="1" x14ac:dyDescent="0.25">
      <c r="A655" s="415">
        <v>654</v>
      </c>
      <c r="B655" s="415">
        <v>1053</v>
      </c>
      <c r="C655" s="415">
        <v>92349</v>
      </c>
      <c r="D655" s="416" t="s">
        <v>985</v>
      </c>
      <c r="E655" s="416" t="s">
        <v>450</v>
      </c>
      <c r="F655" s="416" t="s">
        <v>457</v>
      </c>
      <c r="G655" s="416" t="s">
        <v>986</v>
      </c>
      <c r="H655" s="416" t="s">
        <v>707</v>
      </c>
      <c r="I655" s="416" t="s">
        <v>892</v>
      </c>
      <c r="J655" s="415" t="s">
        <v>661</v>
      </c>
      <c r="K655" s="417">
        <v>-13.6424</v>
      </c>
      <c r="L655" s="417">
        <v>-74.732900000000001</v>
      </c>
      <c r="M655" s="418">
        <v>30</v>
      </c>
      <c r="N655" s="418" t="s">
        <v>2310</v>
      </c>
      <c r="O655" s="418" t="s">
        <v>2953</v>
      </c>
      <c r="P655" s="415">
        <v>3</v>
      </c>
      <c r="Q655" s="415">
        <v>30</v>
      </c>
      <c r="R655" s="415">
        <v>5</v>
      </c>
      <c r="S655" s="415">
        <f t="shared" si="30"/>
        <v>5</v>
      </c>
      <c r="T655" s="419">
        <f t="shared" si="31"/>
        <v>0.83333333333333337</v>
      </c>
      <c r="U655" s="419">
        <f t="shared" si="32"/>
        <v>5.833333333333333</v>
      </c>
      <c r="V655" s="415" t="s">
        <v>662</v>
      </c>
      <c r="W655" s="415" t="s">
        <v>612</v>
      </c>
      <c r="X655" s="415" t="s">
        <v>671</v>
      </c>
      <c r="Y655" s="415"/>
    </row>
    <row r="656" spans="1:25" hidden="1" x14ac:dyDescent="0.25">
      <c r="A656" s="415">
        <v>655</v>
      </c>
      <c r="B656" s="415">
        <v>1054</v>
      </c>
      <c r="C656" s="415">
        <v>699022</v>
      </c>
      <c r="D656" s="416" t="s">
        <v>3151</v>
      </c>
      <c r="E656" s="416" t="s">
        <v>450</v>
      </c>
      <c r="F656" s="416" t="s">
        <v>455</v>
      </c>
      <c r="G656" s="416" t="s">
        <v>455</v>
      </c>
      <c r="H656" s="416" t="s">
        <v>3152</v>
      </c>
      <c r="I656" s="416" t="s">
        <v>3152</v>
      </c>
      <c r="J656" s="415" t="s">
        <v>661</v>
      </c>
      <c r="K656" s="417">
        <v>-13.6416</v>
      </c>
      <c r="L656" s="417">
        <v>-73.925399999999996</v>
      </c>
      <c r="M656" s="418">
        <v>30</v>
      </c>
      <c r="N656" s="418" t="s">
        <v>2310</v>
      </c>
      <c r="O656" s="418" t="s">
        <v>2953</v>
      </c>
      <c r="P656" s="415">
        <v>3</v>
      </c>
      <c r="Q656" s="415">
        <v>30</v>
      </c>
      <c r="R656" s="415">
        <v>5</v>
      </c>
      <c r="S656" s="415">
        <f t="shared" si="30"/>
        <v>5</v>
      </c>
      <c r="T656" s="419">
        <f t="shared" si="31"/>
        <v>0.83333333333333337</v>
      </c>
      <c r="U656" s="419">
        <f t="shared" si="32"/>
        <v>5.833333333333333</v>
      </c>
      <c r="V656" s="415" t="s">
        <v>662</v>
      </c>
      <c r="W656" s="415" t="s">
        <v>613</v>
      </c>
      <c r="X656" s="415" t="s">
        <v>671</v>
      </c>
      <c r="Y656" s="415"/>
    </row>
    <row r="657" spans="1:25" hidden="1" x14ac:dyDescent="0.25">
      <c r="A657" s="415">
        <v>656</v>
      </c>
      <c r="B657" s="415">
        <v>1055</v>
      </c>
      <c r="C657" s="415">
        <v>596806</v>
      </c>
      <c r="D657" s="416" t="s">
        <v>1957</v>
      </c>
      <c r="E657" s="416" t="s">
        <v>475</v>
      </c>
      <c r="F657" s="416" t="s">
        <v>482</v>
      </c>
      <c r="G657" s="416" t="s">
        <v>2241</v>
      </c>
      <c r="H657" s="416" t="s">
        <v>1613</v>
      </c>
      <c r="I657" s="416" t="s">
        <v>1613</v>
      </c>
      <c r="J657" s="415" t="s">
        <v>661</v>
      </c>
      <c r="K657" s="417">
        <v>-14.08694</v>
      </c>
      <c r="L657" s="417">
        <v>-71.501360000000005</v>
      </c>
      <c r="M657" s="418">
        <v>30</v>
      </c>
      <c r="N657" s="418" t="s">
        <v>2310</v>
      </c>
      <c r="O657" s="418" t="s">
        <v>2953</v>
      </c>
      <c r="P657" s="415">
        <v>3</v>
      </c>
      <c r="Q657" s="415">
        <v>30</v>
      </c>
      <c r="R657" s="415">
        <v>5</v>
      </c>
      <c r="S657" s="415">
        <f t="shared" si="30"/>
        <v>5</v>
      </c>
      <c r="T657" s="419">
        <f t="shared" si="31"/>
        <v>0.83333333333333337</v>
      </c>
      <c r="U657" s="419">
        <f t="shared" si="32"/>
        <v>5.833333333333333</v>
      </c>
      <c r="V657" s="415" t="s">
        <v>662</v>
      </c>
      <c r="W657" s="415" t="s">
        <v>613</v>
      </c>
      <c r="X657" s="415" t="s">
        <v>671</v>
      </c>
      <c r="Y657" s="415"/>
    </row>
    <row r="658" spans="1:25" hidden="1" x14ac:dyDescent="0.25">
      <c r="A658" s="415">
        <v>657</v>
      </c>
      <c r="B658" s="415">
        <v>1056</v>
      </c>
      <c r="C658" s="415">
        <v>150301</v>
      </c>
      <c r="D658" s="416" t="s">
        <v>3153</v>
      </c>
      <c r="E658" s="416" t="s">
        <v>475</v>
      </c>
      <c r="F658" s="416" t="s">
        <v>482</v>
      </c>
      <c r="G658" s="416" t="s">
        <v>3154</v>
      </c>
      <c r="H658" s="416" t="s">
        <v>3154</v>
      </c>
      <c r="I658" s="416" t="s">
        <v>3155</v>
      </c>
      <c r="J658" s="415" t="s">
        <v>661</v>
      </c>
      <c r="K658" s="417">
        <v>-13.948653</v>
      </c>
      <c r="L658" s="417">
        <v>-71.600345000000004</v>
      </c>
      <c r="M658" s="418">
        <v>30</v>
      </c>
      <c r="N658" s="418" t="s">
        <v>2310</v>
      </c>
      <c r="O658" s="418" t="s">
        <v>2953</v>
      </c>
      <c r="P658" s="415">
        <v>3</v>
      </c>
      <c r="Q658" s="415">
        <v>30</v>
      </c>
      <c r="R658" s="415">
        <v>5</v>
      </c>
      <c r="S658" s="415">
        <f t="shared" si="30"/>
        <v>5</v>
      </c>
      <c r="T658" s="419">
        <f t="shared" si="31"/>
        <v>0.83333333333333337</v>
      </c>
      <c r="U658" s="419">
        <f t="shared" si="32"/>
        <v>5.833333333333333</v>
      </c>
      <c r="V658" s="415" t="s">
        <v>662</v>
      </c>
      <c r="W658" s="415" t="s">
        <v>613</v>
      </c>
      <c r="X658" s="415" t="s">
        <v>671</v>
      </c>
      <c r="Y658" s="415"/>
    </row>
    <row r="659" spans="1:25" hidden="1" x14ac:dyDescent="0.25">
      <c r="A659" s="415">
        <v>658</v>
      </c>
      <c r="B659" s="415">
        <v>1057</v>
      </c>
      <c r="C659" s="415">
        <v>150344</v>
      </c>
      <c r="D659" s="416" t="s">
        <v>3156</v>
      </c>
      <c r="E659" s="416" t="s">
        <v>475</v>
      </c>
      <c r="F659" s="416" t="s">
        <v>482</v>
      </c>
      <c r="G659" s="416" t="s">
        <v>3154</v>
      </c>
      <c r="H659" s="416" t="s">
        <v>3154</v>
      </c>
      <c r="I659" s="416" t="s">
        <v>3157</v>
      </c>
      <c r="J659" s="415" t="s">
        <v>661</v>
      </c>
      <c r="K659" s="417">
        <v>-13.9472</v>
      </c>
      <c r="L659" s="417">
        <v>-71.603099999999998</v>
      </c>
      <c r="M659" s="418">
        <v>30</v>
      </c>
      <c r="N659" s="418" t="s">
        <v>2310</v>
      </c>
      <c r="O659" s="418" t="s">
        <v>2953</v>
      </c>
      <c r="P659" s="415">
        <v>3</v>
      </c>
      <c r="Q659" s="415">
        <v>30</v>
      </c>
      <c r="R659" s="415">
        <v>5</v>
      </c>
      <c r="S659" s="415">
        <f t="shared" si="30"/>
        <v>5</v>
      </c>
      <c r="T659" s="419">
        <f t="shared" si="31"/>
        <v>0.83333333333333337</v>
      </c>
      <c r="U659" s="419">
        <f t="shared" si="32"/>
        <v>5.833333333333333</v>
      </c>
      <c r="V659" s="415" t="s">
        <v>662</v>
      </c>
      <c r="W659" s="415" t="s">
        <v>613</v>
      </c>
      <c r="X659" s="415" t="s">
        <v>671</v>
      </c>
      <c r="Y659" s="415"/>
    </row>
    <row r="660" spans="1:25" hidden="1" x14ac:dyDescent="0.25">
      <c r="A660" s="415">
        <v>659</v>
      </c>
      <c r="B660" s="415">
        <v>1058</v>
      </c>
      <c r="C660" s="415">
        <v>150363</v>
      </c>
      <c r="D660" s="416" t="s">
        <v>3154</v>
      </c>
      <c r="E660" s="416" t="s">
        <v>475</v>
      </c>
      <c r="F660" s="416" t="s">
        <v>482</v>
      </c>
      <c r="G660" s="416" t="s">
        <v>3154</v>
      </c>
      <c r="H660" s="416" t="s">
        <v>3154</v>
      </c>
      <c r="I660" s="416" t="s">
        <v>3158</v>
      </c>
      <c r="J660" s="415" t="s">
        <v>661</v>
      </c>
      <c r="K660" s="417">
        <v>-13.9535</v>
      </c>
      <c r="L660" s="417">
        <v>-71.600099999999998</v>
      </c>
      <c r="M660" s="418">
        <v>30</v>
      </c>
      <c r="N660" s="418" t="s">
        <v>2310</v>
      </c>
      <c r="O660" s="418" t="s">
        <v>2953</v>
      </c>
      <c r="P660" s="415">
        <v>3</v>
      </c>
      <c r="Q660" s="415">
        <v>30</v>
      </c>
      <c r="R660" s="415">
        <v>5</v>
      </c>
      <c r="S660" s="415">
        <f t="shared" si="30"/>
        <v>5</v>
      </c>
      <c r="T660" s="419">
        <f t="shared" si="31"/>
        <v>0.83333333333333337</v>
      </c>
      <c r="U660" s="419">
        <f t="shared" si="32"/>
        <v>5.833333333333333</v>
      </c>
      <c r="V660" s="415" t="s">
        <v>662</v>
      </c>
      <c r="W660" s="415" t="s">
        <v>613</v>
      </c>
      <c r="X660" s="415" t="s">
        <v>671</v>
      </c>
      <c r="Y660" s="415"/>
    </row>
    <row r="661" spans="1:25" hidden="1" x14ac:dyDescent="0.25">
      <c r="A661" s="415">
        <v>660</v>
      </c>
      <c r="B661" s="415">
        <v>1059</v>
      </c>
      <c r="C661" s="415">
        <v>150297</v>
      </c>
      <c r="D661" s="416" t="s">
        <v>3159</v>
      </c>
      <c r="E661" s="416" t="s">
        <v>475</v>
      </c>
      <c r="F661" s="416" t="s">
        <v>482</v>
      </c>
      <c r="G661" s="416" t="s">
        <v>3154</v>
      </c>
      <c r="H661" s="416" t="s">
        <v>3160</v>
      </c>
      <c r="I661" s="416" t="s">
        <v>3161</v>
      </c>
      <c r="J661" s="415" t="s">
        <v>661</v>
      </c>
      <c r="K661" s="417">
        <v>-14.000686</v>
      </c>
      <c r="L661" s="417">
        <v>-71.526696000000001</v>
      </c>
      <c r="M661" s="418">
        <v>30</v>
      </c>
      <c r="N661" s="418" t="s">
        <v>2310</v>
      </c>
      <c r="O661" s="418" t="s">
        <v>2953</v>
      </c>
      <c r="P661" s="415">
        <v>3</v>
      </c>
      <c r="Q661" s="415">
        <v>30</v>
      </c>
      <c r="R661" s="415">
        <v>5</v>
      </c>
      <c r="S661" s="415">
        <f t="shared" si="30"/>
        <v>5</v>
      </c>
      <c r="T661" s="419">
        <f t="shared" si="31"/>
        <v>0.83333333333333337</v>
      </c>
      <c r="U661" s="419">
        <f t="shared" si="32"/>
        <v>5.833333333333333</v>
      </c>
      <c r="V661" s="415" t="s">
        <v>662</v>
      </c>
      <c r="W661" s="415" t="s">
        <v>613</v>
      </c>
      <c r="X661" s="415" t="s">
        <v>671</v>
      </c>
      <c r="Y661" s="415"/>
    </row>
    <row r="662" spans="1:25" hidden="1" x14ac:dyDescent="0.25">
      <c r="A662" s="415">
        <v>661</v>
      </c>
      <c r="B662" s="415">
        <v>1060</v>
      </c>
      <c r="C662" s="415">
        <v>560157</v>
      </c>
      <c r="D662" s="416" t="s">
        <v>3162</v>
      </c>
      <c r="E662" s="416" t="s">
        <v>475</v>
      </c>
      <c r="F662" s="416" t="s">
        <v>482</v>
      </c>
      <c r="G662" s="416" t="s">
        <v>3154</v>
      </c>
      <c r="H662" s="416" t="s">
        <v>3160</v>
      </c>
      <c r="I662" s="416" t="s">
        <v>3160</v>
      </c>
      <c r="J662" s="415" t="s">
        <v>661</v>
      </c>
      <c r="K662" s="417">
        <v>-14.0006</v>
      </c>
      <c r="L662" s="417">
        <v>-71.526499999999999</v>
      </c>
      <c r="M662" s="418">
        <v>30</v>
      </c>
      <c r="N662" s="418" t="s">
        <v>2310</v>
      </c>
      <c r="O662" s="418" t="s">
        <v>2953</v>
      </c>
      <c r="P662" s="415">
        <v>3</v>
      </c>
      <c r="Q662" s="415">
        <v>30</v>
      </c>
      <c r="R662" s="415">
        <v>5</v>
      </c>
      <c r="S662" s="415">
        <f t="shared" si="30"/>
        <v>5</v>
      </c>
      <c r="T662" s="419">
        <f t="shared" si="31"/>
        <v>0.83333333333333337</v>
      </c>
      <c r="U662" s="419">
        <f t="shared" si="32"/>
        <v>5.833333333333333</v>
      </c>
      <c r="V662" s="415" t="s">
        <v>662</v>
      </c>
      <c r="W662" s="415" t="s">
        <v>613</v>
      </c>
      <c r="X662" s="415" t="s">
        <v>671</v>
      </c>
      <c r="Y662" s="415"/>
    </row>
    <row r="663" spans="1:25" hidden="1" x14ac:dyDescent="0.25">
      <c r="A663" s="415">
        <v>662</v>
      </c>
      <c r="B663" s="415">
        <v>1061</v>
      </c>
      <c r="C663" s="415">
        <v>150773</v>
      </c>
      <c r="D663" s="416" t="s">
        <v>3163</v>
      </c>
      <c r="E663" s="416" t="s">
        <v>475</v>
      </c>
      <c r="F663" s="416" t="s">
        <v>480</v>
      </c>
      <c r="G663" s="416" t="s">
        <v>1134</v>
      </c>
      <c r="H663" s="416" t="s">
        <v>3164</v>
      </c>
      <c r="I663" s="416" t="s">
        <v>3164</v>
      </c>
      <c r="J663" s="415" t="s">
        <v>661</v>
      </c>
      <c r="K663" s="417">
        <v>-13.444983000000001</v>
      </c>
      <c r="L663" s="417">
        <v>-72.329164000000006</v>
      </c>
      <c r="M663" s="418">
        <v>30</v>
      </c>
      <c r="N663" s="418" t="s">
        <v>2310</v>
      </c>
      <c r="O663" s="418" t="s">
        <v>2953</v>
      </c>
      <c r="P663" s="415">
        <v>3</v>
      </c>
      <c r="Q663" s="415">
        <v>30</v>
      </c>
      <c r="R663" s="415">
        <v>5</v>
      </c>
      <c r="S663" s="415">
        <f t="shared" si="30"/>
        <v>5</v>
      </c>
      <c r="T663" s="419">
        <f t="shared" si="31"/>
        <v>0.83333333333333337</v>
      </c>
      <c r="U663" s="419">
        <f t="shared" si="32"/>
        <v>5.833333333333333</v>
      </c>
      <c r="V663" s="415" t="s">
        <v>662</v>
      </c>
      <c r="W663" s="415" t="s">
        <v>613</v>
      </c>
      <c r="X663" s="415" t="s">
        <v>671</v>
      </c>
      <c r="Y663" s="415"/>
    </row>
    <row r="664" spans="1:25" hidden="1" x14ac:dyDescent="0.25">
      <c r="A664" s="415">
        <v>663</v>
      </c>
      <c r="B664" s="415">
        <v>1062</v>
      </c>
      <c r="C664" s="415">
        <v>150848</v>
      </c>
      <c r="D664" s="416" t="s">
        <v>3165</v>
      </c>
      <c r="E664" s="416" t="s">
        <v>475</v>
      </c>
      <c r="F664" s="416" t="s">
        <v>480</v>
      </c>
      <c r="G664" s="416" t="s">
        <v>1134</v>
      </c>
      <c r="H664" s="416" t="s">
        <v>3166</v>
      </c>
      <c r="I664" s="416" t="s">
        <v>3167</v>
      </c>
      <c r="J664" s="415" t="s">
        <v>661</v>
      </c>
      <c r="K664" s="417">
        <v>-13.45749</v>
      </c>
      <c r="L664" s="417">
        <v>-72.292062000000001</v>
      </c>
      <c r="M664" s="418">
        <v>30</v>
      </c>
      <c r="N664" s="418" t="s">
        <v>2310</v>
      </c>
      <c r="O664" s="418" t="s">
        <v>2953</v>
      </c>
      <c r="P664" s="415">
        <v>3</v>
      </c>
      <c r="Q664" s="415">
        <v>30</v>
      </c>
      <c r="R664" s="415">
        <v>5</v>
      </c>
      <c r="S664" s="415">
        <f t="shared" si="30"/>
        <v>5</v>
      </c>
      <c r="T664" s="419">
        <f t="shared" si="31"/>
        <v>0.83333333333333337</v>
      </c>
      <c r="U664" s="419">
        <f t="shared" si="32"/>
        <v>5.833333333333333</v>
      </c>
      <c r="V664" s="415" t="s">
        <v>662</v>
      </c>
      <c r="W664" s="415" t="s">
        <v>613</v>
      </c>
      <c r="X664" s="415" t="s">
        <v>671</v>
      </c>
      <c r="Y664" s="415"/>
    </row>
    <row r="665" spans="1:25" hidden="1" x14ac:dyDescent="0.25">
      <c r="A665" s="415">
        <v>664</v>
      </c>
      <c r="B665" s="415">
        <v>1063</v>
      </c>
      <c r="C665" s="415">
        <v>150834</v>
      </c>
      <c r="D665" s="416" t="s">
        <v>3168</v>
      </c>
      <c r="E665" s="416" t="s">
        <v>475</v>
      </c>
      <c r="F665" s="416" t="s">
        <v>480</v>
      </c>
      <c r="G665" s="416" t="s">
        <v>1134</v>
      </c>
      <c r="H665" s="416" t="s">
        <v>3169</v>
      </c>
      <c r="I665" s="416" t="s">
        <v>3170</v>
      </c>
      <c r="J665" s="415" t="s">
        <v>661</v>
      </c>
      <c r="K665" s="417">
        <v>-13.467442999999999</v>
      </c>
      <c r="L665" s="417">
        <v>-72.291347999999999</v>
      </c>
      <c r="M665" s="418">
        <v>30</v>
      </c>
      <c r="N665" s="418" t="s">
        <v>2310</v>
      </c>
      <c r="O665" s="418" t="s">
        <v>2953</v>
      </c>
      <c r="P665" s="415">
        <v>3</v>
      </c>
      <c r="Q665" s="415">
        <v>30</v>
      </c>
      <c r="R665" s="415">
        <v>5</v>
      </c>
      <c r="S665" s="415">
        <f t="shared" si="30"/>
        <v>5</v>
      </c>
      <c r="T665" s="419">
        <f t="shared" si="31"/>
        <v>0.83333333333333337</v>
      </c>
      <c r="U665" s="419">
        <f t="shared" si="32"/>
        <v>5.833333333333333</v>
      </c>
      <c r="V665" s="415" t="s">
        <v>662</v>
      </c>
      <c r="W665" s="415" t="s">
        <v>613</v>
      </c>
      <c r="X665" s="415" t="s">
        <v>671</v>
      </c>
      <c r="Y665" s="415"/>
    </row>
    <row r="666" spans="1:25" hidden="1" x14ac:dyDescent="0.25">
      <c r="A666" s="415">
        <v>665</v>
      </c>
      <c r="B666" s="415">
        <v>1064</v>
      </c>
      <c r="C666" s="415">
        <v>601577</v>
      </c>
      <c r="D666" s="416" t="s">
        <v>2242</v>
      </c>
      <c r="E666" s="416" t="s">
        <v>475</v>
      </c>
      <c r="F666" s="416" t="s">
        <v>480</v>
      </c>
      <c r="G666" s="416" t="s">
        <v>1134</v>
      </c>
      <c r="H666" s="416" t="s">
        <v>1135</v>
      </c>
      <c r="I666" s="416" t="s">
        <v>2243</v>
      </c>
      <c r="J666" s="415" t="s">
        <v>661</v>
      </c>
      <c r="K666" s="417">
        <v>-13.47363</v>
      </c>
      <c r="L666" s="417">
        <v>-72.270750000000007</v>
      </c>
      <c r="M666" s="418">
        <v>30</v>
      </c>
      <c r="N666" s="418" t="s">
        <v>2310</v>
      </c>
      <c r="O666" s="418" t="s">
        <v>2953</v>
      </c>
      <c r="P666" s="415">
        <v>3</v>
      </c>
      <c r="Q666" s="415">
        <v>30</v>
      </c>
      <c r="R666" s="415">
        <v>5</v>
      </c>
      <c r="S666" s="415">
        <f t="shared" si="30"/>
        <v>5</v>
      </c>
      <c r="T666" s="419">
        <f t="shared" si="31"/>
        <v>0.83333333333333337</v>
      </c>
      <c r="U666" s="419">
        <f t="shared" si="32"/>
        <v>5.833333333333333</v>
      </c>
      <c r="V666" s="415" t="s">
        <v>662</v>
      </c>
      <c r="W666" s="415" t="s">
        <v>613</v>
      </c>
      <c r="X666" s="415" t="s">
        <v>671</v>
      </c>
      <c r="Y666" s="415"/>
    </row>
    <row r="667" spans="1:25" hidden="1" x14ac:dyDescent="0.25">
      <c r="A667" s="415">
        <v>666</v>
      </c>
      <c r="B667" s="415">
        <v>1065</v>
      </c>
      <c r="C667" s="415">
        <v>150495</v>
      </c>
      <c r="D667" s="416" t="s">
        <v>3171</v>
      </c>
      <c r="E667" s="416" t="s">
        <v>475</v>
      </c>
      <c r="F667" s="416" t="s">
        <v>480</v>
      </c>
      <c r="G667" s="416" t="s">
        <v>480</v>
      </c>
      <c r="H667" s="416" t="s">
        <v>480</v>
      </c>
      <c r="I667" s="416" t="s">
        <v>3172</v>
      </c>
      <c r="J667" s="415" t="s">
        <v>747</v>
      </c>
      <c r="K667" s="417">
        <v>-13.466739</v>
      </c>
      <c r="L667" s="417">
        <v>-72.149113</v>
      </c>
      <c r="M667" s="418">
        <v>30</v>
      </c>
      <c r="N667" s="418" t="s">
        <v>2310</v>
      </c>
      <c r="O667" s="418" t="s">
        <v>2953</v>
      </c>
      <c r="P667" s="415">
        <v>3</v>
      </c>
      <c r="Q667" s="415">
        <v>30</v>
      </c>
      <c r="R667" s="415">
        <v>5</v>
      </c>
      <c r="S667" s="415">
        <f t="shared" si="30"/>
        <v>5</v>
      </c>
      <c r="T667" s="419">
        <f t="shared" si="31"/>
        <v>0.83333333333333337</v>
      </c>
      <c r="U667" s="419">
        <f t="shared" si="32"/>
        <v>5.833333333333333</v>
      </c>
      <c r="V667" s="415" t="s">
        <v>662</v>
      </c>
      <c r="W667" s="415" t="s">
        <v>675</v>
      </c>
      <c r="X667" s="415" t="s">
        <v>673</v>
      </c>
      <c r="Y667" s="415"/>
    </row>
    <row r="668" spans="1:25" hidden="1" x14ac:dyDescent="0.25">
      <c r="A668" s="415">
        <v>667</v>
      </c>
      <c r="B668" s="415">
        <v>1066</v>
      </c>
      <c r="C668" s="415">
        <v>150589</v>
      </c>
      <c r="D668" s="416" t="s">
        <v>1131</v>
      </c>
      <c r="E668" s="416" t="s">
        <v>475</v>
      </c>
      <c r="F668" s="416" t="s">
        <v>480</v>
      </c>
      <c r="G668" s="416" t="s">
        <v>480</v>
      </c>
      <c r="H668" s="416" t="s">
        <v>1132</v>
      </c>
      <c r="I668" s="416" t="s">
        <v>1133</v>
      </c>
      <c r="J668" s="415" t="s">
        <v>661</v>
      </c>
      <c r="K668" s="417">
        <v>-13.5227</v>
      </c>
      <c r="L668" s="417">
        <v>-72.110900000000001</v>
      </c>
      <c r="M668" s="418">
        <v>30</v>
      </c>
      <c r="N668" s="418" t="s">
        <v>2310</v>
      </c>
      <c r="O668" s="418" t="s">
        <v>2953</v>
      </c>
      <c r="P668" s="415">
        <v>3</v>
      </c>
      <c r="Q668" s="415">
        <v>30</v>
      </c>
      <c r="R668" s="415">
        <v>5</v>
      </c>
      <c r="S668" s="415">
        <f t="shared" si="30"/>
        <v>5</v>
      </c>
      <c r="T668" s="419">
        <f t="shared" si="31"/>
        <v>0.83333333333333337</v>
      </c>
      <c r="U668" s="419">
        <f t="shared" si="32"/>
        <v>5.833333333333333</v>
      </c>
      <c r="V668" s="415" t="s">
        <v>662</v>
      </c>
      <c r="W668" s="415" t="s">
        <v>675</v>
      </c>
      <c r="X668" s="415" t="s">
        <v>673</v>
      </c>
      <c r="Y668" s="415"/>
    </row>
    <row r="669" spans="1:25" hidden="1" x14ac:dyDescent="0.25">
      <c r="A669" s="415">
        <v>668</v>
      </c>
      <c r="B669" s="415">
        <v>1067</v>
      </c>
      <c r="C669" s="415">
        <v>151070</v>
      </c>
      <c r="D669" s="416" t="s">
        <v>1140</v>
      </c>
      <c r="E669" s="416" t="s">
        <v>475</v>
      </c>
      <c r="F669" s="416" t="s">
        <v>480</v>
      </c>
      <c r="G669" s="416" t="s">
        <v>1136</v>
      </c>
      <c r="H669" s="416" t="s">
        <v>1141</v>
      </c>
      <c r="I669" s="416" t="s">
        <v>1142</v>
      </c>
      <c r="J669" s="415" t="s">
        <v>661</v>
      </c>
      <c r="K669" s="417">
        <v>-13.660053</v>
      </c>
      <c r="L669" s="417">
        <v>-72.215402999999995</v>
      </c>
      <c r="M669" s="418">
        <v>30</v>
      </c>
      <c r="N669" s="418" t="s">
        <v>2310</v>
      </c>
      <c r="O669" s="418" t="s">
        <v>2953</v>
      </c>
      <c r="P669" s="415">
        <v>3</v>
      </c>
      <c r="Q669" s="415">
        <v>30</v>
      </c>
      <c r="R669" s="415">
        <v>5</v>
      </c>
      <c r="S669" s="415">
        <f t="shared" si="30"/>
        <v>5</v>
      </c>
      <c r="T669" s="419">
        <f t="shared" si="31"/>
        <v>0.83333333333333337</v>
      </c>
      <c r="U669" s="419">
        <f t="shared" si="32"/>
        <v>5.833333333333333</v>
      </c>
      <c r="V669" s="415" t="s">
        <v>662</v>
      </c>
      <c r="W669" s="415" t="s">
        <v>613</v>
      </c>
      <c r="X669" s="415" t="s">
        <v>671</v>
      </c>
      <c r="Y669" s="415"/>
    </row>
    <row r="670" spans="1:25" hidden="1" x14ac:dyDescent="0.25">
      <c r="A670" s="415">
        <v>669</v>
      </c>
      <c r="B670" s="415">
        <v>1068</v>
      </c>
      <c r="C670" s="415">
        <v>150971</v>
      </c>
      <c r="D670" s="416" t="s">
        <v>1137</v>
      </c>
      <c r="E670" s="416" t="s">
        <v>475</v>
      </c>
      <c r="F670" s="416" t="s">
        <v>480</v>
      </c>
      <c r="G670" s="416" t="s">
        <v>1136</v>
      </c>
      <c r="H670" s="416" t="s">
        <v>1138</v>
      </c>
      <c r="I670" s="416" t="s">
        <v>1139</v>
      </c>
      <c r="J670" s="415" t="s">
        <v>661</v>
      </c>
      <c r="K670" s="417">
        <v>-13.573819</v>
      </c>
      <c r="L670" s="417">
        <v>-72.248644999999996</v>
      </c>
      <c r="M670" s="418">
        <v>30</v>
      </c>
      <c r="N670" s="418" t="s">
        <v>2310</v>
      </c>
      <c r="O670" s="418" t="s">
        <v>2953</v>
      </c>
      <c r="P670" s="415">
        <v>3</v>
      </c>
      <c r="Q670" s="415">
        <v>30</v>
      </c>
      <c r="R670" s="415">
        <v>5</v>
      </c>
      <c r="S670" s="415">
        <f t="shared" si="30"/>
        <v>5</v>
      </c>
      <c r="T670" s="419">
        <f t="shared" si="31"/>
        <v>0.83333333333333337</v>
      </c>
      <c r="U670" s="419">
        <f t="shared" si="32"/>
        <v>5.833333333333333</v>
      </c>
      <c r="V670" s="415" t="s">
        <v>662</v>
      </c>
      <c r="W670" s="415" t="s">
        <v>613</v>
      </c>
      <c r="X670" s="415" t="s">
        <v>671</v>
      </c>
      <c r="Y670" s="415"/>
    </row>
    <row r="671" spans="1:25" hidden="1" x14ac:dyDescent="0.25">
      <c r="A671" s="415">
        <v>670</v>
      </c>
      <c r="B671" s="415">
        <v>1069</v>
      </c>
      <c r="C671" s="415">
        <v>151174</v>
      </c>
      <c r="D671" s="416" t="s">
        <v>1143</v>
      </c>
      <c r="E671" s="416" t="s">
        <v>475</v>
      </c>
      <c r="F671" s="416" t="s">
        <v>480</v>
      </c>
      <c r="G671" s="416" t="s">
        <v>1144</v>
      </c>
      <c r="H671" s="416" t="s">
        <v>1144</v>
      </c>
      <c r="I671" s="416" t="s">
        <v>1145</v>
      </c>
      <c r="J671" s="415" t="s">
        <v>747</v>
      </c>
      <c r="K671" s="417">
        <v>-13.417676999999999</v>
      </c>
      <c r="L671" s="417">
        <v>-72.203778999999997</v>
      </c>
      <c r="M671" s="418">
        <v>30</v>
      </c>
      <c r="N671" s="418" t="s">
        <v>2310</v>
      </c>
      <c r="O671" s="418" t="s">
        <v>2953</v>
      </c>
      <c r="P671" s="415">
        <v>3</v>
      </c>
      <c r="Q671" s="415">
        <v>30</v>
      </c>
      <c r="R671" s="415">
        <v>5</v>
      </c>
      <c r="S671" s="415">
        <f t="shared" si="30"/>
        <v>5</v>
      </c>
      <c r="T671" s="419">
        <f t="shared" si="31"/>
        <v>0.83333333333333337</v>
      </c>
      <c r="U671" s="419">
        <f t="shared" si="32"/>
        <v>5.833333333333333</v>
      </c>
      <c r="V671" s="415" t="s">
        <v>662</v>
      </c>
      <c r="W671" s="415" t="s">
        <v>675</v>
      </c>
      <c r="X671" s="415" t="s">
        <v>673</v>
      </c>
      <c r="Y671" s="415"/>
    </row>
    <row r="672" spans="1:25" hidden="1" x14ac:dyDescent="0.25">
      <c r="A672" s="415">
        <v>671</v>
      </c>
      <c r="B672" s="415">
        <v>1070</v>
      </c>
      <c r="C672" s="415">
        <v>151334</v>
      </c>
      <c r="D672" s="416" t="s">
        <v>1146</v>
      </c>
      <c r="E672" s="416" t="s">
        <v>475</v>
      </c>
      <c r="F672" s="416" t="s">
        <v>480</v>
      </c>
      <c r="G672" s="416" t="s">
        <v>1147</v>
      </c>
      <c r="H672" s="416" t="s">
        <v>1148</v>
      </c>
      <c r="I672" s="416" t="s">
        <v>1149</v>
      </c>
      <c r="J672" s="415" t="s">
        <v>661</v>
      </c>
      <c r="K672" s="417">
        <v>-13.498946999999999</v>
      </c>
      <c r="L672" s="417">
        <v>-72.421559999999999</v>
      </c>
      <c r="M672" s="418">
        <v>30</v>
      </c>
      <c r="N672" s="418" t="s">
        <v>2310</v>
      </c>
      <c r="O672" s="418" t="s">
        <v>2953</v>
      </c>
      <c r="P672" s="415">
        <v>3</v>
      </c>
      <c r="Q672" s="415">
        <v>30</v>
      </c>
      <c r="R672" s="415">
        <v>5</v>
      </c>
      <c r="S672" s="415">
        <f t="shared" si="30"/>
        <v>5</v>
      </c>
      <c r="T672" s="419">
        <f t="shared" si="31"/>
        <v>0.83333333333333337</v>
      </c>
      <c r="U672" s="419">
        <f t="shared" si="32"/>
        <v>5.833333333333333</v>
      </c>
      <c r="V672" s="415" t="s">
        <v>662</v>
      </c>
      <c r="W672" s="415" t="s">
        <v>613</v>
      </c>
      <c r="X672" s="415" t="s">
        <v>671</v>
      </c>
      <c r="Y672" s="415"/>
    </row>
    <row r="673" spans="1:25" hidden="1" x14ac:dyDescent="0.25">
      <c r="A673" s="415">
        <v>672</v>
      </c>
      <c r="B673" s="415">
        <v>1071</v>
      </c>
      <c r="C673" s="415">
        <v>151895</v>
      </c>
      <c r="D673" s="416" t="s">
        <v>1150</v>
      </c>
      <c r="E673" s="416" t="s">
        <v>475</v>
      </c>
      <c r="F673" s="416" t="s">
        <v>478</v>
      </c>
      <c r="G673" s="416" t="s">
        <v>478</v>
      </c>
      <c r="H673" s="416" t="s">
        <v>1151</v>
      </c>
      <c r="I673" s="416" t="s">
        <v>1152</v>
      </c>
      <c r="J673" s="415" t="s">
        <v>661</v>
      </c>
      <c r="K673" s="417">
        <v>-13.054933</v>
      </c>
      <c r="L673" s="417">
        <v>-71.946467999999996</v>
      </c>
      <c r="M673" s="418">
        <v>30</v>
      </c>
      <c r="N673" s="418" t="s">
        <v>2310</v>
      </c>
      <c r="O673" s="418" t="s">
        <v>2953</v>
      </c>
      <c r="P673" s="415">
        <v>3</v>
      </c>
      <c r="Q673" s="415">
        <v>30</v>
      </c>
      <c r="R673" s="415">
        <v>5</v>
      </c>
      <c r="S673" s="415">
        <f t="shared" si="30"/>
        <v>5</v>
      </c>
      <c r="T673" s="419">
        <f t="shared" si="31"/>
        <v>0.83333333333333337</v>
      </c>
      <c r="U673" s="419">
        <f t="shared" si="32"/>
        <v>5.833333333333333</v>
      </c>
      <c r="V673" s="415" t="s">
        <v>662</v>
      </c>
      <c r="W673" s="415" t="s">
        <v>675</v>
      </c>
      <c r="X673" s="415" t="s">
        <v>673</v>
      </c>
      <c r="Y673" s="415"/>
    </row>
    <row r="674" spans="1:25" hidden="1" x14ac:dyDescent="0.25">
      <c r="A674" s="415">
        <v>673</v>
      </c>
      <c r="B674" s="415">
        <v>1072</v>
      </c>
      <c r="C674" s="415">
        <v>151923</v>
      </c>
      <c r="D674" s="416" t="s">
        <v>1153</v>
      </c>
      <c r="E674" s="416" t="s">
        <v>475</v>
      </c>
      <c r="F674" s="416" t="s">
        <v>478</v>
      </c>
      <c r="G674" s="416" t="s">
        <v>478</v>
      </c>
      <c r="H674" s="416" t="s">
        <v>1154</v>
      </c>
      <c r="I674" s="416" t="s">
        <v>1155</v>
      </c>
      <c r="J674" s="415" t="s">
        <v>661</v>
      </c>
      <c r="K674" s="417">
        <v>-13.242862000000001</v>
      </c>
      <c r="L674" s="417">
        <v>-71.793003999999996</v>
      </c>
      <c r="M674" s="418">
        <v>30</v>
      </c>
      <c r="N674" s="418" t="s">
        <v>2310</v>
      </c>
      <c r="O674" s="418" t="s">
        <v>2953</v>
      </c>
      <c r="P674" s="415">
        <v>3</v>
      </c>
      <c r="Q674" s="415">
        <v>30</v>
      </c>
      <c r="R674" s="415">
        <v>5</v>
      </c>
      <c r="S674" s="415">
        <f t="shared" si="30"/>
        <v>5</v>
      </c>
      <c r="T674" s="419">
        <f t="shared" si="31"/>
        <v>0.83333333333333337</v>
      </c>
      <c r="U674" s="419">
        <f t="shared" si="32"/>
        <v>5.833333333333333</v>
      </c>
      <c r="V674" s="415" t="s">
        <v>662</v>
      </c>
      <c r="W674" s="415" t="s">
        <v>675</v>
      </c>
      <c r="X674" s="415" t="s">
        <v>673</v>
      </c>
      <c r="Y674" s="415"/>
    </row>
    <row r="675" spans="1:25" hidden="1" x14ac:dyDescent="0.25">
      <c r="A675" s="415">
        <v>674</v>
      </c>
      <c r="B675" s="415">
        <v>1073</v>
      </c>
      <c r="C675" s="415">
        <v>152282</v>
      </c>
      <c r="D675" s="416" t="s">
        <v>3173</v>
      </c>
      <c r="E675" s="416" t="s">
        <v>475</v>
      </c>
      <c r="F675" s="416" t="s">
        <v>478</v>
      </c>
      <c r="G675" s="416" t="s">
        <v>3174</v>
      </c>
      <c r="H675" s="416" t="s">
        <v>3175</v>
      </c>
      <c r="I675" s="416" t="s">
        <v>3175</v>
      </c>
      <c r="J675" s="415" t="s">
        <v>661</v>
      </c>
      <c r="K675" s="417">
        <v>-13.304316999999999</v>
      </c>
      <c r="L675" s="417">
        <v>-71.768535</v>
      </c>
      <c r="M675" s="418">
        <v>30</v>
      </c>
      <c r="N675" s="418" t="s">
        <v>2310</v>
      </c>
      <c r="O675" s="418" t="s">
        <v>2953</v>
      </c>
      <c r="P675" s="415">
        <v>3</v>
      </c>
      <c r="Q675" s="415">
        <v>30</v>
      </c>
      <c r="R675" s="415">
        <v>5</v>
      </c>
      <c r="S675" s="415">
        <f t="shared" si="30"/>
        <v>5</v>
      </c>
      <c r="T675" s="419">
        <f t="shared" si="31"/>
        <v>0.83333333333333337</v>
      </c>
      <c r="U675" s="419">
        <f t="shared" si="32"/>
        <v>5.833333333333333</v>
      </c>
      <c r="V675" s="415" t="s">
        <v>662</v>
      </c>
      <c r="W675" s="415" t="s">
        <v>675</v>
      </c>
      <c r="X675" s="415" t="s">
        <v>673</v>
      </c>
      <c r="Y675" s="415"/>
    </row>
    <row r="676" spans="1:25" hidden="1" x14ac:dyDescent="0.25">
      <c r="A676" s="415">
        <v>675</v>
      </c>
      <c r="B676" s="415">
        <v>1074</v>
      </c>
      <c r="C676" s="415">
        <v>152319</v>
      </c>
      <c r="D676" s="416" t="s">
        <v>3176</v>
      </c>
      <c r="E676" s="416" t="s">
        <v>475</v>
      </c>
      <c r="F676" s="416" t="s">
        <v>478</v>
      </c>
      <c r="G676" s="416" t="s">
        <v>1156</v>
      </c>
      <c r="H676" s="416" t="s">
        <v>3177</v>
      </c>
      <c r="I676" s="416" t="s">
        <v>3178</v>
      </c>
      <c r="J676" s="415" t="s">
        <v>661</v>
      </c>
      <c r="K676" s="417">
        <v>-13.036899999999999</v>
      </c>
      <c r="L676" s="417">
        <v>-72.0364</v>
      </c>
      <c r="M676" s="418">
        <v>30</v>
      </c>
      <c r="N676" s="418" t="s">
        <v>2310</v>
      </c>
      <c r="O676" s="418" t="s">
        <v>2953</v>
      </c>
      <c r="P676" s="415">
        <v>3</v>
      </c>
      <c r="Q676" s="415">
        <v>30</v>
      </c>
      <c r="R676" s="415">
        <v>5</v>
      </c>
      <c r="S676" s="415">
        <f t="shared" si="30"/>
        <v>5</v>
      </c>
      <c r="T676" s="419">
        <f t="shared" si="31"/>
        <v>0.83333333333333337</v>
      </c>
      <c r="U676" s="419">
        <f t="shared" si="32"/>
        <v>5.833333333333333</v>
      </c>
      <c r="V676" s="415" t="s">
        <v>662</v>
      </c>
      <c r="W676" s="415" t="s">
        <v>675</v>
      </c>
      <c r="X676" s="415" t="s">
        <v>673</v>
      </c>
      <c r="Y676" s="415"/>
    </row>
    <row r="677" spans="1:25" hidden="1" x14ac:dyDescent="0.25">
      <c r="A677" s="415">
        <v>676</v>
      </c>
      <c r="B677" s="415">
        <v>1075</v>
      </c>
      <c r="C677" s="415">
        <v>152630</v>
      </c>
      <c r="D677" s="416" t="s">
        <v>3179</v>
      </c>
      <c r="E677" s="416" t="s">
        <v>475</v>
      </c>
      <c r="F677" s="416" t="s">
        <v>478</v>
      </c>
      <c r="G677" s="416" t="s">
        <v>1157</v>
      </c>
      <c r="H677" s="416" t="s">
        <v>3180</v>
      </c>
      <c r="I677" s="416" t="s">
        <v>3180</v>
      </c>
      <c r="J677" s="415" t="s">
        <v>661</v>
      </c>
      <c r="K677" s="417">
        <v>-13.389200000000001</v>
      </c>
      <c r="L677" s="417">
        <v>-71.778599999999997</v>
      </c>
      <c r="M677" s="418">
        <v>30</v>
      </c>
      <c r="N677" s="418" t="s">
        <v>2310</v>
      </c>
      <c r="O677" s="418" t="s">
        <v>2953</v>
      </c>
      <c r="P677" s="415">
        <v>3</v>
      </c>
      <c r="Q677" s="415">
        <v>30</v>
      </c>
      <c r="R677" s="415">
        <v>5</v>
      </c>
      <c r="S677" s="415">
        <f t="shared" si="30"/>
        <v>5</v>
      </c>
      <c r="T677" s="419">
        <f t="shared" si="31"/>
        <v>0.83333333333333337</v>
      </c>
      <c r="U677" s="419">
        <f t="shared" si="32"/>
        <v>5.833333333333333</v>
      </c>
      <c r="V677" s="415" t="s">
        <v>662</v>
      </c>
      <c r="W677" s="415" t="s">
        <v>675</v>
      </c>
      <c r="X677" s="415" t="s">
        <v>673</v>
      </c>
      <c r="Y677" s="415"/>
    </row>
    <row r="678" spans="1:25" hidden="1" x14ac:dyDescent="0.25">
      <c r="A678" s="415">
        <v>677</v>
      </c>
      <c r="B678" s="415">
        <v>1076</v>
      </c>
      <c r="C678" s="415">
        <v>153012</v>
      </c>
      <c r="D678" s="416" t="s">
        <v>3181</v>
      </c>
      <c r="E678" s="416" t="s">
        <v>475</v>
      </c>
      <c r="F678" s="416" t="s">
        <v>478</v>
      </c>
      <c r="G678" s="416" t="s">
        <v>1159</v>
      </c>
      <c r="H678" s="416" t="s">
        <v>3182</v>
      </c>
      <c r="I678" s="416" t="s">
        <v>3182</v>
      </c>
      <c r="J678" s="415" t="s">
        <v>661</v>
      </c>
      <c r="K678" s="417">
        <v>-12.75745</v>
      </c>
      <c r="L678" s="417">
        <v>-72.176150000000007</v>
      </c>
      <c r="M678" s="418">
        <v>30</v>
      </c>
      <c r="N678" s="418" t="s">
        <v>2310</v>
      </c>
      <c r="O678" s="418" t="s">
        <v>2953</v>
      </c>
      <c r="P678" s="415">
        <v>3</v>
      </c>
      <c r="Q678" s="415">
        <v>30</v>
      </c>
      <c r="R678" s="415">
        <v>5</v>
      </c>
      <c r="S678" s="415">
        <f t="shared" si="30"/>
        <v>5</v>
      </c>
      <c r="T678" s="419">
        <f t="shared" si="31"/>
        <v>0.83333333333333337</v>
      </c>
      <c r="U678" s="419">
        <f t="shared" si="32"/>
        <v>5.833333333333333</v>
      </c>
      <c r="V678" s="415" t="s">
        <v>662</v>
      </c>
      <c r="W678" s="415" t="s">
        <v>675</v>
      </c>
      <c r="X678" s="415" t="s">
        <v>673</v>
      </c>
      <c r="Y678" s="415"/>
    </row>
    <row r="679" spans="1:25" hidden="1" x14ac:dyDescent="0.25">
      <c r="A679" s="415">
        <v>678</v>
      </c>
      <c r="B679" s="415">
        <v>1077</v>
      </c>
      <c r="C679" s="415">
        <v>153210</v>
      </c>
      <c r="D679" s="416" t="s">
        <v>1158</v>
      </c>
      <c r="E679" s="416" t="s">
        <v>475</v>
      </c>
      <c r="F679" s="416" t="s">
        <v>478</v>
      </c>
      <c r="G679" s="416" t="s">
        <v>1159</v>
      </c>
      <c r="H679" s="416" t="s">
        <v>1160</v>
      </c>
      <c r="I679" s="416" t="s">
        <v>1161</v>
      </c>
      <c r="J679" s="415" t="s">
        <v>661</v>
      </c>
      <c r="K679" s="417">
        <v>-12.405269000000001</v>
      </c>
      <c r="L679" s="417">
        <v>-72.517330000000001</v>
      </c>
      <c r="M679" s="418">
        <v>30</v>
      </c>
      <c r="N679" s="418" t="s">
        <v>2310</v>
      </c>
      <c r="O679" s="418" t="s">
        <v>2953</v>
      </c>
      <c r="P679" s="415">
        <v>3</v>
      </c>
      <c r="Q679" s="415">
        <v>30</v>
      </c>
      <c r="R679" s="415">
        <v>5</v>
      </c>
      <c r="S679" s="415">
        <f t="shared" si="30"/>
        <v>5</v>
      </c>
      <c r="T679" s="419">
        <f t="shared" si="31"/>
        <v>0.83333333333333337</v>
      </c>
      <c r="U679" s="419">
        <f t="shared" si="32"/>
        <v>5.833333333333333</v>
      </c>
      <c r="V679" s="415" t="s">
        <v>662</v>
      </c>
      <c r="W679" s="415" t="s">
        <v>675</v>
      </c>
      <c r="X679" s="415" t="s">
        <v>673</v>
      </c>
      <c r="Y679" s="415"/>
    </row>
    <row r="680" spans="1:25" hidden="1" x14ac:dyDescent="0.25">
      <c r="A680" s="415">
        <v>679</v>
      </c>
      <c r="B680" s="415">
        <v>1078</v>
      </c>
      <c r="C680" s="415">
        <v>153875</v>
      </c>
      <c r="D680" s="416" t="s">
        <v>3183</v>
      </c>
      <c r="E680" s="416" t="s">
        <v>475</v>
      </c>
      <c r="F680" s="416" t="s">
        <v>486</v>
      </c>
      <c r="G680" s="416" t="s">
        <v>3184</v>
      </c>
      <c r="H680" s="416" t="s">
        <v>3185</v>
      </c>
      <c r="I680" s="416" t="s">
        <v>3185</v>
      </c>
      <c r="J680" s="415" t="s">
        <v>661</v>
      </c>
      <c r="K680" s="417">
        <v>-14.448433</v>
      </c>
      <c r="L680" s="417">
        <v>-71.485847000000007</v>
      </c>
      <c r="M680" s="418">
        <v>30</v>
      </c>
      <c r="N680" s="418" t="s">
        <v>2310</v>
      </c>
      <c r="O680" s="418" t="s">
        <v>2953</v>
      </c>
      <c r="P680" s="415">
        <v>3</v>
      </c>
      <c r="Q680" s="415">
        <v>30</v>
      </c>
      <c r="R680" s="415">
        <v>5</v>
      </c>
      <c r="S680" s="415">
        <f t="shared" si="30"/>
        <v>5</v>
      </c>
      <c r="T680" s="419">
        <f t="shared" si="31"/>
        <v>0.83333333333333337</v>
      </c>
      <c r="U680" s="419">
        <f t="shared" si="32"/>
        <v>5.833333333333333</v>
      </c>
      <c r="V680" s="415" t="s">
        <v>662</v>
      </c>
      <c r="W680" s="415" t="s">
        <v>614</v>
      </c>
      <c r="X680" s="415" t="s">
        <v>671</v>
      </c>
      <c r="Y680" s="415"/>
    </row>
    <row r="681" spans="1:25" hidden="1" x14ac:dyDescent="0.25">
      <c r="A681" s="415">
        <v>680</v>
      </c>
      <c r="B681" s="415">
        <v>1079</v>
      </c>
      <c r="C681" s="415">
        <v>154200</v>
      </c>
      <c r="D681" s="416" t="s">
        <v>3186</v>
      </c>
      <c r="E681" s="416" t="s">
        <v>475</v>
      </c>
      <c r="F681" s="416" t="s">
        <v>486</v>
      </c>
      <c r="G681" s="416" t="s">
        <v>3187</v>
      </c>
      <c r="H681" s="416" t="s">
        <v>3188</v>
      </c>
      <c r="I681" s="416" t="s">
        <v>3189</v>
      </c>
      <c r="J681" s="415" t="s">
        <v>661</v>
      </c>
      <c r="K681" s="417">
        <v>-14.407591999999999</v>
      </c>
      <c r="L681" s="417">
        <v>-71.309556000000001</v>
      </c>
      <c r="M681" s="418">
        <v>30</v>
      </c>
      <c r="N681" s="418" t="s">
        <v>2310</v>
      </c>
      <c r="O681" s="418" t="s">
        <v>2953</v>
      </c>
      <c r="P681" s="415">
        <v>3</v>
      </c>
      <c r="Q681" s="415">
        <v>30</v>
      </c>
      <c r="R681" s="415">
        <v>5</v>
      </c>
      <c r="S681" s="415">
        <f t="shared" si="30"/>
        <v>5</v>
      </c>
      <c r="T681" s="419">
        <f t="shared" si="31"/>
        <v>0.83333333333333337</v>
      </c>
      <c r="U681" s="419">
        <f t="shared" si="32"/>
        <v>5.833333333333333</v>
      </c>
      <c r="V681" s="415" t="s">
        <v>662</v>
      </c>
      <c r="W681" s="415" t="s">
        <v>614</v>
      </c>
      <c r="X681" s="415" t="s">
        <v>671</v>
      </c>
      <c r="Y681" s="415"/>
    </row>
    <row r="682" spans="1:25" hidden="1" x14ac:dyDescent="0.25">
      <c r="A682" s="415">
        <v>681</v>
      </c>
      <c r="B682" s="415">
        <v>1080</v>
      </c>
      <c r="C682" s="415">
        <v>603492</v>
      </c>
      <c r="D682" s="416" t="s">
        <v>1986</v>
      </c>
      <c r="E682" s="416" t="s">
        <v>475</v>
      </c>
      <c r="F682" s="416" t="s">
        <v>486</v>
      </c>
      <c r="G682" s="416" t="s">
        <v>1178</v>
      </c>
      <c r="H682" s="416" t="s">
        <v>3190</v>
      </c>
      <c r="I682" s="416" t="s">
        <v>3188</v>
      </c>
      <c r="J682" s="415" t="s">
        <v>661</v>
      </c>
      <c r="K682" s="417">
        <v>-14.531499999999999</v>
      </c>
      <c r="L682" s="417">
        <v>-71.158500000000004</v>
      </c>
      <c r="M682" s="418">
        <v>30</v>
      </c>
      <c r="N682" s="418" t="s">
        <v>2310</v>
      </c>
      <c r="O682" s="418" t="s">
        <v>2953</v>
      </c>
      <c r="P682" s="415">
        <v>3</v>
      </c>
      <c r="Q682" s="415">
        <v>30</v>
      </c>
      <c r="R682" s="415">
        <v>5</v>
      </c>
      <c r="S682" s="415">
        <f t="shared" si="30"/>
        <v>5</v>
      </c>
      <c r="T682" s="419">
        <f t="shared" si="31"/>
        <v>0.83333333333333337</v>
      </c>
      <c r="U682" s="419">
        <f t="shared" si="32"/>
        <v>5.833333333333333</v>
      </c>
      <c r="V682" s="415" t="s">
        <v>662</v>
      </c>
      <c r="W682" s="415" t="s">
        <v>614</v>
      </c>
      <c r="X682" s="415" t="s">
        <v>671</v>
      </c>
      <c r="Y682" s="415"/>
    </row>
    <row r="683" spans="1:25" hidden="1" x14ac:dyDescent="0.25">
      <c r="A683" s="415">
        <v>682</v>
      </c>
      <c r="B683" s="415">
        <v>1081</v>
      </c>
      <c r="C683" s="415">
        <v>154460</v>
      </c>
      <c r="D683" s="416" t="s">
        <v>3191</v>
      </c>
      <c r="E683" s="416" t="s">
        <v>475</v>
      </c>
      <c r="F683" s="416" t="s">
        <v>486</v>
      </c>
      <c r="G683" s="416" t="s">
        <v>912</v>
      </c>
      <c r="H683" s="416" t="s">
        <v>3192</v>
      </c>
      <c r="I683" s="416" t="s">
        <v>3192</v>
      </c>
      <c r="J683" s="415" t="s">
        <v>661</v>
      </c>
      <c r="K683" s="417">
        <v>-14.179399999999999</v>
      </c>
      <c r="L683" s="417">
        <v>-71.446100000000001</v>
      </c>
      <c r="M683" s="418">
        <v>30</v>
      </c>
      <c r="N683" s="418" t="s">
        <v>2310</v>
      </c>
      <c r="O683" s="418" t="s">
        <v>2953</v>
      </c>
      <c r="P683" s="415">
        <v>3</v>
      </c>
      <c r="Q683" s="415">
        <v>30</v>
      </c>
      <c r="R683" s="415">
        <v>5</v>
      </c>
      <c r="S683" s="415">
        <f t="shared" si="30"/>
        <v>5</v>
      </c>
      <c r="T683" s="419">
        <f t="shared" si="31"/>
        <v>0.83333333333333337</v>
      </c>
      <c r="U683" s="419">
        <f t="shared" si="32"/>
        <v>5.833333333333333</v>
      </c>
      <c r="V683" s="415" t="s">
        <v>662</v>
      </c>
      <c r="W683" s="415" t="s">
        <v>614</v>
      </c>
      <c r="X683" s="415" t="s">
        <v>671</v>
      </c>
      <c r="Y683" s="415"/>
    </row>
    <row r="684" spans="1:25" hidden="1" x14ac:dyDescent="0.25">
      <c r="A684" s="415">
        <v>683</v>
      </c>
      <c r="B684" s="415">
        <v>1082</v>
      </c>
      <c r="C684" s="415">
        <v>153700</v>
      </c>
      <c r="D684" s="416" t="s">
        <v>1162</v>
      </c>
      <c r="E684" s="416" t="s">
        <v>475</v>
      </c>
      <c r="F684" s="416" t="s">
        <v>486</v>
      </c>
      <c r="G684" s="416" t="s">
        <v>1163</v>
      </c>
      <c r="H684" s="416" t="s">
        <v>1164</v>
      </c>
      <c r="I684" s="416" t="s">
        <v>1164</v>
      </c>
      <c r="J684" s="415" t="s">
        <v>661</v>
      </c>
      <c r="K684" s="417">
        <v>-14.314</v>
      </c>
      <c r="L684" s="417">
        <v>-71.436899999999994</v>
      </c>
      <c r="M684" s="418">
        <v>30</v>
      </c>
      <c r="N684" s="418" t="s">
        <v>2310</v>
      </c>
      <c r="O684" s="418" t="s">
        <v>2953</v>
      </c>
      <c r="P684" s="415">
        <v>3</v>
      </c>
      <c r="Q684" s="415">
        <v>30</v>
      </c>
      <c r="R684" s="415">
        <v>5</v>
      </c>
      <c r="S684" s="415">
        <f t="shared" si="30"/>
        <v>5</v>
      </c>
      <c r="T684" s="419">
        <f t="shared" si="31"/>
        <v>0.83333333333333337</v>
      </c>
      <c r="U684" s="419">
        <f t="shared" si="32"/>
        <v>5.833333333333333</v>
      </c>
      <c r="V684" s="415" t="s">
        <v>662</v>
      </c>
      <c r="W684" s="415" t="s">
        <v>614</v>
      </c>
      <c r="X684" s="415" t="s">
        <v>671</v>
      </c>
      <c r="Y684" s="415"/>
    </row>
    <row r="685" spans="1:25" hidden="1" x14ac:dyDescent="0.25">
      <c r="A685" s="415">
        <v>684</v>
      </c>
      <c r="B685" s="415">
        <v>1083</v>
      </c>
      <c r="C685" s="415">
        <v>155681</v>
      </c>
      <c r="D685" s="416" t="s">
        <v>3193</v>
      </c>
      <c r="E685" s="416" t="s">
        <v>475</v>
      </c>
      <c r="F685" s="416" t="s">
        <v>488</v>
      </c>
      <c r="G685" s="416" t="s">
        <v>3194</v>
      </c>
      <c r="H685" s="416" t="s">
        <v>3195</v>
      </c>
      <c r="I685" s="416" t="s">
        <v>3195</v>
      </c>
      <c r="J685" s="415" t="s">
        <v>661</v>
      </c>
      <c r="K685" s="417">
        <v>-13.9955</v>
      </c>
      <c r="L685" s="417">
        <v>-71.462000000000003</v>
      </c>
      <c r="M685" s="418">
        <v>30</v>
      </c>
      <c r="N685" s="418" t="s">
        <v>2310</v>
      </c>
      <c r="O685" s="418" t="s">
        <v>2953</v>
      </c>
      <c r="P685" s="415">
        <v>3</v>
      </c>
      <c r="Q685" s="415">
        <v>30</v>
      </c>
      <c r="R685" s="415">
        <v>5</v>
      </c>
      <c r="S685" s="415">
        <f t="shared" si="30"/>
        <v>5</v>
      </c>
      <c r="T685" s="419">
        <f t="shared" si="31"/>
        <v>0.83333333333333337</v>
      </c>
      <c r="U685" s="419">
        <f t="shared" si="32"/>
        <v>5.833333333333333</v>
      </c>
      <c r="V685" s="415" t="s">
        <v>662</v>
      </c>
      <c r="W685" s="415" t="s">
        <v>613</v>
      </c>
      <c r="X685" s="415" t="s">
        <v>671</v>
      </c>
      <c r="Y685" s="415"/>
    </row>
    <row r="686" spans="1:25" hidden="1" x14ac:dyDescent="0.25">
      <c r="A686" s="415">
        <v>685</v>
      </c>
      <c r="B686" s="415">
        <v>1084</v>
      </c>
      <c r="C686" s="415">
        <v>156242</v>
      </c>
      <c r="D686" s="416" t="s">
        <v>1166</v>
      </c>
      <c r="E686" s="416" t="s">
        <v>475</v>
      </c>
      <c r="F686" s="416" t="s">
        <v>488</v>
      </c>
      <c r="G686" s="416" t="s">
        <v>1167</v>
      </c>
      <c r="H686" s="416" t="s">
        <v>1168</v>
      </c>
      <c r="I686" s="416" t="s">
        <v>1168</v>
      </c>
      <c r="J686" s="415" t="s">
        <v>661</v>
      </c>
      <c r="K686" s="417">
        <v>-13.97513</v>
      </c>
      <c r="L686" s="417">
        <v>-71.380309999999994</v>
      </c>
      <c r="M686" s="418">
        <v>30</v>
      </c>
      <c r="N686" s="418" t="s">
        <v>2310</v>
      </c>
      <c r="O686" s="418" t="s">
        <v>2953</v>
      </c>
      <c r="P686" s="415">
        <v>3</v>
      </c>
      <c r="Q686" s="415">
        <v>30</v>
      </c>
      <c r="R686" s="415">
        <v>5</v>
      </c>
      <c r="S686" s="415">
        <f t="shared" si="30"/>
        <v>5</v>
      </c>
      <c r="T686" s="419">
        <f t="shared" si="31"/>
        <v>0.83333333333333337</v>
      </c>
      <c r="U686" s="419">
        <f t="shared" si="32"/>
        <v>5.833333333333333</v>
      </c>
      <c r="V686" s="415" t="s">
        <v>662</v>
      </c>
      <c r="W686" s="415" t="s">
        <v>614</v>
      </c>
      <c r="X686" s="415" t="s">
        <v>671</v>
      </c>
      <c r="Y686" s="415"/>
    </row>
    <row r="687" spans="1:25" hidden="1" x14ac:dyDescent="0.25">
      <c r="A687" s="415">
        <v>686</v>
      </c>
      <c r="B687" s="415">
        <v>1085</v>
      </c>
      <c r="C687" s="415">
        <v>156261</v>
      </c>
      <c r="D687" s="416" t="s">
        <v>1169</v>
      </c>
      <c r="E687" s="416" t="s">
        <v>475</v>
      </c>
      <c r="F687" s="416" t="s">
        <v>488</v>
      </c>
      <c r="G687" s="416" t="s">
        <v>1167</v>
      </c>
      <c r="H687" s="416" t="s">
        <v>1170</v>
      </c>
      <c r="I687" s="416" t="s">
        <v>1170</v>
      </c>
      <c r="J687" s="415" t="s">
        <v>661</v>
      </c>
      <c r="K687" s="417">
        <v>-13.9711</v>
      </c>
      <c r="L687" s="417">
        <v>-71.310599999999994</v>
      </c>
      <c r="M687" s="418">
        <v>30</v>
      </c>
      <c r="N687" s="418" t="s">
        <v>2310</v>
      </c>
      <c r="O687" s="418" t="s">
        <v>2953</v>
      </c>
      <c r="P687" s="415">
        <v>3</v>
      </c>
      <c r="Q687" s="415">
        <v>30</v>
      </c>
      <c r="R687" s="415">
        <v>5</v>
      </c>
      <c r="S687" s="415">
        <f t="shared" si="30"/>
        <v>5</v>
      </c>
      <c r="T687" s="419">
        <f t="shared" si="31"/>
        <v>0.83333333333333337</v>
      </c>
      <c r="U687" s="419">
        <f t="shared" si="32"/>
        <v>5.833333333333333</v>
      </c>
      <c r="V687" s="415" t="s">
        <v>662</v>
      </c>
      <c r="W687" s="415" t="s">
        <v>614</v>
      </c>
      <c r="X687" s="415" t="s">
        <v>671</v>
      </c>
      <c r="Y687" s="415"/>
    </row>
    <row r="688" spans="1:25" hidden="1" x14ac:dyDescent="0.25">
      <c r="A688" s="415">
        <v>687</v>
      </c>
      <c r="B688" s="415">
        <v>1086</v>
      </c>
      <c r="C688" s="415">
        <v>156529</v>
      </c>
      <c r="D688" s="416" t="s">
        <v>1171</v>
      </c>
      <c r="E688" s="416" t="s">
        <v>475</v>
      </c>
      <c r="F688" s="416" t="s">
        <v>488</v>
      </c>
      <c r="G688" s="416" t="s">
        <v>473</v>
      </c>
      <c r="H688" s="416" t="s">
        <v>1172</v>
      </c>
      <c r="I688" s="416" t="s">
        <v>1173</v>
      </c>
      <c r="J688" s="415" t="s">
        <v>661</v>
      </c>
      <c r="K688" s="417">
        <v>-14.165150000000001</v>
      </c>
      <c r="L688" s="417">
        <v>-71.195329999999998</v>
      </c>
      <c r="M688" s="418">
        <v>30</v>
      </c>
      <c r="N688" s="418" t="s">
        <v>2310</v>
      </c>
      <c r="O688" s="418" t="s">
        <v>2953</v>
      </c>
      <c r="P688" s="415">
        <v>3</v>
      </c>
      <c r="Q688" s="415">
        <v>30</v>
      </c>
      <c r="R688" s="415">
        <v>5</v>
      </c>
      <c r="S688" s="415">
        <f t="shared" si="30"/>
        <v>5</v>
      </c>
      <c r="T688" s="419">
        <f t="shared" si="31"/>
        <v>0.83333333333333337</v>
      </c>
      <c r="U688" s="419">
        <f t="shared" si="32"/>
        <v>5.833333333333333</v>
      </c>
      <c r="V688" s="415" t="s">
        <v>662</v>
      </c>
      <c r="W688" s="415" t="s">
        <v>614</v>
      </c>
      <c r="X688" s="415" t="s">
        <v>671</v>
      </c>
      <c r="Y688" s="415"/>
    </row>
    <row r="689" spans="1:25" hidden="1" x14ac:dyDescent="0.25">
      <c r="A689" s="415">
        <v>688</v>
      </c>
      <c r="B689" s="415">
        <v>1087</v>
      </c>
      <c r="C689" s="415">
        <v>155148</v>
      </c>
      <c r="D689" s="416" t="s">
        <v>3196</v>
      </c>
      <c r="E689" s="416" t="s">
        <v>475</v>
      </c>
      <c r="F689" s="416" t="s">
        <v>488</v>
      </c>
      <c r="G689" s="416" t="s">
        <v>1165</v>
      </c>
      <c r="H689" s="416" t="s">
        <v>3197</v>
      </c>
      <c r="I689" s="416" t="s">
        <v>3198</v>
      </c>
      <c r="J689" s="415" t="s">
        <v>661</v>
      </c>
      <c r="K689" s="417">
        <v>-14.224299999999999</v>
      </c>
      <c r="L689" s="417">
        <v>-71.259900000000002</v>
      </c>
      <c r="M689" s="418">
        <v>30</v>
      </c>
      <c r="N689" s="418" t="s">
        <v>2310</v>
      </c>
      <c r="O689" s="418" t="s">
        <v>2953</v>
      </c>
      <c r="P689" s="415">
        <v>3</v>
      </c>
      <c r="Q689" s="415">
        <v>30</v>
      </c>
      <c r="R689" s="415">
        <v>5</v>
      </c>
      <c r="S689" s="415">
        <f t="shared" si="30"/>
        <v>5</v>
      </c>
      <c r="T689" s="419">
        <f t="shared" si="31"/>
        <v>0.83333333333333337</v>
      </c>
      <c r="U689" s="419">
        <f t="shared" si="32"/>
        <v>5.833333333333333</v>
      </c>
      <c r="V689" s="415" t="s">
        <v>662</v>
      </c>
      <c r="W689" s="415" t="s">
        <v>614</v>
      </c>
      <c r="X689" s="415" t="s">
        <v>671</v>
      </c>
      <c r="Y689" s="415"/>
    </row>
    <row r="690" spans="1:25" hidden="1" x14ac:dyDescent="0.25">
      <c r="A690" s="415">
        <v>689</v>
      </c>
      <c r="B690" s="415">
        <v>1088</v>
      </c>
      <c r="C690" s="415">
        <v>156831</v>
      </c>
      <c r="D690" s="416" t="s">
        <v>1174</v>
      </c>
      <c r="E690" s="416" t="s">
        <v>475</v>
      </c>
      <c r="F690" s="416" t="s">
        <v>488</v>
      </c>
      <c r="G690" s="416" t="s">
        <v>1175</v>
      </c>
      <c r="H690" s="416" t="s">
        <v>1176</v>
      </c>
      <c r="I690" s="416" t="s">
        <v>1177</v>
      </c>
      <c r="J690" s="415" t="s">
        <v>661</v>
      </c>
      <c r="K690" s="417">
        <v>-14.192027</v>
      </c>
      <c r="L690" s="417">
        <v>-71.378714000000002</v>
      </c>
      <c r="M690" s="418">
        <v>30</v>
      </c>
      <c r="N690" s="418" t="s">
        <v>2310</v>
      </c>
      <c r="O690" s="418" t="s">
        <v>2953</v>
      </c>
      <c r="P690" s="415">
        <v>3</v>
      </c>
      <c r="Q690" s="415">
        <v>30</v>
      </c>
      <c r="R690" s="415">
        <v>5</v>
      </c>
      <c r="S690" s="415">
        <f t="shared" si="30"/>
        <v>5</v>
      </c>
      <c r="T690" s="419">
        <f t="shared" si="31"/>
        <v>0.83333333333333337</v>
      </c>
      <c r="U690" s="419">
        <f t="shared" si="32"/>
        <v>5.833333333333333</v>
      </c>
      <c r="V690" s="415" t="s">
        <v>662</v>
      </c>
      <c r="W690" s="415" t="s">
        <v>614</v>
      </c>
      <c r="X690" s="415" t="s">
        <v>671</v>
      </c>
      <c r="Y690" s="415"/>
    </row>
    <row r="691" spans="1:25" hidden="1" x14ac:dyDescent="0.25">
      <c r="A691" s="415">
        <v>690</v>
      </c>
      <c r="B691" s="415">
        <v>1089</v>
      </c>
      <c r="C691" s="415">
        <v>157468</v>
      </c>
      <c r="D691" s="416" t="s">
        <v>1181</v>
      </c>
      <c r="E691" s="416" t="s">
        <v>475</v>
      </c>
      <c r="F691" s="416" t="s">
        <v>485</v>
      </c>
      <c r="G691" s="416" t="s">
        <v>1182</v>
      </c>
      <c r="H691" s="416" t="s">
        <v>1183</v>
      </c>
      <c r="I691" s="416" t="s">
        <v>1184</v>
      </c>
      <c r="J691" s="415" t="s">
        <v>661</v>
      </c>
      <c r="K691" s="417">
        <v>-14.034800000000001</v>
      </c>
      <c r="L691" s="417">
        <v>-72.053577000000004</v>
      </c>
      <c r="M691" s="418">
        <v>30</v>
      </c>
      <c r="N691" s="418" t="s">
        <v>2310</v>
      </c>
      <c r="O691" s="418" t="s">
        <v>2953</v>
      </c>
      <c r="P691" s="415">
        <v>3</v>
      </c>
      <c r="Q691" s="415">
        <v>30</v>
      </c>
      <c r="R691" s="415">
        <v>5</v>
      </c>
      <c r="S691" s="415">
        <f t="shared" si="30"/>
        <v>5</v>
      </c>
      <c r="T691" s="419">
        <f t="shared" si="31"/>
        <v>0.83333333333333337</v>
      </c>
      <c r="U691" s="419">
        <f t="shared" si="32"/>
        <v>5.833333333333333</v>
      </c>
      <c r="V691" s="415" t="s">
        <v>662</v>
      </c>
      <c r="W691" s="415" t="s">
        <v>613</v>
      </c>
      <c r="X691" s="415" t="s">
        <v>671</v>
      </c>
      <c r="Y691" s="415"/>
    </row>
    <row r="692" spans="1:25" hidden="1" x14ac:dyDescent="0.25">
      <c r="A692" s="415">
        <v>691</v>
      </c>
      <c r="B692" s="415">
        <v>1090</v>
      </c>
      <c r="C692" s="415">
        <v>157487</v>
      </c>
      <c r="D692" s="416" t="s">
        <v>1185</v>
      </c>
      <c r="E692" s="416" t="s">
        <v>475</v>
      </c>
      <c r="F692" s="416" t="s">
        <v>485</v>
      </c>
      <c r="G692" s="416" t="s">
        <v>1182</v>
      </c>
      <c r="H692" s="416" t="s">
        <v>1186</v>
      </c>
      <c r="I692" s="416" t="s">
        <v>1186</v>
      </c>
      <c r="J692" s="415" t="s">
        <v>661</v>
      </c>
      <c r="K692" s="417">
        <v>-13.9634</v>
      </c>
      <c r="L692" s="417">
        <v>-72.012299999999996</v>
      </c>
      <c r="M692" s="418">
        <v>30</v>
      </c>
      <c r="N692" s="418" t="s">
        <v>2310</v>
      </c>
      <c r="O692" s="418" t="s">
        <v>2953</v>
      </c>
      <c r="P692" s="415">
        <v>3</v>
      </c>
      <c r="Q692" s="415">
        <v>30</v>
      </c>
      <c r="R692" s="415">
        <v>5</v>
      </c>
      <c r="S692" s="415">
        <f t="shared" si="30"/>
        <v>5</v>
      </c>
      <c r="T692" s="419">
        <f t="shared" si="31"/>
        <v>0.83333333333333337</v>
      </c>
      <c r="U692" s="419">
        <f t="shared" si="32"/>
        <v>5.833333333333333</v>
      </c>
      <c r="V692" s="415" t="s">
        <v>662</v>
      </c>
      <c r="W692" s="415" t="s">
        <v>613</v>
      </c>
      <c r="X692" s="415" t="s">
        <v>671</v>
      </c>
      <c r="Y692" s="415"/>
    </row>
    <row r="693" spans="1:25" hidden="1" x14ac:dyDescent="0.25">
      <c r="A693" s="415">
        <v>692</v>
      </c>
      <c r="B693" s="415">
        <v>1091</v>
      </c>
      <c r="C693" s="415">
        <v>158279</v>
      </c>
      <c r="D693" s="416" t="s">
        <v>1191</v>
      </c>
      <c r="E693" s="416" t="s">
        <v>475</v>
      </c>
      <c r="F693" s="416" t="s">
        <v>485</v>
      </c>
      <c r="G693" s="416" t="s">
        <v>1188</v>
      </c>
      <c r="H693" s="416" t="s">
        <v>1192</v>
      </c>
      <c r="I693" s="416" t="s">
        <v>1193</v>
      </c>
      <c r="J693" s="415" t="s">
        <v>661</v>
      </c>
      <c r="K693" s="417">
        <v>-14.2423</v>
      </c>
      <c r="L693" s="417">
        <v>-71.529700000000005</v>
      </c>
      <c r="M693" s="418">
        <v>30</v>
      </c>
      <c r="N693" s="418" t="s">
        <v>2310</v>
      </c>
      <c r="O693" s="418" t="s">
        <v>2953</v>
      </c>
      <c r="P693" s="415">
        <v>3</v>
      </c>
      <c r="Q693" s="415">
        <v>30</v>
      </c>
      <c r="R693" s="415">
        <v>5</v>
      </c>
      <c r="S693" s="415">
        <f t="shared" si="30"/>
        <v>5</v>
      </c>
      <c r="T693" s="419">
        <f t="shared" si="31"/>
        <v>0.83333333333333337</v>
      </c>
      <c r="U693" s="419">
        <f t="shared" si="32"/>
        <v>5.833333333333333</v>
      </c>
      <c r="V693" s="415" t="s">
        <v>662</v>
      </c>
      <c r="W693" s="415" t="s">
        <v>613</v>
      </c>
      <c r="X693" s="415" t="s">
        <v>671</v>
      </c>
      <c r="Y693" s="415"/>
    </row>
    <row r="694" spans="1:25" hidden="1" x14ac:dyDescent="0.25">
      <c r="A694" s="415">
        <v>693</v>
      </c>
      <c r="B694" s="415">
        <v>1092</v>
      </c>
      <c r="C694" s="415">
        <v>158203</v>
      </c>
      <c r="D694" s="416" t="s">
        <v>1189</v>
      </c>
      <c r="E694" s="416" t="s">
        <v>475</v>
      </c>
      <c r="F694" s="416" t="s">
        <v>485</v>
      </c>
      <c r="G694" s="416" t="s">
        <v>1188</v>
      </c>
      <c r="H694" s="416" t="s">
        <v>1190</v>
      </c>
      <c r="I694" s="416" t="s">
        <v>1190</v>
      </c>
      <c r="J694" s="415" t="s">
        <v>661</v>
      </c>
      <c r="K694" s="417">
        <v>-14.238</v>
      </c>
      <c r="L694" s="417">
        <v>-71.643199999999993</v>
      </c>
      <c r="M694" s="418">
        <v>30</v>
      </c>
      <c r="N694" s="418" t="s">
        <v>2310</v>
      </c>
      <c r="O694" s="418" t="s">
        <v>2953</v>
      </c>
      <c r="P694" s="415">
        <v>3</v>
      </c>
      <c r="Q694" s="415">
        <v>30</v>
      </c>
      <c r="R694" s="415">
        <v>5</v>
      </c>
      <c r="S694" s="415">
        <f t="shared" si="30"/>
        <v>5</v>
      </c>
      <c r="T694" s="419">
        <f t="shared" si="31"/>
        <v>0.83333333333333337</v>
      </c>
      <c r="U694" s="419">
        <f t="shared" si="32"/>
        <v>5.833333333333333</v>
      </c>
      <c r="V694" s="415" t="s">
        <v>662</v>
      </c>
      <c r="W694" s="415" t="s">
        <v>613</v>
      </c>
      <c r="X694" s="415" t="s">
        <v>671</v>
      </c>
      <c r="Y694" s="415"/>
    </row>
    <row r="695" spans="1:25" hidden="1" x14ac:dyDescent="0.25">
      <c r="A695" s="415">
        <v>694</v>
      </c>
      <c r="B695" s="415">
        <v>1093</v>
      </c>
      <c r="C695" s="415">
        <v>158302</v>
      </c>
      <c r="D695" s="416" t="s">
        <v>3199</v>
      </c>
      <c r="E695" s="416" t="s">
        <v>475</v>
      </c>
      <c r="F695" s="416" t="s">
        <v>485</v>
      </c>
      <c r="G695" s="416" t="s">
        <v>1188</v>
      </c>
      <c r="H695" s="416" t="s">
        <v>3200</v>
      </c>
      <c r="I695" s="416" t="s">
        <v>1128</v>
      </c>
      <c r="J695" s="415" t="s">
        <v>661</v>
      </c>
      <c r="K695" s="417">
        <v>-14.1668</v>
      </c>
      <c r="L695" s="417">
        <v>-71.579800000000006</v>
      </c>
      <c r="M695" s="418">
        <v>30</v>
      </c>
      <c r="N695" s="418" t="s">
        <v>2310</v>
      </c>
      <c r="O695" s="418" t="s">
        <v>2953</v>
      </c>
      <c r="P695" s="415">
        <v>3</v>
      </c>
      <c r="Q695" s="415">
        <v>30</v>
      </c>
      <c r="R695" s="415">
        <v>5</v>
      </c>
      <c r="S695" s="415">
        <f t="shared" si="30"/>
        <v>5</v>
      </c>
      <c r="T695" s="419">
        <f t="shared" si="31"/>
        <v>0.83333333333333337</v>
      </c>
      <c r="U695" s="419">
        <f t="shared" si="32"/>
        <v>5.833333333333333</v>
      </c>
      <c r="V695" s="415" t="s">
        <v>662</v>
      </c>
      <c r="W695" s="415" t="s">
        <v>613</v>
      </c>
      <c r="X695" s="415" t="s">
        <v>671</v>
      </c>
      <c r="Y695" s="415"/>
    </row>
    <row r="696" spans="1:25" hidden="1" x14ac:dyDescent="0.25">
      <c r="A696" s="415">
        <v>695</v>
      </c>
      <c r="B696" s="415">
        <v>1094</v>
      </c>
      <c r="C696" s="415">
        <v>158509</v>
      </c>
      <c r="D696" s="416" t="s">
        <v>1194</v>
      </c>
      <c r="E696" s="416" t="s">
        <v>475</v>
      </c>
      <c r="F696" s="416" t="s">
        <v>485</v>
      </c>
      <c r="G696" s="416" t="s">
        <v>1195</v>
      </c>
      <c r="H696" s="416" t="s">
        <v>1196</v>
      </c>
      <c r="I696" s="416" t="s">
        <v>1196</v>
      </c>
      <c r="J696" s="415" t="s">
        <v>661</v>
      </c>
      <c r="K696" s="417">
        <v>-14.398679</v>
      </c>
      <c r="L696" s="417">
        <v>-72.207055999999994</v>
      </c>
      <c r="M696" s="418">
        <v>30</v>
      </c>
      <c r="N696" s="418" t="s">
        <v>2310</v>
      </c>
      <c r="O696" s="418" t="s">
        <v>2953</v>
      </c>
      <c r="P696" s="415">
        <v>3</v>
      </c>
      <c r="Q696" s="415">
        <v>30</v>
      </c>
      <c r="R696" s="415">
        <v>5</v>
      </c>
      <c r="S696" s="415">
        <f t="shared" si="30"/>
        <v>5</v>
      </c>
      <c r="T696" s="419">
        <f t="shared" si="31"/>
        <v>0.83333333333333337</v>
      </c>
      <c r="U696" s="419">
        <f t="shared" si="32"/>
        <v>5.833333333333333</v>
      </c>
      <c r="V696" s="415" t="s">
        <v>662</v>
      </c>
      <c r="W696" s="415" t="s">
        <v>613</v>
      </c>
      <c r="X696" s="415" t="s">
        <v>671</v>
      </c>
      <c r="Y696" s="415"/>
    </row>
    <row r="697" spans="1:25" hidden="1" x14ac:dyDescent="0.25">
      <c r="A697" s="415">
        <v>696</v>
      </c>
      <c r="B697" s="415">
        <v>1095</v>
      </c>
      <c r="C697" s="415">
        <v>157086</v>
      </c>
      <c r="D697" s="416" t="s">
        <v>1179</v>
      </c>
      <c r="E697" s="416" t="s">
        <v>475</v>
      </c>
      <c r="F697" s="416" t="s">
        <v>485</v>
      </c>
      <c r="G697" s="416" t="s">
        <v>1058</v>
      </c>
      <c r="H697" s="416" t="s">
        <v>1180</v>
      </c>
      <c r="I697" s="416" t="s">
        <v>1180</v>
      </c>
      <c r="J697" s="415" t="s">
        <v>661</v>
      </c>
      <c r="K697" s="417">
        <v>-14.5669</v>
      </c>
      <c r="L697" s="417">
        <v>-72.1965</v>
      </c>
      <c r="M697" s="418">
        <v>30</v>
      </c>
      <c r="N697" s="418" t="s">
        <v>2310</v>
      </c>
      <c r="O697" s="418" t="s">
        <v>2953</v>
      </c>
      <c r="P697" s="415">
        <v>3</v>
      </c>
      <c r="Q697" s="415">
        <v>30</v>
      </c>
      <c r="R697" s="415">
        <v>5</v>
      </c>
      <c r="S697" s="415">
        <f t="shared" si="30"/>
        <v>5</v>
      </c>
      <c r="T697" s="419">
        <f t="shared" si="31"/>
        <v>0.83333333333333337</v>
      </c>
      <c r="U697" s="419">
        <f t="shared" si="32"/>
        <v>5.833333333333333</v>
      </c>
      <c r="V697" s="415" t="s">
        <v>662</v>
      </c>
      <c r="W697" s="415" t="s">
        <v>613</v>
      </c>
      <c r="X697" s="415" t="s">
        <v>671</v>
      </c>
      <c r="Y697" s="415"/>
    </row>
    <row r="698" spans="1:25" hidden="1" x14ac:dyDescent="0.25">
      <c r="A698" s="415">
        <v>697</v>
      </c>
      <c r="B698" s="415">
        <v>1096</v>
      </c>
      <c r="C698" s="415">
        <v>158613</v>
      </c>
      <c r="D698" s="416" t="s">
        <v>1197</v>
      </c>
      <c r="E698" s="416" t="s">
        <v>475</v>
      </c>
      <c r="F698" s="416" t="s">
        <v>485</v>
      </c>
      <c r="G698" s="416" t="s">
        <v>1198</v>
      </c>
      <c r="H698" s="416" t="s">
        <v>1199</v>
      </c>
      <c r="I698" s="416" t="s">
        <v>1200</v>
      </c>
      <c r="J698" s="415" t="s">
        <v>661</v>
      </c>
      <c r="K698" s="417">
        <v>-14.784018</v>
      </c>
      <c r="L698" s="417">
        <v>-72.040350000000004</v>
      </c>
      <c r="M698" s="418">
        <v>30</v>
      </c>
      <c r="N698" s="418" t="s">
        <v>2310</v>
      </c>
      <c r="O698" s="418" t="s">
        <v>2953</v>
      </c>
      <c r="P698" s="415">
        <v>3</v>
      </c>
      <c r="Q698" s="415">
        <v>30</v>
      </c>
      <c r="R698" s="415">
        <v>5</v>
      </c>
      <c r="S698" s="415">
        <f t="shared" si="30"/>
        <v>5</v>
      </c>
      <c r="T698" s="419">
        <f t="shared" si="31"/>
        <v>0.83333333333333337</v>
      </c>
      <c r="U698" s="419">
        <f t="shared" si="32"/>
        <v>5.833333333333333</v>
      </c>
      <c r="V698" s="415" t="s">
        <v>662</v>
      </c>
      <c r="W698" s="415" t="s">
        <v>613</v>
      </c>
      <c r="X698" s="415" t="s">
        <v>671</v>
      </c>
      <c r="Y698" s="415"/>
    </row>
    <row r="699" spans="1:25" hidden="1" x14ac:dyDescent="0.25">
      <c r="A699" s="415">
        <v>698</v>
      </c>
      <c r="B699" s="415">
        <v>1097</v>
      </c>
      <c r="C699" s="415">
        <v>145946</v>
      </c>
      <c r="D699" s="416" t="s">
        <v>3201</v>
      </c>
      <c r="E699" s="416" t="s">
        <v>475</v>
      </c>
      <c r="F699" s="416" t="s">
        <v>475</v>
      </c>
      <c r="G699" s="416" t="s">
        <v>475</v>
      </c>
      <c r="H699" s="416" t="s">
        <v>475</v>
      </c>
      <c r="I699" s="416" t="s">
        <v>3202</v>
      </c>
      <c r="J699" s="415" t="s">
        <v>747</v>
      </c>
      <c r="K699" s="417">
        <v>-13.51465</v>
      </c>
      <c r="L699" s="417">
        <v>-71.956429999999997</v>
      </c>
      <c r="M699" s="418">
        <v>30</v>
      </c>
      <c r="N699" s="418" t="s">
        <v>2310</v>
      </c>
      <c r="O699" s="418" t="s">
        <v>2953</v>
      </c>
      <c r="P699" s="415">
        <v>3</v>
      </c>
      <c r="Q699" s="415">
        <v>30</v>
      </c>
      <c r="R699" s="415">
        <v>5</v>
      </c>
      <c r="S699" s="415">
        <f t="shared" si="30"/>
        <v>5</v>
      </c>
      <c r="T699" s="419">
        <f t="shared" si="31"/>
        <v>0.83333333333333337</v>
      </c>
      <c r="U699" s="419">
        <f t="shared" si="32"/>
        <v>5.833333333333333</v>
      </c>
      <c r="V699" s="415" t="s">
        <v>662</v>
      </c>
      <c r="W699" s="415" t="s">
        <v>675</v>
      </c>
      <c r="X699" s="415" t="s">
        <v>673</v>
      </c>
      <c r="Y699" s="415"/>
    </row>
    <row r="700" spans="1:25" hidden="1" x14ac:dyDescent="0.25">
      <c r="A700" s="415">
        <v>699</v>
      </c>
      <c r="B700" s="415">
        <v>1098</v>
      </c>
      <c r="C700" s="415">
        <v>146291</v>
      </c>
      <c r="D700" s="416" t="s">
        <v>3203</v>
      </c>
      <c r="E700" s="416" t="s">
        <v>475</v>
      </c>
      <c r="F700" s="416" t="s">
        <v>475</v>
      </c>
      <c r="G700" s="416" t="s">
        <v>475</v>
      </c>
      <c r="H700" s="416" t="s">
        <v>475</v>
      </c>
      <c r="I700" s="416" t="s">
        <v>3204</v>
      </c>
      <c r="J700" s="415" t="s">
        <v>747</v>
      </c>
      <c r="K700" s="417">
        <v>-13.512079999999999</v>
      </c>
      <c r="L700" s="417">
        <v>-71.960257999999996</v>
      </c>
      <c r="M700" s="418">
        <v>30</v>
      </c>
      <c r="N700" s="418" t="s">
        <v>2310</v>
      </c>
      <c r="O700" s="418" t="s">
        <v>2953</v>
      </c>
      <c r="P700" s="415">
        <v>3</v>
      </c>
      <c r="Q700" s="415">
        <v>30</v>
      </c>
      <c r="R700" s="415">
        <v>5</v>
      </c>
      <c r="S700" s="415">
        <f t="shared" si="30"/>
        <v>5</v>
      </c>
      <c r="T700" s="419">
        <f t="shared" si="31"/>
        <v>0.83333333333333337</v>
      </c>
      <c r="U700" s="419">
        <f t="shared" si="32"/>
        <v>5.833333333333333</v>
      </c>
      <c r="V700" s="415" t="s">
        <v>662</v>
      </c>
      <c r="W700" s="415" t="s">
        <v>675</v>
      </c>
      <c r="X700" s="415" t="s">
        <v>673</v>
      </c>
      <c r="Y700" s="415"/>
    </row>
    <row r="701" spans="1:25" hidden="1" x14ac:dyDescent="0.25">
      <c r="A701" s="415">
        <v>700</v>
      </c>
      <c r="B701" s="415">
        <v>1099</v>
      </c>
      <c r="C701" s="415">
        <v>146470</v>
      </c>
      <c r="D701" s="416" t="s">
        <v>3205</v>
      </c>
      <c r="E701" s="416" t="s">
        <v>475</v>
      </c>
      <c r="F701" s="416" t="s">
        <v>475</v>
      </c>
      <c r="G701" s="416" t="s">
        <v>475</v>
      </c>
      <c r="H701" s="416" t="s">
        <v>3206</v>
      </c>
      <c r="I701" s="416" t="s">
        <v>3207</v>
      </c>
      <c r="J701" s="415" t="s">
        <v>661</v>
      </c>
      <c r="K701" s="417">
        <v>-13.459695999999999</v>
      </c>
      <c r="L701" s="417">
        <v>-71.927269999999993</v>
      </c>
      <c r="M701" s="418">
        <v>30</v>
      </c>
      <c r="N701" s="418" t="s">
        <v>2310</v>
      </c>
      <c r="O701" s="418" t="s">
        <v>2953</v>
      </c>
      <c r="P701" s="415">
        <v>3</v>
      </c>
      <c r="Q701" s="415">
        <v>30</v>
      </c>
      <c r="R701" s="415">
        <v>5</v>
      </c>
      <c r="S701" s="415">
        <f t="shared" si="30"/>
        <v>5</v>
      </c>
      <c r="T701" s="419">
        <f t="shared" si="31"/>
        <v>0.83333333333333337</v>
      </c>
      <c r="U701" s="419">
        <f t="shared" si="32"/>
        <v>5.833333333333333</v>
      </c>
      <c r="V701" s="415" t="s">
        <v>662</v>
      </c>
      <c r="W701" s="415" t="s">
        <v>675</v>
      </c>
      <c r="X701" s="415" t="s">
        <v>673</v>
      </c>
      <c r="Y701" s="415"/>
    </row>
    <row r="702" spans="1:25" hidden="1" x14ac:dyDescent="0.25">
      <c r="A702" s="415">
        <v>701</v>
      </c>
      <c r="B702" s="415">
        <v>1100</v>
      </c>
      <c r="C702" s="415">
        <v>159815</v>
      </c>
      <c r="D702" s="416" t="s">
        <v>1205</v>
      </c>
      <c r="E702" s="416" t="s">
        <v>475</v>
      </c>
      <c r="F702" s="416" t="s">
        <v>487</v>
      </c>
      <c r="G702" s="416" t="s">
        <v>1201</v>
      </c>
      <c r="H702" s="416" t="s">
        <v>1202</v>
      </c>
      <c r="I702" s="416" t="s">
        <v>1202</v>
      </c>
      <c r="J702" s="415" t="s">
        <v>661</v>
      </c>
      <c r="K702" s="417">
        <v>-14.67272</v>
      </c>
      <c r="L702" s="417">
        <v>-71.532560000000004</v>
      </c>
      <c r="M702" s="418">
        <v>30</v>
      </c>
      <c r="N702" s="418" t="s">
        <v>2310</v>
      </c>
      <c r="O702" s="418" t="s">
        <v>2953</v>
      </c>
      <c r="P702" s="415">
        <v>3</v>
      </c>
      <c r="Q702" s="415">
        <v>30</v>
      </c>
      <c r="R702" s="415">
        <v>5</v>
      </c>
      <c r="S702" s="415">
        <f t="shared" si="30"/>
        <v>5</v>
      </c>
      <c r="T702" s="419">
        <f t="shared" si="31"/>
        <v>0.83333333333333337</v>
      </c>
      <c r="U702" s="419">
        <f t="shared" si="32"/>
        <v>5.833333333333333</v>
      </c>
      <c r="V702" s="415" t="s">
        <v>662</v>
      </c>
      <c r="W702" s="415" t="s">
        <v>614</v>
      </c>
      <c r="X702" s="415" t="s">
        <v>671</v>
      </c>
      <c r="Y702" s="415"/>
    </row>
    <row r="703" spans="1:25" hidden="1" x14ac:dyDescent="0.25">
      <c r="A703" s="415">
        <v>702</v>
      </c>
      <c r="B703" s="415">
        <v>1101</v>
      </c>
      <c r="C703" s="415">
        <v>159472</v>
      </c>
      <c r="D703" s="416" t="s">
        <v>3208</v>
      </c>
      <c r="E703" s="416" t="s">
        <v>475</v>
      </c>
      <c r="F703" s="416" t="s">
        <v>487</v>
      </c>
      <c r="G703" s="416" t="s">
        <v>1201</v>
      </c>
      <c r="H703" s="416" t="s">
        <v>3209</v>
      </c>
      <c r="I703" s="416" t="s">
        <v>3209</v>
      </c>
      <c r="J703" s="415" t="s">
        <v>661</v>
      </c>
      <c r="K703" s="417">
        <v>-14.958091</v>
      </c>
      <c r="L703" s="417">
        <v>-71.561864</v>
      </c>
      <c r="M703" s="418">
        <v>30</v>
      </c>
      <c r="N703" s="418" t="s">
        <v>2310</v>
      </c>
      <c r="O703" s="418" t="s">
        <v>2953</v>
      </c>
      <c r="P703" s="415">
        <v>3</v>
      </c>
      <c r="Q703" s="415">
        <v>30</v>
      </c>
      <c r="R703" s="415">
        <v>5</v>
      </c>
      <c r="S703" s="415">
        <f t="shared" si="30"/>
        <v>5</v>
      </c>
      <c r="T703" s="419">
        <f t="shared" si="31"/>
        <v>0.83333333333333337</v>
      </c>
      <c r="U703" s="419">
        <f t="shared" si="32"/>
        <v>5.833333333333333</v>
      </c>
      <c r="V703" s="415" t="s">
        <v>662</v>
      </c>
      <c r="W703" s="415" t="s">
        <v>614</v>
      </c>
      <c r="X703" s="415" t="s">
        <v>671</v>
      </c>
      <c r="Y703" s="415"/>
    </row>
    <row r="704" spans="1:25" hidden="1" x14ac:dyDescent="0.25">
      <c r="A704" s="415">
        <v>703</v>
      </c>
      <c r="B704" s="415">
        <v>1102</v>
      </c>
      <c r="C704" s="415">
        <v>159518</v>
      </c>
      <c r="D704" s="416" t="s">
        <v>1203</v>
      </c>
      <c r="E704" s="416" t="s">
        <v>475</v>
      </c>
      <c r="F704" s="416" t="s">
        <v>487</v>
      </c>
      <c r="G704" s="416" t="s">
        <v>1201</v>
      </c>
      <c r="H704" s="416" t="s">
        <v>1204</v>
      </c>
      <c r="I704" s="416" t="s">
        <v>1204</v>
      </c>
      <c r="J704" s="415" t="s">
        <v>661</v>
      </c>
      <c r="K704" s="417">
        <v>-14.7575</v>
      </c>
      <c r="L704" s="417">
        <v>-71.690799999999996</v>
      </c>
      <c r="M704" s="418">
        <v>30</v>
      </c>
      <c r="N704" s="418" t="s">
        <v>2310</v>
      </c>
      <c r="O704" s="418" t="s">
        <v>2953</v>
      </c>
      <c r="P704" s="415">
        <v>3</v>
      </c>
      <c r="Q704" s="415">
        <v>30</v>
      </c>
      <c r="R704" s="415">
        <v>5</v>
      </c>
      <c r="S704" s="415">
        <f t="shared" si="30"/>
        <v>5</v>
      </c>
      <c r="T704" s="419">
        <f t="shared" si="31"/>
        <v>0.83333333333333337</v>
      </c>
      <c r="U704" s="419">
        <f t="shared" si="32"/>
        <v>5.833333333333333</v>
      </c>
      <c r="V704" s="415" t="s">
        <v>662</v>
      </c>
      <c r="W704" s="415" t="s">
        <v>614</v>
      </c>
      <c r="X704" s="415" t="s">
        <v>671</v>
      </c>
      <c r="Y704" s="415"/>
    </row>
    <row r="705" spans="1:25" hidden="1" x14ac:dyDescent="0.25">
      <c r="A705" s="415">
        <v>704</v>
      </c>
      <c r="B705" s="415">
        <v>1103</v>
      </c>
      <c r="C705" s="415">
        <v>160135</v>
      </c>
      <c r="D705" s="416" t="s">
        <v>1206</v>
      </c>
      <c r="E705" s="416" t="s">
        <v>475</v>
      </c>
      <c r="F705" s="416" t="s">
        <v>487</v>
      </c>
      <c r="G705" s="416" t="s">
        <v>1207</v>
      </c>
      <c r="H705" s="416" t="s">
        <v>472</v>
      </c>
      <c r="I705" s="416" t="s">
        <v>472</v>
      </c>
      <c r="J705" s="415" t="s">
        <v>661</v>
      </c>
      <c r="K705" s="417">
        <v>-14.673400000000001</v>
      </c>
      <c r="L705" s="417">
        <v>-71.281899999999993</v>
      </c>
      <c r="M705" s="418">
        <v>30</v>
      </c>
      <c r="N705" s="418" t="s">
        <v>2310</v>
      </c>
      <c r="O705" s="418" t="s">
        <v>2953</v>
      </c>
      <c r="P705" s="415">
        <v>3</v>
      </c>
      <c r="Q705" s="415">
        <v>30</v>
      </c>
      <c r="R705" s="415">
        <v>5</v>
      </c>
      <c r="S705" s="415">
        <f t="shared" si="30"/>
        <v>5</v>
      </c>
      <c r="T705" s="419">
        <f t="shared" si="31"/>
        <v>0.83333333333333337</v>
      </c>
      <c r="U705" s="419">
        <f t="shared" si="32"/>
        <v>5.833333333333333</v>
      </c>
      <c r="V705" s="415" t="s">
        <v>662</v>
      </c>
      <c r="W705" s="415" t="s">
        <v>614</v>
      </c>
      <c r="X705" s="415" t="s">
        <v>671</v>
      </c>
      <c r="Y705" s="415"/>
    </row>
    <row r="706" spans="1:25" hidden="1" x14ac:dyDescent="0.25">
      <c r="A706" s="415">
        <v>705</v>
      </c>
      <c r="B706" s="415">
        <v>1104</v>
      </c>
      <c r="C706" s="415">
        <v>161470</v>
      </c>
      <c r="D706" s="416" t="s">
        <v>1212</v>
      </c>
      <c r="E706" s="416" t="s">
        <v>475</v>
      </c>
      <c r="F706" s="416" t="s">
        <v>476</v>
      </c>
      <c r="G706" s="416" t="s">
        <v>1211</v>
      </c>
      <c r="H706" s="416" t="s">
        <v>1213</v>
      </c>
      <c r="I706" s="416" t="s">
        <v>1213</v>
      </c>
      <c r="J706" s="415" t="s">
        <v>661</v>
      </c>
      <c r="K706" s="417">
        <v>-12.650926</v>
      </c>
      <c r="L706" s="417">
        <v>-72.642061999999996</v>
      </c>
      <c r="M706" s="418">
        <v>30</v>
      </c>
      <c r="N706" s="418" t="s">
        <v>2310</v>
      </c>
      <c r="O706" s="418" t="s">
        <v>2953</v>
      </c>
      <c r="P706" s="415">
        <v>3</v>
      </c>
      <c r="Q706" s="415">
        <v>30</v>
      </c>
      <c r="R706" s="415">
        <v>5</v>
      </c>
      <c r="S706" s="415">
        <f t="shared" si="30"/>
        <v>5</v>
      </c>
      <c r="T706" s="419">
        <f t="shared" si="31"/>
        <v>0.83333333333333337</v>
      </c>
      <c r="U706" s="419">
        <f t="shared" si="32"/>
        <v>5.833333333333333</v>
      </c>
      <c r="V706" s="415" t="s">
        <v>662</v>
      </c>
      <c r="W706" s="415" t="s">
        <v>675</v>
      </c>
      <c r="X706" s="415" t="s">
        <v>673</v>
      </c>
      <c r="Y706" s="415"/>
    </row>
    <row r="707" spans="1:25" hidden="1" x14ac:dyDescent="0.25">
      <c r="A707" s="415">
        <v>706</v>
      </c>
      <c r="B707" s="415">
        <v>1105</v>
      </c>
      <c r="C707" s="415">
        <v>161719</v>
      </c>
      <c r="D707" s="416" t="s">
        <v>1214</v>
      </c>
      <c r="E707" s="416" t="s">
        <v>475</v>
      </c>
      <c r="F707" s="416" t="s">
        <v>476</v>
      </c>
      <c r="G707" s="416" t="s">
        <v>1210</v>
      </c>
      <c r="H707" s="416" t="s">
        <v>1215</v>
      </c>
      <c r="I707" s="416" t="s">
        <v>1215</v>
      </c>
      <c r="J707" s="415" t="s">
        <v>661</v>
      </c>
      <c r="K707" s="417">
        <v>-11.711007</v>
      </c>
      <c r="L707" s="417">
        <v>-72.929035999999996</v>
      </c>
      <c r="M707" s="418">
        <v>30</v>
      </c>
      <c r="N707" s="418" t="s">
        <v>2310</v>
      </c>
      <c r="O707" s="418" t="s">
        <v>2953</v>
      </c>
      <c r="P707" s="415">
        <v>3</v>
      </c>
      <c r="Q707" s="415">
        <v>30</v>
      </c>
      <c r="R707" s="415">
        <v>5</v>
      </c>
      <c r="S707" s="415">
        <f t="shared" ref="S707:S770" si="33">Q707/$AB$1</f>
        <v>5</v>
      </c>
      <c r="T707" s="419">
        <f t="shared" ref="T707:T770" si="34">R707/$AB$1</f>
        <v>0.83333333333333337</v>
      </c>
      <c r="U707" s="419">
        <f t="shared" ref="U707:U770" si="35">S707+T707</f>
        <v>5.833333333333333</v>
      </c>
      <c r="V707" s="415" t="s">
        <v>662</v>
      </c>
      <c r="W707" s="415" t="s">
        <v>675</v>
      </c>
      <c r="X707" s="415" t="s">
        <v>673</v>
      </c>
      <c r="Y707" s="415"/>
    </row>
    <row r="708" spans="1:25" hidden="1" x14ac:dyDescent="0.25">
      <c r="A708" s="415">
        <v>707</v>
      </c>
      <c r="B708" s="415">
        <v>1106</v>
      </c>
      <c r="C708" s="415">
        <v>163148</v>
      </c>
      <c r="D708" s="416" t="s">
        <v>1220</v>
      </c>
      <c r="E708" s="416" t="s">
        <v>475</v>
      </c>
      <c r="F708" s="416" t="s">
        <v>476</v>
      </c>
      <c r="G708" s="416" t="s">
        <v>1217</v>
      </c>
      <c r="H708" s="416" t="s">
        <v>1218</v>
      </c>
      <c r="I708" s="416" t="s">
        <v>1218</v>
      </c>
      <c r="J708" s="415" t="s">
        <v>661</v>
      </c>
      <c r="K708" s="417">
        <v>-12.706585</v>
      </c>
      <c r="L708" s="417">
        <v>-72.332407000000003</v>
      </c>
      <c r="M708" s="418">
        <v>30</v>
      </c>
      <c r="N708" s="418" t="s">
        <v>2310</v>
      </c>
      <c r="O708" s="418" t="s">
        <v>2953</v>
      </c>
      <c r="P708" s="415">
        <v>3</v>
      </c>
      <c r="Q708" s="415">
        <v>30</v>
      </c>
      <c r="R708" s="415">
        <v>5</v>
      </c>
      <c r="S708" s="415">
        <f t="shared" si="33"/>
        <v>5</v>
      </c>
      <c r="T708" s="419">
        <f t="shared" si="34"/>
        <v>0.83333333333333337</v>
      </c>
      <c r="U708" s="419">
        <f t="shared" si="35"/>
        <v>5.833333333333333</v>
      </c>
      <c r="V708" s="415" t="s">
        <v>662</v>
      </c>
      <c r="W708" s="415" t="s">
        <v>675</v>
      </c>
      <c r="X708" s="415" t="s">
        <v>673</v>
      </c>
      <c r="Y708" s="415"/>
    </row>
    <row r="709" spans="1:25" hidden="1" x14ac:dyDescent="0.25">
      <c r="A709" s="415">
        <v>708</v>
      </c>
      <c r="B709" s="415">
        <v>1107</v>
      </c>
      <c r="C709" s="415">
        <v>160710</v>
      </c>
      <c r="D709" s="416" t="s">
        <v>1208</v>
      </c>
      <c r="E709" s="416" t="s">
        <v>475</v>
      </c>
      <c r="F709" s="416" t="s">
        <v>476</v>
      </c>
      <c r="G709" s="416" t="s">
        <v>949</v>
      </c>
      <c r="H709" s="416" t="s">
        <v>1209</v>
      </c>
      <c r="I709" s="416" t="s">
        <v>1209</v>
      </c>
      <c r="J709" s="415" t="s">
        <v>661</v>
      </c>
      <c r="K709" s="417">
        <v>-12.851663</v>
      </c>
      <c r="L709" s="417">
        <v>-72.736581999999999</v>
      </c>
      <c r="M709" s="418">
        <v>30</v>
      </c>
      <c r="N709" s="418" t="s">
        <v>2310</v>
      </c>
      <c r="O709" s="418" t="s">
        <v>2953</v>
      </c>
      <c r="P709" s="415">
        <v>3</v>
      </c>
      <c r="Q709" s="415">
        <v>30</v>
      </c>
      <c r="R709" s="415">
        <v>5</v>
      </c>
      <c r="S709" s="415">
        <f t="shared" si="33"/>
        <v>5</v>
      </c>
      <c r="T709" s="419">
        <f t="shared" si="34"/>
        <v>0.83333333333333337</v>
      </c>
      <c r="U709" s="419">
        <f t="shared" si="35"/>
        <v>5.833333333333333</v>
      </c>
      <c r="V709" s="415" t="s">
        <v>662</v>
      </c>
      <c r="W709" s="415" t="s">
        <v>675</v>
      </c>
      <c r="X709" s="415" t="s">
        <v>673</v>
      </c>
      <c r="Y709" s="415"/>
    </row>
    <row r="710" spans="1:25" hidden="1" x14ac:dyDescent="0.25">
      <c r="A710" s="415">
        <v>709</v>
      </c>
      <c r="B710" s="415">
        <v>1108</v>
      </c>
      <c r="C710" s="415">
        <v>163855</v>
      </c>
      <c r="D710" s="416" t="s">
        <v>3210</v>
      </c>
      <c r="E710" s="416" t="s">
        <v>475</v>
      </c>
      <c r="F710" s="416" t="s">
        <v>476</v>
      </c>
      <c r="G710" s="416" t="s">
        <v>811</v>
      </c>
      <c r="H710" s="416" t="s">
        <v>3211</v>
      </c>
      <c r="I710" s="416" t="s">
        <v>3211</v>
      </c>
      <c r="J710" s="415" t="s">
        <v>661</v>
      </c>
      <c r="K710" s="417">
        <v>-13.228343000000001</v>
      </c>
      <c r="L710" s="417">
        <v>-72.628620999999995</v>
      </c>
      <c r="M710" s="418">
        <v>30</v>
      </c>
      <c r="N710" s="418" t="s">
        <v>2310</v>
      </c>
      <c r="O710" s="418" t="s">
        <v>2953</v>
      </c>
      <c r="P710" s="415">
        <v>3</v>
      </c>
      <c r="Q710" s="415">
        <v>30</v>
      </c>
      <c r="R710" s="415">
        <v>5</v>
      </c>
      <c r="S710" s="415">
        <f t="shared" si="33"/>
        <v>5</v>
      </c>
      <c r="T710" s="419">
        <f t="shared" si="34"/>
        <v>0.83333333333333337</v>
      </c>
      <c r="U710" s="419">
        <f t="shared" si="35"/>
        <v>5.833333333333333</v>
      </c>
      <c r="V710" s="415" t="s">
        <v>662</v>
      </c>
      <c r="W710" s="415" t="s">
        <v>675</v>
      </c>
      <c r="X710" s="415" t="s">
        <v>673</v>
      </c>
      <c r="Y710" s="415"/>
    </row>
    <row r="711" spans="1:25" hidden="1" x14ac:dyDescent="0.25">
      <c r="A711" s="415">
        <v>710</v>
      </c>
      <c r="B711" s="415">
        <v>1109</v>
      </c>
      <c r="C711" s="415">
        <v>164421</v>
      </c>
      <c r="D711" s="416" t="s">
        <v>1227</v>
      </c>
      <c r="E711" s="416" t="s">
        <v>475</v>
      </c>
      <c r="F711" s="416" t="s">
        <v>476</v>
      </c>
      <c r="G711" s="416" t="s">
        <v>1222</v>
      </c>
      <c r="H711" s="416" t="s">
        <v>1228</v>
      </c>
      <c r="I711" s="416" t="s">
        <v>1229</v>
      </c>
      <c r="J711" s="415" t="s">
        <v>661</v>
      </c>
      <c r="K711" s="417">
        <v>-13.035359</v>
      </c>
      <c r="L711" s="417">
        <v>-72.833274000000003</v>
      </c>
      <c r="M711" s="418">
        <v>30</v>
      </c>
      <c r="N711" s="418" t="s">
        <v>2310</v>
      </c>
      <c r="O711" s="418" t="s">
        <v>2953</v>
      </c>
      <c r="P711" s="415">
        <v>3</v>
      </c>
      <c r="Q711" s="415">
        <v>30</v>
      </c>
      <c r="R711" s="415">
        <v>5</v>
      </c>
      <c r="S711" s="415">
        <f t="shared" si="33"/>
        <v>5</v>
      </c>
      <c r="T711" s="419">
        <f t="shared" si="34"/>
        <v>0.83333333333333337</v>
      </c>
      <c r="U711" s="419">
        <f t="shared" si="35"/>
        <v>5.833333333333333</v>
      </c>
      <c r="V711" s="415" t="s">
        <v>662</v>
      </c>
      <c r="W711" s="415" t="s">
        <v>675</v>
      </c>
      <c r="X711" s="415" t="s">
        <v>673</v>
      </c>
      <c r="Y711" s="415"/>
    </row>
    <row r="712" spans="1:25" hidden="1" x14ac:dyDescent="0.25">
      <c r="A712" s="415">
        <v>711</v>
      </c>
      <c r="B712" s="415">
        <v>1110</v>
      </c>
      <c r="C712" s="415">
        <v>164082</v>
      </c>
      <c r="D712" s="416" t="s">
        <v>1224</v>
      </c>
      <c r="E712" s="416" t="s">
        <v>475</v>
      </c>
      <c r="F712" s="416" t="s">
        <v>476</v>
      </c>
      <c r="G712" s="416" t="s">
        <v>1222</v>
      </c>
      <c r="H712" s="416" t="s">
        <v>1225</v>
      </c>
      <c r="I712" s="416" t="s">
        <v>1225</v>
      </c>
      <c r="J712" s="415" t="s">
        <v>661</v>
      </c>
      <c r="K712" s="417">
        <v>-13.092233999999999</v>
      </c>
      <c r="L712" s="417">
        <v>-73.060281000000003</v>
      </c>
      <c r="M712" s="418">
        <v>30</v>
      </c>
      <c r="N712" s="418" t="s">
        <v>2310</v>
      </c>
      <c r="O712" s="418" t="s">
        <v>2953</v>
      </c>
      <c r="P712" s="415">
        <v>3</v>
      </c>
      <c r="Q712" s="415">
        <v>30</v>
      </c>
      <c r="R712" s="415">
        <v>5</v>
      </c>
      <c r="S712" s="415">
        <f t="shared" si="33"/>
        <v>5</v>
      </c>
      <c r="T712" s="419">
        <f t="shared" si="34"/>
        <v>0.83333333333333337</v>
      </c>
      <c r="U712" s="419">
        <f t="shared" si="35"/>
        <v>5.833333333333333</v>
      </c>
      <c r="V712" s="415" t="s">
        <v>662</v>
      </c>
      <c r="W712" s="415" t="s">
        <v>675</v>
      </c>
      <c r="X712" s="415" t="s">
        <v>673</v>
      </c>
      <c r="Y712" s="415"/>
    </row>
    <row r="713" spans="1:25" hidden="1" x14ac:dyDescent="0.25">
      <c r="A713" s="415">
        <v>712</v>
      </c>
      <c r="B713" s="415">
        <v>1111</v>
      </c>
      <c r="C713" s="415">
        <v>164435</v>
      </c>
      <c r="D713" s="416" t="s">
        <v>3212</v>
      </c>
      <c r="E713" s="416" t="s">
        <v>475</v>
      </c>
      <c r="F713" s="416" t="s">
        <v>476</v>
      </c>
      <c r="G713" s="416" t="s">
        <v>1222</v>
      </c>
      <c r="H713" s="416" t="s">
        <v>1222</v>
      </c>
      <c r="I713" s="416" t="s">
        <v>1222</v>
      </c>
      <c r="J713" s="415" t="s">
        <v>661</v>
      </c>
      <c r="K713" s="417">
        <v>-13.1249</v>
      </c>
      <c r="L713" s="417">
        <v>-72.979179999999999</v>
      </c>
      <c r="M713" s="418">
        <v>30</v>
      </c>
      <c r="N713" s="418" t="s">
        <v>2310</v>
      </c>
      <c r="O713" s="418" t="s">
        <v>2953</v>
      </c>
      <c r="P713" s="415">
        <v>3</v>
      </c>
      <c r="Q713" s="415">
        <v>30</v>
      </c>
      <c r="R713" s="415">
        <v>5</v>
      </c>
      <c r="S713" s="415">
        <f t="shared" si="33"/>
        <v>5</v>
      </c>
      <c r="T713" s="419">
        <f t="shared" si="34"/>
        <v>0.83333333333333337</v>
      </c>
      <c r="U713" s="419">
        <f t="shared" si="35"/>
        <v>5.833333333333333</v>
      </c>
      <c r="V713" s="415" t="s">
        <v>662</v>
      </c>
      <c r="W713" s="415" t="s">
        <v>675</v>
      </c>
      <c r="X713" s="415" t="s">
        <v>673</v>
      </c>
      <c r="Y713" s="415"/>
    </row>
    <row r="714" spans="1:25" hidden="1" x14ac:dyDescent="0.25">
      <c r="A714" s="415">
        <v>713</v>
      </c>
      <c r="B714" s="415">
        <v>1112</v>
      </c>
      <c r="C714" s="415">
        <v>164044</v>
      </c>
      <c r="D714" s="416" t="s">
        <v>1221</v>
      </c>
      <c r="E714" s="416" t="s">
        <v>475</v>
      </c>
      <c r="F714" s="416" t="s">
        <v>476</v>
      </c>
      <c r="G714" s="416" t="s">
        <v>1222</v>
      </c>
      <c r="H714" s="416" t="s">
        <v>1223</v>
      </c>
      <c r="I714" s="416" t="s">
        <v>1223</v>
      </c>
      <c r="J714" s="415" t="s">
        <v>661</v>
      </c>
      <c r="K714" s="417">
        <v>-12.755699999999999</v>
      </c>
      <c r="L714" s="417">
        <v>-73.134299999999996</v>
      </c>
      <c r="M714" s="418">
        <v>30</v>
      </c>
      <c r="N714" s="418" t="s">
        <v>2310</v>
      </c>
      <c r="O714" s="418" t="s">
        <v>2953</v>
      </c>
      <c r="P714" s="415">
        <v>3</v>
      </c>
      <c r="Q714" s="415">
        <v>30</v>
      </c>
      <c r="R714" s="415">
        <v>5</v>
      </c>
      <c r="S714" s="415">
        <f t="shared" si="33"/>
        <v>5</v>
      </c>
      <c r="T714" s="419">
        <f t="shared" si="34"/>
        <v>0.83333333333333337</v>
      </c>
      <c r="U714" s="419">
        <f t="shared" si="35"/>
        <v>5.833333333333333</v>
      </c>
      <c r="V714" s="415" t="s">
        <v>662</v>
      </c>
      <c r="W714" s="415" t="s">
        <v>675</v>
      </c>
      <c r="X714" s="415" t="s">
        <v>673</v>
      </c>
      <c r="Y714" s="415"/>
    </row>
    <row r="715" spans="1:25" hidden="1" x14ac:dyDescent="0.25">
      <c r="A715" s="415">
        <v>714</v>
      </c>
      <c r="B715" s="415">
        <v>1113</v>
      </c>
      <c r="C715" s="415">
        <v>165246</v>
      </c>
      <c r="D715" s="416" t="s">
        <v>3213</v>
      </c>
      <c r="E715" s="416" t="s">
        <v>475</v>
      </c>
      <c r="F715" s="416" t="s">
        <v>481</v>
      </c>
      <c r="G715" s="416" t="s">
        <v>3214</v>
      </c>
      <c r="H715" s="416" t="s">
        <v>3215</v>
      </c>
      <c r="I715" s="416" t="s">
        <v>3215</v>
      </c>
      <c r="J715" s="415" t="s">
        <v>661</v>
      </c>
      <c r="K715" s="417">
        <v>-13.908874000000001</v>
      </c>
      <c r="L715" s="417">
        <v>-72.037577999999996</v>
      </c>
      <c r="M715" s="418">
        <v>30</v>
      </c>
      <c r="N715" s="418" t="s">
        <v>2310</v>
      </c>
      <c r="O715" s="418" t="s">
        <v>2953</v>
      </c>
      <c r="P715" s="415">
        <v>3</v>
      </c>
      <c r="Q715" s="415">
        <v>30</v>
      </c>
      <c r="R715" s="415">
        <v>5</v>
      </c>
      <c r="S715" s="415">
        <f t="shared" si="33"/>
        <v>5</v>
      </c>
      <c r="T715" s="419">
        <f t="shared" si="34"/>
        <v>0.83333333333333337</v>
      </c>
      <c r="U715" s="419">
        <f t="shared" si="35"/>
        <v>5.833333333333333</v>
      </c>
      <c r="V715" s="415" t="s">
        <v>662</v>
      </c>
      <c r="W715" s="415" t="s">
        <v>613</v>
      </c>
      <c r="X715" s="415" t="s">
        <v>671</v>
      </c>
      <c r="Y715" s="415"/>
    </row>
    <row r="716" spans="1:25" hidden="1" x14ac:dyDescent="0.25">
      <c r="A716" s="415">
        <v>715</v>
      </c>
      <c r="B716" s="415">
        <v>1114</v>
      </c>
      <c r="C716" s="415">
        <v>165538</v>
      </c>
      <c r="D716" s="416" t="s">
        <v>3216</v>
      </c>
      <c r="E716" s="416" t="s">
        <v>475</v>
      </c>
      <c r="F716" s="416" t="s">
        <v>481</v>
      </c>
      <c r="G716" s="416" t="s">
        <v>1234</v>
      </c>
      <c r="H716" s="416" t="s">
        <v>3217</v>
      </c>
      <c r="I716" s="416" t="s">
        <v>3218</v>
      </c>
      <c r="J716" s="415" t="s">
        <v>661</v>
      </c>
      <c r="K716" s="417">
        <v>-13.650328</v>
      </c>
      <c r="L716" s="417">
        <v>-72.073058000000003</v>
      </c>
      <c r="M716" s="418">
        <v>30</v>
      </c>
      <c r="N716" s="418" t="s">
        <v>2310</v>
      </c>
      <c r="O716" s="418" t="s">
        <v>2953</v>
      </c>
      <c r="P716" s="415">
        <v>3</v>
      </c>
      <c r="Q716" s="415">
        <v>30</v>
      </c>
      <c r="R716" s="415">
        <v>5</v>
      </c>
      <c r="S716" s="415">
        <f t="shared" si="33"/>
        <v>5</v>
      </c>
      <c r="T716" s="419">
        <f t="shared" si="34"/>
        <v>0.83333333333333337</v>
      </c>
      <c r="U716" s="419">
        <f t="shared" si="35"/>
        <v>5.833333333333333</v>
      </c>
      <c r="V716" s="415" t="s">
        <v>662</v>
      </c>
      <c r="W716" s="415" t="s">
        <v>613</v>
      </c>
      <c r="X716" s="415" t="s">
        <v>671</v>
      </c>
      <c r="Y716" s="415"/>
    </row>
    <row r="717" spans="1:25" hidden="1" x14ac:dyDescent="0.25">
      <c r="A717" s="415">
        <v>716</v>
      </c>
      <c r="B717" s="415">
        <v>1115</v>
      </c>
      <c r="C717" s="415">
        <v>165524</v>
      </c>
      <c r="D717" s="416" t="s">
        <v>1233</v>
      </c>
      <c r="E717" s="416" t="s">
        <v>475</v>
      </c>
      <c r="F717" s="416" t="s">
        <v>481</v>
      </c>
      <c r="G717" s="416" t="s">
        <v>1234</v>
      </c>
      <c r="H717" s="416" t="s">
        <v>1235</v>
      </c>
      <c r="I717" s="416" t="s">
        <v>1236</v>
      </c>
      <c r="J717" s="415" t="s">
        <v>661</v>
      </c>
      <c r="K717" s="417">
        <v>-13.744400000000001</v>
      </c>
      <c r="L717" s="417">
        <v>-72.089200000000005</v>
      </c>
      <c r="M717" s="418">
        <v>30</v>
      </c>
      <c r="N717" s="418" t="s">
        <v>2310</v>
      </c>
      <c r="O717" s="418" t="s">
        <v>2953</v>
      </c>
      <c r="P717" s="415">
        <v>3</v>
      </c>
      <c r="Q717" s="415">
        <v>30</v>
      </c>
      <c r="R717" s="415">
        <v>5</v>
      </c>
      <c r="S717" s="415">
        <f t="shared" si="33"/>
        <v>5</v>
      </c>
      <c r="T717" s="419">
        <f t="shared" si="34"/>
        <v>0.83333333333333337</v>
      </c>
      <c r="U717" s="419">
        <f t="shared" si="35"/>
        <v>5.833333333333333</v>
      </c>
      <c r="V717" s="415" t="s">
        <v>662</v>
      </c>
      <c r="W717" s="415" t="s">
        <v>613</v>
      </c>
      <c r="X717" s="415" t="s">
        <v>671</v>
      </c>
      <c r="Y717" s="415"/>
    </row>
    <row r="718" spans="1:25" hidden="1" x14ac:dyDescent="0.25">
      <c r="A718" s="415">
        <v>717</v>
      </c>
      <c r="B718" s="415">
        <v>1116</v>
      </c>
      <c r="C718" s="415">
        <v>165029</v>
      </c>
      <c r="D718" s="416" t="s">
        <v>3219</v>
      </c>
      <c r="E718" s="416" t="s">
        <v>475</v>
      </c>
      <c r="F718" s="416" t="s">
        <v>481</v>
      </c>
      <c r="G718" s="416" t="s">
        <v>481</v>
      </c>
      <c r="H718" s="416" t="s">
        <v>481</v>
      </c>
      <c r="I718" s="416" t="s">
        <v>481</v>
      </c>
      <c r="J718" s="415" t="s">
        <v>661</v>
      </c>
      <c r="K718" s="417">
        <v>-13.764699999999999</v>
      </c>
      <c r="L718" s="417">
        <v>-71.843400000000003</v>
      </c>
      <c r="M718" s="418">
        <v>30</v>
      </c>
      <c r="N718" s="418" t="s">
        <v>2310</v>
      </c>
      <c r="O718" s="418" t="s">
        <v>2953</v>
      </c>
      <c r="P718" s="415">
        <v>3</v>
      </c>
      <c r="Q718" s="415">
        <v>30</v>
      </c>
      <c r="R718" s="415">
        <v>5</v>
      </c>
      <c r="S718" s="415">
        <f t="shared" si="33"/>
        <v>5</v>
      </c>
      <c r="T718" s="419">
        <f t="shared" si="34"/>
        <v>0.83333333333333337</v>
      </c>
      <c r="U718" s="419">
        <f t="shared" si="35"/>
        <v>5.833333333333333</v>
      </c>
      <c r="V718" s="415" t="s">
        <v>662</v>
      </c>
      <c r="W718" s="415" t="s">
        <v>613</v>
      </c>
      <c r="X718" s="415" t="s">
        <v>671</v>
      </c>
      <c r="Y718" s="415"/>
    </row>
    <row r="719" spans="1:25" hidden="1" x14ac:dyDescent="0.25">
      <c r="A719" s="415">
        <v>718</v>
      </c>
      <c r="B719" s="415">
        <v>1117</v>
      </c>
      <c r="C719" s="415">
        <v>166665</v>
      </c>
      <c r="D719" s="416" t="s">
        <v>3220</v>
      </c>
      <c r="E719" s="416" t="s">
        <v>475</v>
      </c>
      <c r="F719" s="416" t="s">
        <v>483</v>
      </c>
      <c r="G719" s="416" t="s">
        <v>3221</v>
      </c>
      <c r="H719" s="416" t="s">
        <v>1222</v>
      </c>
      <c r="I719" s="416" t="s">
        <v>3222</v>
      </c>
      <c r="J719" s="415" t="s">
        <v>661</v>
      </c>
      <c r="K719" s="417">
        <v>-13.556699999999999</v>
      </c>
      <c r="L719" s="417">
        <v>-71.715699999999998</v>
      </c>
      <c r="M719" s="418">
        <v>30</v>
      </c>
      <c r="N719" s="418" t="s">
        <v>2310</v>
      </c>
      <c r="O719" s="418" t="s">
        <v>2953</v>
      </c>
      <c r="P719" s="415">
        <v>3</v>
      </c>
      <c r="Q719" s="415">
        <v>30</v>
      </c>
      <c r="R719" s="415">
        <v>5</v>
      </c>
      <c r="S719" s="415">
        <f t="shared" si="33"/>
        <v>5</v>
      </c>
      <c r="T719" s="419">
        <f t="shared" si="34"/>
        <v>0.83333333333333337</v>
      </c>
      <c r="U719" s="419">
        <f t="shared" si="35"/>
        <v>5.833333333333333</v>
      </c>
      <c r="V719" s="415" t="s">
        <v>662</v>
      </c>
      <c r="W719" s="415" t="s">
        <v>675</v>
      </c>
      <c r="X719" s="415" t="s">
        <v>673</v>
      </c>
      <c r="Y719" s="415"/>
    </row>
    <row r="720" spans="1:25" hidden="1" x14ac:dyDescent="0.25">
      <c r="A720" s="415">
        <v>719</v>
      </c>
      <c r="B720" s="415">
        <v>1118</v>
      </c>
      <c r="C720" s="415">
        <v>166769</v>
      </c>
      <c r="D720" s="416" t="s">
        <v>1240</v>
      </c>
      <c r="E720" s="416" t="s">
        <v>475</v>
      </c>
      <c r="F720" s="416" t="s">
        <v>483</v>
      </c>
      <c r="G720" s="416" t="s">
        <v>1241</v>
      </c>
      <c r="H720" s="416" t="s">
        <v>779</v>
      </c>
      <c r="I720" s="416" t="s">
        <v>779</v>
      </c>
      <c r="J720" s="415" t="s">
        <v>661</v>
      </c>
      <c r="K720" s="417">
        <v>-12.969922</v>
      </c>
      <c r="L720" s="417">
        <v>-71.879873000000003</v>
      </c>
      <c r="M720" s="418">
        <v>30</v>
      </c>
      <c r="N720" s="418" t="s">
        <v>2310</v>
      </c>
      <c r="O720" s="418" t="s">
        <v>2953</v>
      </c>
      <c r="P720" s="415">
        <v>3</v>
      </c>
      <c r="Q720" s="415">
        <v>30</v>
      </c>
      <c r="R720" s="415">
        <v>5</v>
      </c>
      <c r="S720" s="415">
        <f t="shared" si="33"/>
        <v>5</v>
      </c>
      <c r="T720" s="419">
        <f t="shared" si="34"/>
        <v>0.83333333333333337</v>
      </c>
      <c r="U720" s="419">
        <f t="shared" si="35"/>
        <v>5.833333333333333</v>
      </c>
      <c r="V720" s="415" t="s">
        <v>662</v>
      </c>
      <c r="W720" s="415" t="s">
        <v>675</v>
      </c>
      <c r="X720" s="415" t="s">
        <v>673</v>
      </c>
      <c r="Y720" s="415"/>
    </row>
    <row r="721" spans="1:25" hidden="1" x14ac:dyDescent="0.25">
      <c r="A721" s="415">
        <v>720</v>
      </c>
      <c r="B721" s="415">
        <v>1119</v>
      </c>
      <c r="C721" s="415">
        <v>167288</v>
      </c>
      <c r="D721" s="416" t="s">
        <v>1243</v>
      </c>
      <c r="E721" s="416" t="s">
        <v>475</v>
      </c>
      <c r="F721" s="416" t="s">
        <v>483</v>
      </c>
      <c r="G721" s="416" t="s">
        <v>1242</v>
      </c>
      <c r="H721" s="416" t="s">
        <v>1207</v>
      </c>
      <c r="I721" s="416" t="s">
        <v>1207</v>
      </c>
      <c r="J721" s="415" t="s">
        <v>661</v>
      </c>
      <c r="K721" s="417">
        <v>-13.452840999999999</v>
      </c>
      <c r="L721" s="417">
        <v>-71.548575</v>
      </c>
      <c r="M721" s="418">
        <v>30</v>
      </c>
      <c r="N721" s="418" t="s">
        <v>2310</v>
      </c>
      <c r="O721" s="418" t="s">
        <v>2953</v>
      </c>
      <c r="P721" s="415">
        <v>3</v>
      </c>
      <c r="Q721" s="415">
        <v>30</v>
      </c>
      <c r="R721" s="415">
        <v>5</v>
      </c>
      <c r="S721" s="415">
        <f t="shared" si="33"/>
        <v>5</v>
      </c>
      <c r="T721" s="419">
        <f t="shared" si="34"/>
        <v>0.83333333333333337</v>
      </c>
      <c r="U721" s="419">
        <f t="shared" si="35"/>
        <v>5.833333333333333</v>
      </c>
      <c r="V721" s="415" t="s">
        <v>662</v>
      </c>
      <c r="W721" s="415" t="s">
        <v>675</v>
      </c>
      <c r="X721" s="415" t="s">
        <v>673</v>
      </c>
      <c r="Y721" s="415"/>
    </row>
    <row r="722" spans="1:25" hidden="1" x14ac:dyDescent="0.25">
      <c r="A722" s="415">
        <v>721</v>
      </c>
      <c r="B722" s="415">
        <v>1120</v>
      </c>
      <c r="C722" s="415">
        <v>167575</v>
      </c>
      <c r="D722" s="416" t="s">
        <v>1244</v>
      </c>
      <c r="E722" s="416" t="s">
        <v>475</v>
      </c>
      <c r="F722" s="416" t="s">
        <v>483</v>
      </c>
      <c r="G722" s="416" t="s">
        <v>1245</v>
      </c>
      <c r="H722" s="416" t="s">
        <v>1246</v>
      </c>
      <c r="I722" s="416" t="s">
        <v>1246</v>
      </c>
      <c r="J722" s="415" t="s">
        <v>661</v>
      </c>
      <c r="K722" s="417">
        <v>-13.512646</v>
      </c>
      <c r="L722" s="417">
        <v>-71.568973</v>
      </c>
      <c r="M722" s="418">
        <v>30</v>
      </c>
      <c r="N722" s="418" t="s">
        <v>2310</v>
      </c>
      <c r="O722" s="418" t="s">
        <v>2953</v>
      </c>
      <c r="P722" s="415">
        <v>3</v>
      </c>
      <c r="Q722" s="415">
        <v>30</v>
      </c>
      <c r="R722" s="415">
        <v>5</v>
      </c>
      <c r="S722" s="415">
        <f t="shared" si="33"/>
        <v>5</v>
      </c>
      <c r="T722" s="419">
        <f t="shared" si="34"/>
        <v>0.83333333333333337</v>
      </c>
      <c r="U722" s="419">
        <f t="shared" si="35"/>
        <v>5.833333333333333</v>
      </c>
      <c r="V722" s="415" t="s">
        <v>662</v>
      </c>
      <c r="W722" s="415" t="s">
        <v>675</v>
      </c>
      <c r="X722" s="415" t="s">
        <v>673</v>
      </c>
      <c r="Y722" s="415"/>
    </row>
    <row r="723" spans="1:25" hidden="1" x14ac:dyDescent="0.25">
      <c r="A723" s="415">
        <v>722</v>
      </c>
      <c r="B723" s="415">
        <v>1121</v>
      </c>
      <c r="C723" s="415">
        <v>166236</v>
      </c>
      <c r="D723" s="416" t="s">
        <v>3223</v>
      </c>
      <c r="E723" s="416" t="s">
        <v>475</v>
      </c>
      <c r="F723" s="416" t="s">
        <v>483</v>
      </c>
      <c r="G723" s="416" t="s">
        <v>483</v>
      </c>
      <c r="H723" s="416" t="s">
        <v>3224</v>
      </c>
      <c r="I723" s="416" t="s">
        <v>3225</v>
      </c>
      <c r="J723" s="415" t="s">
        <v>661</v>
      </c>
      <c r="K723" s="417">
        <v>-13.4297</v>
      </c>
      <c r="L723" s="417">
        <v>-71.509399999999999</v>
      </c>
      <c r="M723" s="418">
        <v>30</v>
      </c>
      <c r="N723" s="418" t="s">
        <v>2310</v>
      </c>
      <c r="O723" s="418" t="s">
        <v>2953</v>
      </c>
      <c r="P723" s="415">
        <v>3</v>
      </c>
      <c r="Q723" s="415">
        <v>30</v>
      </c>
      <c r="R723" s="415">
        <v>5</v>
      </c>
      <c r="S723" s="415">
        <f t="shared" si="33"/>
        <v>5</v>
      </c>
      <c r="T723" s="419">
        <f t="shared" si="34"/>
        <v>0.83333333333333337</v>
      </c>
      <c r="U723" s="419">
        <f t="shared" si="35"/>
        <v>5.833333333333333</v>
      </c>
      <c r="V723" s="415" t="s">
        <v>662</v>
      </c>
      <c r="W723" s="415" t="s">
        <v>675</v>
      </c>
      <c r="X723" s="415" t="s">
        <v>673</v>
      </c>
      <c r="Y723" s="415"/>
    </row>
    <row r="724" spans="1:25" hidden="1" x14ac:dyDescent="0.25">
      <c r="A724" s="415">
        <v>723</v>
      </c>
      <c r="B724" s="415">
        <v>1122</v>
      </c>
      <c r="C724" s="415">
        <v>166255</v>
      </c>
      <c r="D724" s="416" t="s">
        <v>1237</v>
      </c>
      <c r="E724" s="416" t="s">
        <v>475</v>
      </c>
      <c r="F724" s="416" t="s">
        <v>483</v>
      </c>
      <c r="G724" s="416" t="s">
        <v>483</v>
      </c>
      <c r="H724" s="416" t="s">
        <v>1238</v>
      </c>
      <c r="I724" s="416" t="s">
        <v>1239</v>
      </c>
      <c r="J724" s="415" t="s">
        <v>661</v>
      </c>
      <c r="K724" s="417">
        <v>-13.38472</v>
      </c>
      <c r="L724" s="417">
        <v>-71.264075000000005</v>
      </c>
      <c r="M724" s="418">
        <v>30</v>
      </c>
      <c r="N724" s="418" t="s">
        <v>2310</v>
      </c>
      <c r="O724" s="418" t="s">
        <v>2953</v>
      </c>
      <c r="P724" s="415">
        <v>3</v>
      </c>
      <c r="Q724" s="415">
        <v>30</v>
      </c>
      <c r="R724" s="415">
        <v>5</v>
      </c>
      <c r="S724" s="415">
        <f t="shared" si="33"/>
        <v>5</v>
      </c>
      <c r="T724" s="419">
        <f t="shared" si="34"/>
        <v>0.83333333333333337</v>
      </c>
      <c r="U724" s="419">
        <f t="shared" si="35"/>
        <v>5.833333333333333</v>
      </c>
      <c r="V724" s="415" t="s">
        <v>662</v>
      </c>
      <c r="W724" s="415" t="s">
        <v>675</v>
      </c>
      <c r="X724" s="415" t="s">
        <v>673</v>
      </c>
      <c r="Y724" s="415"/>
    </row>
    <row r="725" spans="1:25" hidden="1" x14ac:dyDescent="0.25">
      <c r="A725" s="415">
        <v>724</v>
      </c>
      <c r="B725" s="415">
        <v>1123</v>
      </c>
      <c r="C725" s="415">
        <v>168711</v>
      </c>
      <c r="D725" s="416" t="s">
        <v>1247</v>
      </c>
      <c r="E725" s="416" t="s">
        <v>475</v>
      </c>
      <c r="F725" s="416" t="s">
        <v>484</v>
      </c>
      <c r="G725" s="416" t="s">
        <v>1248</v>
      </c>
      <c r="H725" s="416" t="s">
        <v>1249</v>
      </c>
      <c r="I725" s="416" t="s">
        <v>1249</v>
      </c>
      <c r="J725" s="415" t="s">
        <v>661</v>
      </c>
      <c r="K725" s="417">
        <v>-13.617050000000001</v>
      </c>
      <c r="L725" s="417">
        <v>-71.485709999999997</v>
      </c>
      <c r="M725" s="418">
        <v>30</v>
      </c>
      <c r="N725" s="418" t="s">
        <v>2310</v>
      </c>
      <c r="O725" s="418" t="s">
        <v>2953</v>
      </c>
      <c r="P725" s="415">
        <v>3</v>
      </c>
      <c r="Q725" s="415">
        <v>30</v>
      </c>
      <c r="R725" s="415">
        <v>5</v>
      </c>
      <c r="S725" s="415">
        <f t="shared" si="33"/>
        <v>5</v>
      </c>
      <c r="T725" s="419">
        <f t="shared" si="34"/>
        <v>0.83333333333333337</v>
      </c>
      <c r="U725" s="419">
        <f t="shared" si="35"/>
        <v>5.833333333333333</v>
      </c>
      <c r="V725" s="415" t="s">
        <v>662</v>
      </c>
      <c r="W725" s="415" t="s">
        <v>675</v>
      </c>
      <c r="X725" s="415" t="s">
        <v>673</v>
      </c>
      <c r="Y725" s="415"/>
    </row>
    <row r="726" spans="1:25" hidden="1" x14ac:dyDescent="0.25">
      <c r="A726" s="415">
        <v>725</v>
      </c>
      <c r="B726" s="415">
        <v>1124</v>
      </c>
      <c r="C726" s="415">
        <v>168626</v>
      </c>
      <c r="D726" s="416" t="s">
        <v>3226</v>
      </c>
      <c r="E726" s="416" t="s">
        <v>475</v>
      </c>
      <c r="F726" s="416" t="s">
        <v>484</v>
      </c>
      <c r="G726" s="416" t="s">
        <v>1248</v>
      </c>
      <c r="H726" s="416" t="s">
        <v>3227</v>
      </c>
      <c r="I726" s="416" t="s">
        <v>3227</v>
      </c>
      <c r="J726" s="415" t="s">
        <v>661</v>
      </c>
      <c r="K726" s="417">
        <v>-13.548501</v>
      </c>
      <c r="L726" s="417">
        <v>-71.455954000000006</v>
      </c>
      <c r="M726" s="418">
        <v>30</v>
      </c>
      <c r="N726" s="418" t="s">
        <v>2310</v>
      </c>
      <c r="O726" s="418" t="s">
        <v>2953</v>
      </c>
      <c r="P726" s="415">
        <v>3</v>
      </c>
      <c r="Q726" s="415">
        <v>30</v>
      </c>
      <c r="R726" s="415">
        <v>5</v>
      </c>
      <c r="S726" s="415">
        <f t="shared" si="33"/>
        <v>5</v>
      </c>
      <c r="T726" s="419">
        <f t="shared" si="34"/>
        <v>0.83333333333333337</v>
      </c>
      <c r="U726" s="419">
        <f t="shared" si="35"/>
        <v>5.833333333333333</v>
      </c>
      <c r="V726" s="415" t="s">
        <v>662</v>
      </c>
      <c r="W726" s="415" t="s">
        <v>675</v>
      </c>
      <c r="X726" s="415" t="s">
        <v>673</v>
      </c>
      <c r="Y726" s="415"/>
    </row>
    <row r="727" spans="1:25" hidden="1" x14ac:dyDescent="0.25">
      <c r="A727" s="415">
        <v>726</v>
      </c>
      <c r="B727" s="415">
        <v>1125</v>
      </c>
      <c r="C727" s="415">
        <v>168650</v>
      </c>
      <c r="D727" s="416" t="s">
        <v>3228</v>
      </c>
      <c r="E727" s="416" t="s">
        <v>475</v>
      </c>
      <c r="F727" s="416" t="s">
        <v>484</v>
      </c>
      <c r="G727" s="416" t="s">
        <v>1248</v>
      </c>
      <c r="H727" s="416" t="s">
        <v>3229</v>
      </c>
      <c r="I727" s="416" t="s">
        <v>3229</v>
      </c>
      <c r="J727" s="415" t="s">
        <v>661</v>
      </c>
      <c r="K727" s="417">
        <v>-13.466239</v>
      </c>
      <c r="L727" s="417">
        <v>-71.503439</v>
      </c>
      <c r="M727" s="418">
        <v>30</v>
      </c>
      <c r="N727" s="418" t="s">
        <v>2310</v>
      </c>
      <c r="O727" s="418" t="s">
        <v>2953</v>
      </c>
      <c r="P727" s="415">
        <v>3</v>
      </c>
      <c r="Q727" s="415">
        <v>30</v>
      </c>
      <c r="R727" s="415">
        <v>5</v>
      </c>
      <c r="S727" s="415">
        <f t="shared" si="33"/>
        <v>5</v>
      </c>
      <c r="T727" s="419">
        <f t="shared" si="34"/>
        <v>0.83333333333333337</v>
      </c>
      <c r="U727" s="419">
        <f t="shared" si="35"/>
        <v>5.833333333333333</v>
      </c>
      <c r="V727" s="415" t="s">
        <v>662</v>
      </c>
      <c r="W727" s="415" t="s">
        <v>675</v>
      </c>
      <c r="X727" s="415" t="s">
        <v>673</v>
      </c>
      <c r="Y727" s="415"/>
    </row>
    <row r="728" spans="1:25" hidden="1" x14ac:dyDescent="0.25">
      <c r="A728" s="415">
        <v>727</v>
      </c>
      <c r="B728" s="415">
        <v>1126</v>
      </c>
      <c r="C728" s="415">
        <v>168947</v>
      </c>
      <c r="D728" s="416" t="s">
        <v>3230</v>
      </c>
      <c r="E728" s="416" t="s">
        <v>475</v>
      </c>
      <c r="F728" s="416" t="s">
        <v>484</v>
      </c>
      <c r="G728" s="416" t="s">
        <v>3231</v>
      </c>
      <c r="H728" s="416" t="s">
        <v>3232</v>
      </c>
      <c r="I728" s="416" t="s">
        <v>3233</v>
      </c>
      <c r="J728" s="415" t="s">
        <v>661</v>
      </c>
      <c r="K728" s="417">
        <v>-13.864699999999999</v>
      </c>
      <c r="L728" s="417">
        <v>-71.419200000000004</v>
      </c>
      <c r="M728" s="418">
        <v>30</v>
      </c>
      <c r="N728" s="418" t="s">
        <v>2310</v>
      </c>
      <c r="O728" s="418" t="s">
        <v>2953</v>
      </c>
      <c r="P728" s="415">
        <v>3</v>
      </c>
      <c r="Q728" s="415">
        <v>30</v>
      </c>
      <c r="R728" s="415">
        <v>5</v>
      </c>
      <c r="S728" s="415">
        <f t="shared" si="33"/>
        <v>5</v>
      </c>
      <c r="T728" s="419">
        <f t="shared" si="34"/>
        <v>0.83333333333333337</v>
      </c>
      <c r="U728" s="419">
        <f t="shared" si="35"/>
        <v>5.833333333333333</v>
      </c>
      <c r="V728" s="415" t="s">
        <v>662</v>
      </c>
      <c r="W728" s="415" t="s">
        <v>675</v>
      </c>
      <c r="X728" s="415" t="s">
        <v>673</v>
      </c>
      <c r="Y728" s="415"/>
    </row>
    <row r="729" spans="1:25" hidden="1" x14ac:dyDescent="0.25">
      <c r="A729" s="415">
        <v>728</v>
      </c>
      <c r="B729" s="415">
        <v>1127</v>
      </c>
      <c r="C729" s="415">
        <v>168928</v>
      </c>
      <c r="D729" s="416" t="s">
        <v>3234</v>
      </c>
      <c r="E729" s="416" t="s">
        <v>475</v>
      </c>
      <c r="F729" s="416" t="s">
        <v>484</v>
      </c>
      <c r="G729" s="416" t="s">
        <v>3231</v>
      </c>
      <c r="H729" s="416" t="s">
        <v>3235</v>
      </c>
      <c r="I729" s="416" t="s">
        <v>3236</v>
      </c>
      <c r="J729" s="415" t="s">
        <v>661</v>
      </c>
      <c r="K729" s="417">
        <v>-13.896800000000001</v>
      </c>
      <c r="L729" s="417">
        <v>-71.471130000000002</v>
      </c>
      <c r="M729" s="418">
        <v>30</v>
      </c>
      <c r="N729" s="418" t="s">
        <v>2310</v>
      </c>
      <c r="O729" s="418" t="s">
        <v>2953</v>
      </c>
      <c r="P729" s="415">
        <v>3</v>
      </c>
      <c r="Q729" s="415">
        <v>30</v>
      </c>
      <c r="R729" s="415">
        <v>5</v>
      </c>
      <c r="S729" s="415">
        <f t="shared" si="33"/>
        <v>5</v>
      </c>
      <c r="T729" s="419">
        <f t="shared" si="34"/>
        <v>0.83333333333333337</v>
      </c>
      <c r="U729" s="419">
        <f t="shared" si="35"/>
        <v>5.833333333333333</v>
      </c>
      <c r="V729" s="415" t="s">
        <v>662</v>
      </c>
      <c r="W729" s="415" t="s">
        <v>613</v>
      </c>
      <c r="X729" s="415" t="s">
        <v>671</v>
      </c>
      <c r="Y729" s="415"/>
    </row>
    <row r="730" spans="1:25" hidden="1" x14ac:dyDescent="0.25">
      <c r="A730" s="415">
        <v>729</v>
      </c>
      <c r="B730" s="415">
        <v>1128</v>
      </c>
      <c r="C730" s="415">
        <v>588627</v>
      </c>
      <c r="D730" s="416" t="s">
        <v>2238</v>
      </c>
      <c r="E730" s="416" t="s">
        <v>475</v>
      </c>
      <c r="F730" s="416" t="s">
        <v>484</v>
      </c>
      <c r="G730" s="416" t="s">
        <v>2239</v>
      </c>
      <c r="H730" s="416" t="s">
        <v>2240</v>
      </c>
      <c r="I730" s="416" t="s">
        <v>2240</v>
      </c>
      <c r="J730" s="415" t="s">
        <v>661</v>
      </c>
      <c r="K730" s="417">
        <v>-13.792669999999999</v>
      </c>
      <c r="L730" s="417">
        <v>-71.667280000000005</v>
      </c>
      <c r="M730" s="418">
        <v>30</v>
      </c>
      <c r="N730" s="418" t="s">
        <v>2310</v>
      </c>
      <c r="O730" s="418" t="s">
        <v>2953</v>
      </c>
      <c r="P730" s="415">
        <v>3</v>
      </c>
      <c r="Q730" s="415">
        <v>30</v>
      </c>
      <c r="R730" s="415">
        <v>5</v>
      </c>
      <c r="S730" s="415">
        <f t="shared" si="33"/>
        <v>5</v>
      </c>
      <c r="T730" s="419">
        <f t="shared" si="34"/>
        <v>0.83333333333333337</v>
      </c>
      <c r="U730" s="419">
        <f t="shared" si="35"/>
        <v>5.833333333333333</v>
      </c>
      <c r="V730" s="415" t="s">
        <v>662</v>
      </c>
      <c r="W730" s="415" t="s">
        <v>613</v>
      </c>
      <c r="X730" s="415" t="s">
        <v>671</v>
      </c>
      <c r="Y730" s="415"/>
    </row>
    <row r="731" spans="1:25" hidden="1" x14ac:dyDescent="0.25">
      <c r="A731" s="415">
        <v>730</v>
      </c>
      <c r="B731" s="415">
        <v>1129</v>
      </c>
      <c r="C731" s="415">
        <v>169013</v>
      </c>
      <c r="D731" s="416" t="s">
        <v>3237</v>
      </c>
      <c r="E731" s="416" t="s">
        <v>475</v>
      </c>
      <c r="F731" s="416" t="s">
        <v>484</v>
      </c>
      <c r="G731" s="416" t="s">
        <v>2239</v>
      </c>
      <c r="H731" s="416" t="s">
        <v>1708</v>
      </c>
      <c r="I731" s="416" t="s">
        <v>1709</v>
      </c>
      <c r="J731" s="415" t="s">
        <v>661</v>
      </c>
      <c r="K731" s="417">
        <v>-13.70776</v>
      </c>
      <c r="L731" s="417">
        <v>-71.659961999999993</v>
      </c>
      <c r="M731" s="418">
        <v>30</v>
      </c>
      <c r="N731" s="418" t="s">
        <v>2310</v>
      </c>
      <c r="O731" s="418" t="s">
        <v>2953</v>
      </c>
      <c r="P731" s="415">
        <v>3</v>
      </c>
      <c r="Q731" s="415">
        <v>30</v>
      </c>
      <c r="R731" s="415">
        <v>5</v>
      </c>
      <c r="S731" s="415">
        <f t="shared" si="33"/>
        <v>5</v>
      </c>
      <c r="T731" s="419">
        <f t="shared" si="34"/>
        <v>0.83333333333333337</v>
      </c>
      <c r="U731" s="419">
        <f t="shared" si="35"/>
        <v>5.833333333333333</v>
      </c>
      <c r="V731" s="415" t="s">
        <v>662</v>
      </c>
      <c r="W731" s="415" t="s">
        <v>675</v>
      </c>
      <c r="X731" s="415" t="s">
        <v>673</v>
      </c>
      <c r="Y731" s="415"/>
    </row>
    <row r="732" spans="1:25" hidden="1" x14ac:dyDescent="0.25">
      <c r="A732" s="415">
        <v>731</v>
      </c>
      <c r="B732" s="415">
        <v>1130</v>
      </c>
      <c r="C732" s="415">
        <v>514085</v>
      </c>
      <c r="D732" s="416" t="s">
        <v>3238</v>
      </c>
      <c r="E732" s="416" t="s">
        <v>475</v>
      </c>
      <c r="F732" s="416" t="s">
        <v>484</v>
      </c>
      <c r="G732" s="416" t="s">
        <v>1250</v>
      </c>
      <c r="H732" s="416" t="s">
        <v>3239</v>
      </c>
      <c r="I732" s="416" t="s">
        <v>3239</v>
      </c>
      <c r="J732" s="415" t="s">
        <v>661</v>
      </c>
      <c r="K732" s="417">
        <v>-13.6334</v>
      </c>
      <c r="L732" s="417">
        <v>-71.274500000000003</v>
      </c>
      <c r="M732" s="418">
        <v>30</v>
      </c>
      <c r="N732" s="418" t="s">
        <v>2310</v>
      </c>
      <c r="O732" s="418" t="s">
        <v>2953</v>
      </c>
      <c r="P732" s="415">
        <v>3</v>
      </c>
      <c r="Q732" s="415">
        <v>30</v>
      </c>
      <c r="R732" s="415">
        <v>5</v>
      </c>
      <c r="S732" s="415">
        <f t="shared" si="33"/>
        <v>5</v>
      </c>
      <c r="T732" s="419">
        <f t="shared" si="34"/>
        <v>0.83333333333333337</v>
      </c>
      <c r="U732" s="419">
        <f t="shared" si="35"/>
        <v>5.833333333333333</v>
      </c>
      <c r="V732" s="415" t="s">
        <v>662</v>
      </c>
      <c r="W732" s="415" t="s">
        <v>675</v>
      </c>
      <c r="X732" s="415" t="s">
        <v>673</v>
      </c>
      <c r="Y732" s="415"/>
    </row>
    <row r="733" spans="1:25" hidden="1" x14ac:dyDescent="0.25">
      <c r="A733" s="415">
        <v>732</v>
      </c>
      <c r="B733" s="415">
        <v>1131</v>
      </c>
      <c r="C733" s="415">
        <v>169602</v>
      </c>
      <c r="D733" s="416" t="s">
        <v>1251</v>
      </c>
      <c r="E733" s="416" t="s">
        <v>475</v>
      </c>
      <c r="F733" s="416" t="s">
        <v>484</v>
      </c>
      <c r="G733" s="416" t="s">
        <v>1250</v>
      </c>
      <c r="H733" s="416" t="s">
        <v>1252</v>
      </c>
      <c r="I733" s="416" t="s">
        <v>1252</v>
      </c>
      <c r="J733" s="415" t="s">
        <v>661</v>
      </c>
      <c r="K733" s="417">
        <v>-13.681584000000001</v>
      </c>
      <c r="L733" s="417">
        <v>-71.391178999999994</v>
      </c>
      <c r="M733" s="418">
        <v>30</v>
      </c>
      <c r="N733" s="418" t="s">
        <v>2310</v>
      </c>
      <c r="O733" s="418" t="s">
        <v>2953</v>
      </c>
      <c r="P733" s="415">
        <v>3</v>
      </c>
      <c r="Q733" s="415">
        <v>30</v>
      </c>
      <c r="R733" s="415">
        <v>5</v>
      </c>
      <c r="S733" s="415">
        <f t="shared" si="33"/>
        <v>5</v>
      </c>
      <c r="T733" s="419">
        <f t="shared" si="34"/>
        <v>0.83333333333333337</v>
      </c>
      <c r="U733" s="419">
        <f t="shared" si="35"/>
        <v>5.833333333333333</v>
      </c>
      <c r="V733" s="415" t="s">
        <v>662</v>
      </c>
      <c r="W733" s="415" t="s">
        <v>675</v>
      </c>
      <c r="X733" s="415" t="s">
        <v>673</v>
      </c>
      <c r="Y733" s="415"/>
    </row>
    <row r="734" spans="1:25" hidden="1" x14ac:dyDescent="0.25">
      <c r="A734" s="415">
        <v>733</v>
      </c>
      <c r="B734" s="415">
        <v>1132</v>
      </c>
      <c r="C734" s="415">
        <v>169621</v>
      </c>
      <c r="D734" s="416" t="s">
        <v>3240</v>
      </c>
      <c r="E734" s="416" t="s">
        <v>475</v>
      </c>
      <c r="F734" s="416" t="s">
        <v>484</v>
      </c>
      <c r="G734" s="416" t="s">
        <v>1250</v>
      </c>
      <c r="H734" s="416" t="s">
        <v>3241</v>
      </c>
      <c r="I734" s="416" t="s">
        <v>3242</v>
      </c>
      <c r="J734" s="415" t="s">
        <v>661</v>
      </c>
      <c r="K734" s="417">
        <v>-13.605090000000001</v>
      </c>
      <c r="L734" s="417">
        <v>-71.229174999999998</v>
      </c>
      <c r="M734" s="418">
        <v>30</v>
      </c>
      <c r="N734" s="418" t="s">
        <v>2310</v>
      </c>
      <c r="O734" s="418" t="s">
        <v>2953</v>
      </c>
      <c r="P734" s="415">
        <v>3</v>
      </c>
      <c r="Q734" s="415">
        <v>30</v>
      </c>
      <c r="R734" s="415">
        <v>5</v>
      </c>
      <c r="S734" s="415">
        <f t="shared" si="33"/>
        <v>5</v>
      </c>
      <c r="T734" s="419">
        <f t="shared" si="34"/>
        <v>0.83333333333333337</v>
      </c>
      <c r="U734" s="419">
        <f t="shared" si="35"/>
        <v>5.833333333333333</v>
      </c>
      <c r="V734" s="415" t="s">
        <v>662</v>
      </c>
      <c r="W734" s="415" t="s">
        <v>675</v>
      </c>
      <c r="X734" s="415" t="s">
        <v>673</v>
      </c>
      <c r="Y734" s="415"/>
    </row>
    <row r="735" spans="1:25" hidden="1" x14ac:dyDescent="0.25">
      <c r="A735" s="415">
        <v>734</v>
      </c>
      <c r="B735" s="415">
        <v>1133</v>
      </c>
      <c r="C735" s="415">
        <v>169918</v>
      </c>
      <c r="D735" s="416" t="s">
        <v>1253</v>
      </c>
      <c r="E735" s="416" t="s">
        <v>475</v>
      </c>
      <c r="F735" s="416" t="s">
        <v>484</v>
      </c>
      <c r="G735" s="416" t="s">
        <v>1254</v>
      </c>
      <c r="H735" s="416" t="s">
        <v>1255</v>
      </c>
      <c r="I735" s="416" t="s">
        <v>1255</v>
      </c>
      <c r="J735" s="415" t="s">
        <v>661</v>
      </c>
      <c r="K735" s="417">
        <v>-13.8034</v>
      </c>
      <c r="L735" s="417">
        <v>-71.477199999999996</v>
      </c>
      <c r="M735" s="418">
        <v>30</v>
      </c>
      <c r="N735" s="418" t="s">
        <v>2310</v>
      </c>
      <c r="O735" s="418" t="s">
        <v>2953</v>
      </c>
      <c r="P735" s="415">
        <v>3</v>
      </c>
      <c r="Q735" s="415">
        <v>30</v>
      </c>
      <c r="R735" s="415">
        <v>5</v>
      </c>
      <c r="S735" s="415">
        <f t="shared" si="33"/>
        <v>5</v>
      </c>
      <c r="T735" s="419">
        <f t="shared" si="34"/>
        <v>0.83333333333333337</v>
      </c>
      <c r="U735" s="419">
        <f t="shared" si="35"/>
        <v>5.833333333333333</v>
      </c>
      <c r="V735" s="415" t="s">
        <v>662</v>
      </c>
      <c r="W735" s="415" t="s">
        <v>675</v>
      </c>
      <c r="X735" s="415" t="s">
        <v>673</v>
      </c>
      <c r="Y735" s="415"/>
    </row>
    <row r="736" spans="1:25" hidden="1" x14ac:dyDescent="0.25">
      <c r="A736" s="415">
        <v>735</v>
      </c>
      <c r="B736" s="415">
        <v>1134</v>
      </c>
      <c r="C736" s="415">
        <v>169881</v>
      </c>
      <c r="D736" s="416" t="s">
        <v>3243</v>
      </c>
      <c r="E736" s="416" t="s">
        <v>475</v>
      </c>
      <c r="F736" s="416" t="s">
        <v>484</v>
      </c>
      <c r="G736" s="416" t="s">
        <v>1254</v>
      </c>
      <c r="H736" s="416" t="s">
        <v>1154</v>
      </c>
      <c r="I736" s="416" t="s">
        <v>3244</v>
      </c>
      <c r="J736" s="415" t="s">
        <v>661</v>
      </c>
      <c r="K736" s="417">
        <v>-13.773866</v>
      </c>
      <c r="L736" s="417">
        <v>-71.573554000000001</v>
      </c>
      <c r="M736" s="418">
        <v>30</v>
      </c>
      <c r="N736" s="418" t="s">
        <v>2310</v>
      </c>
      <c r="O736" s="418" t="s">
        <v>2953</v>
      </c>
      <c r="P736" s="415">
        <v>3</v>
      </c>
      <c r="Q736" s="415">
        <v>30</v>
      </c>
      <c r="R736" s="415">
        <v>5</v>
      </c>
      <c r="S736" s="415">
        <f t="shared" si="33"/>
        <v>5</v>
      </c>
      <c r="T736" s="419">
        <f t="shared" si="34"/>
        <v>0.83333333333333337</v>
      </c>
      <c r="U736" s="419">
        <f t="shared" si="35"/>
        <v>5.833333333333333</v>
      </c>
      <c r="V736" s="415" t="s">
        <v>662</v>
      </c>
      <c r="W736" s="415" t="s">
        <v>675</v>
      </c>
      <c r="X736" s="415" t="s">
        <v>673</v>
      </c>
      <c r="Y736" s="415"/>
    </row>
    <row r="737" spans="1:25" hidden="1" x14ac:dyDescent="0.25">
      <c r="A737" s="415">
        <v>736</v>
      </c>
      <c r="B737" s="415">
        <v>1135</v>
      </c>
      <c r="C737" s="415">
        <v>168056</v>
      </c>
      <c r="D737" s="416" t="s">
        <v>3245</v>
      </c>
      <c r="E737" s="416" t="s">
        <v>475</v>
      </c>
      <c r="F737" s="416" t="s">
        <v>484</v>
      </c>
      <c r="G737" s="416" t="s">
        <v>3246</v>
      </c>
      <c r="H737" s="416" t="s">
        <v>3247</v>
      </c>
      <c r="I737" s="416" t="s">
        <v>3247</v>
      </c>
      <c r="J737" s="415" t="s">
        <v>661</v>
      </c>
      <c r="K737" s="417">
        <v>-13.6226</v>
      </c>
      <c r="L737" s="417">
        <v>-71.639099999999999</v>
      </c>
      <c r="M737" s="418">
        <v>30</v>
      </c>
      <c r="N737" s="418" t="s">
        <v>2310</v>
      </c>
      <c r="O737" s="418" t="s">
        <v>2953</v>
      </c>
      <c r="P737" s="415">
        <v>3</v>
      </c>
      <c r="Q737" s="415">
        <v>30</v>
      </c>
      <c r="R737" s="415">
        <v>5</v>
      </c>
      <c r="S737" s="415">
        <f t="shared" si="33"/>
        <v>5</v>
      </c>
      <c r="T737" s="419">
        <f t="shared" si="34"/>
        <v>0.83333333333333337</v>
      </c>
      <c r="U737" s="419">
        <f t="shared" si="35"/>
        <v>5.833333333333333</v>
      </c>
      <c r="V737" s="415" t="s">
        <v>662</v>
      </c>
      <c r="W737" s="415" t="s">
        <v>675</v>
      </c>
      <c r="X737" s="415" t="s">
        <v>673</v>
      </c>
      <c r="Y737" s="415"/>
    </row>
    <row r="738" spans="1:25" hidden="1" x14ac:dyDescent="0.25">
      <c r="A738" s="415">
        <v>737</v>
      </c>
      <c r="B738" s="415">
        <v>1136</v>
      </c>
      <c r="C738" s="415">
        <v>170525</v>
      </c>
      <c r="D738" s="416" t="s">
        <v>3248</v>
      </c>
      <c r="E738" s="416" t="s">
        <v>475</v>
      </c>
      <c r="F738" s="416" t="s">
        <v>479</v>
      </c>
      <c r="G738" s="416" t="s">
        <v>1257</v>
      </c>
      <c r="H738" s="416" t="s">
        <v>3249</v>
      </c>
      <c r="I738" s="416" t="s">
        <v>3249</v>
      </c>
      <c r="J738" s="415" t="s">
        <v>661</v>
      </c>
      <c r="K738" s="417">
        <v>-13.435600000000001</v>
      </c>
      <c r="L738" s="417">
        <v>-72.039500000000004</v>
      </c>
      <c r="M738" s="418">
        <v>30</v>
      </c>
      <c r="N738" s="418" t="s">
        <v>2310</v>
      </c>
      <c r="O738" s="418" t="s">
        <v>2953</v>
      </c>
      <c r="P738" s="415">
        <v>3</v>
      </c>
      <c r="Q738" s="415">
        <v>30</v>
      </c>
      <c r="R738" s="415">
        <v>5</v>
      </c>
      <c r="S738" s="415">
        <f t="shared" si="33"/>
        <v>5</v>
      </c>
      <c r="T738" s="419">
        <f t="shared" si="34"/>
        <v>0.83333333333333337</v>
      </c>
      <c r="U738" s="419">
        <f t="shared" si="35"/>
        <v>5.833333333333333</v>
      </c>
      <c r="V738" s="415" t="s">
        <v>662</v>
      </c>
      <c r="W738" s="415" t="s">
        <v>675</v>
      </c>
      <c r="X738" s="415" t="s">
        <v>673</v>
      </c>
      <c r="Y738" s="415"/>
    </row>
    <row r="739" spans="1:25" hidden="1" x14ac:dyDescent="0.25">
      <c r="A739" s="415">
        <v>738</v>
      </c>
      <c r="B739" s="415">
        <v>1137</v>
      </c>
      <c r="C739" s="415">
        <v>170530</v>
      </c>
      <c r="D739" s="416" t="s">
        <v>3250</v>
      </c>
      <c r="E739" s="416" t="s">
        <v>475</v>
      </c>
      <c r="F739" s="416" t="s">
        <v>479</v>
      </c>
      <c r="G739" s="416" t="s">
        <v>1257</v>
      </c>
      <c r="H739" s="416" t="s">
        <v>3251</v>
      </c>
      <c r="I739" s="416" t="s">
        <v>3251</v>
      </c>
      <c r="J739" s="415" t="s">
        <v>661</v>
      </c>
      <c r="K739" s="417">
        <v>-13.425140000000001</v>
      </c>
      <c r="L739" s="417">
        <v>-72.041049999999998</v>
      </c>
      <c r="M739" s="418">
        <v>30</v>
      </c>
      <c r="N739" s="418" t="s">
        <v>2310</v>
      </c>
      <c r="O739" s="418" t="s">
        <v>2953</v>
      </c>
      <c r="P739" s="415">
        <v>3</v>
      </c>
      <c r="Q739" s="415">
        <v>30</v>
      </c>
      <c r="R739" s="415">
        <v>5</v>
      </c>
      <c r="S739" s="415">
        <f t="shared" si="33"/>
        <v>5</v>
      </c>
      <c r="T739" s="419">
        <f t="shared" si="34"/>
        <v>0.83333333333333337</v>
      </c>
      <c r="U739" s="419">
        <f t="shared" si="35"/>
        <v>5.833333333333333</v>
      </c>
      <c r="V739" s="415" t="s">
        <v>662</v>
      </c>
      <c r="W739" s="415" t="s">
        <v>675</v>
      </c>
      <c r="X739" s="415" t="s">
        <v>673</v>
      </c>
      <c r="Y739" s="415"/>
    </row>
    <row r="740" spans="1:25" hidden="1" x14ac:dyDescent="0.25">
      <c r="A740" s="415">
        <v>739</v>
      </c>
      <c r="B740" s="415">
        <v>1138</v>
      </c>
      <c r="C740" s="415">
        <v>171068</v>
      </c>
      <c r="D740" s="416" t="s">
        <v>1258</v>
      </c>
      <c r="E740" s="416" t="s">
        <v>475</v>
      </c>
      <c r="F740" s="416" t="s">
        <v>479</v>
      </c>
      <c r="G740" s="416" t="s">
        <v>1259</v>
      </c>
      <c r="H740" s="416" t="s">
        <v>1260</v>
      </c>
      <c r="I740" s="416" t="s">
        <v>1260</v>
      </c>
      <c r="J740" s="415" t="s">
        <v>661</v>
      </c>
      <c r="K740" s="417">
        <v>-13.221299999999999</v>
      </c>
      <c r="L740" s="417">
        <v>-72.3459</v>
      </c>
      <c r="M740" s="418">
        <v>30</v>
      </c>
      <c r="N740" s="418" t="s">
        <v>2310</v>
      </c>
      <c r="O740" s="418" t="s">
        <v>2953</v>
      </c>
      <c r="P740" s="415">
        <v>3</v>
      </c>
      <c r="Q740" s="415">
        <v>30</v>
      </c>
      <c r="R740" s="415">
        <v>5</v>
      </c>
      <c r="S740" s="415">
        <f t="shared" si="33"/>
        <v>5</v>
      </c>
      <c r="T740" s="419">
        <f t="shared" si="34"/>
        <v>0.83333333333333337</v>
      </c>
      <c r="U740" s="419">
        <f t="shared" si="35"/>
        <v>5.833333333333333</v>
      </c>
      <c r="V740" s="415" t="s">
        <v>662</v>
      </c>
      <c r="W740" s="415" t="s">
        <v>675</v>
      </c>
      <c r="X740" s="415" t="s">
        <v>673</v>
      </c>
      <c r="Y740" s="415"/>
    </row>
    <row r="741" spans="1:25" hidden="1" x14ac:dyDescent="0.25">
      <c r="A741" s="415">
        <v>740</v>
      </c>
      <c r="B741" s="415">
        <v>1139</v>
      </c>
      <c r="C741" s="415">
        <v>171105</v>
      </c>
      <c r="D741" s="416" t="s">
        <v>3252</v>
      </c>
      <c r="E741" s="416" t="s">
        <v>475</v>
      </c>
      <c r="F741" s="416" t="s">
        <v>479</v>
      </c>
      <c r="G741" s="416" t="s">
        <v>1259</v>
      </c>
      <c r="H741" s="416" t="s">
        <v>2218</v>
      </c>
      <c r="I741" s="416" t="s">
        <v>2218</v>
      </c>
      <c r="J741" s="415" t="s">
        <v>661</v>
      </c>
      <c r="K741" s="417">
        <v>-13.172567000000001</v>
      </c>
      <c r="L741" s="417">
        <v>-72.192182000000003</v>
      </c>
      <c r="M741" s="418">
        <v>30</v>
      </c>
      <c r="N741" s="418" t="s">
        <v>2310</v>
      </c>
      <c r="O741" s="418" t="s">
        <v>2953</v>
      </c>
      <c r="P741" s="415">
        <v>3</v>
      </c>
      <c r="Q741" s="415">
        <v>30</v>
      </c>
      <c r="R741" s="415">
        <v>5</v>
      </c>
      <c r="S741" s="415">
        <f t="shared" si="33"/>
        <v>5</v>
      </c>
      <c r="T741" s="419">
        <f t="shared" si="34"/>
        <v>0.83333333333333337</v>
      </c>
      <c r="U741" s="419">
        <f t="shared" si="35"/>
        <v>5.833333333333333</v>
      </c>
      <c r="V741" s="415" t="s">
        <v>662</v>
      </c>
      <c r="W741" s="415" t="s">
        <v>675</v>
      </c>
      <c r="X741" s="415" t="s">
        <v>673</v>
      </c>
      <c r="Y741" s="415"/>
    </row>
    <row r="742" spans="1:25" hidden="1" x14ac:dyDescent="0.25">
      <c r="A742" s="415">
        <v>741</v>
      </c>
      <c r="B742" s="415">
        <v>1140</v>
      </c>
      <c r="C742" s="415">
        <v>643153</v>
      </c>
      <c r="D742" s="416" t="s">
        <v>1407</v>
      </c>
      <c r="E742" s="416" t="s">
        <v>475</v>
      </c>
      <c r="F742" s="416" t="s">
        <v>479</v>
      </c>
      <c r="G742" s="416" t="s">
        <v>1259</v>
      </c>
      <c r="H742" s="416" t="s">
        <v>1608</v>
      </c>
      <c r="I742" s="416" t="s">
        <v>1608</v>
      </c>
      <c r="J742" s="415" t="s">
        <v>661</v>
      </c>
      <c r="K742" s="417">
        <v>-13.226900000000001</v>
      </c>
      <c r="L742" s="417">
        <v>-72.337999999999994</v>
      </c>
      <c r="M742" s="418">
        <v>30</v>
      </c>
      <c r="N742" s="418" t="s">
        <v>2310</v>
      </c>
      <c r="O742" s="418" t="s">
        <v>2953</v>
      </c>
      <c r="P742" s="415">
        <v>3</v>
      </c>
      <c r="Q742" s="415">
        <v>30</v>
      </c>
      <c r="R742" s="415">
        <v>5</v>
      </c>
      <c r="S742" s="415">
        <f t="shared" si="33"/>
        <v>5</v>
      </c>
      <c r="T742" s="419">
        <f t="shared" si="34"/>
        <v>0.83333333333333337</v>
      </c>
      <c r="U742" s="419">
        <f t="shared" si="35"/>
        <v>5.833333333333333</v>
      </c>
      <c r="V742" s="415" t="s">
        <v>662</v>
      </c>
      <c r="W742" s="415" t="s">
        <v>675</v>
      </c>
      <c r="X742" s="415" t="s">
        <v>673</v>
      </c>
      <c r="Y742" s="415"/>
    </row>
    <row r="743" spans="1:25" hidden="1" x14ac:dyDescent="0.25">
      <c r="A743" s="415">
        <v>742</v>
      </c>
      <c r="B743" s="415">
        <v>1141</v>
      </c>
      <c r="C743" s="415">
        <v>171252</v>
      </c>
      <c r="D743" s="416" t="s">
        <v>1261</v>
      </c>
      <c r="E743" s="416" t="s">
        <v>475</v>
      </c>
      <c r="F743" s="416" t="s">
        <v>479</v>
      </c>
      <c r="G743" s="416" t="s">
        <v>1259</v>
      </c>
      <c r="H743" s="416" t="s">
        <v>1262</v>
      </c>
      <c r="I743" s="416" t="s">
        <v>1262</v>
      </c>
      <c r="J743" s="415" t="s">
        <v>661</v>
      </c>
      <c r="K743" s="417">
        <v>-13.05945</v>
      </c>
      <c r="L743" s="417">
        <v>-72.223500000000001</v>
      </c>
      <c r="M743" s="418">
        <v>30</v>
      </c>
      <c r="N743" s="418" t="s">
        <v>2310</v>
      </c>
      <c r="O743" s="418" t="s">
        <v>2953</v>
      </c>
      <c r="P743" s="415">
        <v>3</v>
      </c>
      <c r="Q743" s="415">
        <v>30</v>
      </c>
      <c r="R743" s="415">
        <v>5</v>
      </c>
      <c r="S743" s="415">
        <f t="shared" si="33"/>
        <v>5</v>
      </c>
      <c r="T743" s="419">
        <f t="shared" si="34"/>
        <v>0.83333333333333337</v>
      </c>
      <c r="U743" s="419">
        <f t="shared" si="35"/>
        <v>5.833333333333333</v>
      </c>
      <c r="V743" s="415" t="s">
        <v>662</v>
      </c>
      <c r="W743" s="415" t="s">
        <v>675</v>
      </c>
      <c r="X743" s="415" t="s">
        <v>673</v>
      </c>
      <c r="Y743" s="415"/>
    </row>
    <row r="744" spans="1:25" hidden="1" x14ac:dyDescent="0.25">
      <c r="A744" s="415">
        <v>743</v>
      </c>
      <c r="B744" s="415">
        <v>1142</v>
      </c>
      <c r="C744" s="415">
        <v>170243</v>
      </c>
      <c r="D744" s="416" t="s">
        <v>3253</v>
      </c>
      <c r="E744" s="416" t="s">
        <v>475</v>
      </c>
      <c r="F744" s="416" t="s">
        <v>479</v>
      </c>
      <c r="G744" s="416" t="s">
        <v>479</v>
      </c>
      <c r="H744" s="416" t="s">
        <v>3254</v>
      </c>
      <c r="I744" s="416" t="s">
        <v>3254</v>
      </c>
      <c r="J744" s="415" t="s">
        <v>661</v>
      </c>
      <c r="K744" s="417">
        <v>-13.286992</v>
      </c>
      <c r="L744" s="417">
        <v>-72.109393999999995</v>
      </c>
      <c r="M744" s="418">
        <v>30</v>
      </c>
      <c r="N744" s="418" t="s">
        <v>2310</v>
      </c>
      <c r="O744" s="418" t="s">
        <v>2953</v>
      </c>
      <c r="P744" s="415">
        <v>3</v>
      </c>
      <c r="Q744" s="415">
        <v>30</v>
      </c>
      <c r="R744" s="415">
        <v>5</v>
      </c>
      <c r="S744" s="415">
        <f t="shared" si="33"/>
        <v>5</v>
      </c>
      <c r="T744" s="419">
        <f t="shared" si="34"/>
        <v>0.83333333333333337</v>
      </c>
      <c r="U744" s="419">
        <f t="shared" si="35"/>
        <v>5.833333333333333</v>
      </c>
      <c r="V744" s="415" t="s">
        <v>662</v>
      </c>
      <c r="W744" s="415" t="s">
        <v>675</v>
      </c>
      <c r="X744" s="415" t="s">
        <v>673</v>
      </c>
      <c r="Y744" s="415"/>
    </row>
    <row r="745" spans="1:25" hidden="1" x14ac:dyDescent="0.25">
      <c r="A745" s="415">
        <v>744</v>
      </c>
      <c r="B745" s="415">
        <v>1143</v>
      </c>
      <c r="C745" s="415">
        <v>170224</v>
      </c>
      <c r="D745" s="416" t="s">
        <v>3255</v>
      </c>
      <c r="E745" s="416" t="s">
        <v>475</v>
      </c>
      <c r="F745" s="416" t="s">
        <v>479</v>
      </c>
      <c r="G745" s="416" t="s">
        <v>479</v>
      </c>
      <c r="H745" s="416" t="s">
        <v>1256</v>
      </c>
      <c r="I745" s="416" t="s">
        <v>1256</v>
      </c>
      <c r="J745" s="415" t="s">
        <v>661</v>
      </c>
      <c r="K745" s="417">
        <v>-13.135619999999999</v>
      </c>
      <c r="L745" s="417">
        <v>-72.106999999999999</v>
      </c>
      <c r="M745" s="418">
        <v>30</v>
      </c>
      <c r="N745" s="418" t="s">
        <v>2310</v>
      </c>
      <c r="O745" s="418" t="s">
        <v>2953</v>
      </c>
      <c r="P745" s="415">
        <v>3</v>
      </c>
      <c r="Q745" s="415">
        <v>30</v>
      </c>
      <c r="R745" s="415">
        <v>5</v>
      </c>
      <c r="S745" s="415">
        <f t="shared" si="33"/>
        <v>5</v>
      </c>
      <c r="T745" s="419">
        <f t="shared" si="34"/>
        <v>0.83333333333333337</v>
      </c>
      <c r="U745" s="419">
        <f t="shared" si="35"/>
        <v>5.833333333333333</v>
      </c>
      <c r="V745" s="415" t="s">
        <v>662</v>
      </c>
      <c r="W745" s="415" t="s">
        <v>675</v>
      </c>
      <c r="X745" s="415" t="s">
        <v>673</v>
      </c>
      <c r="Y745" s="415"/>
    </row>
    <row r="746" spans="1:25" hidden="1" x14ac:dyDescent="0.25">
      <c r="A746" s="415">
        <v>745</v>
      </c>
      <c r="B746" s="415">
        <v>1144</v>
      </c>
      <c r="C746" s="415">
        <v>170219</v>
      </c>
      <c r="D746" s="416" t="s">
        <v>3256</v>
      </c>
      <c r="E746" s="416" t="s">
        <v>475</v>
      </c>
      <c r="F746" s="416" t="s">
        <v>479</v>
      </c>
      <c r="G746" s="416" t="s">
        <v>479</v>
      </c>
      <c r="H746" s="416" t="s">
        <v>3257</v>
      </c>
      <c r="I746" s="416" t="s">
        <v>3257</v>
      </c>
      <c r="J746" s="415" t="s">
        <v>747</v>
      </c>
      <c r="K746" s="417">
        <v>-13.295496</v>
      </c>
      <c r="L746" s="417">
        <v>-72.125243999999995</v>
      </c>
      <c r="M746" s="418">
        <v>30</v>
      </c>
      <c r="N746" s="418" t="s">
        <v>2310</v>
      </c>
      <c r="O746" s="418" t="s">
        <v>2953</v>
      </c>
      <c r="P746" s="415">
        <v>3</v>
      </c>
      <c r="Q746" s="415">
        <v>30</v>
      </c>
      <c r="R746" s="415">
        <v>5</v>
      </c>
      <c r="S746" s="415">
        <f t="shared" si="33"/>
        <v>5</v>
      </c>
      <c r="T746" s="419">
        <f t="shared" si="34"/>
        <v>0.83333333333333337</v>
      </c>
      <c r="U746" s="419">
        <f t="shared" si="35"/>
        <v>5.833333333333333</v>
      </c>
      <c r="V746" s="415" t="s">
        <v>662</v>
      </c>
      <c r="W746" s="415" t="s">
        <v>675</v>
      </c>
      <c r="X746" s="415" t="s">
        <v>673</v>
      </c>
      <c r="Y746" s="415"/>
    </row>
    <row r="747" spans="1:25" hidden="1" x14ac:dyDescent="0.25">
      <c r="A747" s="415">
        <v>746</v>
      </c>
      <c r="B747" s="415">
        <v>1145</v>
      </c>
      <c r="C747" s="415">
        <v>170196</v>
      </c>
      <c r="D747" s="416" t="s">
        <v>3258</v>
      </c>
      <c r="E747" s="416" t="s">
        <v>475</v>
      </c>
      <c r="F747" s="416" t="s">
        <v>479</v>
      </c>
      <c r="G747" s="416" t="s">
        <v>479</v>
      </c>
      <c r="H747" s="416" t="s">
        <v>3259</v>
      </c>
      <c r="I747" s="416" t="s">
        <v>3259</v>
      </c>
      <c r="J747" s="415" t="s">
        <v>661</v>
      </c>
      <c r="K747" s="417">
        <v>-13.2752</v>
      </c>
      <c r="L747" s="417">
        <v>-72.170900000000003</v>
      </c>
      <c r="M747" s="418">
        <v>30</v>
      </c>
      <c r="N747" s="418" t="s">
        <v>2310</v>
      </c>
      <c r="O747" s="418" t="s">
        <v>2953</v>
      </c>
      <c r="P747" s="415">
        <v>3</v>
      </c>
      <c r="Q747" s="415">
        <v>30</v>
      </c>
      <c r="R747" s="415">
        <v>5</v>
      </c>
      <c r="S747" s="415">
        <f t="shared" si="33"/>
        <v>5</v>
      </c>
      <c r="T747" s="419">
        <f t="shared" si="34"/>
        <v>0.83333333333333337</v>
      </c>
      <c r="U747" s="419">
        <f t="shared" si="35"/>
        <v>5.833333333333333</v>
      </c>
      <c r="V747" s="415" t="s">
        <v>662</v>
      </c>
      <c r="W747" s="415" t="s">
        <v>675</v>
      </c>
      <c r="X747" s="415" t="s">
        <v>673</v>
      </c>
      <c r="Y747" s="415"/>
    </row>
    <row r="748" spans="1:25" hidden="1" x14ac:dyDescent="0.25">
      <c r="A748" s="415">
        <v>747</v>
      </c>
      <c r="B748" s="415">
        <v>1146</v>
      </c>
      <c r="C748" s="415">
        <v>170323</v>
      </c>
      <c r="D748" s="416" t="s">
        <v>3260</v>
      </c>
      <c r="E748" s="416" t="s">
        <v>475</v>
      </c>
      <c r="F748" s="416" t="s">
        <v>479</v>
      </c>
      <c r="G748" s="416" t="s">
        <v>479</v>
      </c>
      <c r="H748" s="416" t="s">
        <v>3259</v>
      </c>
      <c r="I748" s="416" t="s">
        <v>3259</v>
      </c>
      <c r="J748" s="415" t="s">
        <v>661</v>
      </c>
      <c r="K748" s="417">
        <v>-13.2758</v>
      </c>
      <c r="L748" s="417">
        <v>-72.170299999999997</v>
      </c>
      <c r="M748" s="418">
        <v>30</v>
      </c>
      <c r="N748" s="418" t="s">
        <v>2310</v>
      </c>
      <c r="O748" s="418" t="s">
        <v>2953</v>
      </c>
      <c r="P748" s="415">
        <v>3</v>
      </c>
      <c r="Q748" s="415">
        <v>30</v>
      </c>
      <c r="R748" s="415">
        <v>5</v>
      </c>
      <c r="S748" s="415">
        <f t="shared" si="33"/>
        <v>5</v>
      </c>
      <c r="T748" s="419">
        <f t="shared" si="34"/>
        <v>0.83333333333333337</v>
      </c>
      <c r="U748" s="419">
        <f t="shared" si="35"/>
        <v>5.833333333333333</v>
      </c>
      <c r="V748" s="415" t="s">
        <v>662</v>
      </c>
      <c r="W748" s="415" t="s">
        <v>675</v>
      </c>
      <c r="X748" s="415" t="s">
        <v>673</v>
      </c>
      <c r="Y748" s="415"/>
    </row>
    <row r="749" spans="1:25" hidden="1" x14ac:dyDescent="0.25">
      <c r="A749" s="415">
        <v>748</v>
      </c>
      <c r="B749" s="415">
        <v>1147</v>
      </c>
      <c r="C749" s="415">
        <v>399052</v>
      </c>
      <c r="D749" s="416" t="s">
        <v>1873</v>
      </c>
      <c r="E749" s="416" t="s">
        <v>553</v>
      </c>
      <c r="F749" s="416" t="s">
        <v>554</v>
      </c>
      <c r="G749" s="416" t="s">
        <v>1874</v>
      </c>
      <c r="H749" s="416" t="s">
        <v>1875</v>
      </c>
      <c r="I749" s="416" t="s">
        <v>1876</v>
      </c>
      <c r="J749" s="415" t="s">
        <v>661</v>
      </c>
      <c r="K749" s="417">
        <v>-16.411655</v>
      </c>
      <c r="L749" s="417">
        <v>-71.115620000000007</v>
      </c>
      <c r="M749" s="418">
        <v>30</v>
      </c>
      <c r="N749" s="418" t="s">
        <v>2310</v>
      </c>
      <c r="O749" s="418" t="s">
        <v>2953</v>
      </c>
      <c r="P749" s="415">
        <v>3</v>
      </c>
      <c r="Q749" s="415">
        <v>30</v>
      </c>
      <c r="R749" s="415">
        <v>5</v>
      </c>
      <c r="S749" s="415">
        <f t="shared" si="33"/>
        <v>5</v>
      </c>
      <c r="T749" s="419">
        <f t="shared" si="34"/>
        <v>0.83333333333333337</v>
      </c>
      <c r="U749" s="419">
        <f t="shared" si="35"/>
        <v>5.833333333333333</v>
      </c>
      <c r="V749" s="415" t="s">
        <v>662</v>
      </c>
      <c r="W749" s="415" t="s">
        <v>614</v>
      </c>
      <c r="X749" s="415" t="s">
        <v>671</v>
      </c>
      <c r="Y749" s="415"/>
    </row>
    <row r="750" spans="1:25" hidden="1" x14ac:dyDescent="0.25">
      <c r="A750" s="415">
        <v>749</v>
      </c>
      <c r="B750" s="415">
        <v>1148</v>
      </c>
      <c r="C750" s="415">
        <v>396973</v>
      </c>
      <c r="D750" s="416" t="s">
        <v>1870</v>
      </c>
      <c r="E750" s="416" t="s">
        <v>553</v>
      </c>
      <c r="F750" s="416" t="s">
        <v>556</v>
      </c>
      <c r="G750" s="416" t="s">
        <v>553</v>
      </c>
      <c r="H750" s="416" t="s">
        <v>1871</v>
      </c>
      <c r="I750" s="416" t="s">
        <v>1872</v>
      </c>
      <c r="J750" s="415" t="s">
        <v>661</v>
      </c>
      <c r="K750" s="417">
        <v>-17.322635999999999</v>
      </c>
      <c r="L750" s="417">
        <v>-70.989007000000001</v>
      </c>
      <c r="M750" s="418">
        <v>30</v>
      </c>
      <c r="N750" s="418" t="s">
        <v>2310</v>
      </c>
      <c r="O750" s="418" t="s">
        <v>2953</v>
      </c>
      <c r="P750" s="415">
        <v>3</v>
      </c>
      <c r="Q750" s="415">
        <v>30</v>
      </c>
      <c r="R750" s="415">
        <v>5</v>
      </c>
      <c r="S750" s="415">
        <f t="shared" si="33"/>
        <v>5</v>
      </c>
      <c r="T750" s="419">
        <f t="shared" si="34"/>
        <v>0.83333333333333337</v>
      </c>
      <c r="U750" s="419">
        <f t="shared" si="35"/>
        <v>5.833333333333333</v>
      </c>
      <c r="V750" s="415" t="s">
        <v>662</v>
      </c>
      <c r="W750" s="415" t="s">
        <v>614</v>
      </c>
      <c r="X750" s="415" t="s">
        <v>671</v>
      </c>
      <c r="Y750" s="415"/>
    </row>
    <row r="751" spans="1:25" hidden="1" x14ac:dyDescent="0.25">
      <c r="A751" s="415">
        <v>750</v>
      </c>
      <c r="B751" s="415">
        <v>1149</v>
      </c>
      <c r="C751" s="415">
        <v>397500</v>
      </c>
      <c r="D751" s="416" t="s">
        <v>3261</v>
      </c>
      <c r="E751" s="416" t="s">
        <v>553</v>
      </c>
      <c r="F751" s="416" t="s">
        <v>556</v>
      </c>
      <c r="G751" s="416" t="s">
        <v>3262</v>
      </c>
      <c r="H751" s="416" t="s">
        <v>3263</v>
      </c>
      <c r="I751" s="416" t="s">
        <v>3264</v>
      </c>
      <c r="J751" s="415" t="s">
        <v>661</v>
      </c>
      <c r="K751" s="417">
        <v>-17.148561999999998</v>
      </c>
      <c r="L751" s="417">
        <v>-70.857816999999997</v>
      </c>
      <c r="M751" s="418">
        <v>30</v>
      </c>
      <c r="N751" s="418" t="s">
        <v>2310</v>
      </c>
      <c r="O751" s="418" t="s">
        <v>2953</v>
      </c>
      <c r="P751" s="415">
        <v>3</v>
      </c>
      <c r="Q751" s="415">
        <v>30</v>
      </c>
      <c r="R751" s="415">
        <v>5</v>
      </c>
      <c r="S751" s="415">
        <f t="shared" si="33"/>
        <v>5</v>
      </c>
      <c r="T751" s="419">
        <f t="shared" si="34"/>
        <v>0.83333333333333337</v>
      </c>
      <c r="U751" s="419">
        <f t="shared" si="35"/>
        <v>5.833333333333333</v>
      </c>
      <c r="V751" s="415" t="s">
        <v>662</v>
      </c>
      <c r="W751" s="415" t="s">
        <v>614</v>
      </c>
      <c r="X751" s="415" t="s">
        <v>671</v>
      </c>
      <c r="Y751" s="415"/>
    </row>
    <row r="752" spans="1:25" hidden="1" x14ac:dyDescent="0.25">
      <c r="A752" s="415">
        <v>751</v>
      </c>
      <c r="B752" s="415">
        <v>1150</v>
      </c>
      <c r="C752" s="415">
        <v>397519</v>
      </c>
      <c r="D752" s="416" t="s">
        <v>1910</v>
      </c>
      <c r="E752" s="416" t="s">
        <v>553</v>
      </c>
      <c r="F752" s="416" t="s">
        <v>556</v>
      </c>
      <c r="G752" s="416" t="s">
        <v>3262</v>
      </c>
      <c r="H752" s="416" t="s">
        <v>3265</v>
      </c>
      <c r="I752" s="416" t="s">
        <v>3266</v>
      </c>
      <c r="J752" s="415" t="s">
        <v>661</v>
      </c>
      <c r="K752" s="417">
        <v>-17.131031</v>
      </c>
      <c r="L752" s="417">
        <v>-70.838611</v>
      </c>
      <c r="M752" s="418">
        <v>30</v>
      </c>
      <c r="N752" s="418" t="s">
        <v>2310</v>
      </c>
      <c r="O752" s="418" t="s">
        <v>2953</v>
      </c>
      <c r="P752" s="415">
        <v>3</v>
      </c>
      <c r="Q752" s="415">
        <v>30</v>
      </c>
      <c r="R752" s="415">
        <v>5</v>
      </c>
      <c r="S752" s="415">
        <f t="shared" si="33"/>
        <v>5</v>
      </c>
      <c r="T752" s="419">
        <f t="shared" si="34"/>
        <v>0.83333333333333337</v>
      </c>
      <c r="U752" s="419">
        <f t="shared" si="35"/>
        <v>5.833333333333333</v>
      </c>
      <c r="V752" s="415" t="s">
        <v>662</v>
      </c>
      <c r="W752" s="415" t="s">
        <v>614</v>
      </c>
      <c r="X752" s="415" t="s">
        <v>671</v>
      </c>
      <c r="Y752" s="415"/>
    </row>
    <row r="753" spans="1:25" hidden="1" x14ac:dyDescent="0.25">
      <c r="A753" s="415">
        <v>752</v>
      </c>
      <c r="B753" s="415">
        <v>1151</v>
      </c>
      <c r="C753" s="415">
        <v>758592</v>
      </c>
      <c r="D753" s="416" t="s">
        <v>830</v>
      </c>
      <c r="E753" s="416" t="s">
        <v>553</v>
      </c>
      <c r="F753" s="416" t="s">
        <v>556</v>
      </c>
      <c r="G753" s="416" t="s">
        <v>3267</v>
      </c>
      <c r="H753" s="416" t="s">
        <v>3267</v>
      </c>
      <c r="I753" s="416" t="s">
        <v>3268</v>
      </c>
      <c r="J753" s="415" t="s">
        <v>661</v>
      </c>
      <c r="K753" s="417">
        <v>-17.075607000000002</v>
      </c>
      <c r="L753" s="417">
        <v>-70.842142999999993</v>
      </c>
      <c r="M753" s="418">
        <v>30</v>
      </c>
      <c r="N753" s="418" t="s">
        <v>2310</v>
      </c>
      <c r="O753" s="418" t="s">
        <v>2953</v>
      </c>
      <c r="P753" s="415">
        <v>3</v>
      </c>
      <c r="Q753" s="415">
        <v>30</v>
      </c>
      <c r="R753" s="415">
        <v>5</v>
      </c>
      <c r="S753" s="415">
        <f t="shared" si="33"/>
        <v>5</v>
      </c>
      <c r="T753" s="419">
        <f t="shared" si="34"/>
        <v>0.83333333333333337</v>
      </c>
      <c r="U753" s="419">
        <f t="shared" si="35"/>
        <v>5.833333333333333</v>
      </c>
      <c r="V753" s="415" t="s">
        <v>662</v>
      </c>
      <c r="W753" s="415" t="s">
        <v>614</v>
      </c>
      <c r="X753" s="415" t="s">
        <v>671</v>
      </c>
      <c r="Y753" s="415"/>
    </row>
    <row r="754" spans="1:25" hidden="1" x14ac:dyDescent="0.25">
      <c r="A754" s="415">
        <v>753</v>
      </c>
      <c r="B754" s="415">
        <v>1152</v>
      </c>
      <c r="C754" s="415">
        <v>397755</v>
      </c>
      <c r="D754" s="416" t="s">
        <v>3269</v>
      </c>
      <c r="E754" s="416" t="s">
        <v>553</v>
      </c>
      <c r="F754" s="416" t="s">
        <v>556</v>
      </c>
      <c r="G754" s="416" t="s">
        <v>3267</v>
      </c>
      <c r="H754" s="416" t="s">
        <v>3270</v>
      </c>
      <c r="I754" s="416" t="s">
        <v>3271</v>
      </c>
      <c r="J754" s="415" t="s">
        <v>661</v>
      </c>
      <c r="K754" s="417">
        <v>-17.095569999999999</v>
      </c>
      <c r="L754" s="417">
        <v>-70.869296000000006</v>
      </c>
      <c r="M754" s="418">
        <v>30</v>
      </c>
      <c r="N754" s="418" t="s">
        <v>2310</v>
      </c>
      <c r="O754" s="418" t="s">
        <v>2953</v>
      </c>
      <c r="P754" s="415">
        <v>3</v>
      </c>
      <c r="Q754" s="415">
        <v>30</v>
      </c>
      <c r="R754" s="415">
        <v>5</v>
      </c>
      <c r="S754" s="415">
        <f t="shared" si="33"/>
        <v>5</v>
      </c>
      <c r="T754" s="419">
        <f t="shared" si="34"/>
        <v>0.83333333333333337</v>
      </c>
      <c r="U754" s="419">
        <f t="shared" si="35"/>
        <v>5.833333333333333</v>
      </c>
      <c r="V754" s="415" t="s">
        <v>662</v>
      </c>
      <c r="W754" s="415" t="s">
        <v>614</v>
      </c>
      <c r="X754" s="415" t="s">
        <v>671</v>
      </c>
      <c r="Y754" s="415"/>
    </row>
    <row r="755" spans="1:25" hidden="1" x14ac:dyDescent="0.25">
      <c r="A755" s="415">
        <v>754</v>
      </c>
      <c r="B755" s="415">
        <v>1153</v>
      </c>
      <c r="C755" s="415">
        <v>446628</v>
      </c>
      <c r="D755" s="416" t="s">
        <v>2042</v>
      </c>
      <c r="E755" s="416" t="s">
        <v>568</v>
      </c>
      <c r="F755" s="416" t="s">
        <v>572</v>
      </c>
      <c r="G755" s="416" t="s">
        <v>826</v>
      </c>
      <c r="H755" s="416" t="s">
        <v>2043</v>
      </c>
      <c r="I755" s="416" t="s">
        <v>2043</v>
      </c>
      <c r="J755" s="415" t="s">
        <v>661</v>
      </c>
      <c r="K755" s="417">
        <v>-14.869185999999999</v>
      </c>
      <c r="L755" s="417">
        <v>-70.330973</v>
      </c>
      <c r="M755" s="418">
        <v>30</v>
      </c>
      <c r="N755" s="418" t="s">
        <v>2310</v>
      </c>
      <c r="O755" s="418" t="s">
        <v>2953</v>
      </c>
      <c r="P755" s="415">
        <v>3</v>
      </c>
      <c r="Q755" s="415">
        <v>30</v>
      </c>
      <c r="R755" s="415">
        <v>5</v>
      </c>
      <c r="S755" s="415">
        <f t="shared" si="33"/>
        <v>5</v>
      </c>
      <c r="T755" s="419">
        <f t="shared" si="34"/>
        <v>0.83333333333333337</v>
      </c>
      <c r="U755" s="419">
        <f t="shared" si="35"/>
        <v>5.833333333333333</v>
      </c>
      <c r="V755" s="415" t="s">
        <v>662</v>
      </c>
      <c r="W755" s="415" t="s">
        <v>614</v>
      </c>
      <c r="X755" s="415" t="s">
        <v>671</v>
      </c>
      <c r="Y755" s="415"/>
    </row>
    <row r="756" spans="1:25" hidden="1" x14ac:dyDescent="0.25">
      <c r="A756" s="415">
        <v>755</v>
      </c>
      <c r="B756" s="415">
        <v>1154</v>
      </c>
      <c r="C756" s="415">
        <v>446464</v>
      </c>
      <c r="D756" s="416" t="s">
        <v>3272</v>
      </c>
      <c r="E756" s="416" t="s">
        <v>568</v>
      </c>
      <c r="F756" s="416" t="s">
        <v>572</v>
      </c>
      <c r="G756" s="416" t="s">
        <v>826</v>
      </c>
      <c r="H756" s="416" t="s">
        <v>3273</v>
      </c>
      <c r="I756" s="416" t="s">
        <v>3273</v>
      </c>
      <c r="J756" s="415" t="s">
        <v>661</v>
      </c>
      <c r="K756" s="417">
        <v>-14.766690000000001</v>
      </c>
      <c r="L756" s="417">
        <v>-70.275170000000003</v>
      </c>
      <c r="M756" s="418">
        <v>30</v>
      </c>
      <c r="N756" s="418" t="s">
        <v>2310</v>
      </c>
      <c r="O756" s="418" t="s">
        <v>2953</v>
      </c>
      <c r="P756" s="415">
        <v>3</v>
      </c>
      <c r="Q756" s="415">
        <v>30</v>
      </c>
      <c r="R756" s="415">
        <v>5</v>
      </c>
      <c r="S756" s="415">
        <f t="shared" si="33"/>
        <v>5</v>
      </c>
      <c r="T756" s="419">
        <f t="shared" si="34"/>
        <v>0.83333333333333337</v>
      </c>
      <c r="U756" s="419">
        <f t="shared" si="35"/>
        <v>5.833333333333333</v>
      </c>
      <c r="V756" s="415" t="s">
        <v>662</v>
      </c>
      <c r="W756" s="415" t="s">
        <v>614</v>
      </c>
      <c r="X756" s="415" t="s">
        <v>671</v>
      </c>
      <c r="Y756" s="415"/>
    </row>
    <row r="757" spans="1:25" hidden="1" x14ac:dyDescent="0.25">
      <c r="A757" s="415">
        <v>756</v>
      </c>
      <c r="B757" s="415">
        <v>1155</v>
      </c>
      <c r="C757" s="415">
        <v>446567</v>
      </c>
      <c r="D757" s="416" t="s">
        <v>2041</v>
      </c>
      <c r="E757" s="416" t="s">
        <v>568</v>
      </c>
      <c r="F757" s="416" t="s">
        <v>572</v>
      </c>
      <c r="G757" s="416" t="s">
        <v>826</v>
      </c>
      <c r="H757" s="416" t="s">
        <v>472</v>
      </c>
      <c r="I757" s="416" t="s">
        <v>472</v>
      </c>
      <c r="J757" s="415" t="s">
        <v>661</v>
      </c>
      <c r="K757" s="417">
        <v>-14.726400999999999</v>
      </c>
      <c r="L757" s="417">
        <v>-70.284935000000004</v>
      </c>
      <c r="M757" s="418">
        <v>30</v>
      </c>
      <c r="N757" s="418" t="s">
        <v>2310</v>
      </c>
      <c r="O757" s="418" t="s">
        <v>2953</v>
      </c>
      <c r="P757" s="415">
        <v>3</v>
      </c>
      <c r="Q757" s="415">
        <v>30</v>
      </c>
      <c r="R757" s="415">
        <v>5</v>
      </c>
      <c r="S757" s="415">
        <f t="shared" si="33"/>
        <v>5</v>
      </c>
      <c r="T757" s="419">
        <f t="shared" si="34"/>
        <v>0.83333333333333337</v>
      </c>
      <c r="U757" s="419">
        <f t="shared" si="35"/>
        <v>5.833333333333333</v>
      </c>
      <c r="V757" s="415" t="s">
        <v>662</v>
      </c>
      <c r="W757" s="415" t="s">
        <v>614</v>
      </c>
      <c r="X757" s="415" t="s">
        <v>671</v>
      </c>
      <c r="Y757" s="415"/>
    </row>
    <row r="758" spans="1:25" hidden="1" x14ac:dyDescent="0.25">
      <c r="A758" s="415">
        <v>757</v>
      </c>
      <c r="B758" s="415">
        <v>1156</v>
      </c>
      <c r="C758" s="415">
        <v>445558</v>
      </c>
      <c r="D758" s="416" t="s">
        <v>3274</v>
      </c>
      <c r="E758" s="416" t="s">
        <v>568</v>
      </c>
      <c r="F758" s="416" t="s">
        <v>572</v>
      </c>
      <c r="G758" s="416" t="s">
        <v>572</v>
      </c>
      <c r="H758" s="416" t="s">
        <v>3275</v>
      </c>
      <c r="I758" s="416" t="s">
        <v>3275</v>
      </c>
      <c r="J758" s="415" t="s">
        <v>661</v>
      </c>
      <c r="K758" s="417">
        <v>-14.815200000000001</v>
      </c>
      <c r="L758" s="417">
        <v>-70.045900000000003</v>
      </c>
      <c r="M758" s="418">
        <v>30</v>
      </c>
      <c r="N758" s="418" t="s">
        <v>2310</v>
      </c>
      <c r="O758" s="418" t="s">
        <v>2953</v>
      </c>
      <c r="P758" s="415">
        <v>3</v>
      </c>
      <c r="Q758" s="415">
        <v>30</v>
      </c>
      <c r="R758" s="415">
        <v>5</v>
      </c>
      <c r="S758" s="415">
        <f t="shared" si="33"/>
        <v>5</v>
      </c>
      <c r="T758" s="419">
        <f t="shared" si="34"/>
        <v>0.83333333333333337</v>
      </c>
      <c r="U758" s="419">
        <f t="shared" si="35"/>
        <v>5.833333333333333</v>
      </c>
      <c r="V758" s="415" t="s">
        <v>662</v>
      </c>
      <c r="W758" s="415" t="s">
        <v>614</v>
      </c>
      <c r="X758" s="415" t="s">
        <v>671</v>
      </c>
      <c r="Y758" s="415"/>
    </row>
    <row r="759" spans="1:25" hidden="1" x14ac:dyDescent="0.25">
      <c r="A759" s="415">
        <v>758</v>
      </c>
      <c r="B759" s="415">
        <v>1157</v>
      </c>
      <c r="C759" s="415">
        <v>445799</v>
      </c>
      <c r="D759" s="416" t="s">
        <v>752</v>
      </c>
      <c r="E759" s="416" t="s">
        <v>568</v>
      </c>
      <c r="F759" s="416" t="s">
        <v>572</v>
      </c>
      <c r="G759" s="416" t="s">
        <v>572</v>
      </c>
      <c r="H759" s="416" t="s">
        <v>3276</v>
      </c>
      <c r="I759" s="416" t="s">
        <v>3276</v>
      </c>
      <c r="J759" s="415" t="s">
        <v>661</v>
      </c>
      <c r="K759" s="417">
        <v>-14.76164</v>
      </c>
      <c r="L759" s="417">
        <v>-70.051653999999999</v>
      </c>
      <c r="M759" s="418">
        <v>30</v>
      </c>
      <c r="N759" s="418" t="s">
        <v>2310</v>
      </c>
      <c r="O759" s="418" t="s">
        <v>2953</v>
      </c>
      <c r="P759" s="415">
        <v>3</v>
      </c>
      <c r="Q759" s="415">
        <v>30</v>
      </c>
      <c r="R759" s="415">
        <v>5</v>
      </c>
      <c r="S759" s="415">
        <f t="shared" si="33"/>
        <v>5</v>
      </c>
      <c r="T759" s="419">
        <f t="shared" si="34"/>
        <v>0.83333333333333337</v>
      </c>
      <c r="U759" s="419">
        <f t="shared" si="35"/>
        <v>5.833333333333333</v>
      </c>
      <c r="V759" s="415" t="s">
        <v>662</v>
      </c>
      <c r="W759" s="415" t="s">
        <v>614</v>
      </c>
      <c r="X759" s="415" t="s">
        <v>671</v>
      </c>
      <c r="Y759" s="415"/>
    </row>
    <row r="760" spans="1:25" hidden="1" x14ac:dyDescent="0.25">
      <c r="A760" s="415">
        <v>759</v>
      </c>
      <c r="B760" s="415">
        <v>1158</v>
      </c>
      <c r="C760" s="415">
        <v>445172</v>
      </c>
      <c r="D760" s="416" t="s">
        <v>3277</v>
      </c>
      <c r="E760" s="416" t="s">
        <v>568</v>
      </c>
      <c r="F760" s="416" t="s">
        <v>572</v>
      </c>
      <c r="G760" s="416" t="s">
        <v>572</v>
      </c>
      <c r="H760" s="416" t="s">
        <v>3278</v>
      </c>
      <c r="I760" s="416" t="s">
        <v>3278</v>
      </c>
      <c r="J760" s="415" t="s">
        <v>661</v>
      </c>
      <c r="K760" s="417">
        <v>-14.8878</v>
      </c>
      <c r="L760" s="417">
        <v>-70.050700000000006</v>
      </c>
      <c r="M760" s="418">
        <v>30</v>
      </c>
      <c r="N760" s="418" t="s">
        <v>2310</v>
      </c>
      <c r="O760" s="418" t="s">
        <v>2953</v>
      </c>
      <c r="P760" s="415">
        <v>3</v>
      </c>
      <c r="Q760" s="415">
        <v>30</v>
      </c>
      <c r="R760" s="415">
        <v>5</v>
      </c>
      <c r="S760" s="415">
        <f t="shared" si="33"/>
        <v>5</v>
      </c>
      <c r="T760" s="419">
        <f t="shared" si="34"/>
        <v>0.83333333333333337</v>
      </c>
      <c r="U760" s="419">
        <f t="shared" si="35"/>
        <v>5.833333333333333</v>
      </c>
      <c r="V760" s="415" t="s">
        <v>662</v>
      </c>
      <c r="W760" s="415" t="s">
        <v>614</v>
      </c>
      <c r="X760" s="415" t="s">
        <v>671</v>
      </c>
      <c r="Y760" s="415"/>
    </row>
    <row r="761" spans="1:25" hidden="1" x14ac:dyDescent="0.25">
      <c r="A761" s="415">
        <v>760</v>
      </c>
      <c r="B761" s="415">
        <v>1159</v>
      </c>
      <c r="C761" s="415">
        <v>446954</v>
      </c>
      <c r="D761" s="416" t="s">
        <v>3279</v>
      </c>
      <c r="E761" s="416" t="s">
        <v>568</v>
      </c>
      <c r="F761" s="416" t="s">
        <v>572</v>
      </c>
      <c r="G761" s="416" t="s">
        <v>2044</v>
      </c>
      <c r="H761" s="416" t="s">
        <v>3280</v>
      </c>
      <c r="I761" s="416" t="s">
        <v>3280</v>
      </c>
      <c r="J761" s="415" t="s">
        <v>661</v>
      </c>
      <c r="K761" s="417">
        <v>-15.1158</v>
      </c>
      <c r="L761" s="417">
        <v>-69.935500000000005</v>
      </c>
      <c r="M761" s="418">
        <v>30</v>
      </c>
      <c r="N761" s="418" t="s">
        <v>2310</v>
      </c>
      <c r="O761" s="418" t="s">
        <v>2953</v>
      </c>
      <c r="P761" s="415">
        <v>3</v>
      </c>
      <c r="Q761" s="415">
        <v>30</v>
      </c>
      <c r="R761" s="415">
        <v>5</v>
      </c>
      <c r="S761" s="415">
        <f t="shared" si="33"/>
        <v>5</v>
      </c>
      <c r="T761" s="419">
        <f t="shared" si="34"/>
        <v>0.83333333333333337</v>
      </c>
      <c r="U761" s="419">
        <f t="shared" si="35"/>
        <v>5.833333333333333</v>
      </c>
      <c r="V761" s="415" t="s">
        <v>662</v>
      </c>
      <c r="W761" s="415" t="s">
        <v>614</v>
      </c>
      <c r="X761" s="415" t="s">
        <v>671</v>
      </c>
      <c r="Y761" s="415"/>
    </row>
    <row r="762" spans="1:25" hidden="1" x14ac:dyDescent="0.25">
      <c r="A762" s="415">
        <v>761</v>
      </c>
      <c r="B762" s="415">
        <v>1160</v>
      </c>
      <c r="C762" s="415">
        <v>445266</v>
      </c>
      <c r="D762" s="416" t="s">
        <v>3281</v>
      </c>
      <c r="E762" s="416" t="s">
        <v>568</v>
      </c>
      <c r="F762" s="416" t="s">
        <v>572</v>
      </c>
      <c r="G762" s="416" t="s">
        <v>3282</v>
      </c>
      <c r="H762" s="416" t="s">
        <v>3276</v>
      </c>
      <c r="I762" s="416" t="s">
        <v>3276</v>
      </c>
      <c r="J762" s="415" t="s">
        <v>661</v>
      </c>
      <c r="K762" s="417">
        <v>-14.762752000000001</v>
      </c>
      <c r="L762" s="417">
        <v>-70.053579999999997</v>
      </c>
      <c r="M762" s="418">
        <v>30</v>
      </c>
      <c r="N762" s="418" t="s">
        <v>2310</v>
      </c>
      <c r="O762" s="418" t="s">
        <v>2953</v>
      </c>
      <c r="P762" s="415">
        <v>3</v>
      </c>
      <c r="Q762" s="415">
        <v>30</v>
      </c>
      <c r="R762" s="415">
        <v>5</v>
      </c>
      <c r="S762" s="415">
        <f t="shared" si="33"/>
        <v>5</v>
      </c>
      <c r="T762" s="419">
        <f t="shared" si="34"/>
        <v>0.83333333333333337</v>
      </c>
      <c r="U762" s="419">
        <f t="shared" si="35"/>
        <v>5.833333333333333</v>
      </c>
      <c r="V762" s="415" t="s">
        <v>662</v>
      </c>
      <c r="W762" s="415" t="s">
        <v>614</v>
      </c>
      <c r="X762" s="415" t="s">
        <v>671</v>
      </c>
      <c r="Y762" s="415"/>
    </row>
    <row r="763" spans="1:25" hidden="1" x14ac:dyDescent="0.25">
      <c r="A763" s="415">
        <v>762</v>
      </c>
      <c r="B763" s="415">
        <v>1161</v>
      </c>
      <c r="C763" s="415">
        <v>447755</v>
      </c>
      <c r="D763" s="416" t="s">
        <v>3283</v>
      </c>
      <c r="E763" s="416" t="s">
        <v>568</v>
      </c>
      <c r="F763" s="416" t="s">
        <v>572</v>
      </c>
      <c r="G763" s="416" t="s">
        <v>3284</v>
      </c>
      <c r="H763" s="416" t="s">
        <v>3285</v>
      </c>
      <c r="I763" s="416" t="s">
        <v>3285</v>
      </c>
      <c r="J763" s="415" t="s">
        <v>661</v>
      </c>
      <c r="K763" s="417">
        <v>-15.376619</v>
      </c>
      <c r="L763" s="417">
        <v>-69.999261000000004</v>
      </c>
      <c r="M763" s="418">
        <v>30</v>
      </c>
      <c r="N763" s="418" t="s">
        <v>2310</v>
      </c>
      <c r="O763" s="418" t="s">
        <v>2953</v>
      </c>
      <c r="P763" s="415">
        <v>3</v>
      </c>
      <c r="Q763" s="415">
        <v>30</v>
      </c>
      <c r="R763" s="415">
        <v>5</v>
      </c>
      <c r="S763" s="415">
        <f t="shared" si="33"/>
        <v>5</v>
      </c>
      <c r="T763" s="419">
        <f t="shared" si="34"/>
        <v>0.83333333333333337</v>
      </c>
      <c r="U763" s="419">
        <f t="shared" si="35"/>
        <v>5.833333333333333</v>
      </c>
      <c r="V763" s="415" t="s">
        <v>662</v>
      </c>
      <c r="W763" s="415" t="s">
        <v>614</v>
      </c>
      <c r="X763" s="415" t="s">
        <v>671</v>
      </c>
      <c r="Y763" s="415"/>
    </row>
    <row r="764" spans="1:25" hidden="1" x14ac:dyDescent="0.25">
      <c r="A764" s="415">
        <v>763</v>
      </c>
      <c r="B764" s="415">
        <v>1162</v>
      </c>
      <c r="C764" s="415">
        <v>447920</v>
      </c>
      <c r="D764" s="416" t="s">
        <v>3286</v>
      </c>
      <c r="E764" s="416" t="s">
        <v>568</v>
      </c>
      <c r="F764" s="416" t="s">
        <v>572</v>
      </c>
      <c r="G764" s="416" t="s">
        <v>3284</v>
      </c>
      <c r="H764" s="416" t="s">
        <v>3285</v>
      </c>
      <c r="I764" s="416" t="s">
        <v>3285</v>
      </c>
      <c r="J764" s="415" t="s">
        <v>661</v>
      </c>
      <c r="K764" s="417">
        <v>-15.373934999999999</v>
      </c>
      <c r="L764" s="417">
        <v>-70.001182999999997</v>
      </c>
      <c r="M764" s="418">
        <v>30</v>
      </c>
      <c r="N764" s="418" t="s">
        <v>2310</v>
      </c>
      <c r="O764" s="418" t="s">
        <v>2953</v>
      </c>
      <c r="P764" s="415">
        <v>3</v>
      </c>
      <c r="Q764" s="415">
        <v>30</v>
      </c>
      <c r="R764" s="415">
        <v>5</v>
      </c>
      <c r="S764" s="415">
        <f t="shared" si="33"/>
        <v>5</v>
      </c>
      <c r="T764" s="419">
        <f t="shared" si="34"/>
        <v>0.83333333333333337</v>
      </c>
      <c r="U764" s="419">
        <f t="shared" si="35"/>
        <v>5.833333333333333</v>
      </c>
      <c r="V764" s="415" t="s">
        <v>662</v>
      </c>
      <c r="W764" s="415" t="s">
        <v>614</v>
      </c>
      <c r="X764" s="415" t="s">
        <v>671</v>
      </c>
      <c r="Y764" s="415"/>
    </row>
    <row r="765" spans="1:25" hidden="1" x14ac:dyDescent="0.25">
      <c r="A765" s="415">
        <v>764</v>
      </c>
      <c r="B765" s="415">
        <v>1163</v>
      </c>
      <c r="C765" s="415">
        <v>447798</v>
      </c>
      <c r="D765" s="416" t="s">
        <v>3287</v>
      </c>
      <c r="E765" s="416" t="s">
        <v>568</v>
      </c>
      <c r="F765" s="416" t="s">
        <v>572</v>
      </c>
      <c r="G765" s="416" t="s">
        <v>3284</v>
      </c>
      <c r="H765" s="416" t="s">
        <v>3288</v>
      </c>
      <c r="I765" s="416" t="s">
        <v>3288</v>
      </c>
      <c r="J765" s="415" t="s">
        <v>661</v>
      </c>
      <c r="K765" s="417">
        <v>-15.219516</v>
      </c>
      <c r="L765" s="417">
        <v>-70.051145000000005</v>
      </c>
      <c r="M765" s="418">
        <v>30</v>
      </c>
      <c r="N765" s="418" t="s">
        <v>2310</v>
      </c>
      <c r="O765" s="418" t="s">
        <v>2953</v>
      </c>
      <c r="P765" s="415">
        <v>3</v>
      </c>
      <c r="Q765" s="415">
        <v>30</v>
      </c>
      <c r="R765" s="415">
        <v>5</v>
      </c>
      <c r="S765" s="415">
        <f t="shared" si="33"/>
        <v>5</v>
      </c>
      <c r="T765" s="419">
        <f t="shared" si="34"/>
        <v>0.83333333333333337</v>
      </c>
      <c r="U765" s="419">
        <f t="shared" si="35"/>
        <v>5.833333333333333</v>
      </c>
      <c r="V765" s="415" t="s">
        <v>662</v>
      </c>
      <c r="W765" s="415" t="s">
        <v>614</v>
      </c>
      <c r="X765" s="415" t="s">
        <v>671</v>
      </c>
      <c r="Y765" s="415"/>
    </row>
    <row r="766" spans="1:25" hidden="1" x14ac:dyDescent="0.25">
      <c r="A766" s="415">
        <v>765</v>
      </c>
      <c r="B766" s="415">
        <v>1164</v>
      </c>
      <c r="C766" s="415">
        <v>449537</v>
      </c>
      <c r="D766" s="416" t="s">
        <v>2049</v>
      </c>
      <c r="E766" s="416" t="s">
        <v>568</v>
      </c>
      <c r="F766" s="416" t="s">
        <v>569</v>
      </c>
      <c r="G766" s="416" t="s">
        <v>2046</v>
      </c>
      <c r="H766" s="416" t="s">
        <v>2050</v>
      </c>
      <c r="I766" s="416" t="s">
        <v>2051</v>
      </c>
      <c r="J766" s="415" t="s">
        <v>661</v>
      </c>
      <c r="K766" s="417">
        <v>-13.869300000000001</v>
      </c>
      <c r="L766" s="417">
        <v>-70.590059999999994</v>
      </c>
      <c r="M766" s="418">
        <v>30</v>
      </c>
      <c r="N766" s="418" t="s">
        <v>2310</v>
      </c>
      <c r="O766" s="418" t="s">
        <v>2953</v>
      </c>
      <c r="P766" s="415">
        <v>3</v>
      </c>
      <c r="Q766" s="415">
        <v>30</v>
      </c>
      <c r="R766" s="415">
        <v>5</v>
      </c>
      <c r="S766" s="415">
        <f t="shared" si="33"/>
        <v>5</v>
      </c>
      <c r="T766" s="419">
        <f t="shared" si="34"/>
        <v>0.83333333333333337</v>
      </c>
      <c r="U766" s="419">
        <f t="shared" si="35"/>
        <v>5.833333333333333</v>
      </c>
      <c r="V766" s="415" t="s">
        <v>662</v>
      </c>
      <c r="W766" s="415" t="s">
        <v>614</v>
      </c>
      <c r="X766" s="415" t="s">
        <v>671</v>
      </c>
      <c r="Y766" s="415"/>
    </row>
    <row r="767" spans="1:25" hidden="1" x14ac:dyDescent="0.25">
      <c r="A767" s="415">
        <v>766</v>
      </c>
      <c r="B767" s="415">
        <v>1165</v>
      </c>
      <c r="C767" s="415">
        <v>449504</v>
      </c>
      <c r="D767" s="416" t="s">
        <v>2045</v>
      </c>
      <c r="E767" s="416" t="s">
        <v>568</v>
      </c>
      <c r="F767" s="416" t="s">
        <v>569</v>
      </c>
      <c r="G767" s="416" t="s">
        <v>2046</v>
      </c>
      <c r="H767" s="416" t="s">
        <v>2047</v>
      </c>
      <c r="I767" s="416" t="s">
        <v>2048</v>
      </c>
      <c r="J767" s="415" t="s">
        <v>661</v>
      </c>
      <c r="K767" s="417">
        <v>-13.820959999999999</v>
      </c>
      <c r="L767" s="417">
        <v>-70.753127000000006</v>
      </c>
      <c r="M767" s="418">
        <v>30</v>
      </c>
      <c r="N767" s="418" t="s">
        <v>2310</v>
      </c>
      <c r="O767" s="418" t="s">
        <v>2953</v>
      </c>
      <c r="P767" s="415">
        <v>3</v>
      </c>
      <c r="Q767" s="415">
        <v>30</v>
      </c>
      <c r="R767" s="415">
        <v>5</v>
      </c>
      <c r="S767" s="415">
        <f t="shared" si="33"/>
        <v>5</v>
      </c>
      <c r="T767" s="419">
        <f t="shared" si="34"/>
        <v>0.83333333333333337</v>
      </c>
      <c r="U767" s="419">
        <f t="shared" si="35"/>
        <v>5.833333333333333</v>
      </c>
      <c r="V767" s="415" t="s">
        <v>662</v>
      </c>
      <c r="W767" s="415" t="s">
        <v>614</v>
      </c>
      <c r="X767" s="415" t="s">
        <v>671</v>
      </c>
      <c r="Y767" s="415"/>
    </row>
    <row r="768" spans="1:25" hidden="1" x14ac:dyDescent="0.25">
      <c r="A768" s="415">
        <v>767</v>
      </c>
      <c r="B768" s="415">
        <v>1166</v>
      </c>
      <c r="C768" s="415">
        <v>449919</v>
      </c>
      <c r="D768" s="416" t="s">
        <v>2052</v>
      </c>
      <c r="E768" s="416" t="s">
        <v>568</v>
      </c>
      <c r="F768" s="416" t="s">
        <v>569</v>
      </c>
      <c r="G768" s="416" t="s">
        <v>1786</v>
      </c>
      <c r="H768" s="416" t="s">
        <v>2053</v>
      </c>
      <c r="I768" s="416" t="s">
        <v>2053</v>
      </c>
      <c r="J768" s="415" t="s">
        <v>661</v>
      </c>
      <c r="K768" s="417">
        <v>-13.808849</v>
      </c>
      <c r="L768" s="417">
        <v>-70.268631999999997</v>
      </c>
      <c r="M768" s="418">
        <v>30</v>
      </c>
      <c r="N768" s="418" t="s">
        <v>2310</v>
      </c>
      <c r="O768" s="418" t="s">
        <v>2953</v>
      </c>
      <c r="P768" s="415">
        <v>3</v>
      </c>
      <c r="Q768" s="415">
        <v>30</v>
      </c>
      <c r="R768" s="415">
        <v>5</v>
      </c>
      <c r="S768" s="415">
        <f t="shared" si="33"/>
        <v>5</v>
      </c>
      <c r="T768" s="419">
        <f t="shared" si="34"/>
        <v>0.83333333333333337</v>
      </c>
      <c r="U768" s="419">
        <f t="shared" si="35"/>
        <v>5.833333333333333</v>
      </c>
      <c r="V768" s="415" t="s">
        <v>662</v>
      </c>
      <c r="W768" s="415" t="s">
        <v>614</v>
      </c>
      <c r="X768" s="415" t="s">
        <v>671</v>
      </c>
      <c r="Y768" s="415"/>
    </row>
    <row r="769" spans="1:25" hidden="1" x14ac:dyDescent="0.25">
      <c r="A769" s="415">
        <v>768</v>
      </c>
      <c r="B769" s="415">
        <v>1167</v>
      </c>
      <c r="C769" s="415">
        <v>448991</v>
      </c>
      <c r="D769" s="416" t="s">
        <v>3289</v>
      </c>
      <c r="E769" s="416" t="s">
        <v>568</v>
      </c>
      <c r="F769" s="416" t="s">
        <v>569</v>
      </c>
      <c r="G769" s="416" t="s">
        <v>3290</v>
      </c>
      <c r="H769" s="416" t="s">
        <v>3290</v>
      </c>
      <c r="I769" s="416" t="s">
        <v>3291</v>
      </c>
      <c r="J769" s="415" t="s">
        <v>747</v>
      </c>
      <c r="K769" s="417">
        <v>-14.069129999999999</v>
      </c>
      <c r="L769" s="417">
        <v>-70.435220000000001</v>
      </c>
      <c r="M769" s="418">
        <v>30</v>
      </c>
      <c r="N769" s="418" t="s">
        <v>2310</v>
      </c>
      <c r="O769" s="418" t="s">
        <v>2953</v>
      </c>
      <c r="P769" s="415">
        <v>3</v>
      </c>
      <c r="Q769" s="415">
        <v>30</v>
      </c>
      <c r="R769" s="415">
        <v>5</v>
      </c>
      <c r="S769" s="415">
        <f t="shared" si="33"/>
        <v>5</v>
      </c>
      <c r="T769" s="419">
        <f t="shared" si="34"/>
        <v>0.83333333333333337</v>
      </c>
      <c r="U769" s="419">
        <f t="shared" si="35"/>
        <v>5.833333333333333</v>
      </c>
      <c r="V769" s="415" t="s">
        <v>662</v>
      </c>
      <c r="W769" s="415" t="s">
        <v>614</v>
      </c>
      <c r="X769" s="415" t="s">
        <v>671</v>
      </c>
      <c r="Y769" s="415"/>
    </row>
    <row r="770" spans="1:25" hidden="1" x14ac:dyDescent="0.25">
      <c r="A770" s="415">
        <v>769</v>
      </c>
      <c r="B770" s="415">
        <v>1168</v>
      </c>
      <c r="C770" s="415">
        <v>450074</v>
      </c>
      <c r="D770" s="416" t="s">
        <v>2055</v>
      </c>
      <c r="E770" s="416" t="s">
        <v>568</v>
      </c>
      <c r="F770" s="416" t="s">
        <v>569</v>
      </c>
      <c r="G770" s="416" t="s">
        <v>2056</v>
      </c>
      <c r="H770" s="416" t="s">
        <v>1321</v>
      </c>
      <c r="I770" s="416" t="s">
        <v>1321</v>
      </c>
      <c r="J770" s="415" t="s">
        <v>661</v>
      </c>
      <c r="K770" s="417">
        <v>-13.614502999999999</v>
      </c>
      <c r="L770" s="417">
        <v>-70.649850999999998</v>
      </c>
      <c r="M770" s="418">
        <v>30</v>
      </c>
      <c r="N770" s="418" t="s">
        <v>2310</v>
      </c>
      <c r="O770" s="418" t="s">
        <v>2953</v>
      </c>
      <c r="P770" s="415">
        <v>3</v>
      </c>
      <c r="Q770" s="415">
        <v>30</v>
      </c>
      <c r="R770" s="415">
        <v>5</v>
      </c>
      <c r="S770" s="415">
        <f t="shared" si="33"/>
        <v>5</v>
      </c>
      <c r="T770" s="419">
        <f t="shared" si="34"/>
        <v>0.83333333333333337</v>
      </c>
      <c r="U770" s="419">
        <f t="shared" si="35"/>
        <v>5.833333333333333</v>
      </c>
      <c r="V770" s="415" t="s">
        <v>662</v>
      </c>
      <c r="W770" s="415" t="s">
        <v>675</v>
      </c>
      <c r="X770" s="415" t="s">
        <v>673</v>
      </c>
      <c r="Y770" s="415"/>
    </row>
    <row r="771" spans="1:25" hidden="1" x14ac:dyDescent="0.25">
      <c r="A771" s="415">
        <v>770</v>
      </c>
      <c r="B771" s="415">
        <v>1169</v>
      </c>
      <c r="C771" s="415">
        <v>450639</v>
      </c>
      <c r="D771" s="416" t="s">
        <v>2057</v>
      </c>
      <c r="E771" s="416" t="s">
        <v>568</v>
      </c>
      <c r="F771" s="416" t="s">
        <v>579</v>
      </c>
      <c r="G771" s="416" t="s">
        <v>2058</v>
      </c>
      <c r="H771" s="416" t="s">
        <v>2059</v>
      </c>
      <c r="I771" s="416" t="s">
        <v>2059</v>
      </c>
      <c r="J771" s="415" t="s">
        <v>661</v>
      </c>
      <c r="K771" s="417">
        <v>-16.403611999999999</v>
      </c>
      <c r="L771" s="417">
        <v>-69.475429000000005</v>
      </c>
      <c r="M771" s="418">
        <v>30</v>
      </c>
      <c r="N771" s="418" t="s">
        <v>2310</v>
      </c>
      <c r="O771" s="418" t="s">
        <v>2953</v>
      </c>
      <c r="P771" s="415">
        <v>3</v>
      </c>
      <c r="Q771" s="415">
        <v>30</v>
      </c>
      <c r="R771" s="415">
        <v>5</v>
      </c>
      <c r="S771" s="415">
        <f t="shared" ref="S771:S834" si="36">Q771/$AB$1</f>
        <v>5</v>
      </c>
      <c r="T771" s="419">
        <f t="shared" ref="T771:T834" si="37">R771/$AB$1</f>
        <v>0.83333333333333337</v>
      </c>
      <c r="U771" s="419">
        <f t="shared" ref="U771:U834" si="38">S771+T771</f>
        <v>5.833333333333333</v>
      </c>
      <c r="V771" s="415" t="s">
        <v>662</v>
      </c>
      <c r="W771" s="415" t="s">
        <v>614</v>
      </c>
      <c r="X771" s="415" t="s">
        <v>671</v>
      </c>
      <c r="Y771" s="415"/>
    </row>
    <row r="772" spans="1:25" hidden="1" x14ac:dyDescent="0.25">
      <c r="A772" s="415">
        <v>771</v>
      </c>
      <c r="B772" s="415">
        <v>1170</v>
      </c>
      <c r="C772" s="415">
        <v>451059</v>
      </c>
      <c r="D772" s="416" t="s">
        <v>1430</v>
      </c>
      <c r="E772" s="416" t="s">
        <v>568</v>
      </c>
      <c r="F772" s="416" t="s">
        <v>579</v>
      </c>
      <c r="G772" s="416" t="s">
        <v>2058</v>
      </c>
      <c r="H772" s="416" t="s">
        <v>660</v>
      </c>
      <c r="I772" s="416" t="s">
        <v>3292</v>
      </c>
      <c r="J772" s="415" t="s">
        <v>661</v>
      </c>
      <c r="K772" s="417">
        <v>-16.224513999999999</v>
      </c>
      <c r="L772" s="417">
        <v>-69.386251999999999</v>
      </c>
      <c r="M772" s="418">
        <v>30</v>
      </c>
      <c r="N772" s="418" t="s">
        <v>2310</v>
      </c>
      <c r="O772" s="418" t="s">
        <v>2953</v>
      </c>
      <c r="P772" s="415">
        <v>3</v>
      </c>
      <c r="Q772" s="415">
        <v>30</v>
      </c>
      <c r="R772" s="415">
        <v>5</v>
      </c>
      <c r="S772" s="415">
        <f t="shared" si="36"/>
        <v>5</v>
      </c>
      <c r="T772" s="419">
        <f t="shared" si="37"/>
        <v>0.83333333333333337</v>
      </c>
      <c r="U772" s="419">
        <f t="shared" si="38"/>
        <v>5.833333333333333</v>
      </c>
      <c r="V772" s="415" t="s">
        <v>662</v>
      </c>
      <c r="W772" s="415" t="s">
        <v>614</v>
      </c>
      <c r="X772" s="415" t="s">
        <v>671</v>
      </c>
      <c r="Y772" s="415"/>
    </row>
    <row r="773" spans="1:25" hidden="1" x14ac:dyDescent="0.25">
      <c r="A773" s="415">
        <v>772</v>
      </c>
      <c r="B773" s="415">
        <v>1171</v>
      </c>
      <c r="C773" s="415">
        <v>450535</v>
      </c>
      <c r="D773" s="416" t="s">
        <v>3293</v>
      </c>
      <c r="E773" s="416" t="s">
        <v>568</v>
      </c>
      <c r="F773" s="416" t="s">
        <v>579</v>
      </c>
      <c r="G773" s="416" t="s">
        <v>2058</v>
      </c>
      <c r="H773" s="416" t="s">
        <v>2058</v>
      </c>
      <c r="I773" s="416" t="s">
        <v>3294</v>
      </c>
      <c r="J773" s="415" t="s">
        <v>747</v>
      </c>
      <c r="K773" s="417">
        <v>-16.211037000000001</v>
      </c>
      <c r="L773" s="417">
        <v>-69.459864999999994</v>
      </c>
      <c r="M773" s="418">
        <v>30</v>
      </c>
      <c r="N773" s="418" t="s">
        <v>2310</v>
      </c>
      <c r="O773" s="418" t="s">
        <v>2953</v>
      </c>
      <c r="P773" s="415">
        <v>3</v>
      </c>
      <c r="Q773" s="415">
        <v>30</v>
      </c>
      <c r="R773" s="415">
        <v>5</v>
      </c>
      <c r="S773" s="415">
        <f t="shared" si="36"/>
        <v>5</v>
      </c>
      <c r="T773" s="419">
        <f t="shared" si="37"/>
        <v>0.83333333333333337</v>
      </c>
      <c r="U773" s="419">
        <f t="shared" si="38"/>
        <v>5.833333333333333</v>
      </c>
      <c r="V773" s="415" t="s">
        <v>662</v>
      </c>
      <c r="W773" s="415" t="s">
        <v>614</v>
      </c>
      <c r="X773" s="415" t="s">
        <v>671</v>
      </c>
      <c r="Y773" s="415"/>
    </row>
    <row r="774" spans="1:25" hidden="1" x14ac:dyDescent="0.25">
      <c r="A774" s="415">
        <v>773</v>
      </c>
      <c r="B774" s="415">
        <v>1172</v>
      </c>
      <c r="C774" s="415">
        <v>451002</v>
      </c>
      <c r="D774" s="416" t="s">
        <v>3295</v>
      </c>
      <c r="E774" s="416" t="s">
        <v>568</v>
      </c>
      <c r="F774" s="416" t="s">
        <v>579</v>
      </c>
      <c r="G774" s="416" t="s">
        <v>2058</v>
      </c>
      <c r="H774" s="416" t="s">
        <v>2058</v>
      </c>
      <c r="I774" s="416" t="s">
        <v>3296</v>
      </c>
      <c r="J774" s="415" t="s">
        <v>747</v>
      </c>
      <c r="K774" s="417">
        <v>-16.211835000000001</v>
      </c>
      <c r="L774" s="417">
        <v>-69.460002000000003</v>
      </c>
      <c r="M774" s="418">
        <v>30</v>
      </c>
      <c r="N774" s="418" t="s">
        <v>2310</v>
      </c>
      <c r="O774" s="418" t="s">
        <v>2953</v>
      </c>
      <c r="P774" s="415">
        <v>3</v>
      </c>
      <c r="Q774" s="415">
        <v>30</v>
      </c>
      <c r="R774" s="415">
        <v>5</v>
      </c>
      <c r="S774" s="415">
        <f t="shared" si="36"/>
        <v>5</v>
      </c>
      <c r="T774" s="419">
        <f t="shared" si="37"/>
        <v>0.83333333333333337</v>
      </c>
      <c r="U774" s="419">
        <f t="shared" si="38"/>
        <v>5.833333333333333</v>
      </c>
      <c r="V774" s="415" t="s">
        <v>662</v>
      </c>
      <c r="W774" s="415" t="s">
        <v>614</v>
      </c>
      <c r="X774" s="415" t="s">
        <v>671</v>
      </c>
      <c r="Y774" s="415"/>
    </row>
    <row r="775" spans="1:25" hidden="1" x14ac:dyDescent="0.25">
      <c r="A775" s="415">
        <v>774</v>
      </c>
      <c r="B775" s="415">
        <v>1173</v>
      </c>
      <c r="C775" s="415">
        <v>451035</v>
      </c>
      <c r="D775" s="416" t="s">
        <v>3297</v>
      </c>
      <c r="E775" s="416" t="s">
        <v>568</v>
      </c>
      <c r="F775" s="416" t="s">
        <v>579</v>
      </c>
      <c r="G775" s="416" t="s">
        <v>2058</v>
      </c>
      <c r="H775" s="416" t="s">
        <v>2058</v>
      </c>
      <c r="I775" s="416" t="s">
        <v>3298</v>
      </c>
      <c r="J775" s="415" t="s">
        <v>747</v>
      </c>
      <c r="K775" s="417">
        <v>-16.202297000000002</v>
      </c>
      <c r="L775" s="417">
        <v>-69.454890000000006</v>
      </c>
      <c r="M775" s="418">
        <v>30</v>
      </c>
      <c r="N775" s="418" t="s">
        <v>2310</v>
      </c>
      <c r="O775" s="418" t="s">
        <v>2953</v>
      </c>
      <c r="P775" s="415">
        <v>3</v>
      </c>
      <c r="Q775" s="415">
        <v>30</v>
      </c>
      <c r="R775" s="415">
        <v>5</v>
      </c>
      <c r="S775" s="415">
        <f t="shared" si="36"/>
        <v>5</v>
      </c>
      <c r="T775" s="419">
        <f t="shared" si="37"/>
        <v>0.83333333333333337</v>
      </c>
      <c r="U775" s="419">
        <f t="shared" si="38"/>
        <v>5.833333333333333</v>
      </c>
      <c r="V775" s="415" t="s">
        <v>662</v>
      </c>
      <c r="W775" s="415" t="s">
        <v>614</v>
      </c>
      <c r="X775" s="415" t="s">
        <v>671</v>
      </c>
      <c r="Y775" s="415"/>
    </row>
    <row r="776" spans="1:25" hidden="1" x14ac:dyDescent="0.25">
      <c r="A776" s="415">
        <v>775</v>
      </c>
      <c r="B776" s="415">
        <v>1174</v>
      </c>
      <c r="C776" s="415">
        <v>450700</v>
      </c>
      <c r="D776" s="416" t="s">
        <v>3299</v>
      </c>
      <c r="E776" s="416" t="s">
        <v>568</v>
      </c>
      <c r="F776" s="416" t="s">
        <v>579</v>
      </c>
      <c r="G776" s="416" t="s">
        <v>2058</v>
      </c>
      <c r="H776" s="416" t="s">
        <v>3300</v>
      </c>
      <c r="I776" s="416" t="s">
        <v>3300</v>
      </c>
      <c r="J776" s="415" t="s">
        <v>661</v>
      </c>
      <c r="K776" s="417">
        <v>-16.353594999999999</v>
      </c>
      <c r="L776" s="417">
        <v>-69.454736999999994</v>
      </c>
      <c r="M776" s="418">
        <v>30</v>
      </c>
      <c r="N776" s="418" t="s">
        <v>2310</v>
      </c>
      <c r="O776" s="418" t="s">
        <v>2953</v>
      </c>
      <c r="P776" s="415">
        <v>3</v>
      </c>
      <c r="Q776" s="415">
        <v>30</v>
      </c>
      <c r="R776" s="415">
        <v>5</v>
      </c>
      <c r="S776" s="415">
        <f t="shared" si="36"/>
        <v>5</v>
      </c>
      <c r="T776" s="419">
        <f t="shared" si="37"/>
        <v>0.83333333333333337</v>
      </c>
      <c r="U776" s="419">
        <f t="shared" si="38"/>
        <v>5.833333333333333</v>
      </c>
      <c r="V776" s="415" t="s">
        <v>662</v>
      </c>
      <c r="W776" s="415" t="s">
        <v>614</v>
      </c>
      <c r="X776" s="415" t="s">
        <v>671</v>
      </c>
      <c r="Y776" s="415"/>
    </row>
    <row r="777" spans="1:25" hidden="1" x14ac:dyDescent="0.25">
      <c r="A777" s="415">
        <v>776</v>
      </c>
      <c r="B777" s="415">
        <v>1175</v>
      </c>
      <c r="C777" s="415">
        <v>450804</v>
      </c>
      <c r="D777" s="416" t="s">
        <v>3301</v>
      </c>
      <c r="E777" s="416" t="s">
        <v>568</v>
      </c>
      <c r="F777" s="416" t="s">
        <v>579</v>
      </c>
      <c r="G777" s="416" t="s">
        <v>2058</v>
      </c>
      <c r="H777" s="416" t="s">
        <v>3302</v>
      </c>
      <c r="I777" s="416" t="s">
        <v>3302</v>
      </c>
      <c r="J777" s="415" t="s">
        <v>661</v>
      </c>
      <c r="K777" s="417">
        <v>-16.232054000000002</v>
      </c>
      <c r="L777" s="417">
        <v>-69.404667000000003</v>
      </c>
      <c r="M777" s="418">
        <v>30</v>
      </c>
      <c r="N777" s="418" t="s">
        <v>2310</v>
      </c>
      <c r="O777" s="418" t="s">
        <v>2953</v>
      </c>
      <c r="P777" s="415">
        <v>3</v>
      </c>
      <c r="Q777" s="415">
        <v>30</v>
      </c>
      <c r="R777" s="415">
        <v>5</v>
      </c>
      <c r="S777" s="415">
        <f t="shared" si="36"/>
        <v>5</v>
      </c>
      <c r="T777" s="419">
        <f t="shared" si="37"/>
        <v>0.83333333333333337</v>
      </c>
      <c r="U777" s="419">
        <f t="shared" si="38"/>
        <v>5.833333333333333</v>
      </c>
      <c r="V777" s="415" t="s">
        <v>662</v>
      </c>
      <c r="W777" s="415" t="s">
        <v>614</v>
      </c>
      <c r="X777" s="415" t="s">
        <v>671</v>
      </c>
      <c r="Y777" s="415"/>
    </row>
    <row r="778" spans="1:25" hidden="1" x14ac:dyDescent="0.25">
      <c r="A778" s="415">
        <v>777</v>
      </c>
      <c r="B778" s="415">
        <v>1176</v>
      </c>
      <c r="C778" s="415">
        <v>451648</v>
      </c>
      <c r="D778" s="416" t="s">
        <v>3303</v>
      </c>
      <c r="E778" s="416" t="s">
        <v>568</v>
      </c>
      <c r="F778" s="416" t="s">
        <v>579</v>
      </c>
      <c r="G778" s="416" t="s">
        <v>2061</v>
      </c>
      <c r="H778" s="416" t="s">
        <v>2061</v>
      </c>
      <c r="I778" s="416" t="s">
        <v>2061</v>
      </c>
      <c r="J778" s="415" t="s">
        <v>661</v>
      </c>
      <c r="K778" s="417">
        <v>-16.733167999999999</v>
      </c>
      <c r="L778" s="417">
        <v>-69.251076999999995</v>
      </c>
      <c r="M778" s="418">
        <v>30</v>
      </c>
      <c r="N778" s="418" t="s">
        <v>2310</v>
      </c>
      <c r="O778" s="418" t="s">
        <v>2953</v>
      </c>
      <c r="P778" s="415">
        <v>3</v>
      </c>
      <c r="Q778" s="415">
        <v>30</v>
      </c>
      <c r="R778" s="415">
        <v>5</v>
      </c>
      <c r="S778" s="415">
        <f t="shared" si="36"/>
        <v>5</v>
      </c>
      <c r="T778" s="419">
        <f t="shared" si="37"/>
        <v>0.83333333333333337</v>
      </c>
      <c r="U778" s="419">
        <f t="shared" si="38"/>
        <v>5.833333333333333</v>
      </c>
      <c r="V778" s="415" t="s">
        <v>662</v>
      </c>
      <c r="W778" s="415" t="s">
        <v>614</v>
      </c>
      <c r="X778" s="415" t="s">
        <v>671</v>
      </c>
      <c r="Y778" s="415"/>
    </row>
    <row r="779" spans="1:25" hidden="1" x14ac:dyDescent="0.25">
      <c r="A779" s="415">
        <v>778</v>
      </c>
      <c r="B779" s="415">
        <v>1177</v>
      </c>
      <c r="C779" s="415">
        <v>451771</v>
      </c>
      <c r="D779" s="416" t="s">
        <v>3304</v>
      </c>
      <c r="E779" s="416" t="s">
        <v>568</v>
      </c>
      <c r="F779" s="416" t="s">
        <v>579</v>
      </c>
      <c r="G779" s="416" t="s">
        <v>2061</v>
      </c>
      <c r="H779" s="416" t="s">
        <v>2061</v>
      </c>
      <c r="I779" s="416" t="s">
        <v>3305</v>
      </c>
      <c r="J779" s="415" t="s">
        <v>661</v>
      </c>
      <c r="K779" s="417">
        <v>-16.723572999999998</v>
      </c>
      <c r="L779" s="417">
        <v>-69.250701000000007</v>
      </c>
      <c r="M779" s="418">
        <v>30</v>
      </c>
      <c r="N779" s="418" t="s">
        <v>2310</v>
      </c>
      <c r="O779" s="418" t="s">
        <v>2953</v>
      </c>
      <c r="P779" s="415">
        <v>3</v>
      </c>
      <c r="Q779" s="415">
        <v>30</v>
      </c>
      <c r="R779" s="415">
        <v>5</v>
      </c>
      <c r="S779" s="415">
        <f t="shared" si="36"/>
        <v>5</v>
      </c>
      <c r="T779" s="419">
        <f t="shared" si="37"/>
        <v>0.83333333333333337</v>
      </c>
      <c r="U779" s="419">
        <f t="shared" si="38"/>
        <v>5.833333333333333</v>
      </c>
      <c r="V779" s="415" t="s">
        <v>662</v>
      </c>
      <c r="W779" s="415" t="s">
        <v>614</v>
      </c>
      <c r="X779" s="415" t="s">
        <v>671</v>
      </c>
      <c r="Y779" s="415"/>
    </row>
    <row r="780" spans="1:25" hidden="1" x14ac:dyDescent="0.25">
      <c r="A780" s="415">
        <v>779</v>
      </c>
      <c r="B780" s="415">
        <v>1178</v>
      </c>
      <c r="C780" s="415">
        <v>451785</v>
      </c>
      <c r="D780" s="416" t="s">
        <v>2064</v>
      </c>
      <c r="E780" s="416" t="s">
        <v>568</v>
      </c>
      <c r="F780" s="416" t="s">
        <v>579</v>
      </c>
      <c r="G780" s="416" t="s">
        <v>2061</v>
      </c>
      <c r="H780" s="416" t="s">
        <v>2062</v>
      </c>
      <c r="I780" s="416" t="s">
        <v>2063</v>
      </c>
      <c r="J780" s="415" t="s">
        <v>661</v>
      </c>
      <c r="K780" s="417">
        <v>-16.759916</v>
      </c>
      <c r="L780" s="417">
        <v>-69.341297999999995</v>
      </c>
      <c r="M780" s="418">
        <v>30</v>
      </c>
      <c r="N780" s="418" t="s">
        <v>2310</v>
      </c>
      <c r="O780" s="418" t="s">
        <v>2953</v>
      </c>
      <c r="P780" s="415">
        <v>3</v>
      </c>
      <c r="Q780" s="415">
        <v>30</v>
      </c>
      <c r="R780" s="415">
        <v>5</v>
      </c>
      <c r="S780" s="415">
        <f t="shared" si="36"/>
        <v>5</v>
      </c>
      <c r="T780" s="419">
        <f t="shared" si="37"/>
        <v>0.83333333333333337</v>
      </c>
      <c r="U780" s="419">
        <f t="shared" si="38"/>
        <v>5.833333333333333</v>
      </c>
      <c r="V780" s="415" t="s">
        <v>662</v>
      </c>
      <c r="W780" s="415" t="s">
        <v>614</v>
      </c>
      <c r="X780" s="415" t="s">
        <v>671</v>
      </c>
      <c r="Y780" s="415"/>
    </row>
    <row r="781" spans="1:25" hidden="1" x14ac:dyDescent="0.25">
      <c r="A781" s="415">
        <v>780</v>
      </c>
      <c r="B781" s="415">
        <v>1179</v>
      </c>
      <c r="C781" s="415">
        <v>451974</v>
      </c>
      <c r="D781" s="416" t="s">
        <v>3306</v>
      </c>
      <c r="E781" s="416" t="s">
        <v>568</v>
      </c>
      <c r="F781" s="416" t="s">
        <v>579</v>
      </c>
      <c r="G781" s="416" t="s">
        <v>2065</v>
      </c>
      <c r="H781" s="416" t="s">
        <v>3306</v>
      </c>
      <c r="I781" s="416" t="s">
        <v>2526</v>
      </c>
      <c r="J781" s="415" t="s">
        <v>661</v>
      </c>
      <c r="K781" s="417">
        <v>-16.91264</v>
      </c>
      <c r="L781" s="417">
        <v>-69.369479999999996</v>
      </c>
      <c r="M781" s="418">
        <v>30</v>
      </c>
      <c r="N781" s="418" t="s">
        <v>2310</v>
      </c>
      <c r="O781" s="418" t="s">
        <v>2953</v>
      </c>
      <c r="P781" s="415">
        <v>3</v>
      </c>
      <c r="Q781" s="415">
        <v>30</v>
      </c>
      <c r="R781" s="415">
        <v>5</v>
      </c>
      <c r="S781" s="415">
        <f t="shared" si="36"/>
        <v>5</v>
      </c>
      <c r="T781" s="419">
        <f t="shared" si="37"/>
        <v>0.83333333333333337</v>
      </c>
      <c r="U781" s="419">
        <f t="shared" si="38"/>
        <v>5.833333333333333</v>
      </c>
      <c r="V781" s="415" t="s">
        <v>662</v>
      </c>
      <c r="W781" s="415" t="s">
        <v>614</v>
      </c>
      <c r="X781" s="415" t="s">
        <v>671</v>
      </c>
      <c r="Y781" s="415"/>
    </row>
    <row r="782" spans="1:25" hidden="1" x14ac:dyDescent="0.25">
      <c r="A782" s="415">
        <v>781</v>
      </c>
      <c r="B782" s="415">
        <v>1180</v>
      </c>
      <c r="C782" s="415">
        <v>452474</v>
      </c>
      <c r="D782" s="416" t="s">
        <v>3307</v>
      </c>
      <c r="E782" s="416" t="s">
        <v>568</v>
      </c>
      <c r="F782" s="416" t="s">
        <v>579</v>
      </c>
      <c r="G782" s="416" t="s">
        <v>2066</v>
      </c>
      <c r="H782" s="416" t="s">
        <v>3308</v>
      </c>
      <c r="I782" s="416" t="s">
        <v>3308</v>
      </c>
      <c r="J782" s="415" t="s">
        <v>661</v>
      </c>
      <c r="K782" s="417">
        <v>-16.542221000000001</v>
      </c>
      <c r="L782" s="417">
        <v>-69.163347999999999</v>
      </c>
      <c r="M782" s="418">
        <v>30</v>
      </c>
      <c r="N782" s="418" t="s">
        <v>2310</v>
      </c>
      <c r="O782" s="418" t="s">
        <v>2953</v>
      </c>
      <c r="P782" s="415">
        <v>3</v>
      </c>
      <c r="Q782" s="415">
        <v>30</v>
      </c>
      <c r="R782" s="415">
        <v>5</v>
      </c>
      <c r="S782" s="415">
        <f t="shared" si="36"/>
        <v>5</v>
      </c>
      <c r="T782" s="419">
        <f t="shared" si="37"/>
        <v>0.83333333333333337</v>
      </c>
      <c r="U782" s="419">
        <f t="shared" si="38"/>
        <v>5.833333333333333</v>
      </c>
      <c r="V782" s="415" t="s">
        <v>662</v>
      </c>
      <c r="W782" s="415" t="s">
        <v>614</v>
      </c>
      <c r="X782" s="415" t="s">
        <v>671</v>
      </c>
      <c r="Y782" s="415"/>
    </row>
    <row r="783" spans="1:25" hidden="1" x14ac:dyDescent="0.25">
      <c r="A783" s="415">
        <v>782</v>
      </c>
      <c r="B783" s="415">
        <v>1181</v>
      </c>
      <c r="C783" s="415">
        <v>452780</v>
      </c>
      <c r="D783" s="416" t="s">
        <v>997</v>
      </c>
      <c r="E783" s="416" t="s">
        <v>568</v>
      </c>
      <c r="F783" s="416" t="s">
        <v>579</v>
      </c>
      <c r="G783" s="416" t="s">
        <v>2066</v>
      </c>
      <c r="H783" s="416" t="s">
        <v>3309</v>
      </c>
      <c r="I783" s="416" t="s">
        <v>3310</v>
      </c>
      <c r="J783" s="415" t="s">
        <v>661</v>
      </c>
      <c r="K783" s="417">
        <v>-16.537517999999999</v>
      </c>
      <c r="L783" s="417">
        <v>-69.259472000000002</v>
      </c>
      <c r="M783" s="418">
        <v>30</v>
      </c>
      <c r="N783" s="418" t="s">
        <v>2310</v>
      </c>
      <c r="O783" s="418" t="s">
        <v>2953</v>
      </c>
      <c r="P783" s="415">
        <v>3</v>
      </c>
      <c r="Q783" s="415">
        <v>30</v>
      </c>
      <c r="R783" s="415">
        <v>5</v>
      </c>
      <c r="S783" s="415">
        <f t="shared" si="36"/>
        <v>5</v>
      </c>
      <c r="T783" s="419">
        <f t="shared" si="37"/>
        <v>0.83333333333333337</v>
      </c>
      <c r="U783" s="419">
        <f t="shared" si="38"/>
        <v>5.833333333333333</v>
      </c>
      <c r="V783" s="415" t="s">
        <v>662</v>
      </c>
      <c r="W783" s="415" t="s">
        <v>614</v>
      </c>
      <c r="X783" s="415" t="s">
        <v>671</v>
      </c>
      <c r="Y783" s="415"/>
    </row>
    <row r="784" spans="1:25" hidden="1" x14ac:dyDescent="0.25">
      <c r="A784" s="415">
        <v>783</v>
      </c>
      <c r="B784" s="415">
        <v>1182</v>
      </c>
      <c r="C784" s="415">
        <v>453925</v>
      </c>
      <c r="D784" s="416" t="s">
        <v>2071</v>
      </c>
      <c r="E784" s="416" t="s">
        <v>568</v>
      </c>
      <c r="F784" s="416" t="s">
        <v>578</v>
      </c>
      <c r="G784" s="416" t="s">
        <v>2072</v>
      </c>
      <c r="H784" s="416" t="s">
        <v>2073</v>
      </c>
      <c r="I784" s="416" t="s">
        <v>2073</v>
      </c>
      <c r="J784" s="415" t="s">
        <v>661</v>
      </c>
      <c r="K784" s="417">
        <v>-17.172802999999998</v>
      </c>
      <c r="L784" s="417">
        <v>-69.643884</v>
      </c>
      <c r="M784" s="418">
        <v>30</v>
      </c>
      <c r="N784" s="418" t="s">
        <v>2310</v>
      </c>
      <c r="O784" s="418" t="s">
        <v>2953</v>
      </c>
      <c r="P784" s="415">
        <v>3</v>
      </c>
      <c r="Q784" s="415">
        <v>30</v>
      </c>
      <c r="R784" s="415">
        <v>5</v>
      </c>
      <c r="S784" s="415">
        <f t="shared" si="36"/>
        <v>5</v>
      </c>
      <c r="T784" s="419">
        <f t="shared" si="37"/>
        <v>0.83333333333333337</v>
      </c>
      <c r="U784" s="419">
        <f t="shared" si="38"/>
        <v>5.833333333333333</v>
      </c>
      <c r="V784" s="415" t="s">
        <v>662</v>
      </c>
      <c r="W784" s="415" t="s">
        <v>614</v>
      </c>
      <c r="X784" s="415" t="s">
        <v>671</v>
      </c>
      <c r="Y784" s="415"/>
    </row>
    <row r="785" spans="1:25" hidden="1" x14ac:dyDescent="0.25">
      <c r="A785" s="415">
        <v>784</v>
      </c>
      <c r="B785" s="415">
        <v>1183</v>
      </c>
      <c r="C785" s="415">
        <v>453987</v>
      </c>
      <c r="D785" s="416" t="s">
        <v>2074</v>
      </c>
      <c r="E785" s="416" t="s">
        <v>568</v>
      </c>
      <c r="F785" s="416" t="s">
        <v>578</v>
      </c>
      <c r="G785" s="416" t="s">
        <v>2072</v>
      </c>
      <c r="H785" s="416" t="s">
        <v>2075</v>
      </c>
      <c r="I785" s="416" t="s">
        <v>2076</v>
      </c>
      <c r="J785" s="415" t="s">
        <v>661</v>
      </c>
      <c r="K785" s="417">
        <v>-17.009906999999998</v>
      </c>
      <c r="L785" s="417">
        <v>-69.63158</v>
      </c>
      <c r="M785" s="418">
        <v>30</v>
      </c>
      <c r="N785" s="418" t="s">
        <v>2310</v>
      </c>
      <c r="O785" s="418" t="s">
        <v>2953</v>
      </c>
      <c r="P785" s="415">
        <v>3</v>
      </c>
      <c r="Q785" s="415">
        <v>30</v>
      </c>
      <c r="R785" s="415">
        <v>5</v>
      </c>
      <c r="S785" s="415">
        <f t="shared" si="36"/>
        <v>5</v>
      </c>
      <c r="T785" s="419">
        <f t="shared" si="37"/>
        <v>0.83333333333333337</v>
      </c>
      <c r="U785" s="419">
        <f t="shared" si="38"/>
        <v>5.833333333333333</v>
      </c>
      <c r="V785" s="415" t="s">
        <v>662</v>
      </c>
      <c r="W785" s="415" t="s">
        <v>614</v>
      </c>
      <c r="X785" s="415" t="s">
        <v>671</v>
      </c>
      <c r="Y785" s="415"/>
    </row>
    <row r="786" spans="1:25" hidden="1" x14ac:dyDescent="0.25">
      <c r="A786" s="415">
        <v>785</v>
      </c>
      <c r="B786" s="415">
        <v>1184</v>
      </c>
      <c r="C786" s="415">
        <v>509121</v>
      </c>
      <c r="D786" s="416" t="s">
        <v>3311</v>
      </c>
      <c r="E786" s="416" t="s">
        <v>568</v>
      </c>
      <c r="F786" s="416" t="s">
        <v>578</v>
      </c>
      <c r="G786" s="416" t="s">
        <v>2068</v>
      </c>
      <c r="H786" s="416" t="s">
        <v>3312</v>
      </c>
      <c r="I786" s="416" t="s">
        <v>3312</v>
      </c>
      <c r="J786" s="415" t="s">
        <v>661</v>
      </c>
      <c r="K786" s="417">
        <v>-16.048673999999998</v>
      </c>
      <c r="L786" s="417">
        <v>-69.604853000000006</v>
      </c>
      <c r="M786" s="418">
        <v>30</v>
      </c>
      <c r="N786" s="418" t="s">
        <v>2310</v>
      </c>
      <c r="O786" s="418" t="s">
        <v>2953</v>
      </c>
      <c r="P786" s="415">
        <v>3</v>
      </c>
      <c r="Q786" s="415">
        <v>30</v>
      </c>
      <c r="R786" s="415">
        <v>5</v>
      </c>
      <c r="S786" s="415">
        <f t="shared" si="36"/>
        <v>5</v>
      </c>
      <c r="T786" s="419">
        <f t="shared" si="37"/>
        <v>0.83333333333333337</v>
      </c>
      <c r="U786" s="419">
        <f t="shared" si="38"/>
        <v>5.833333333333333</v>
      </c>
      <c r="V786" s="415" t="s">
        <v>662</v>
      </c>
      <c r="W786" s="415" t="s">
        <v>614</v>
      </c>
      <c r="X786" s="415" t="s">
        <v>671</v>
      </c>
      <c r="Y786" s="415"/>
    </row>
    <row r="787" spans="1:25" hidden="1" x14ac:dyDescent="0.25">
      <c r="A787" s="415">
        <v>786</v>
      </c>
      <c r="B787" s="415">
        <v>1185</v>
      </c>
      <c r="C787" s="415">
        <v>453039</v>
      </c>
      <c r="D787" s="416" t="s">
        <v>2067</v>
      </c>
      <c r="E787" s="416" t="s">
        <v>568</v>
      </c>
      <c r="F787" s="416" t="s">
        <v>578</v>
      </c>
      <c r="G787" s="416" t="s">
        <v>2068</v>
      </c>
      <c r="H787" s="416" t="s">
        <v>2069</v>
      </c>
      <c r="I787" s="416" t="s">
        <v>2070</v>
      </c>
      <c r="J787" s="415" t="s">
        <v>661</v>
      </c>
      <c r="K787" s="417">
        <v>-16.112687999999999</v>
      </c>
      <c r="L787" s="417">
        <v>-69.623519999999999</v>
      </c>
      <c r="M787" s="418">
        <v>30</v>
      </c>
      <c r="N787" s="418" t="s">
        <v>2310</v>
      </c>
      <c r="O787" s="418" t="s">
        <v>2953</v>
      </c>
      <c r="P787" s="415">
        <v>3</v>
      </c>
      <c r="Q787" s="415">
        <v>30</v>
      </c>
      <c r="R787" s="415">
        <v>5</v>
      </c>
      <c r="S787" s="415">
        <f t="shared" si="36"/>
        <v>5</v>
      </c>
      <c r="T787" s="419">
        <f t="shared" si="37"/>
        <v>0.83333333333333337</v>
      </c>
      <c r="U787" s="419">
        <f t="shared" si="38"/>
        <v>5.833333333333333</v>
      </c>
      <c r="V787" s="415" t="s">
        <v>662</v>
      </c>
      <c r="W787" s="415" t="s">
        <v>614</v>
      </c>
      <c r="X787" s="415" t="s">
        <v>671</v>
      </c>
      <c r="Y787" s="415"/>
    </row>
    <row r="788" spans="1:25" hidden="1" x14ac:dyDescent="0.25">
      <c r="A788" s="415">
        <v>787</v>
      </c>
      <c r="B788" s="415">
        <v>1186</v>
      </c>
      <c r="C788" s="415">
        <v>454406</v>
      </c>
      <c r="D788" s="416" t="s">
        <v>2078</v>
      </c>
      <c r="E788" s="416" t="s">
        <v>568</v>
      </c>
      <c r="F788" s="416" t="s">
        <v>578</v>
      </c>
      <c r="G788" s="416" t="s">
        <v>2077</v>
      </c>
      <c r="H788" s="416" t="s">
        <v>2078</v>
      </c>
      <c r="I788" s="416" t="s">
        <v>2079</v>
      </c>
      <c r="J788" s="415" t="s">
        <v>661</v>
      </c>
      <c r="K788" s="417">
        <v>-16.045154</v>
      </c>
      <c r="L788" s="417">
        <v>-69.471412999999998</v>
      </c>
      <c r="M788" s="418">
        <v>30</v>
      </c>
      <c r="N788" s="418" t="s">
        <v>2310</v>
      </c>
      <c r="O788" s="418" t="s">
        <v>2953</v>
      </c>
      <c r="P788" s="415">
        <v>3</v>
      </c>
      <c r="Q788" s="415">
        <v>30</v>
      </c>
      <c r="R788" s="415">
        <v>5</v>
      </c>
      <c r="S788" s="415">
        <f t="shared" si="36"/>
        <v>5</v>
      </c>
      <c r="T788" s="419">
        <f t="shared" si="37"/>
        <v>0.83333333333333337</v>
      </c>
      <c r="U788" s="419">
        <f t="shared" si="38"/>
        <v>5.833333333333333</v>
      </c>
      <c r="V788" s="415" t="s">
        <v>662</v>
      </c>
      <c r="W788" s="415" t="s">
        <v>614</v>
      </c>
      <c r="X788" s="415" t="s">
        <v>671</v>
      </c>
      <c r="Y788" s="415"/>
    </row>
    <row r="789" spans="1:25" hidden="1" x14ac:dyDescent="0.25">
      <c r="A789" s="415">
        <v>788</v>
      </c>
      <c r="B789" s="415">
        <v>1187</v>
      </c>
      <c r="C789" s="415">
        <v>454543</v>
      </c>
      <c r="D789" s="416" t="s">
        <v>2080</v>
      </c>
      <c r="E789" s="416" t="s">
        <v>568</v>
      </c>
      <c r="F789" s="416" t="s">
        <v>578</v>
      </c>
      <c r="G789" s="416" t="s">
        <v>965</v>
      </c>
      <c r="H789" s="416" t="s">
        <v>2081</v>
      </c>
      <c r="I789" s="416" t="s">
        <v>2082</v>
      </c>
      <c r="J789" s="415" t="s">
        <v>661</v>
      </c>
      <c r="K789" s="417">
        <v>-16.935106999999999</v>
      </c>
      <c r="L789" s="417">
        <v>-69.834535000000002</v>
      </c>
      <c r="M789" s="418">
        <v>30</v>
      </c>
      <c r="N789" s="418" t="s">
        <v>2310</v>
      </c>
      <c r="O789" s="418" t="s">
        <v>2953</v>
      </c>
      <c r="P789" s="415">
        <v>3</v>
      </c>
      <c r="Q789" s="415">
        <v>30</v>
      </c>
      <c r="R789" s="415">
        <v>5</v>
      </c>
      <c r="S789" s="415">
        <f t="shared" si="36"/>
        <v>5</v>
      </c>
      <c r="T789" s="419">
        <f t="shared" si="37"/>
        <v>0.83333333333333337</v>
      </c>
      <c r="U789" s="419">
        <f t="shared" si="38"/>
        <v>5.833333333333333</v>
      </c>
      <c r="V789" s="415" t="s">
        <v>662</v>
      </c>
      <c r="W789" s="415" t="s">
        <v>614</v>
      </c>
      <c r="X789" s="415" t="s">
        <v>671</v>
      </c>
      <c r="Y789" s="415"/>
    </row>
    <row r="790" spans="1:25" hidden="1" x14ac:dyDescent="0.25">
      <c r="A790" s="415">
        <v>789</v>
      </c>
      <c r="B790" s="415">
        <v>1188</v>
      </c>
      <c r="C790" s="415">
        <v>455750</v>
      </c>
      <c r="D790" s="416" t="s">
        <v>2083</v>
      </c>
      <c r="E790" s="416" t="s">
        <v>568</v>
      </c>
      <c r="F790" s="416" t="s">
        <v>575</v>
      </c>
      <c r="G790" s="416" t="s">
        <v>2084</v>
      </c>
      <c r="H790" s="416" t="s">
        <v>445</v>
      </c>
      <c r="I790" s="416" t="s">
        <v>445</v>
      </c>
      <c r="J790" s="415" t="s">
        <v>661</v>
      </c>
      <c r="K790" s="417">
        <v>-14.902429</v>
      </c>
      <c r="L790" s="417">
        <v>-69.462400000000002</v>
      </c>
      <c r="M790" s="418">
        <v>30</v>
      </c>
      <c r="N790" s="418" t="s">
        <v>2310</v>
      </c>
      <c r="O790" s="418" t="s">
        <v>2953</v>
      </c>
      <c r="P790" s="415">
        <v>3</v>
      </c>
      <c r="Q790" s="415">
        <v>30</v>
      </c>
      <c r="R790" s="415">
        <v>5</v>
      </c>
      <c r="S790" s="415">
        <f t="shared" si="36"/>
        <v>5</v>
      </c>
      <c r="T790" s="419">
        <f t="shared" si="37"/>
        <v>0.83333333333333337</v>
      </c>
      <c r="U790" s="419">
        <f t="shared" si="38"/>
        <v>5.833333333333333</v>
      </c>
      <c r="V790" s="415" t="s">
        <v>662</v>
      </c>
      <c r="W790" s="415" t="s">
        <v>614</v>
      </c>
      <c r="X790" s="415" t="s">
        <v>671</v>
      </c>
      <c r="Y790" s="415"/>
    </row>
    <row r="791" spans="1:25" hidden="1" x14ac:dyDescent="0.25">
      <c r="A791" s="415">
        <v>790</v>
      </c>
      <c r="B791" s="415">
        <v>1189</v>
      </c>
      <c r="C791" s="415">
        <v>455788</v>
      </c>
      <c r="D791" s="416" t="s">
        <v>2085</v>
      </c>
      <c r="E791" s="416" t="s">
        <v>568</v>
      </c>
      <c r="F791" s="416" t="s">
        <v>575</v>
      </c>
      <c r="G791" s="416" t="s">
        <v>2084</v>
      </c>
      <c r="H791" s="416" t="s">
        <v>2086</v>
      </c>
      <c r="I791" s="416" t="s">
        <v>2086</v>
      </c>
      <c r="J791" s="415" t="s">
        <v>661</v>
      </c>
      <c r="K791" s="417">
        <v>-15.206007</v>
      </c>
      <c r="L791" s="417">
        <v>-69.157858000000004</v>
      </c>
      <c r="M791" s="418">
        <v>30</v>
      </c>
      <c r="N791" s="418" t="s">
        <v>2310</v>
      </c>
      <c r="O791" s="418" t="s">
        <v>2953</v>
      </c>
      <c r="P791" s="415">
        <v>3</v>
      </c>
      <c r="Q791" s="415">
        <v>30</v>
      </c>
      <c r="R791" s="415">
        <v>5</v>
      </c>
      <c r="S791" s="415">
        <f t="shared" si="36"/>
        <v>5</v>
      </c>
      <c r="T791" s="419">
        <f t="shared" si="37"/>
        <v>0.83333333333333337</v>
      </c>
      <c r="U791" s="419">
        <f t="shared" si="38"/>
        <v>5.833333333333333</v>
      </c>
      <c r="V791" s="415" t="s">
        <v>662</v>
      </c>
      <c r="W791" s="415" t="s">
        <v>614</v>
      </c>
      <c r="X791" s="415" t="s">
        <v>671</v>
      </c>
      <c r="Y791" s="415"/>
    </row>
    <row r="792" spans="1:25" hidden="1" x14ac:dyDescent="0.25">
      <c r="A792" s="415">
        <v>791</v>
      </c>
      <c r="B792" s="415">
        <v>1190</v>
      </c>
      <c r="C792" s="415">
        <v>455463</v>
      </c>
      <c r="D792" s="416" t="s">
        <v>830</v>
      </c>
      <c r="E792" s="416" t="s">
        <v>568</v>
      </c>
      <c r="F792" s="416" t="s">
        <v>575</v>
      </c>
      <c r="G792" s="416" t="s">
        <v>575</v>
      </c>
      <c r="H792" s="416" t="s">
        <v>1021</v>
      </c>
      <c r="I792" s="416" t="s">
        <v>1021</v>
      </c>
      <c r="J792" s="415" t="s">
        <v>661</v>
      </c>
      <c r="K792" s="417">
        <v>-15.179722</v>
      </c>
      <c r="L792" s="417">
        <v>-69.833668000000003</v>
      </c>
      <c r="M792" s="418">
        <v>30</v>
      </c>
      <c r="N792" s="418" t="s">
        <v>2310</v>
      </c>
      <c r="O792" s="418" t="s">
        <v>2953</v>
      </c>
      <c r="P792" s="415">
        <v>3</v>
      </c>
      <c r="Q792" s="415">
        <v>30</v>
      </c>
      <c r="R792" s="415">
        <v>5</v>
      </c>
      <c r="S792" s="415">
        <f t="shared" si="36"/>
        <v>5</v>
      </c>
      <c r="T792" s="419">
        <f t="shared" si="37"/>
        <v>0.83333333333333337</v>
      </c>
      <c r="U792" s="419">
        <f t="shared" si="38"/>
        <v>5.833333333333333</v>
      </c>
      <c r="V792" s="415" t="s">
        <v>662</v>
      </c>
      <c r="W792" s="415" t="s">
        <v>614</v>
      </c>
      <c r="X792" s="415" t="s">
        <v>671</v>
      </c>
      <c r="Y792" s="415"/>
    </row>
    <row r="793" spans="1:25" hidden="1" x14ac:dyDescent="0.25">
      <c r="A793" s="415">
        <v>792</v>
      </c>
      <c r="B793" s="415">
        <v>1191</v>
      </c>
      <c r="C793" s="415">
        <v>455482</v>
      </c>
      <c r="D793" s="416" t="s">
        <v>3313</v>
      </c>
      <c r="E793" s="416" t="s">
        <v>568</v>
      </c>
      <c r="F793" s="416" t="s">
        <v>575</v>
      </c>
      <c r="G793" s="416" t="s">
        <v>575</v>
      </c>
      <c r="H793" s="416" t="s">
        <v>3314</v>
      </c>
      <c r="I793" s="416" t="s">
        <v>3315</v>
      </c>
      <c r="J793" s="415" t="s">
        <v>661</v>
      </c>
      <c r="K793" s="417">
        <v>-15.276479999999999</v>
      </c>
      <c r="L793" s="417">
        <v>-69.755099999999999</v>
      </c>
      <c r="M793" s="418">
        <v>30</v>
      </c>
      <c r="N793" s="418" t="s">
        <v>2310</v>
      </c>
      <c r="O793" s="418" t="s">
        <v>2953</v>
      </c>
      <c r="P793" s="415">
        <v>3</v>
      </c>
      <c r="Q793" s="415">
        <v>30</v>
      </c>
      <c r="R793" s="415">
        <v>5</v>
      </c>
      <c r="S793" s="415">
        <f t="shared" si="36"/>
        <v>5</v>
      </c>
      <c r="T793" s="419">
        <f t="shared" si="37"/>
        <v>0.83333333333333337</v>
      </c>
      <c r="U793" s="419">
        <f t="shared" si="38"/>
        <v>5.833333333333333</v>
      </c>
      <c r="V793" s="415" t="s">
        <v>662</v>
      </c>
      <c r="W793" s="415" t="s">
        <v>614</v>
      </c>
      <c r="X793" s="415" t="s">
        <v>671</v>
      </c>
      <c r="Y793" s="415"/>
    </row>
    <row r="794" spans="1:25" hidden="1" x14ac:dyDescent="0.25">
      <c r="A794" s="415">
        <v>793</v>
      </c>
      <c r="B794" s="415">
        <v>1192</v>
      </c>
      <c r="C794" s="415">
        <v>457565</v>
      </c>
      <c r="D794" s="416" t="s">
        <v>1014</v>
      </c>
      <c r="E794" s="416" t="s">
        <v>568</v>
      </c>
      <c r="F794" s="416" t="s">
        <v>580</v>
      </c>
      <c r="G794" s="416" t="s">
        <v>580</v>
      </c>
      <c r="H794" s="416" t="s">
        <v>3316</v>
      </c>
      <c r="I794" s="416" t="s">
        <v>3317</v>
      </c>
      <c r="J794" s="415" t="s">
        <v>661</v>
      </c>
      <c r="K794" s="417">
        <v>-15.490872</v>
      </c>
      <c r="L794" s="417">
        <v>-70.396780000000007</v>
      </c>
      <c r="M794" s="418">
        <v>30</v>
      </c>
      <c r="N794" s="418" t="s">
        <v>2310</v>
      </c>
      <c r="O794" s="418" t="s">
        <v>2953</v>
      </c>
      <c r="P794" s="415">
        <v>3</v>
      </c>
      <c r="Q794" s="415">
        <v>30</v>
      </c>
      <c r="R794" s="415">
        <v>5</v>
      </c>
      <c r="S794" s="415">
        <f t="shared" si="36"/>
        <v>5</v>
      </c>
      <c r="T794" s="419">
        <f t="shared" si="37"/>
        <v>0.83333333333333337</v>
      </c>
      <c r="U794" s="419">
        <f t="shared" si="38"/>
        <v>5.833333333333333</v>
      </c>
      <c r="V794" s="415" t="s">
        <v>662</v>
      </c>
      <c r="W794" s="415" t="s">
        <v>614</v>
      </c>
      <c r="X794" s="415" t="s">
        <v>671</v>
      </c>
      <c r="Y794" s="415"/>
    </row>
    <row r="795" spans="1:25" hidden="1" x14ac:dyDescent="0.25">
      <c r="A795" s="415">
        <v>794</v>
      </c>
      <c r="B795" s="415">
        <v>1193</v>
      </c>
      <c r="C795" s="415">
        <v>457301</v>
      </c>
      <c r="D795" s="416" t="s">
        <v>3318</v>
      </c>
      <c r="E795" s="416" t="s">
        <v>568</v>
      </c>
      <c r="F795" s="416" t="s">
        <v>580</v>
      </c>
      <c r="G795" s="416" t="s">
        <v>580</v>
      </c>
      <c r="H795" s="416" t="s">
        <v>3319</v>
      </c>
      <c r="I795" s="416" t="s">
        <v>3319</v>
      </c>
      <c r="J795" s="415" t="s">
        <v>661</v>
      </c>
      <c r="K795" s="417">
        <v>-15.27277</v>
      </c>
      <c r="L795" s="417">
        <v>-70.341610000000003</v>
      </c>
      <c r="M795" s="418">
        <v>30</v>
      </c>
      <c r="N795" s="418" t="s">
        <v>2310</v>
      </c>
      <c r="O795" s="418" t="s">
        <v>2953</v>
      </c>
      <c r="P795" s="415">
        <v>3</v>
      </c>
      <c r="Q795" s="415">
        <v>30</v>
      </c>
      <c r="R795" s="415">
        <v>5</v>
      </c>
      <c r="S795" s="415">
        <f t="shared" si="36"/>
        <v>5</v>
      </c>
      <c r="T795" s="419">
        <f t="shared" si="37"/>
        <v>0.83333333333333337</v>
      </c>
      <c r="U795" s="419">
        <f t="shared" si="38"/>
        <v>5.833333333333333</v>
      </c>
      <c r="V795" s="415" t="s">
        <v>662</v>
      </c>
      <c r="W795" s="415" t="s">
        <v>614</v>
      </c>
      <c r="X795" s="415" t="s">
        <v>671</v>
      </c>
      <c r="Y795" s="415"/>
    </row>
    <row r="796" spans="1:25" hidden="1" x14ac:dyDescent="0.25">
      <c r="A796" s="415">
        <v>795</v>
      </c>
      <c r="B796" s="415">
        <v>1194</v>
      </c>
      <c r="C796" s="415">
        <v>458070</v>
      </c>
      <c r="D796" s="416" t="s">
        <v>2090</v>
      </c>
      <c r="E796" s="416" t="s">
        <v>568</v>
      </c>
      <c r="F796" s="416" t="s">
        <v>580</v>
      </c>
      <c r="G796" s="416" t="s">
        <v>2088</v>
      </c>
      <c r="H796" s="416" t="s">
        <v>2091</v>
      </c>
      <c r="I796" s="416" t="s">
        <v>2091</v>
      </c>
      <c r="J796" s="415" t="s">
        <v>661</v>
      </c>
      <c r="K796" s="417">
        <v>-15.2677</v>
      </c>
      <c r="L796" s="417">
        <v>-70.906700000000001</v>
      </c>
      <c r="M796" s="418">
        <v>30</v>
      </c>
      <c r="N796" s="418" t="s">
        <v>2310</v>
      </c>
      <c r="O796" s="418" t="s">
        <v>2953</v>
      </c>
      <c r="P796" s="415">
        <v>3</v>
      </c>
      <c r="Q796" s="415">
        <v>30</v>
      </c>
      <c r="R796" s="415">
        <v>5</v>
      </c>
      <c r="S796" s="415">
        <f t="shared" si="36"/>
        <v>5</v>
      </c>
      <c r="T796" s="419">
        <f t="shared" si="37"/>
        <v>0.83333333333333337</v>
      </c>
      <c r="U796" s="419">
        <f t="shared" si="38"/>
        <v>5.833333333333333</v>
      </c>
      <c r="V796" s="415" t="s">
        <v>662</v>
      </c>
      <c r="W796" s="415" t="s">
        <v>614</v>
      </c>
      <c r="X796" s="415" t="s">
        <v>671</v>
      </c>
      <c r="Y796" s="415"/>
    </row>
    <row r="797" spans="1:25" hidden="1" x14ac:dyDescent="0.25">
      <c r="A797" s="415">
        <v>796</v>
      </c>
      <c r="B797" s="415">
        <v>1195</v>
      </c>
      <c r="C797" s="415">
        <v>458046</v>
      </c>
      <c r="D797" s="416" t="s">
        <v>2087</v>
      </c>
      <c r="E797" s="416" t="s">
        <v>568</v>
      </c>
      <c r="F797" s="416" t="s">
        <v>580</v>
      </c>
      <c r="G797" s="416" t="s">
        <v>2088</v>
      </c>
      <c r="H797" s="416" t="s">
        <v>2089</v>
      </c>
      <c r="I797" s="416" t="s">
        <v>2089</v>
      </c>
      <c r="J797" s="415" t="s">
        <v>661</v>
      </c>
      <c r="K797" s="417">
        <v>-15.16473</v>
      </c>
      <c r="L797" s="417">
        <v>-70.776600000000002</v>
      </c>
      <c r="M797" s="418">
        <v>30</v>
      </c>
      <c r="N797" s="418" t="s">
        <v>2310</v>
      </c>
      <c r="O797" s="418" t="s">
        <v>2953</v>
      </c>
      <c r="P797" s="415">
        <v>3</v>
      </c>
      <c r="Q797" s="415">
        <v>30</v>
      </c>
      <c r="R797" s="415">
        <v>5</v>
      </c>
      <c r="S797" s="415">
        <f t="shared" si="36"/>
        <v>5</v>
      </c>
      <c r="T797" s="419">
        <f t="shared" si="37"/>
        <v>0.83333333333333337</v>
      </c>
      <c r="U797" s="419">
        <f t="shared" si="38"/>
        <v>5.833333333333333</v>
      </c>
      <c r="V797" s="415" t="s">
        <v>662</v>
      </c>
      <c r="W797" s="415" t="s">
        <v>614</v>
      </c>
      <c r="X797" s="415" t="s">
        <v>671</v>
      </c>
      <c r="Y797" s="415"/>
    </row>
    <row r="798" spans="1:25" hidden="1" x14ac:dyDescent="0.25">
      <c r="A798" s="415">
        <v>797</v>
      </c>
      <c r="B798" s="415">
        <v>1196</v>
      </c>
      <c r="C798" s="415">
        <v>458230</v>
      </c>
      <c r="D798" s="416" t="s">
        <v>2095</v>
      </c>
      <c r="E798" s="416" t="s">
        <v>568</v>
      </c>
      <c r="F798" s="416" t="s">
        <v>580</v>
      </c>
      <c r="G798" s="416" t="s">
        <v>2093</v>
      </c>
      <c r="H798" s="416" t="s">
        <v>2096</v>
      </c>
      <c r="I798" s="416" t="s">
        <v>2096</v>
      </c>
      <c r="J798" s="415" t="s">
        <v>661</v>
      </c>
      <c r="K798" s="417">
        <v>-15.4262</v>
      </c>
      <c r="L798" s="417">
        <v>-70.756</v>
      </c>
      <c r="M798" s="418">
        <v>30</v>
      </c>
      <c r="N798" s="418" t="s">
        <v>2310</v>
      </c>
      <c r="O798" s="418" t="s">
        <v>2953</v>
      </c>
      <c r="P798" s="415">
        <v>3</v>
      </c>
      <c r="Q798" s="415">
        <v>30</v>
      </c>
      <c r="R798" s="415">
        <v>5</v>
      </c>
      <c r="S798" s="415">
        <f t="shared" si="36"/>
        <v>5</v>
      </c>
      <c r="T798" s="419">
        <f t="shared" si="37"/>
        <v>0.83333333333333337</v>
      </c>
      <c r="U798" s="419">
        <f t="shared" si="38"/>
        <v>5.833333333333333</v>
      </c>
      <c r="V798" s="415" t="s">
        <v>662</v>
      </c>
      <c r="W798" s="415" t="s">
        <v>614</v>
      </c>
      <c r="X798" s="415" t="s">
        <v>671</v>
      </c>
      <c r="Y798" s="415"/>
    </row>
    <row r="799" spans="1:25" hidden="1" x14ac:dyDescent="0.25">
      <c r="A799" s="415">
        <v>798</v>
      </c>
      <c r="B799" s="415">
        <v>1197</v>
      </c>
      <c r="C799" s="415">
        <v>458206</v>
      </c>
      <c r="D799" s="416" t="s">
        <v>2092</v>
      </c>
      <c r="E799" s="416" t="s">
        <v>568</v>
      </c>
      <c r="F799" s="416" t="s">
        <v>580</v>
      </c>
      <c r="G799" s="416" t="s">
        <v>2093</v>
      </c>
      <c r="H799" s="416" t="s">
        <v>2094</v>
      </c>
      <c r="I799" s="416" t="s">
        <v>2094</v>
      </c>
      <c r="J799" s="415" t="s">
        <v>661</v>
      </c>
      <c r="K799" s="417">
        <v>-15.3759</v>
      </c>
      <c r="L799" s="417">
        <v>-70.756900000000002</v>
      </c>
      <c r="M799" s="418">
        <v>30</v>
      </c>
      <c r="N799" s="418" t="s">
        <v>2310</v>
      </c>
      <c r="O799" s="418" t="s">
        <v>2953</v>
      </c>
      <c r="P799" s="415">
        <v>3</v>
      </c>
      <c r="Q799" s="415">
        <v>30</v>
      </c>
      <c r="R799" s="415">
        <v>5</v>
      </c>
      <c r="S799" s="415">
        <f t="shared" si="36"/>
        <v>5</v>
      </c>
      <c r="T799" s="419">
        <f t="shared" si="37"/>
        <v>0.83333333333333337</v>
      </c>
      <c r="U799" s="419">
        <f t="shared" si="38"/>
        <v>5.833333333333333</v>
      </c>
      <c r="V799" s="415" t="s">
        <v>662</v>
      </c>
      <c r="W799" s="415" t="s">
        <v>614</v>
      </c>
      <c r="X799" s="415" t="s">
        <v>671</v>
      </c>
      <c r="Y799" s="415"/>
    </row>
    <row r="800" spans="1:25" hidden="1" x14ac:dyDescent="0.25">
      <c r="A800" s="415">
        <v>799</v>
      </c>
      <c r="B800" s="415">
        <v>1198</v>
      </c>
      <c r="C800" s="415">
        <v>458555</v>
      </c>
      <c r="D800" s="416" t="s">
        <v>2097</v>
      </c>
      <c r="E800" s="416" t="s">
        <v>568</v>
      </c>
      <c r="F800" s="416" t="s">
        <v>580</v>
      </c>
      <c r="G800" s="416" t="s">
        <v>1081</v>
      </c>
      <c r="H800" s="416" t="s">
        <v>2098</v>
      </c>
      <c r="I800" s="416" t="s">
        <v>2099</v>
      </c>
      <c r="J800" s="415" t="s">
        <v>661</v>
      </c>
      <c r="K800" s="417">
        <v>-15.149100000000001</v>
      </c>
      <c r="L800" s="417">
        <v>-70.455349999999996</v>
      </c>
      <c r="M800" s="418">
        <v>30</v>
      </c>
      <c r="N800" s="418" t="s">
        <v>2310</v>
      </c>
      <c r="O800" s="418" t="s">
        <v>2953</v>
      </c>
      <c r="P800" s="415">
        <v>3</v>
      </c>
      <c r="Q800" s="415">
        <v>30</v>
      </c>
      <c r="R800" s="415">
        <v>5</v>
      </c>
      <c r="S800" s="415">
        <f t="shared" si="36"/>
        <v>5</v>
      </c>
      <c r="T800" s="419">
        <f t="shared" si="37"/>
        <v>0.83333333333333337</v>
      </c>
      <c r="U800" s="419">
        <f t="shared" si="38"/>
        <v>5.833333333333333</v>
      </c>
      <c r="V800" s="415" t="s">
        <v>662</v>
      </c>
      <c r="W800" s="415" t="s">
        <v>614</v>
      </c>
      <c r="X800" s="415" t="s">
        <v>671</v>
      </c>
      <c r="Y800" s="415"/>
    </row>
    <row r="801" spans="1:25" hidden="1" x14ac:dyDescent="0.25">
      <c r="A801" s="415">
        <v>800</v>
      </c>
      <c r="B801" s="415">
        <v>1199</v>
      </c>
      <c r="C801" s="415">
        <v>458409</v>
      </c>
      <c r="D801" s="416" t="s">
        <v>3320</v>
      </c>
      <c r="E801" s="416" t="s">
        <v>568</v>
      </c>
      <c r="F801" s="416" t="s">
        <v>580</v>
      </c>
      <c r="G801" s="416" t="s">
        <v>1081</v>
      </c>
      <c r="H801" s="416" t="s">
        <v>1081</v>
      </c>
      <c r="I801" s="416" t="s">
        <v>3321</v>
      </c>
      <c r="J801" s="415" t="s">
        <v>661</v>
      </c>
      <c r="K801" s="417">
        <v>-15.041869999999999</v>
      </c>
      <c r="L801" s="417">
        <v>-70.370050000000006</v>
      </c>
      <c r="M801" s="418">
        <v>30</v>
      </c>
      <c r="N801" s="418" t="s">
        <v>2310</v>
      </c>
      <c r="O801" s="418" t="s">
        <v>2953</v>
      </c>
      <c r="P801" s="415">
        <v>3</v>
      </c>
      <c r="Q801" s="415">
        <v>30</v>
      </c>
      <c r="R801" s="415">
        <v>5</v>
      </c>
      <c r="S801" s="415">
        <f t="shared" si="36"/>
        <v>5</v>
      </c>
      <c r="T801" s="419">
        <f t="shared" si="37"/>
        <v>0.83333333333333337</v>
      </c>
      <c r="U801" s="419">
        <f t="shared" si="38"/>
        <v>5.833333333333333</v>
      </c>
      <c r="V801" s="415" t="s">
        <v>662</v>
      </c>
      <c r="W801" s="415" t="s">
        <v>614</v>
      </c>
      <c r="X801" s="415" t="s">
        <v>671</v>
      </c>
      <c r="Y801" s="415"/>
    </row>
    <row r="802" spans="1:25" hidden="1" x14ac:dyDescent="0.25">
      <c r="A802" s="415">
        <v>801</v>
      </c>
      <c r="B802" s="415">
        <v>1200</v>
      </c>
      <c r="C802" s="415">
        <v>458923</v>
      </c>
      <c r="D802" s="416" t="s">
        <v>2100</v>
      </c>
      <c r="E802" s="416" t="s">
        <v>568</v>
      </c>
      <c r="F802" s="416" t="s">
        <v>580</v>
      </c>
      <c r="G802" s="416" t="s">
        <v>2101</v>
      </c>
      <c r="H802" s="416" t="s">
        <v>2102</v>
      </c>
      <c r="I802" s="416" t="s">
        <v>2102</v>
      </c>
      <c r="J802" s="415" t="s">
        <v>661</v>
      </c>
      <c r="K802" s="417">
        <v>-15.206607</v>
      </c>
      <c r="L802" s="417">
        <v>-70.743795000000006</v>
      </c>
      <c r="M802" s="418">
        <v>30</v>
      </c>
      <c r="N802" s="418" t="s">
        <v>2310</v>
      </c>
      <c r="O802" s="418" t="s">
        <v>2953</v>
      </c>
      <c r="P802" s="415">
        <v>3</v>
      </c>
      <c r="Q802" s="415">
        <v>30</v>
      </c>
      <c r="R802" s="415">
        <v>5</v>
      </c>
      <c r="S802" s="415">
        <f t="shared" si="36"/>
        <v>5</v>
      </c>
      <c r="T802" s="419">
        <f t="shared" si="37"/>
        <v>0.83333333333333337</v>
      </c>
      <c r="U802" s="419">
        <f t="shared" si="38"/>
        <v>5.833333333333333</v>
      </c>
      <c r="V802" s="415" t="s">
        <v>662</v>
      </c>
      <c r="W802" s="415" t="s">
        <v>614</v>
      </c>
      <c r="X802" s="415" t="s">
        <v>671</v>
      </c>
      <c r="Y802" s="415"/>
    </row>
    <row r="803" spans="1:25" hidden="1" x14ac:dyDescent="0.25">
      <c r="A803" s="415">
        <v>802</v>
      </c>
      <c r="B803" s="415">
        <v>1201</v>
      </c>
      <c r="C803" s="415">
        <v>459442</v>
      </c>
      <c r="D803" s="416" t="s">
        <v>2104</v>
      </c>
      <c r="E803" s="416" t="s">
        <v>568</v>
      </c>
      <c r="F803" s="416" t="s">
        <v>571</v>
      </c>
      <c r="G803" s="416" t="s">
        <v>2105</v>
      </c>
      <c r="H803" s="416" t="s">
        <v>2106</v>
      </c>
      <c r="I803" s="416" t="s">
        <v>2106</v>
      </c>
      <c r="J803" s="415" t="s">
        <v>661</v>
      </c>
      <c r="K803" s="417">
        <v>-14.473799</v>
      </c>
      <c r="L803" s="417">
        <v>-70.377066999999997</v>
      </c>
      <c r="M803" s="418">
        <v>30</v>
      </c>
      <c r="N803" s="418" t="s">
        <v>2310</v>
      </c>
      <c r="O803" s="418" t="s">
        <v>2953</v>
      </c>
      <c r="P803" s="415">
        <v>3</v>
      </c>
      <c r="Q803" s="415">
        <v>30</v>
      </c>
      <c r="R803" s="415">
        <v>5</v>
      </c>
      <c r="S803" s="415">
        <f t="shared" si="36"/>
        <v>5</v>
      </c>
      <c r="T803" s="419">
        <f t="shared" si="37"/>
        <v>0.83333333333333337</v>
      </c>
      <c r="U803" s="419">
        <f t="shared" si="38"/>
        <v>5.833333333333333</v>
      </c>
      <c r="V803" s="415" t="s">
        <v>662</v>
      </c>
      <c r="W803" s="415" t="s">
        <v>614</v>
      </c>
      <c r="X803" s="415" t="s">
        <v>671</v>
      </c>
      <c r="Y803" s="415"/>
    </row>
    <row r="804" spans="1:25" hidden="1" x14ac:dyDescent="0.25">
      <c r="A804" s="415">
        <v>803</v>
      </c>
      <c r="B804" s="415">
        <v>1202</v>
      </c>
      <c r="C804" s="415">
        <v>459277</v>
      </c>
      <c r="D804" s="416" t="s">
        <v>3322</v>
      </c>
      <c r="E804" s="416" t="s">
        <v>568</v>
      </c>
      <c r="F804" s="416" t="s">
        <v>571</v>
      </c>
      <c r="G804" s="416" t="s">
        <v>2103</v>
      </c>
      <c r="H804" s="416" t="s">
        <v>3323</v>
      </c>
      <c r="I804" s="416" t="s">
        <v>3324</v>
      </c>
      <c r="J804" s="415" t="s">
        <v>747</v>
      </c>
      <c r="K804" s="417">
        <v>-14.8963</v>
      </c>
      <c r="L804" s="417">
        <v>-70.590100000000007</v>
      </c>
      <c r="M804" s="418">
        <v>30</v>
      </c>
      <c r="N804" s="418" t="s">
        <v>2310</v>
      </c>
      <c r="O804" s="418" t="s">
        <v>2953</v>
      </c>
      <c r="P804" s="415">
        <v>3</v>
      </c>
      <c r="Q804" s="415">
        <v>30</v>
      </c>
      <c r="R804" s="415">
        <v>5</v>
      </c>
      <c r="S804" s="415">
        <f t="shared" si="36"/>
        <v>5</v>
      </c>
      <c r="T804" s="419">
        <f t="shared" si="37"/>
        <v>0.83333333333333337</v>
      </c>
      <c r="U804" s="419">
        <f t="shared" si="38"/>
        <v>5.833333333333333</v>
      </c>
      <c r="V804" s="415" t="s">
        <v>662</v>
      </c>
      <c r="W804" s="415" t="s">
        <v>614</v>
      </c>
      <c r="X804" s="415" t="s">
        <v>671</v>
      </c>
      <c r="Y804" s="415"/>
    </row>
    <row r="805" spans="1:25" hidden="1" x14ac:dyDescent="0.25">
      <c r="A805" s="415">
        <v>804</v>
      </c>
      <c r="B805" s="415">
        <v>1203</v>
      </c>
      <c r="C805" s="415">
        <v>459809</v>
      </c>
      <c r="D805" s="416" t="s">
        <v>3325</v>
      </c>
      <c r="E805" s="416" t="s">
        <v>568</v>
      </c>
      <c r="F805" s="416" t="s">
        <v>571</v>
      </c>
      <c r="G805" s="416" t="s">
        <v>3326</v>
      </c>
      <c r="H805" s="416" t="s">
        <v>474</v>
      </c>
      <c r="I805" s="416" t="s">
        <v>474</v>
      </c>
      <c r="J805" s="415" t="s">
        <v>661</v>
      </c>
      <c r="K805" s="417">
        <v>-14.6434</v>
      </c>
      <c r="L805" s="417">
        <v>-70.862700000000004</v>
      </c>
      <c r="M805" s="418">
        <v>30</v>
      </c>
      <c r="N805" s="418" t="s">
        <v>2310</v>
      </c>
      <c r="O805" s="418" t="s">
        <v>2953</v>
      </c>
      <c r="P805" s="415">
        <v>3</v>
      </c>
      <c r="Q805" s="415">
        <v>30</v>
      </c>
      <c r="R805" s="415">
        <v>5</v>
      </c>
      <c r="S805" s="415">
        <f t="shared" si="36"/>
        <v>5</v>
      </c>
      <c r="T805" s="419">
        <f t="shared" si="37"/>
        <v>0.83333333333333337</v>
      </c>
      <c r="U805" s="419">
        <f t="shared" si="38"/>
        <v>5.833333333333333</v>
      </c>
      <c r="V805" s="415" t="s">
        <v>662</v>
      </c>
      <c r="W805" s="415" t="s">
        <v>614</v>
      </c>
      <c r="X805" s="415" t="s">
        <v>671</v>
      </c>
      <c r="Y805" s="415"/>
    </row>
    <row r="806" spans="1:25" hidden="1" x14ac:dyDescent="0.25">
      <c r="A806" s="415">
        <v>805</v>
      </c>
      <c r="B806" s="415">
        <v>1204</v>
      </c>
      <c r="C806" s="415">
        <v>460105</v>
      </c>
      <c r="D806" s="416" t="s">
        <v>3327</v>
      </c>
      <c r="E806" s="416" t="s">
        <v>568</v>
      </c>
      <c r="F806" s="416" t="s">
        <v>571</v>
      </c>
      <c r="G806" s="416" t="s">
        <v>2277</v>
      </c>
      <c r="H806" s="416" t="s">
        <v>3328</v>
      </c>
      <c r="I806" s="416" t="s">
        <v>3329</v>
      </c>
      <c r="J806" s="415" t="s">
        <v>661</v>
      </c>
      <c r="K806" s="417">
        <v>-14.406565000000001</v>
      </c>
      <c r="L806" s="417">
        <v>-70.790835999999999</v>
      </c>
      <c r="M806" s="418">
        <v>30</v>
      </c>
      <c r="N806" s="418" t="s">
        <v>2310</v>
      </c>
      <c r="O806" s="418" t="s">
        <v>2953</v>
      </c>
      <c r="P806" s="415">
        <v>3</v>
      </c>
      <c r="Q806" s="415">
        <v>30</v>
      </c>
      <c r="R806" s="415">
        <v>5</v>
      </c>
      <c r="S806" s="415">
        <f t="shared" si="36"/>
        <v>5</v>
      </c>
      <c r="T806" s="419">
        <f t="shared" si="37"/>
        <v>0.83333333333333337</v>
      </c>
      <c r="U806" s="419">
        <f t="shared" si="38"/>
        <v>5.833333333333333</v>
      </c>
      <c r="V806" s="415" t="s">
        <v>662</v>
      </c>
      <c r="W806" s="415" t="s">
        <v>614</v>
      </c>
      <c r="X806" s="415" t="s">
        <v>671</v>
      </c>
      <c r="Y806" s="415"/>
    </row>
    <row r="807" spans="1:25" hidden="1" x14ac:dyDescent="0.25">
      <c r="A807" s="415">
        <v>806</v>
      </c>
      <c r="B807" s="415">
        <v>1205</v>
      </c>
      <c r="C807" s="415">
        <v>460761</v>
      </c>
      <c r="D807" s="416" t="s">
        <v>2111</v>
      </c>
      <c r="E807" s="416" t="s">
        <v>568</v>
      </c>
      <c r="F807" s="416" t="s">
        <v>571</v>
      </c>
      <c r="G807" s="416" t="s">
        <v>2107</v>
      </c>
      <c r="H807" s="416" t="s">
        <v>2111</v>
      </c>
      <c r="I807" s="416" t="s">
        <v>2111</v>
      </c>
      <c r="J807" s="415" t="s">
        <v>661</v>
      </c>
      <c r="K807" s="417">
        <v>-14.614485</v>
      </c>
      <c r="L807" s="417">
        <v>-70.480897999999996</v>
      </c>
      <c r="M807" s="418">
        <v>30</v>
      </c>
      <c r="N807" s="418" t="s">
        <v>2310</v>
      </c>
      <c r="O807" s="418" t="s">
        <v>2953</v>
      </c>
      <c r="P807" s="415">
        <v>3</v>
      </c>
      <c r="Q807" s="415">
        <v>30</v>
      </c>
      <c r="R807" s="415">
        <v>5</v>
      </c>
      <c r="S807" s="415">
        <f t="shared" si="36"/>
        <v>5</v>
      </c>
      <c r="T807" s="419">
        <f t="shared" si="37"/>
        <v>0.83333333333333337</v>
      </c>
      <c r="U807" s="419">
        <f t="shared" si="38"/>
        <v>5.833333333333333</v>
      </c>
      <c r="V807" s="415" t="s">
        <v>662</v>
      </c>
      <c r="W807" s="415" t="s">
        <v>614</v>
      </c>
      <c r="X807" s="415" t="s">
        <v>671</v>
      </c>
      <c r="Y807" s="415"/>
    </row>
    <row r="808" spans="1:25" hidden="1" x14ac:dyDescent="0.25">
      <c r="A808" s="415">
        <v>807</v>
      </c>
      <c r="B808" s="415">
        <v>1206</v>
      </c>
      <c r="C808" s="415">
        <v>460577</v>
      </c>
      <c r="D808" s="416" t="s">
        <v>2108</v>
      </c>
      <c r="E808" s="416" t="s">
        <v>568</v>
      </c>
      <c r="F808" s="416" t="s">
        <v>571</v>
      </c>
      <c r="G808" s="416" t="s">
        <v>2107</v>
      </c>
      <c r="H808" s="416" t="s">
        <v>2109</v>
      </c>
      <c r="I808" s="416" t="s">
        <v>2109</v>
      </c>
      <c r="J808" s="415" t="s">
        <v>661</v>
      </c>
      <c r="K808" s="417">
        <v>-14.714022</v>
      </c>
      <c r="L808" s="417">
        <v>-70.618423000000007</v>
      </c>
      <c r="M808" s="418">
        <v>30</v>
      </c>
      <c r="N808" s="418" t="s">
        <v>2310</v>
      </c>
      <c r="O808" s="418" t="s">
        <v>2953</v>
      </c>
      <c r="P808" s="415">
        <v>3</v>
      </c>
      <c r="Q808" s="415">
        <v>30</v>
      </c>
      <c r="R808" s="415">
        <v>5</v>
      </c>
      <c r="S808" s="415">
        <f t="shared" si="36"/>
        <v>5</v>
      </c>
      <c r="T808" s="419">
        <f t="shared" si="37"/>
        <v>0.83333333333333337</v>
      </c>
      <c r="U808" s="419">
        <f t="shared" si="38"/>
        <v>5.833333333333333</v>
      </c>
      <c r="V808" s="415" t="s">
        <v>662</v>
      </c>
      <c r="W808" s="415" t="s">
        <v>614</v>
      </c>
      <c r="X808" s="415" t="s">
        <v>671</v>
      </c>
      <c r="Y808" s="415"/>
    </row>
    <row r="809" spans="1:25" hidden="1" x14ac:dyDescent="0.25">
      <c r="A809" s="415">
        <v>808</v>
      </c>
      <c r="B809" s="415">
        <v>1207</v>
      </c>
      <c r="C809" s="415">
        <v>460780</v>
      </c>
      <c r="D809" s="416" t="s">
        <v>2112</v>
      </c>
      <c r="E809" s="416" t="s">
        <v>568</v>
      </c>
      <c r="F809" s="416" t="s">
        <v>571</v>
      </c>
      <c r="G809" s="416" t="s">
        <v>2107</v>
      </c>
      <c r="H809" s="416" t="s">
        <v>2113</v>
      </c>
      <c r="I809" s="416" t="s">
        <v>2114</v>
      </c>
      <c r="J809" s="415" t="s">
        <v>661</v>
      </c>
      <c r="K809" s="417">
        <v>-14.748552</v>
      </c>
      <c r="L809" s="417">
        <v>-70.531664000000006</v>
      </c>
      <c r="M809" s="418">
        <v>30</v>
      </c>
      <c r="N809" s="418" t="s">
        <v>2310</v>
      </c>
      <c r="O809" s="418" t="s">
        <v>2953</v>
      </c>
      <c r="P809" s="415">
        <v>3</v>
      </c>
      <c r="Q809" s="415">
        <v>30</v>
      </c>
      <c r="R809" s="415">
        <v>5</v>
      </c>
      <c r="S809" s="415">
        <f t="shared" si="36"/>
        <v>5</v>
      </c>
      <c r="T809" s="419">
        <f t="shared" si="37"/>
        <v>0.83333333333333337</v>
      </c>
      <c r="U809" s="419">
        <f t="shared" si="38"/>
        <v>5.833333333333333</v>
      </c>
      <c r="V809" s="415" t="s">
        <v>662</v>
      </c>
      <c r="W809" s="415" t="s">
        <v>614</v>
      </c>
      <c r="X809" s="415" t="s">
        <v>671</v>
      </c>
      <c r="Y809" s="415"/>
    </row>
    <row r="810" spans="1:25" hidden="1" x14ac:dyDescent="0.25">
      <c r="A810" s="415">
        <v>809</v>
      </c>
      <c r="B810" s="415">
        <v>1208</v>
      </c>
      <c r="C810" s="415">
        <v>460822</v>
      </c>
      <c r="D810" s="416" t="s">
        <v>3330</v>
      </c>
      <c r="E810" s="416" t="s">
        <v>568</v>
      </c>
      <c r="F810" s="416" t="s">
        <v>571</v>
      </c>
      <c r="G810" s="416" t="s">
        <v>965</v>
      </c>
      <c r="H810" s="416" t="s">
        <v>965</v>
      </c>
      <c r="I810" s="416" t="s">
        <v>3331</v>
      </c>
      <c r="J810" s="415" t="s">
        <v>747</v>
      </c>
      <c r="K810" s="417">
        <v>-14.6142</v>
      </c>
      <c r="L810" s="417">
        <v>-70.782799999999995</v>
      </c>
      <c r="M810" s="418">
        <v>30</v>
      </c>
      <c r="N810" s="418" t="s">
        <v>2310</v>
      </c>
      <c r="O810" s="418" t="s">
        <v>2953</v>
      </c>
      <c r="P810" s="415">
        <v>3</v>
      </c>
      <c r="Q810" s="415">
        <v>30</v>
      </c>
      <c r="R810" s="415">
        <v>5</v>
      </c>
      <c r="S810" s="415">
        <f t="shared" si="36"/>
        <v>5</v>
      </c>
      <c r="T810" s="419">
        <f t="shared" si="37"/>
        <v>0.83333333333333337</v>
      </c>
      <c r="U810" s="419">
        <f t="shared" si="38"/>
        <v>5.833333333333333</v>
      </c>
      <c r="V810" s="415" t="s">
        <v>662</v>
      </c>
      <c r="W810" s="415" t="s">
        <v>614</v>
      </c>
      <c r="X810" s="415" t="s">
        <v>671</v>
      </c>
      <c r="Y810" s="415"/>
    </row>
    <row r="811" spans="1:25" hidden="1" x14ac:dyDescent="0.25">
      <c r="A811" s="415">
        <v>810</v>
      </c>
      <c r="B811" s="415">
        <v>1209</v>
      </c>
      <c r="C811" s="415">
        <v>460836</v>
      </c>
      <c r="D811" s="416" t="s">
        <v>3332</v>
      </c>
      <c r="E811" s="416" t="s">
        <v>568</v>
      </c>
      <c r="F811" s="416" t="s">
        <v>571</v>
      </c>
      <c r="G811" s="416" t="s">
        <v>965</v>
      </c>
      <c r="H811" s="416" t="s">
        <v>965</v>
      </c>
      <c r="I811" s="416" t="s">
        <v>3333</v>
      </c>
      <c r="J811" s="415" t="s">
        <v>747</v>
      </c>
      <c r="K811" s="417">
        <v>-14.6073</v>
      </c>
      <c r="L811" s="417">
        <v>-70.788300000000007</v>
      </c>
      <c r="M811" s="418">
        <v>30</v>
      </c>
      <c r="N811" s="418" t="s">
        <v>2310</v>
      </c>
      <c r="O811" s="418" t="s">
        <v>2953</v>
      </c>
      <c r="P811" s="415">
        <v>3</v>
      </c>
      <c r="Q811" s="415">
        <v>30</v>
      </c>
      <c r="R811" s="415">
        <v>5</v>
      </c>
      <c r="S811" s="415">
        <f t="shared" si="36"/>
        <v>5</v>
      </c>
      <c r="T811" s="419">
        <f t="shared" si="37"/>
        <v>0.83333333333333337</v>
      </c>
      <c r="U811" s="419">
        <f t="shared" si="38"/>
        <v>5.833333333333333</v>
      </c>
      <c r="V811" s="415" t="s">
        <v>662</v>
      </c>
      <c r="W811" s="415" t="s">
        <v>614</v>
      </c>
      <c r="X811" s="415" t="s">
        <v>671</v>
      </c>
      <c r="Y811" s="415"/>
    </row>
    <row r="812" spans="1:25" hidden="1" x14ac:dyDescent="0.25">
      <c r="A812" s="415">
        <v>811</v>
      </c>
      <c r="B812" s="415">
        <v>1210</v>
      </c>
      <c r="C812" s="415">
        <v>460940</v>
      </c>
      <c r="D812" s="416" t="s">
        <v>3334</v>
      </c>
      <c r="E812" s="416" t="s">
        <v>568</v>
      </c>
      <c r="F812" s="416" t="s">
        <v>571</v>
      </c>
      <c r="G812" s="416" t="s">
        <v>965</v>
      </c>
      <c r="H812" s="416" t="s">
        <v>965</v>
      </c>
      <c r="I812" s="416" t="s">
        <v>3335</v>
      </c>
      <c r="J812" s="415" t="s">
        <v>747</v>
      </c>
      <c r="K812" s="417">
        <v>-14.61862</v>
      </c>
      <c r="L812" s="417">
        <v>-70.790220000000005</v>
      </c>
      <c r="M812" s="418">
        <v>30</v>
      </c>
      <c r="N812" s="418" t="s">
        <v>2310</v>
      </c>
      <c r="O812" s="418" t="s">
        <v>2953</v>
      </c>
      <c r="P812" s="415">
        <v>3</v>
      </c>
      <c r="Q812" s="415">
        <v>30</v>
      </c>
      <c r="R812" s="415">
        <v>5</v>
      </c>
      <c r="S812" s="415">
        <f t="shared" si="36"/>
        <v>5</v>
      </c>
      <c r="T812" s="419">
        <f t="shared" si="37"/>
        <v>0.83333333333333337</v>
      </c>
      <c r="U812" s="419">
        <f t="shared" si="38"/>
        <v>5.833333333333333</v>
      </c>
      <c r="V812" s="415" t="s">
        <v>662</v>
      </c>
      <c r="W812" s="415" t="s">
        <v>614</v>
      </c>
      <c r="X812" s="415" t="s">
        <v>671</v>
      </c>
      <c r="Y812" s="415"/>
    </row>
    <row r="813" spans="1:25" hidden="1" x14ac:dyDescent="0.25">
      <c r="A813" s="415">
        <v>812</v>
      </c>
      <c r="B813" s="415">
        <v>1211</v>
      </c>
      <c r="C813" s="415">
        <v>461119</v>
      </c>
      <c r="D813" s="416" t="s">
        <v>2115</v>
      </c>
      <c r="E813" s="416" t="s">
        <v>568</v>
      </c>
      <c r="F813" s="416" t="s">
        <v>571</v>
      </c>
      <c r="G813" s="416" t="s">
        <v>2115</v>
      </c>
      <c r="H813" s="416" t="s">
        <v>2115</v>
      </c>
      <c r="I813" s="416" t="s">
        <v>3336</v>
      </c>
      <c r="J813" s="415" t="s">
        <v>661</v>
      </c>
      <c r="K813" s="417">
        <v>-14.854799999999999</v>
      </c>
      <c r="L813" s="417">
        <v>-70.753399999999999</v>
      </c>
      <c r="M813" s="418">
        <v>30</v>
      </c>
      <c r="N813" s="418" t="s">
        <v>2310</v>
      </c>
      <c r="O813" s="418" t="s">
        <v>2953</v>
      </c>
      <c r="P813" s="415">
        <v>3</v>
      </c>
      <c r="Q813" s="415">
        <v>30</v>
      </c>
      <c r="R813" s="415">
        <v>5</v>
      </c>
      <c r="S813" s="415">
        <f t="shared" si="36"/>
        <v>5</v>
      </c>
      <c r="T813" s="419">
        <f t="shared" si="37"/>
        <v>0.83333333333333337</v>
      </c>
      <c r="U813" s="419">
        <f t="shared" si="38"/>
        <v>5.833333333333333</v>
      </c>
      <c r="V813" s="415" t="s">
        <v>662</v>
      </c>
      <c r="W813" s="415" t="s">
        <v>614</v>
      </c>
      <c r="X813" s="415" t="s">
        <v>671</v>
      </c>
      <c r="Y813" s="415"/>
    </row>
    <row r="814" spans="1:25" hidden="1" x14ac:dyDescent="0.25">
      <c r="A814" s="415">
        <v>813</v>
      </c>
      <c r="B814" s="415">
        <v>1212</v>
      </c>
      <c r="C814" s="415">
        <v>461954</v>
      </c>
      <c r="D814" s="416" t="s">
        <v>3337</v>
      </c>
      <c r="E814" s="416" t="s">
        <v>568</v>
      </c>
      <c r="F814" s="416" t="s">
        <v>576</v>
      </c>
      <c r="G814" s="416" t="s">
        <v>2116</v>
      </c>
      <c r="H814" s="416" t="s">
        <v>3338</v>
      </c>
      <c r="I814" s="416" t="s">
        <v>3339</v>
      </c>
      <c r="J814" s="415" t="s">
        <v>661</v>
      </c>
      <c r="K814" s="417">
        <v>-15.47049</v>
      </c>
      <c r="L814" s="417">
        <v>-69.385689999999997</v>
      </c>
      <c r="M814" s="418">
        <v>30</v>
      </c>
      <c r="N814" s="418" t="s">
        <v>2310</v>
      </c>
      <c r="O814" s="418" t="s">
        <v>2953</v>
      </c>
      <c r="P814" s="415">
        <v>3</v>
      </c>
      <c r="Q814" s="415">
        <v>30</v>
      </c>
      <c r="R814" s="415">
        <v>5</v>
      </c>
      <c r="S814" s="415">
        <f t="shared" si="36"/>
        <v>5</v>
      </c>
      <c r="T814" s="419">
        <f t="shared" si="37"/>
        <v>0.83333333333333337</v>
      </c>
      <c r="U814" s="419">
        <f t="shared" si="38"/>
        <v>5.833333333333333</v>
      </c>
      <c r="V814" s="415" t="s">
        <v>662</v>
      </c>
      <c r="W814" s="415" t="s">
        <v>614</v>
      </c>
      <c r="X814" s="415" t="s">
        <v>671</v>
      </c>
      <c r="Y814" s="415"/>
    </row>
    <row r="815" spans="1:25" hidden="1" x14ac:dyDescent="0.25">
      <c r="A815" s="415">
        <v>814</v>
      </c>
      <c r="B815" s="415">
        <v>1213</v>
      </c>
      <c r="C815" s="415">
        <v>462133</v>
      </c>
      <c r="D815" s="416" t="s">
        <v>3340</v>
      </c>
      <c r="E815" s="416" t="s">
        <v>568</v>
      </c>
      <c r="F815" s="416" t="s">
        <v>576</v>
      </c>
      <c r="G815" s="416" t="s">
        <v>2117</v>
      </c>
      <c r="H815" s="416" t="s">
        <v>3341</v>
      </c>
      <c r="I815" s="416" t="s">
        <v>3342</v>
      </c>
      <c r="J815" s="415" t="s">
        <v>661</v>
      </c>
      <c r="K815" s="417">
        <v>-15.524800000000001</v>
      </c>
      <c r="L815" s="417">
        <v>-69.341899999999995</v>
      </c>
      <c r="M815" s="418">
        <v>30</v>
      </c>
      <c r="N815" s="418" t="s">
        <v>2310</v>
      </c>
      <c r="O815" s="418" t="s">
        <v>2953</v>
      </c>
      <c r="P815" s="415">
        <v>3</v>
      </c>
      <c r="Q815" s="415">
        <v>30</v>
      </c>
      <c r="R815" s="415">
        <v>5</v>
      </c>
      <c r="S815" s="415">
        <f t="shared" si="36"/>
        <v>5</v>
      </c>
      <c r="T815" s="419">
        <f t="shared" si="37"/>
        <v>0.83333333333333337</v>
      </c>
      <c r="U815" s="419">
        <f t="shared" si="38"/>
        <v>5.833333333333333</v>
      </c>
      <c r="V815" s="415" t="s">
        <v>662</v>
      </c>
      <c r="W815" s="415" t="s">
        <v>614</v>
      </c>
      <c r="X815" s="415" t="s">
        <v>671</v>
      </c>
      <c r="Y815" s="415"/>
    </row>
    <row r="816" spans="1:25" hidden="1" x14ac:dyDescent="0.25">
      <c r="A816" s="415">
        <v>815</v>
      </c>
      <c r="B816" s="415">
        <v>1214</v>
      </c>
      <c r="C816" s="415">
        <v>442475</v>
      </c>
      <c r="D816" s="416" t="s">
        <v>3343</v>
      </c>
      <c r="E816" s="416" t="s">
        <v>568</v>
      </c>
      <c r="F816" s="416" t="s">
        <v>568</v>
      </c>
      <c r="G816" s="416" t="s">
        <v>3344</v>
      </c>
      <c r="H816" s="416" t="s">
        <v>3345</v>
      </c>
      <c r="I816" s="416" t="s">
        <v>3346</v>
      </c>
      <c r="J816" s="415" t="s">
        <v>661</v>
      </c>
      <c r="K816" s="417">
        <v>-16.071857000000001</v>
      </c>
      <c r="L816" s="417">
        <v>-69.683474000000004</v>
      </c>
      <c r="M816" s="418">
        <v>30</v>
      </c>
      <c r="N816" s="418" t="s">
        <v>2310</v>
      </c>
      <c r="O816" s="418" t="s">
        <v>2953</v>
      </c>
      <c r="P816" s="415">
        <v>3</v>
      </c>
      <c r="Q816" s="415">
        <v>30</v>
      </c>
      <c r="R816" s="415">
        <v>5</v>
      </c>
      <c r="S816" s="415">
        <f t="shared" si="36"/>
        <v>5</v>
      </c>
      <c r="T816" s="419">
        <f t="shared" si="37"/>
        <v>0.83333333333333337</v>
      </c>
      <c r="U816" s="419">
        <f t="shared" si="38"/>
        <v>5.833333333333333</v>
      </c>
      <c r="V816" s="415" t="s">
        <v>662</v>
      </c>
      <c r="W816" s="415" t="s">
        <v>614</v>
      </c>
      <c r="X816" s="415" t="s">
        <v>671</v>
      </c>
      <c r="Y816" s="415"/>
    </row>
    <row r="817" spans="1:25" hidden="1" x14ac:dyDescent="0.25">
      <c r="A817" s="415">
        <v>816</v>
      </c>
      <c r="B817" s="415">
        <v>1215</v>
      </c>
      <c r="C817" s="415">
        <v>442512</v>
      </c>
      <c r="D817" s="416" t="s">
        <v>3347</v>
      </c>
      <c r="E817" s="416" t="s">
        <v>568</v>
      </c>
      <c r="F817" s="416" t="s">
        <v>568</v>
      </c>
      <c r="G817" s="416" t="s">
        <v>3344</v>
      </c>
      <c r="H817" s="416" t="s">
        <v>3348</v>
      </c>
      <c r="I817" s="416" t="s">
        <v>3348</v>
      </c>
      <c r="J817" s="415" t="s">
        <v>661</v>
      </c>
      <c r="K817" s="417">
        <v>-15.967197000000001</v>
      </c>
      <c r="L817" s="417">
        <v>-69.824242999999996</v>
      </c>
      <c r="M817" s="418">
        <v>30</v>
      </c>
      <c r="N817" s="418" t="s">
        <v>2310</v>
      </c>
      <c r="O817" s="418" t="s">
        <v>2953</v>
      </c>
      <c r="P817" s="415">
        <v>3</v>
      </c>
      <c r="Q817" s="415">
        <v>30</v>
      </c>
      <c r="R817" s="415">
        <v>5</v>
      </c>
      <c r="S817" s="415">
        <f t="shared" si="36"/>
        <v>5</v>
      </c>
      <c r="T817" s="419">
        <f t="shared" si="37"/>
        <v>0.83333333333333337</v>
      </c>
      <c r="U817" s="419">
        <f t="shared" si="38"/>
        <v>5.833333333333333</v>
      </c>
      <c r="V817" s="415" t="s">
        <v>662</v>
      </c>
      <c r="W817" s="415" t="s">
        <v>614</v>
      </c>
      <c r="X817" s="415" t="s">
        <v>671</v>
      </c>
      <c r="Y817" s="415"/>
    </row>
    <row r="818" spans="1:25" hidden="1" x14ac:dyDescent="0.25">
      <c r="A818" s="415">
        <v>817</v>
      </c>
      <c r="B818" s="415">
        <v>1216</v>
      </c>
      <c r="C818" s="415">
        <v>442767</v>
      </c>
      <c r="D818" s="416" t="s">
        <v>1963</v>
      </c>
      <c r="E818" s="416" t="s">
        <v>568</v>
      </c>
      <c r="F818" s="416" t="s">
        <v>568</v>
      </c>
      <c r="G818" s="416" t="s">
        <v>3344</v>
      </c>
      <c r="H818" s="416" t="s">
        <v>3349</v>
      </c>
      <c r="I818" s="416" t="s">
        <v>3350</v>
      </c>
      <c r="J818" s="415" t="s">
        <v>661</v>
      </c>
      <c r="K818" s="417">
        <v>-16.024312999999999</v>
      </c>
      <c r="L818" s="417">
        <v>-69.740702999999996</v>
      </c>
      <c r="M818" s="418">
        <v>30</v>
      </c>
      <c r="N818" s="418" t="s">
        <v>2310</v>
      </c>
      <c r="O818" s="418" t="s">
        <v>2953</v>
      </c>
      <c r="P818" s="415">
        <v>3</v>
      </c>
      <c r="Q818" s="415">
        <v>30</v>
      </c>
      <c r="R818" s="415">
        <v>5</v>
      </c>
      <c r="S818" s="415">
        <f t="shared" si="36"/>
        <v>5</v>
      </c>
      <c r="T818" s="419">
        <f t="shared" si="37"/>
        <v>0.83333333333333337</v>
      </c>
      <c r="U818" s="419">
        <f t="shared" si="38"/>
        <v>5.833333333333333</v>
      </c>
      <c r="V818" s="415" t="s">
        <v>662</v>
      </c>
      <c r="W818" s="415" t="s">
        <v>614</v>
      </c>
      <c r="X818" s="415" t="s">
        <v>671</v>
      </c>
      <c r="Y818" s="415"/>
    </row>
    <row r="819" spans="1:25" hidden="1" x14ac:dyDescent="0.25">
      <c r="A819" s="415">
        <v>818</v>
      </c>
      <c r="B819" s="415">
        <v>1217</v>
      </c>
      <c r="C819" s="415">
        <v>443007</v>
      </c>
      <c r="D819" s="416" t="s">
        <v>2029</v>
      </c>
      <c r="E819" s="416" t="s">
        <v>568</v>
      </c>
      <c r="F819" s="416" t="s">
        <v>568</v>
      </c>
      <c r="G819" s="416" t="s">
        <v>2030</v>
      </c>
      <c r="H819" s="416" t="s">
        <v>2031</v>
      </c>
      <c r="I819" s="416" t="s">
        <v>2031</v>
      </c>
      <c r="J819" s="415" t="s">
        <v>661</v>
      </c>
      <c r="K819" s="417">
        <v>-15.658213</v>
      </c>
      <c r="L819" s="417">
        <v>-69.705393999999998</v>
      </c>
      <c r="M819" s="418">
        <v>30</v>
      </c>
      <c r="N819" s="418" t="s">
        <v>2310</v>
      </c>
      <c r="O819" s="418" t="s">
        <v>2953</v>
      </c>
      <c r="P819" s="415">
        <v>3</v>
      </c>
      <c r="Q819" s="415">
        <v>30</v>
      </c>
      <c r="R819" s="415">
        <v>5</v>
      </c>
      <c r="S819" s="415">
        <f t="shared" si="36"/>
        <v>5</v>
      </c>
      <c r="T819" s="419">
        <f t="shared" si="37"/>
        <v>0.83333333333333337</v>
      </c>
      <c r="U819" s="419">
        <f t="shared" si="38"/>
        <v>5.833333333333333</v>
      </c>
      <c r="V819" s="415" t="s">
        <v>662</v>
      </c>
      <c r="W819" s="415" t="s">
        <v>614</v>
      </c>
      <c r="X819" s="415" t="s">
        <v>671</v>
      </c>
      <c r="Y819" s="415"/>
    </row>
    <row r="820" spans="1:25" hidden="1" x14ac:dyDescent="0.25">
      <c r="A820" s="415">
        <v>819</v>
      </c>
      <c r="B820" s="415">
        <v>1218</v>
      </c>
      <c r="C820" s="415">
        <v>443045</v>
      </c>
      <c r="D820" s="416" t="s">
        <v>3351</v>
      </c>
      <c r="E820" s="416" t="s">
        <v>568</v>
      </c>
      <c r="F820" s="416" t="s">
        <v>568</v>
      </c>
      <c r="G820" s="416" t="s">
        <v>2030</v>
      </c>
      <c r="H820" s="416" t="s">
        <v>3351</v>
      </c>
      <c r="I820" s="416" t="s">
        <v>3352</v>
      </c>
      <c r="J820" s="415" t="s">
        <v>661</v>
      </c>
      <c r="K820" s="417">
        <v>-15.767730999999999</v>
      </c>
      <c r="L820" s="417">
        <v>-69.683943999999997</v>
      </c>
      <c r="M820" s="418">
        <v>30</v>
      </c>
      <c r="N820" s="418" t="s">
        <v>2310</v>
      </c>
      <c r="O820" s="418" t="s">
        <v>2953</v>
      </c>
      <c r="P820" s="415">
        <v>3</v>
      </c>
      <c r="Q820" s="415">
        <v>30</v>
      </c>
      <c r="R820" s="415">
        <v>5</v>
      </c>
      <c r="S820" s="415">
        <f t="shared" si="36"/>
        <v>5</v>
      </c>
      <c r="T820" s="419">
        <f t="shared" si="37"/>
        <v>0.83333333333333337</v>
      </c>
      <c r="U820" s="419">
        <f t="shared" si="38"/>
        <v>5.833333333333333</v>
      </c>
      <c r="V820" s="415" t="s">
        <v>662</v>
      </c>
      <c r="W820" s="415" t="s">
        <v>614</v>
      </c>
      <c r="X820" s="415" t="s">
        <v>671</v>
      </c>
      <c r="Y820" s="415"/>
    </row>
    <row r="821" spans="1:25" hidden="1" x14ac:dyDescent="0.25">
      <c r="A821" s="415">
        <v>820</v>
      </c>
      <c r="B821" s="415">
        <v>1219</v>
      </c>
      <c r="C821" s="415">
        <v>639212</v>
      </c>
      <c r="D821" s="416" t="s">
        <v>3353</v>
      </c>
      <c r="E821" s="416" t="s">
        <v>568</v>
      </c>
      <c r="F821" s="416" t="s">
        <v>568</v>
      </c>
      <c r="G821" s="416" t="s">
        <v>2032</v>
      </c>
      <c r="H821" s="416" t="s">
        <v>3354</v>
      </c>
      <c r="I821" s="416" t="s">
        <v>3353</v>
      </c>
      <c r="J821" s="415" t="s">
        <v>661</v>
      </c>
      <c r="K821" s="417">
        <v>-15.697198999999999</v>
      </c>
      <c r="L821" s="417">
        <v>-70.187595999999999</v>
      </c>
      <c r="M821" s="418">
        <v>30</v>
      </c>
      <c r="N821" s="418" t="s">
        <v>2310</v>
      </c>
      <c r="O821" s="418" t="s">
        <v>2953</v>
      </c>
      <c r="P821" s="415">
        <v>3</v>
      </c>
      <c r="Q821" s="415">
        <v>30</v>
      </c>
      <c r="R821" s="415">
        <v>5</v>
      </c>
      <c r="S821" s="415">
        <f t="shared" si="36"/>
        <v>5</v>
      </c>
      <c r="T821" s="419">
        <f t="shared" si="37"/>
        <v>0.83333333333333337</v>
      </c>
      <c r="U821" s="419">
        <f t="shared" si="38"/>
        <v>5.833333333333333</v>
      </c>
      <c r="V821" s="415" t="s">
        <v>662</v>
      </c>
      <c r="W821" s="415" t="s">
        <v>614</v>
      </c>
      <c r="X821" s="415" t="s">
        <v>671</v>
      </c>
      <c r="Y821" s="415"/>
    </row>
    <row r="822" spans="1:25" hidden="1" x14ac:dyDescent="0.25">
      <c r="A822" s="415">
        <v>821</v>
      </c>
      <c r="B822" s="415">
        <v>1220</v>
      </c>
      <c r="C822" s="415">
        <v>443234</v>
      </c>
      <c r="D822" s="416" t="s">
        <v>2033</v>
      </c>
      <c r="E822" s="416" t="s">
        <v>568</v>
      </c>
      <c r="F822" s="416" t="s">
        <v>568</v>
      </c>
      <c r="G822" s="416" t="s">
        <v>2034</v>
      </c>
      <c r="H822" s="416" t="s">
        <v>2035</v>
      </c>
      <c r="I822" s="416" t="s">
        <v>2035</v>
      </c>
      <c r="J822" s="415" t="s">
        <v>661</v>
      </c>
      <c r="K822" s="417">
        <v>-15.670999999999999</v>
      </c>
      <c r="L822" s="417">
        <v>-69.848799999999997</v>
      </c>
      <c r="M822" s="418">
        <v>30</v>
      </c>
      <c r="N822" s="418" t="s">
        <v>2310</v>
      </c>
      <c r="O822" s="418" t="s">
        <v>2953</v>
      </c>
      <c r="P822" s="415">
        <v>3</v>
      </c>
      <c r="Q822" s="415">
        <v>30</v>
      </c>
      <c r="R822" s="415">
        <v>5</v>
      </c>
      <c r="S822" s="415">
        <f t="shared" si="36"/>
        <v>5</v>
      </c>
      <c r="T822" s="419">
        <f t="shared" si="37"/>
        <v>0.83333333333333337</v>
      </c>
      <c r="U822" s="419">
        <f t="shared" si="38"/>
        <v>5.833333333333333</v>
      </c>
      <c r="V822" s="415" t="s">
        <v>662</v>
      </c>
      <c r="W822" s="415" t="s">
        <v>614</v>
      </c>
      <c r="X822" s="415" t="s">
        <v>671</v>
      </c>
      <c r="Y822" s="415"/>
    </row>
    <row r="823" spans="1:25" hidden="1" x14ac:dyDescent="0.25">
      <c r="A823" s="415">
        <v>822</v>
      </c>
      <c r="B823" s="415">
        <v>1221</v>
      </c>
      <c r="C823" s="415">
        <v>443620</v>
      </c>
      <c r="D823" s="416" t="s">
        <v>3355</v>
      </c>
      <c r="E823" s="416" t="s">
        <v>568</v>
      </c>
      <c r="F823" s="416" t="s">
        <v>568</v>
      </c>
      <c r="G823" s="416" t="s">
        <v>579</v>
      </c>
      <c r="H823" s="416" t="s">
        <v>579</v>
      </c>
      <c r="I823" s="416" t="s">
        <v>3356</v>
      </c>
      <c r="J823" s="415" t="s">
        <v>661</v>
      </c>
      <c r="K823" s="417">
        <v>-15.8935</v>
      </c>
      <c r="L823" s="417">
        <v>-69.889539999999997</v>
      </c>
      <c r="M823" s="418">
        <v>30</v>
      </c>
      <c r="N823" s="418" t="s">
        <v>2310</v>
      </c>
      <c r="O823" s="418" t="s">
        <v>2953</v>
      </c>
      <c r="P823" s="415">
        <v>3</v>
      </c>
      <c r="Q823" s="415">
        <v>30</v>
      </c>
      <c r="R823" s="415">
        <v>5</v>
      </c>
      <c r="S823" s="415">
        <f t="shared" si="36"/>
        <v>5</v>
      </c>
      <c r="T823" s="419">
        <f t="shared" si="37"/>
        <v>0.83333333333333337</v>
      </c>
      <c r="U823" s="419">
        <f t="shared" si="38"/>
        <v>5.833333333333333</v>
      </c>
      <c r="V823" s="415" t="s">
        <v>662</v>
      </c>
      <c r="W823" s="415" t="s">
        <v>614</v>
      </c>
      <c r="X823" s="415" t="s">
        <v>671</v>
      </c>
      <c r="Y823" s="415"/>
    </row>
    <row r="824" spans="1:25" hidden="1" x14ac:dyDescent="0.25">
      <c r="A824" s="415">
        <v>823</v>
      </c>
      <c r="B824" s="415">
        <v>1222</v>
      </c>
      <c r="C824" s="415">
        <v>444016</v>
      </c>
      <c r="D824" s="416" t="s">
        <v>2037</v>
      </c>
      <c r="E824" s="416" t="s">
        <v>568</v>
      </c>
      <c r="F824" s="416" t="s">
        <v>568</v>
      </c>
      <c r="G824" s="416" t="s">
        <v>2038</v>
      </c>
      <c r="H824" s="416" t="s">
        <v>2039</v>
      </c>
      <c r="I824" s="416" t="s">
        <v>2039</v>
      </c>
      <c r="J824" s="415" t="s">
        <v>661</v>
      </c>
      <c r="K824" s="417">
        <v>-15.984578000000001</v>
      </c>
      <c r="L824" s="417">
        <v>-70.503961000000004</v>
      </c>
      <c r="M824" s="418">
        <v>30</v>
      </c>
      <c r="N824" s="418" t="s">
        <v>2310</v>
      </c>
      <c r="O824" s="418" t="s">
        <v>2953</v>
      </c>
      <c r="P824" s="415">
        <v>3</v>
      </c>
      <c r="Q824" s="415">
        <v>30</v>
      </c>
      <c r="R824" s="415">
        <v>5</v>
      </c>
      <c r="S824" s="415">
        <f t="shared" si="36"/>
        <v>5</v>
      </c>
      <c r="T824" s="419">
        <f t="shared" si="37"/>
        <v>0.83333333333333337</v>
      </c>
      <c r="U824" s="419">
        <f t="shared" si="38"/>
        <v>5.833333333333333</v>
      </c>
      <c r="V824" s="415" t="s">
        <v>662</v>
      </c>
      <c r="W824" s="415" t="s">
        <v>614</v>
      </c>
      <c r="X824" s="415" t="s">
        <v>671</v>
      </c>
      <c r="Y824" s="415"/>
    </row>
    <row r="825" spans="1:25" hidden="1" x14ac:dyDescent="0.25">
      <c r="A825" s="415">
        <v>824</v>
      </c>
      <c r="B825" s="415">
        <v>1223</v>
      </c>
      <c r="C825" s="415">
        <v>444592</v>
      </c>
      <c r="D825" s="416" t="s">
        <v>3357</v>
      </c>
      <c r="E825" s="416" t="s">
        <v>568</v>
      </c>
      <c r="F825" s="416" t="s">
        <v>568</v>
      </c>
      <c r="G825" s="416" t="s">
        <v>2040</v>
      </c>
      <c r="H825" s="416" t="s">
        <v>2040</v>
      </c>
      <c r="I825" s="416" t="s">
        <v>3358</v>
      </c>
      <c r="J825" s="415" t="s">
        <v>661</v>
      </c>
      <c r="K825" s="417">
        <v>-15.94699</v>
      </c>
      <c r="L825" s="417">
        <v>-69.834339999999997</v>
      </c>
      <c r="M825" s="418">
        <v>30</v>
      </c>
      <c r="N825" s="418" t="s">
        <v>2310</v>
      </c>
      <c r="O825" s="418" t="s">
        <v>2953</v>
      </c>
      <c r="P825" s="415">
        <v>3</v>
      </c>
      <c r="Q825" s="415">
        <v>30</v>
      </c>
      <c r="R825" s="415">
        <v>5</v>
      </c>
      <c r="S825" s="415">
        <f t="shared" si="36"/>
        <v>5</v>
      </c>
      <c r="T825" s="419">
        <f t="shared" si="37"/>
        <v>0.83333333333333337</v>
      </c>
      <c r="U825" s="419">
        <f t="shared" si="38"/>
        <v>5.833333333333333</v>
      </c>
      <c r="V825" s="415" t="s">
        <v>662</v>
      </c>
      <c r="W825" s="415" t="s">
        <v>614</v>
      </c>
      <c r="X825" s="415" t="s">
        <v>671</v>
      </c>
      <c r="Y825" s="415"/>
    </row>
    <row r="826" spans="1:25" hidden="1" x14ac:dyDescent="0.25">
      <c r="A826" s="415">
        <v>825</v>
      </c>
      <c r="B826" s="415">
        <v>1224</v>
      </c>
      <c r="C826" s="415">
        <v>444573</v>
      </c>
      <c r="D826" s="416" t="s">
        <v>3359</v>
      </c>
      <c r="E826" s="416" t="s">
        <v>568</v>
      </c>
      <c r="F826" s="416" t="s">
        <v>568</v>
      </c>
      <c r="G826" s="416" t="s">
        <v>2040</v>
      </c>
      <c r="H826" s="416" t="s">
        <v>3360</v>
      </c>
      <c r="I826" s="416" t="s">
        <v>3360</v>
      </c>
      <c r="J826" s="415" t="s">
        <v>661</v>
      </c>
      <c r="K826" s="417">
        <v>-15.947683</v>
      </c>
      <c r="L826" s="417">
        <v>-69.846091999999999</v>
      </c>
      <c r="M826" s="418">
        <v>30</v>
      </c>
      <c r="N826" s="418" t="s">
        <v>2310</v>
      </c>
      <c r="O826" s="418" t="s">
        <v>2953</v>
      </c>
      <c r="P826" s="415">
        <v>3</v>
      </c>
      <c r="Q826" s="415">
        <v>30</v>
      </c>
      <c r="R826" s="415">
        <v>5</v>
      </c>
      <c r="S826" s="415">
        <f t="shared" si="36"/>
        <v>5</v>
      </c>
      <c r="T826" s="419">
        <f t="shared" si="37"/>
        <v>0.83333333333333337</v>
      </c>
      <c r="U826" s="419">
        <f t="shared" si="38"/>
        <v>5.833333333333333</v>
      </c>
      <c r="V826" s="415" t="s">
        <v>662</v>
      </c>
      <c r="W826" s="415" t="s">
        <v>614</v>
      </c>
      <c r="X826" s="415" t="s">
        <v>671</v>
      </c>
      <c r="Y826" s="415"/>
    </row>
    <row r="827" spans="1:25" hidden="1" x14ac:dyDescent="0.25">
      <c r="A827" s="415">
        <v>826</v>
      </c>
      <c r="B827" s="415">
        <v>1225</v>
      </c>
      <c r="C827" s="415">
        <v>441598</v>
      </c>
      <c r="D827" s="416" t="s">
        <v>3361</v>
      </c>
      <c r="E827" s="416" t="s">
        <v>568</v>
      </c>
      <c r="F827" s="416" t="s">
        <v>568</v>
      </c>
      <c r="G827" s="416" t="s">
        <v>568</v>
      </c>
      <c r="H827" s="416" t="s">
        <v>3362</v>
      </c>
      <c r="I827" s="416" t="s">
        <v>3363</v>
      </c>
      <c r="J827" s="415" t="s">
        <v>747</v>
      </c>
      <c r="K827" s="417">
        <v>-15.818389</v>
      </c>
      <c r="L827" s="417">
        <v>-70.050602999999995</v>
      </c>
      <c r="M827" s="418">
        <v>30</v>
      </c>
      <c r="N827" s="418" t="s">
        <v>2310</v>
      </c>
      <c r="O827" s="418" t="s">
        <v>2953</v>
      </c>
      <c r="P827" s="415">
        <v>3</v>
      </c>
      <c r="Q827" s="415">
        <v>30</v>
      </c>
      <c r="R827" s="415">
        <v>5</v>
      </c>
      <c r="S827" s="415">
        <f t="shared" si="36"/>
        <v>5</v>
      </c>
      <c r="T827" s="419">
        <f t="shared" si="37"/>
        <v>0.83333333333333337</v>
      </c>
      <c r="U827" s="419">
        <f t="shared" si="38"/>
        <v>5.833333333333333</v>
      </c>
      <c r="V827" s="415" t="s">
        <v>662</v>
      </c>
      <c r="W827" s="415" t="s">
        <v>614</v>
      </c>
      <c r="X827" s="415" t="s">
        <v>671</v>
      </c>
      <c r="Y827" s="415"/>
    </row>
    <row r="828" spans="1:25" hidden="1" x14ac:dyDescent="0.25">
      <c r="A828" s="415">
        <v>827</v>
      </c>
      <c r="B828" s="415">
        <v>1226</v>
      </c>
      <c r="C828" s="415">
        <v>441447</v>
      </c>
      <c r="D828" s="416" t="s">
        <v>3364</v>
      </c>
      <c r="E828" s="416" t="s">
        <v>568</v>
      </c>
      <c r="F828" s="416" t="s">
        <v>568</v>
      </c>
      <c r="G828" s="416" t="s">
        <v>568</v>
      </c>
      <c r="H828" s="416" t="s">
        <v>3365</v>
      </c>
      <c r="I828" s="416" t="s">
        <v>3365</v>
      </c>
      <c r="J828" s="415" t="s">
        <v>747</v>
      </c>
      <c r="K828" s="417">
        <v>-15.883056</v>
      </c>
      <c r="L828" s="417">
        <v>-69.970868999999993</v>
      </c>
      <c r="M828" s="418">
        <v>30</v>
      </c>
      <c r="N828" s="418" t="s">
        <v>2310</v>
      </c>
      <c r="O828" s="418" t="s">
        <v>2953</v>
      </c>
      <c r="P828" s="415">
        <v>3</v>
      </c>
      <c r="Q828" s="415">
        <v>30</v>
      </c>
      <c r="R828" s="415">
        <v>5</v>
      </c>
      <c r="S828" s="415">
        <f t="shared" si="36"/>
        <v>5</v>
      </c>
      <c r="T828" s="419">
        <f t="shared" si="37"/>
        <v>0.83333333333333337</v>
      </c>
      <c r="U828" s="419">
        <f t="shared" si="38"/>
        <v>5.833333333333333</v>
      </c>
      <c r="V828" s="415" t="s">
        <v>662</v>
      </c>
      <c r="W828" s="415" t="s">
        <v>614</v>
      </c>
      <c r="X828" s="415" t="s">
        <v>671</v>
      </c>
      <c r="Y828" s="415"/>
    </row>
    <row r="829" spans="1:25" hidden="1" x14ac:dyDescent="0.25">
      <c r="A829" s="415">
        <v>828</v>
      </c>
      <c r="B829" s="415">
        <v>1227</v>
      </c>
      <c r="C829" s="415">
        <v>441720</v>
      </c>
      <c r="D829" s="416" t="s">
        <v>3366</v>
      </c>
      <c r="E829" s="416" t="s">
        <v>568</v>
      </c>
      <c r="F829" s="416" t="s">
        <v>568</v>
      </c>
      <c r="G829" s="416" t="s">
        <v>568</v>
      </c>
      <c r="H829" s="416" t="s">
        <v>3365</v>
      </c>
      <c r="I829" s="416" t="s">
        <v>3365</v>
      </c>
      <c r="J829" s="415" t="s">
        <v>747</v>
      </c>
      <c r="K829" s="417">
        <v>-15.88053</v>
      </c>
      <c r="L829" s="417">
        <v>-69.970245000000006</v>
      </c>
      <c r="M829" s="418">
        <v>30</v>
      </c>
      <c r="N829" s="418" t="s">
        <v>2310</v>
      </c>
      <c r="O829" s="418" t="s">
        <v>2953</v>
      </c>
      <c r="P829" s="415">
        <v>3</v>
      </c>
      <c r="Q829" s="415">
        <v>30</v>
      </c>
      <c r="R829" s="415">
        <v>5</v>
      </c>
      <c r="S829" s="415">
        <f t="shared" si="36"/>
        <v>5</v>
      </c>
      <c r="T829" s="419">
        <f t="shared" si="37"/>
        <v>0.83333333333333337</v>
      </c>
      <c r="U829" s="419">
        <f t="shared" si="38"/>
        <v>5.833333333333333</v>
      </c>
      <c r="V829" s="415" t="s">
        <v>662</v>
      </c>
      <c r="W829" s="415" t="s">
        <v>614</v>
      </c>
      <c r="X829" s="415" t="s">
        <v>671</v>
      </c>
      <c r="Y829" s="415"/>
    </row>
    <row r="830" spans="1:25" hidden="1" x14ac:dyDescent="0.25">
      <c r="A830" s="415">
        <v>829</v>
      </c>
      <c r="B830" s="415">
        <v>1228</v>
      </c>
      <c r="C830" s="415">
        <v>441353</v>
      </c>
      <c r="D830" s="416" t="s">
        <v>3367</v>
      </c>
      <c r="E830" s="416" t="s">
        <v>568</v>
      </c>
      <c r="F830" s="416" t="s">
        <v>568</v>
      </c>
      <c r="G830" s="416" t="s">
        <v>568</v>
      </c>
      <c r="H830" s="416" t="s">
        <v>3368</v>
      </c>
      <c r="I830" s="416" t="s">
        <v>3369</v>
      </c>
      <c r="J830" s="415" t="s">
        <v>747</v>
      </c>
      <c r="K830" s="417">
        <v>-15.837182</v>
      </c>
      <c r="L830" s="417">
        <v>-70.018961000000004</v>
      </c>
      <c r="M830" s="418">
        <v>30</v>
      </c>
      <c r="N830" s="418" t="s">
        <v>2310</v>
      </c>
      <c r="O830" s="418" t="s">
        <v>2953</v>
      </c>
      <c r="P830" s="415">
        <v>3</v>
      </c>
      <c r="Q830" s="415">
        <v>30</v>
      </c>
      <c r="R830" s="415">
        <v>5</v>
      </c>
      <c r="S830" s="415">
        <f t="shared" si="36"/>
        <v>5</v>
      </c>
      <c r="T830" s="419">
        <f t="shared" si="37"/>
        <v>0.83333333333333337</v>
      </c>
      <c r="U830" s="419">
        <f t="shared" si="38"/>
        <v>5.833333333333333</v>
      </c>
      <c r="V830" s="415" t="s">
        <v>662</v>
      </c>
      <c r="W830" s="415" t="s">
        <v>614</v>
      </c>
      <c r="X830" s="415" t="s">
        <v>671</v>
      </c>
      <c r="Y830" s="415"/>
    </row>
    <row r="831" spans="1:25" hidden="1" x14ac:dyDescent="0.25">
      <c r="A831" s="415">
        <v>830</v>
      </c>
      <c r="B831" s="415">
        <v>1229</v>
      </c>
      <c r="C831" s="415">
        <v>462449</v>
      </c>
      <c r="D831" s="416" t="s">
        <v>766</v>
      </c>
      <c r="E831" s="416" t="s">
        <v>568</v>
      </c>
      <c r="F831" s="416" t="s">
        <v>573</v>
      </c>
      <c r="G831" s="416" t="s">
        <v>2283</v>
      </c>
      <c r="H831" s="416" t="s">
        <v>3370</v>
      </c>
      <c r="I831" s="416" t="s">
        <v>1450</v>
      </c>
      <c r="J831" s="415" t="s">
        <v>747</v>
      </c>
      <c r="K831" s="417">
        <v>-14.906090000000001</v>
      </c>
      <c r="L831" s="417">
        <v>-69.865309999999994</v>
      </c>
      <c r="M831" s="418">
        <v>30</v>
      </c>
      <c r="N831" s="418" t="s">
        <v>2310</v>
      </c>
      <c r="O831" s="418" t="s">
        <v>2953</v>
      </c>
      <c r="P831" s="415">
        <v>3</v>
      </c>
      <c r="Q831" s="415">
        <v>30</v>
      </c>
      <c r="R831" s="415">
        <v>5</v>
      </c>
      <c r="S831" s="415">
        <f t="shared" si="36"/>
        <v>5</v>
      </c>
      <c r="T831" s="419">
        <f t="shared" si="37"/>
        <v>0.83333333333333337</v>
      </c>
      <c r="U831" s="419">
        <f t="shared" si="38"/>
        <v>5.833333333333333</v>
      </c>
      <c r="V831" s="415" t="s">
        <v>662</v>
      </c>
      <c r="W831" s="415" t="s">
        <v>614</v>
      </c>
      <c r="X831" s="415" t="s">
        <v>671</v>
      </c>
      <c r="Y831" s="415"/>
    </row>
    <row r="832" spans="1:25" hidden="1" x14ac:dyDescent="0.25">
      <c r="A832" s="415">
        <v>831</v>
      </c>
      <c r="B832" s="415">
        <v>1230</v>
      </c>
      <c r="C832" s="415">
        <v>794444</v>
      </c>
      <c r="D832" s="416" t="s">
        <v>3371</v>
      </c>
      <c r="E832" s="416" t="s">
        <v>568</v>
      </c>
      <c r="F832" s="416" t="s">
        <v>574</v>
      </c>
      <c r="G832" s="416" t="s">
        <v>472</v>
      </c>
      <c r="H832" s="416" t="s">
        <v>3372</v>
      </c>
      <c r="I832" s="416" t="s">
        <v>3373</v>
      </c>
      <c r="J832" s="415" t="s">
        <v>747</v>
      </c>
      <c r="K832" s="417">
        <v>-15.464919999999999</v>
      </c>
      <c r="L832" s="417">
        <v>-70.134500000000003</v>
      </c>
      <c r="M832" s="418">
        <v>30</v>
      </c>
      <c r="N832" s="418" t="s">
        <v>2310</v>
      </c>
      <c r="O832" s="418" t="s">
        <v>2953</v>
      </c>
      <c r="P832" s="415">
        <v>3</v>
      </c>
      <c r="Q832" s="415">
        <v>30</v>
      </c>
      <c r="R832" s="415">
        <v>5</v>
      </c>
      <c r="S832" s="415">
        <f t="shared" si="36"/>
        <v>5</v>
      </c>
      <c r="T832" s="419">
        <f t="shared" si="37"/>
        <v>0.83333333333333337</v>
      </c>
      <c r="U832" s="419">
        <f t="shared" si="38"/>
        <v>5.833333333333333</v>
      </c>
      <c r="V832" s="415" t="s">
        <v>662</v>
      </c>
      <c r="W832" s="415" t="s">
        <v>614</v>
      </c>
      <c r="X832" s="415" t="s">
        <v>671</v>
      </c>
      <c r="Y832" s="415"/>
    </row>
    <row r="833" spans="1:25" hidden="1" x14ac:dyDescent="0.25">
      <c r="A833" s="415">
        <v>832</v>
      </c>
      <c r="B833" s="415">
        <v>1231</v>
      </c>
      <c r="C833" s="415">
        <v>463830</v>
      </c>
      <c r="D833" s="416" t="s">
        <v>3374</v>
      </c>
      <c r="E833" s="416" t="s">
        <v>568</v>
      </c>
      <c r="F833" s="416" t="s">
        <v>574</v>
      </c>
      <c r="G833" s="416" t="s">
        <v>472</v>
      </c>
      <c r="H833" s="416" t="s">
        <v>3375</v>
      </c>
      <c r="I833" s="416" t="s">
        <v>3376</v>
      </c>
      <c r="J833" s="415" t="s">
        <v>747</v>
      </c>
      <c r="K833" s="417">
        <v>-15.45378</v>
      </c>
      <c r="L833" s="417">
        <v>-70.09966</v>
      </c>
      <c r="M833" s="418">
        <v>30</v>
      </c>
      <c r="N833" s="418" t="s">
        <v>2310</v>
      </c>
      <c r="O833" s="418" t="s">
        <v>2953</v>
      </c>
      <c r="P833" s="415">
        <v>3</v>
      </c>
      <c r="Q833" s="415">
        <v>30</v>
      </c>
      <c r="R833" s="415">
        <v>5</v>
      </c>
      <c r="S833" s="415">
        <f t="shared" si="36"/>
        <v>5</v>
      </c>
      <c r="T833" s="419">
        <f t="shared" si="37"/>
        <v>0.83333333333333337</v>
      </c>
      <c r="U833" s="419">
        <f t="shared" si="38"/>
        <v>5.833333333333333</v>
      </c>
      <c r="V833" s="415" t="s">
        <v>662</v>
      </c>
      <c r="W833" s="415" t="s">
        <v>614</v>
      </c>
      <c r="X833" s="415" t="s">
        <v>671</v>
      </c>
      <c r="Y833" s="415"/>
    </row>
    <row r="834" spans="1:25" hidden="1" x14ac:dyDescent="0.25">
      <c r="A834" s="415">
        <v>833</v>
      </c>
      <c r="B834" s="415">
        <v>1232</v>
      </c>
      <c r="C834" s="415">
        <v>466188</v>
      </c>
      <c r="D834" s="416" t="s">
        <v>2036</v>
      </c>
      <c r="E834" s="416" t="s">
        <v>568</v>
      </c>
      <c r="F834" s="416" t="s">
        <v>570</v>
      </c>
      <c r="G834" s="416" t="s">
        <v>2118</v>
      </c>
      <c r="H834" s="416" t="s">
        <v>2119</v>
      </c>
      <c r="I834" s="416" t="s">
        <v>2120</v>
      </c>
      <c r="J834" s="415" t="s">
        <v>661</v>
      </c>
      <c r="K834" s="417">
        <v>-14.377062</v>
      </c>
      <c r="L834" s="417">
        <v>-69.663373000000007</v>
      </c>
      <c r="M834" s="418">
        <v>30</v>
      </c>
      <c r="N834" s="418" t="s">
        <v>2310</v>
      </c>
      <c r="O834" s="418" t="s">
        <v>2953</v>
      </c>
      <c r="P834" s="415">
        <v>3</v>
      </c>
      <c r="Q834" s="415">
        <v>30</v>
      </c>
      <c r="R834" s="415">
        <v>5</v>
      </c>
      <c r="S834" s="415">
        <f t="shared" si="36"/>
        <v>5</v>
      </c>
      <c r="T834" s="419">
        <f t="shared" si="37"/>
        <v>0.83333333333333337</v>
      </c>
      <c r="U834" s="419">
        <f t="shared" si="38"/>
        <v>5.833333333333333</v>
      </c>
      <c r="V834" s="415" t="s">
        <v>662</v>
      </c>
      <c r="W834" s="415" t="s">
        <v>614</v>
      </c>
      <c r="X834" s="415" t="s">
        <v>671</v>
      </c>
      <c r="Y834" s="415"/>
    </row>
    <row r="835" spans="1:25" hidden="1" x14ac:dyDescent="0.25">
      <c r="A835" s="415">
        <v>834</v>
      </c>
      <c r="B835" s="415">
        <v>1233</v>
      </c>
      <c r="C835" s="415">
        <v>466254</v>
      </c>
      <c r="D835" s="416" t="s">
        <v>2121</v>
      </c>
      <c r="E835" s="416" t="s">
        <v>568</v>
      </c>
      <c r="F835" s="416" t="s">
        <v>570</v>
      </c>
      <c r="G835" s="416" t="s">
        <v>2118</v>
      </c>
      <c r="H835" s="416" t="s">
        <v>2122</v>
      </c>
      <c r="I835" s="416" t="s">
        <v>2123</v>
      </c>
      <c r="J835" s="415" t="s">
        <v>661</v>
      </c>
      <c r="K835" s="417">
        <v>-14.266826</v>
      </c>
      <c r="L835" s="417">
        <v>-69.596416000000005</v>
      </c>
      <c r="M835" s="418">
        <v>30</v>
      </c>
      <c r="N835" s="418" t="s">
        <v>2310</v>
      </c>
      <c r="O835" s="418" t="s">
        <v>2953</v>
      </c>
      <c r="P835" s="415">
        <v>3</v>
      </c>
      <c r="Q835" s="415">
        <v>30</v>
      </c>
      <c r="R835" s="415">
        <v>5</v>
      </c>
      <c r="S835" s="415">
        <f t="shared" ref="S835:S898" si="39">Q835/$AB$1</f>
        <v>5</v>
      </c>
      <c r="T835" s="419">
        <f t="shared" ref="T835:T898" si="40">R835/$AB$1</f>
        <v>0.83333333333333337</v>
      </c>
      <c r="U835" s="419">
        <f t="shared" ref="U835:U898" si="41">S835+T835</f>
        <v>5.833333333333333</v>
      </c>
      <c r="V835" s="415" t="s">
        <v>662</v>
      </c>
      <c r="W835" s="415" t="s">
        <v>614</v>
      </c>
      <c r="X835" s="415" t="s">
        <v>671</v>
      </c>
      <c r="Y835" s="415"/>
    </row>
    <row r="836" spans="1:25" x14ac:dyDescent="0.25">
      <c r="A836" s="415">
        <v>835</v>
      </c>
      <c r="B836" s="415">
        <v>1234</v>
      </c>
      <c r="C836" s="415">
        <v>467098</v>
      </c>
      <c r="D836" s="416" t="s">
        <v>873</v>
      </c>
      <c r="E836" s="416" t="s">
        <v>568</v>
      </c>
      <c r="F836" s="416" t="s">
        <v>570</v>
      </c>
      <c r="G836" s="416" t="s">
        <v>2124</v>
      </c>
      <c r="H836" s="416" t="s">
        <v>2124</v>
      </c>
      <c r="I836" s="416" t="s">
        <v>2124</v>
      </c>
      <c r="J836" s="415" t="s">
        <v>661</v>
      </c>
      <c r="K836" s="417">
        <v>-14.113574</v>
      </c>
      <c r="L836" s="417">
        <v>-69.045525999999995</v>
      </c>
      <c r="M836" s="418">
        <v>30</v>
      </c>
      <c r="N836" s="418" t="s">
        <v>2310</v>
      </c>
      <c r="O836" s="418" t="s">
        <v>2953</v>
      </c>
      <c r="P836" s="415">
        <v>3</v>
      </c>
      <c r="Q836" s="415">
        <v>30</v>
      </c>
      <c r="R836" s="415">
        <v>5</v>
      </c>
      <c r="S836" s="415">
        <f t="shared" si="39"/>
        <v>5</v>
      </c>
      <c r="T836" s="419">
        <f t="shared" si="40"/>
        <v>0.83333333333333337</v>
      </c>
      <c r="U836" s="419">
        <f t="shared" si="41"/>
        <v>5.833333333333333</v>
      </c>
      <c r="V836" s="415" t="s">
        <v>662</v>
      </c>
      <c r="W836" s="415" t="s">
        <v>614</v>
      </c>
      <c r="X836" s="415" t="s">
        <v>671</v>
      </c>
      <c r="Y836" s="415" t="s">
        <v>2377</v>
      </c>
    </row>
    <row r="837" spans="1:25" hidden="1" x14ac:dyDescent="0.25">
      <c r="A837" s="415">
        <v>836</v>
      </c>
      <c r="B837" s="415">
        <v>1235</v>
      </c>
      <c r="C837" s="415">
        <v>465551</v>
      </c>
      <c r="D837" s="416" t="s">
        <v>3377</v>
      </c>
      <c r="E837" s="416" t="s">
        <v>568</v>
      </c>
      <c r="F837" s="416" t="s">
        <v>570</v>
      </c>
      <c r="G837" s="416" t="s">
        <v>570</v>
      </c>
      <c r="H837" s="416" t="s">
        <v>3378</v>
      </c>
      <c r="I837" s="416" t="s">
        <v>3379</v>
      </c>
      <c r="J837" s="415" t="s">
        <v>661</v>
      </c>
      <c r="K837" s="417">
        <v>-14.317428</v>
      </c>
      <c r="L837" s="417">
        <v>-69.452689000000007</v>
      </c>
      <c r="M837" s="418">
        <v>30</v>
      </c>
      <c r="N837" s="418" t="s">
        <v>2310</v>
      </c>
      <c r="O837" s="418" t="s">
        <v>2953</v>
      </c>
      <c r="P837" s="415">
        <v>3</v>
      </c>
      <c r="Q837" s="415">
        <v>30</v>
      </c>
      <c r="R837" s="415">
        <v>5</v>
      </c>
      <c r="S837" s="415">
        <f t="shared" si="39"/>
        <v>5</v>
      </c>
      <c r="T837" s="419">
        <f t="shared" si="40"/>
        <v>0.83333333333333337</v>
      </c>
      <c r="U837" s="419">
        <f t="shared" si="41"/>
        <v>5.833333333333333</v>
      </c>
      <c r="V837" s="415" t="s">
        <v>662</v>
      </c>
      <c r="W837" s="415" t="s">
        <v>614</v>
      </c>
      <c r="X837" s="415" t="s">
        <v>671</v>
      </c>
      <c r="Y837" s="415"/>
    </row>
    <row r="838" spans="1:25" hidden="1" x14ac:dyDescent="0.25">
      <c r="A838" s="415">
        <v>837</v>
      </c>
      <c r="B838" s="415">
        <v>1236</v>
      </c>
      <c r="C838" s="415">
        <v>468352</v>
      </c>
      <c r="D838" s="416" t="s">
        <v>1667</v>
      </c>
      <c r="E838" s="416" t="s">
        <v>568</v>
      </c>
      <c r="F838" s="416" t="s">
        <v>577</v>
      </c>
      <c r="G838" s="416" t="s">
        <v>3380</v>
      </c>
      <c r="H838" s="416" t="s">
        <v>3381</v>
      </c>
      <c r="I838" s="416" t="s">
        <v>3380</v>
      </c>
      <c r="J838" s="415" t="s">
        <v>661</v>
      </c>
      <c r="K838" s="417">
        <v>-16.229797000000001</v>
      </c>
      <c r="L838" s="417">
        <v>-68.988321999999997</v>
      </c>
      <c r="M838" s="418">
        <v>30</v>
      </c>
      <c r="N838" s="418" t="s">
        <v>2310</v>
      </c>
      <c r="O838" s="418" t="s">
        <v>2953</v>
      </c>
      <c r="P838" s="415">
        <v>3</v>
      </c>
      <c r="Q838" s="415">
        <v>30</v>
      </c>
      <c r="R838" s="415">
        <v>5</v>
      </c>
      <c r="S838" s="415">
        <f t="shared" si="39"/>
        <v>5</v>
      </c>
      <c r="T838" s="419">
        <f t="shared" si="40"/>
        <v>0.83333333333333337</v>
      </c>
      <c r="U838" s="419">
        <f t="shared" si="41"/>
        <v>5.833333333333333</v>
      </c>
      <c r="V838" s="415" t="s">
        <v>662</v>
      </c>
      <c r="W838" s="415" t="s">
        <v>614</v>
      </c>
      <c r="X838" s="415" t="s">
        <v>671</v>
      </c>
      <c r="Y838" s="415"/>
    </row>
    <row r="839" spans="1:25" hidden="1" x14ac:dyDescent="0.25">
      <c r="A839" s="415">
        <v>838</v>
      </c>
      <c r="B839" s="415">
        <v>1237</v>
      </c>
      <c r="C839" s="415">
        <v>468371</v>
      </c>
      <c r="D839" s="416" t="s">
        <v>2125</v>
      </c>
      <c r="E839" s="416" t="s">
        <v>568</v>
      </c>
      <c r="F839" s="416" t="s">
        <v>577</v>
      </c>
      <c r="G839" s="416" t="s">
        <v>2126</v>
      </c>
      <c r="H839" s="416" t="s">
        <v>2127</v>
      </c>
      <c r="I839" s="416" t="s">
        <v>2128</v>
      </c>
      <c r="J839" s="415" t="s">
        <v>661</v>
      </c>
      <c r="K839" s="417">
        <v>-16.199555</v>
      </c>
      <c r="L839" s="417">
        <v>-68.963177999999999</v>
      </c>
      <c r="M839" s="418">
        <v>30</v>
      </c>
      <c r="N839" s="418" t="s">
        <v>2310</v>
      </c>
      <c r="O839" s="418" t="s">
        <v>2953</v>
      </c>
      <c r="P839" s="415">
        <v>3</v>
      </c>
      <c r="Q839" s="415">
        <v>30</v>
      </c>
      <c r="R839" s="415">
        <v>5</v>
      </c>
      <c r="S839" s="415">
        <f t="shared" si="39"/>
        <v>5</v>
      </c>
      <c r="T839" s="419">
        <f t="shared" si="40"/>
        <v>0.83333333333333337</v>
      </c>
      <c r="U839" s="419">
        <f t="shared" si="41"/>
        <v>5.833333333333333</v>
      </c>
      <c r="V839" s="415" t="s">
        <v>662</v>
      </c>
      <c r="W839" s="415" t="s">
        <v>614</v>
      </c>
      <c r="X839" s="415" t="s">
        <v>671</v>
      </c>
      <c r="Y839" s="415"/>
    </row>
    <row r="840" spans="1:25" hidden="1" x14ac:dyDescent="0.25">
      <c r="A840" s="415">
        <v>839</v>
      </c>
      <c r="B840" s="415">
        <v>1238</v>
      </c>
      <c r="C840" s="415">
        <v>468432</v>
      </c>
      <c r="D840" s="416" t="s">
        <v>2129</v>
      </c>
      <c r="E840" s="416" t="s">
        <v>568</v>
      </c>
      <c r="F840" s="416" t="s">
        <v>577</v>
      </c>
      <c r="G840" s="416" t="s">
        <v>2130</v>
      </c>
      <c r="H840" s="416" t="s">
        <v>2131</v>
      </c>
      <c r="I840" s="416" t="s">
        <v>2132</v>
      </c>
      <c r="J840" s="415" t="s">
        <v>661</v>
      </c>
      <c r="K840" s="417">
        <v>-16.234513</v>
      </c>
      <c r="L840" s="417">
        <v>-68.950433000000004</v>
      </c>
      <c r="M840" s="418">
        <v>30</v>
      </c>
      <c r="N840" s="418" t="s">
        <v>2310</v>
      </c>
      <c r="O840" s="418" t="s">
        <v>2953</v>
      </c>
      <c r="P840" s="415">
        <v>3</v>
      </c>
      <c r="Q840" s="415">
        <v>30</v>
      </c>
      <c r="R840" s="415">
        <v>5</v>
      </c>
      <c r="S840" s="415">
        <f t="shared" si="39"/>
        <v>5</v>
      </c>
      <c r="T840" s="419">
        <f t="shared" si="40"/>
        <v>0.83333333333333337</v>
      </c>
      <c r="U840" s="419">
        <f t="shared" si="41"/>
        <v>5.833333333333333</v>
      </c>
      <c r="V840" s="415" t="s">
        <v>662</v>
      </c>
      <c r="W840" s="415" t="s">
        <v>614</v>
      </c>
      <c r="X840" s="415" t="s">
        <v>671</v>
      </c>
      <c r="Y840" s="415"/>
    </row>
    <row r="841" spans="1:25" hidden="1" x14ac:dyDescent="0.25">
      <c r="A841" s="415">
        <v>840</v>
      </c>
      <c r="B841" s="415">
        <v>1239</v>
      </c>
      <c r="C841" s="415">
        <v>467791</v>
      </c>
      <c r="D841" s="416" t="s">
        <v>3382</v>
      </c>
      <c r="E841" s="416" t="s">
        <v>568</v>
      </c>
      <c r="F841" s="416" t="s">
        <v>577</v>
      </c>
      <c r="G841" s="416" t="s">
        <v>577</v>
      </c>
      <c r="H841" s="416" t="s">
        <v>3383</v>
      </c>
      <c r="I841" s="416" t="s">
        <v>3384</v>
      </c>
      <c r="J841" s="415" t="s">
        <v>661</v>
      </c>
      <c r="K841" s="417">
        <v>-16.261161000000001</v>
      </c>
      <c r="L841" s="417">
        <v>-69.142733000000007</v>
      </c>
      <c r="M841" s="418">
        <v>30</v>
      </c>
      <c r="N841" s="418" t="s">
        <v>2310</v>
      </c>
      <c r="O841" s="418" t="s">
        <v>2953</v>
      </c>
      <c r="P841" s="415">
        <v>3</v>
      </c>
      <c r="Q841" s="415">
        <v>30</v>
      </c>
      <c r="R841" s="415">
        <v>5</v>
      </c>
      <c r="S841" s="415">
        <f t="shared" si="39"/>
        <v>5</v>
      </c>
      <c r="T841" s="419">
        <f t="shared" si="40"/>
        <v>0.83333333333333337</v>
      </c>
      <c r="U841" s="419">
        <f t="shared" si="41"/>
        <v>5.833333333333333</v>
      </c>
      <c r="V841" s="415" t="s">
        <v>662</v>
      </c>
      <c r="W841" s="415" t="s">
        <v>614</v>
      </c>
      <c r="X841" s="415" t="s">
        <v>671</v>
      </c>
      <c r="Y841" s="415"/>
    </row>
    <row r="842" spans="1:25" hidden="1" x14ac:dyDescent="0.25">
      <c r="A842" s="415">
        <v>841</v>
      </c>
      <c r="B842" s="415">
        <v>1240</v>
      </c>
      <c r="C842" s="415">
        <v>467871</v>
      </c>
      <c r="D842" s="416" t="s">
        <v>3385</v>
      </c>
      <c r="E842" s="416" t="s">
        <v>568</v>
      </c>
      <c r="F842" s="416" t="s">
        <v>577</v>
      </c>
      <c r="G842" s="416" t="s">
        <v>577</v>
      </c>
      <c r="H842" s="416" t="s">
        <v>3386</v>
      </c>
      <c r="I842" s="416" t="s">
        <v>3387</v>
      </c>
      <c r="J842" s="415" t="s">
        <v>661</v>
      </c>
      <c r="K842" s="417">
        <v>-16.320347000000002</v>
      </c>
      <c r="L842" s="417">
        <v>-69.070627000000002</v>
      </c>
      <c r="M842" s="418">
        <v>30</v>
      </c>
      <c r="N842" s="418" t="s">
        <v>2310</v>
      </c>
      <c r="O842" s="418" t="s">
        <v>2953</v>
      </c>
      <c r="P842" s="415">
        <v>3</v>
      </c>
      <c r="Q842" s="415">
        <v>30</v>
      </c>
      <c r="R842" s="415">
        <v>5</v>
      </c>
      <c r="S842" s="415">
        <f t="shared" si="39"/>
        <v>5</v>
      </c>
      <c r="T842" s="419">
        <f t="shared" si="40"/>
        <v>0.83333333333333337</v>
      </c>
      <c r="U842" s="419">
        <f t="shared" si="41"/>
        <v>5.833333333333333</v>
      </c>
      <c r="V842" s="415" t="s">
        <v>662</v>
      </c>
      <c r="W842" s="415" t="s">
        <v>614</v>
      </c>
      <c r="X842" s="415" t="s">
        <v>671</v>
      </c>
      <c r="Y842" s="415"/>
    </row>
    <row r="843" spans="1:25" hidden="1" x14ac:dyDescent="0.25">
      <c r="A843" s="415">
        <v>842</v>
      </c>
      <c r="B843" s="415">
        <v>1241</v>
      </c>
      <c r="C843" s="415">
        <v>489095</v>
      </c>
      <c r="D843" s="416" t="s">
        <v>3388</v>
      </c>
      <c r="E843" s="416" t="s">
        <v>591</v>
      </c>
      <c r="F843" s="416" t="s">
        <v>592</v>
      </c>
      <c r="G843" s="416" t="s">
        <v>3389</v>
      </c>
      <c r="H843" s="416" t="s">
        <v>3390</v>
      </c>
      <c r="I843" s="416" t="s">
        <v>3391</v>
      </c>
      <c r="J843" s="415" t="s">
        <v>661</v>
      </c>
      <c r="K843" s="417">
        <v>-17.646871000000001</v>
      </c>
      <c r="L843" s="417">
        <v>-70.900392999999994</v>
      </c>
      <c r="M843" s="418">
        <v>30</v>
      </c>
      <c r="N843" s="418" t="s">
        <v>2310</v>
      </c>
      <c r="O843" s="418" t="s">
        <v>2953</v>
      </c>
      <c r="P843" s="415">
        <v>3</v>
      </c>
      <c r="Q843" s="415">
        <v>30</v>
      </c>
      <c r="R843" s="415">
        <v>5</v>
      </c>
      <c r="S843" s="415">
        <f t="shared" si="39"/>
        <v>5</v>
      </c>
      <c r="T843" s="419">
        <f t="shared" si="40"/>
        <v>0.83333333333333337</v>
      </c>
      <c r="U843" s="419">
        <f t="shared" si="41"/>
        <v>5.833333333333333</v>
      </c>
      <c r="V843" s="415" t="s">
        <v>662</v>
      </c>
      <c r="W843" s="415" t="s">
        <v>614</v>
      </c>
      <c r="X843" s="415" t="s">
        <v>671</v>
      </c>
      <c r="Y843" s="415"/>
    </row>
    <row r="844" spans="1:25" hidden="1" x14ac:dyDescent="0.25">
      <c r="A844" s="415">
        <v>843</v>
      </c>
      <c r="B844" s="415">
        <v>1242</v>
      </c>
      <c r="C844" s="415">
        <v>487671</v>
      </c>
      <c r="D844" s="416" t="s">
        <v>3392</v>
      </c>
      <c r="E844" s="416" t="s">
        <v>591</v>
      </c>
      <c r="F844" s="416" t="s">
        <v>591</v>
      </c>
      <c r="G844" s="416" t="s">
        <v>3393</v>
      </c>
      <c r="H844" s="416" t="s">
        <v>3394</v>
      </c>
      <c r="I844" s="416" t="s">
        <v>3395</v>
      </c>
      <c r="J844" s="415" t="s">
        <v>747</v>
      </c>
      <c r="K844" s="417">
        <v>-17.980502999999999</v>
      </c>
      <c r="L844" s="417">
        <v>-70.200361000000001</v>
      </c>
      <c r="M844" s="418">
        <v>30</v>
      </c>
      <c r="N844" s="418" t="s">
        <v>2310</v>
      </c>
      <c r="O844" s="418" t="s">
        <v>2953</v>
      </c>
      <c r="P844" s="415">
        <v>3</v>
      </c>
      <c r="Q844" s="415">
        <v>30</v>
      </c>
      <c r="R844" s="415">
        <v>5</v>
      </c>
      <c r="S844" s="415">
        <f t="shared" si="39"/>
        <v>5</v>
      </c>
      <c r="T844" s="419">
        <f t="shared" si="40"/>
        <v>0.83333333333333337</v>
      </c>
      <c r="U844" s="419">
        <f t="shared" si="41"/>
        <v>5.833333333333333</v>
      </c>
      <c r="V844" s="415" t="s">
        <v>662</v>
      </c>
      <c r="W844" s="415" t="s">
        <v>614</v>
      </c>
      <c r="X844" s="415" t="s">
        <v>671</v>
      </c>
      <c r="Y844" s="415"/>
    </row>
    <row r="845" spans="1:25" hidden="1" x14ac:dyDescent="0.25">
      <c r="A845" s="415">
        <v>844</v>
      </c>
      <c r="B845" s="415">
        <v>1243</v>
      </c>
      <c r="C845" s="415">
        <v>488265</v>
      </c>
      <c r="D845" s="416" t="s">
        <v>2154</v>
      </c>
      <c r="E845" s="416" t="s">
        <v>591</v>
      </c>
      <c r="F845" s="416" t="s">
        <v>591</v>
      </c>
      <c r="G845" s="416" t="s">
        <v>1321</v>
      </c>
      <c r="H845" s="416" t="s">
        <v>2060</v>
      </c>
      <c r="I845" s="416" t="s">
        <v>2060</v>
      </c>
      <c r="J845" s="415" t="s">
        <v>661</v>
      </c>
      <c r="K845" s="417">
        <v>-17.5289</v>
      </c>
      <c r="L845" s="417">
        <v>-69.581299999999999</v>
      </c>
      <c r="M845" s="418">
        <v>30</v>
      </c>
      <c r="N845" s="418" t="s">
        <v>2310</v>
      </c>
      <c r="O845" s="418" t="s">
        <v>2953</v>
      </c>
      <c r="P845" s="415">
        <v>3</v>
      </c>
      <c r="Q845" s="415">
        <v>30</v>
      </c>
      <c r="R845" s="415">
        <v>5</v>
      </c>
      <c r="S845" s="415">
        <f t="shared" si="39"/>
        <v>5</v>
      </c>
      <c r="T845" s="419">
        <f t="shared" si="40"/>
        <v>0.83333333333333337</v>
      </c>
      <c r="U845" s="419">
        <f t="shared" si="41"/>
        <v>5.833333333333333</v>
      </c>
      <c r="V845" s="415" t="s">
        <v>662</v>
      </c>
      <c r="W845" s="415" t="s">
        <v>614</v>
      </c>
      <c r="X845" s="415" t="s">
        <v>671</v>
      </c>
      <c r="Y845" s="415"/>
    </row>
    <row r="846" spans="1:25" hidden="1" x14ac:dyDescent="0.25">
      <c r="A846" s="415">
        <v>845</v>
      </c>
      <c r="B846" s="415">
        <v>1244</v>
      </c>
      <c r="C846" s="415">
        <v>488227</v>
      </c>
      <c r="D846" s="416" t="s">
        <v>2152</v>
      </c>
      <c r="E846" s="416" t="s">
        <v>591</v>
      </c>
      <c r="F846" s="416" t="s">
        <v>591</v>
      </c>
      <c r="G846" s="416" t="s">
        <v>1321</v>
      </c>
      <c r="H846" s="416" t="s">
        <v>2153</v>
      </c>
      <c r="I846" s="416" t="s">
        <v>2153</v>
      </c>
      <c r="J846" s="415" t="s">
        <v>661</v>
      </c>
      <c r="K846" s="417">
        <v>-17.408200000000001</v>
      </c>
      <c r="L846" s="417">
        <v>-69.540599999999998</v>
      </c>
      <c r="M846" s="418">
        <v>30</v>
      </c>
      <c r="N846" s="418" t="s">
        <v>2310</v>
      </c>
      <c r="O846" s="418" t="s">
        <v>2953</v>
      </c>
      <c r="P846" s="415">
        <v>3</v>
      </c>
      <c r="Q846" s="415">
        <v>30</v>
      </c>
      <c r="R846" s="415">
        <v>5</v>
      </c>
      <c r="S846" s="415">
        <f t="shared" si="39"/>
        <v>5</v>
      </c>
      <c r="T846" s="419">
        <f t="shared" si="40"/>
        <v>0.83333333333333337</v>
      </c>
      <c r="U846" s="419">
        <f t="shared" si="41"/>
        <v>5.833333333333333</v>
      </c>
      <c r="V846" s="415" t="s">
        <v>662</v>
      </c>
      <c r="W846" s="415" t="s">
        <v>614</v>
      </c>
      <c r="X846" s="415" t="s">
        <v>671</v>
      </c>
      <c r="Y846" s="415"/>
    </row>
    <row r="847" spans="1:25" hidden="1" x14ac:dyDescent="0.25">
      <c r="A847" s="415">
        <v>846</v>
      </c>
      <c r="B847" s="415">
        <v>1245</v>
      </c>
      <c r="C847" s="415">
        <v>489750</v>
      </c>
      <c r="D847" s="416" t="s">
        <v>2158</v>
      </c>
      <c r="E847" s="416" t="s">
        <v>591</v>
      </c>
      <c r="F847" s="416" t="s">
        <v>594</v>
      </c>
      <c r="G847" s="416" t="s">
        <v>2159</v>
      </c>
      <c r="H847" s="416" t="s">
        <v>2160</v>
      </c>
      <c r="I847" s="416" t="s">
        <v>2160</v>
      </c>
      <c r="J847" s="415" t="s">
        <v>661</v>
      </c>
      <c r="K847" s="417">
        <v>-17.591000000000001</v>
      </c>
      <c r="L847" s="417">
        <v>-70.017799999999994</v>
      </c>
      <c r="M847" s="418">
        <v>30</v>
      </c>
      <c r="N847" s="418" t="s">
        <v>2310</v>
      </c>
      <c r="O847" s="418" t="s">
        <v>2953</v>
      </c>
      <c r="P847" s="415">
        <v>3</v>
      </c>
      <c r="Q847" s="415">
        <v>30</v>
      </c>
      <c r="R847" s="415">
        <v>5</v>
      </c>
      <c r="S847" s="415">
        <f t="shared" si="39"/>
        <v>5</v>
      </c>
      <c r="T847" s="419">
        <f t="shared" si="40"/>
        <v>0.83333333333333337</v>
      </c>
      <c r="U847" s="419">
        <f t="shared" si="41"/>
        <v>5.833333333333333</v>
      </c>
      <c r="V847" s="415" t="s">
        <v>662</v>
      </c>
      <c r="W847" s="415" t="s">
        <v>614</v>
      </c>
      <c r="X847" s="415" t="s">
        <v>671</v>
      </c>
      <c r="Y847" s="415"/>
    </row>
    <row r="848" spans="1:25" hidden="1" x14ac:dyDescent="0.25">
      <c r="A848" s="415">
        <v>847</v>
      </c>
      <c r="B848" s="415">
        <v>1246</v>
      </c>
      <c r="C848" s="415">
        <v>489887</v>
      </c>
      <c r="D848" s="416" t="s">
        <v>3396</v>
      </c>
      <c r="E848" s="416" t="s">
        <v>591</v>
      </c>
      <c r="F848" s="416" t="s">
        <v>594</v>
      </c>
      <c r="G848" s="416" t="s">
        <v>3397</v>
      </c>
      <c r="H848" s="416" t="s">
        <v>3398</v>
      </c>
      <c r="I848" s="416" t="s">
        <v>3399</v>
      </c>
      <c r="J848" s="415" t="s">
        <v>661</v>
      </c>
      <c r="K848" s="417">
        <v>-17.401001999999998</v>
      </c>
      <c r="L848" s="417">
        <v>-70.108421000000007</v>
      </c>
      <c r="M848" s="418">
        <v>30</v>
      </c>
      <c r="N848" s="418" t="s">
        <v>2310</v>
      </c>
      <c r="O848" s="418" t="s">
        <v>2953</v>
      </c>
      <c r="P848" s="415">
        <v>3</v>
      </c>
      <c r="Q848" s="415">
        <v>30</v>
      </c>
      <c r="R848" s="415">
        <v>5</v>
      </c>
      <c r="S848" s="415">
        <f t="shared" si="39"/>
        <v>5</v>
      </c>
      <c r="T848" s="419">
        <f t="shared" si="40"/>
        <v>0.83333333333333337</v>
      </c>
      <c r="U848" s="419">
        <f t="shared" si="41"/>
        <v>5.833333333333333</v>
      </c>
      <c r="V848" s="415" t="s">
        <v>662</v>
      </c>
      <c r="W848" s="415" t="s">
        <v>614</v>
      </c>
      <c r="X848" s="415" t="s">
        <v>671</v>
      </c>
      <c r="Y848" s="415"/>
    </row>
    <row r="849" spans="1:25" hidden="1" x14ac:dyDescent="0.25">
      <c r="A849" s="415">
        <v>848</v>
      </c>
      <c r="B849" s="415">
        <v>1247</v>
      </c>
      <c r="C849" s="415">
        <v>489585</v>
      </c>
      <c r="D849" s="416" t="s">
        <v>2155</v>
      </c>
      <c r="E849" s="416" t="s">
        <v>591</v>
      </c>
      <c r="F849" s="416" t="s">
        <v>594</v>
      </c>
      <c r="G849" s="416" t="s">
        <v>594</v>
      </c>
      <c r="H849" s="416" t="s">
        <v>2156</v>
      </c>
      <c r="I849" s="416" t="s">
        <v>2157</v>
      </c>
      <c r="J849" s="415" t="s">
        <v>661</v>
      </c>
      <c r="K849" s="417">
        <v>-17.317150000000002</v>
      </c>
      <c r="L849" s="417">
        <v>-69.730391999999995</v>
      </c>
      <c r="M849" s="418">
        <v>30</v>
      </c>
      <c r="N849" s="418" t="s">
        <v>2310</v>
      </c>
      <c r="O849" s="418" t="s">
        <v>2953</v>
      </c>
      <c r="P849" s="415">
        <v>3</v>
      </c>
      <c r="Q849" s="415">
        <v>30</v>
      </c>
      <c r="R849" s="415">
        <v>5</v>
      </c>
      <c r="S849" s="415">
        <f t="shared" si="39"/>
        <v>5</v>
      </c>
      <c r="T849" s="419">
        <f t="shared" si="40"/>
        <v>0.83333333333333337</v>
      </c>
      <c r="U849" s="419">
        <f t="shared" si="41"/>
        <v>5.833333333333333</v>
      </c>
      <c r="V849" s="415" t="s">
        <v>662</v>
      </c>
      <c r="W849" s="415" t="s">
        <v>614</v>
      </c>
      <c r="X849" s="415" t="s">
        <v>671</v>
      </c>
      <c r="Y849" s="415"/>
    </row>
    <row r="850" spans="1:25" hidden="1" x14ac:dyDescent="0.25">
      <c r="A850" s="415">
        <v>849</v>
      </c>
      <c r="B850" s="415">
        <v>1248</v>
      </c>
      <c r="C850" s="415">
        <v>489854</v>
      </c>
      <c r="D850" s="416" t="s">
        <v>3400</v>
      </c>
      <c r="E850" s="416" t="s">
        <v>591</v>
      </c>
      <c r="F850" s="416" t="s">
        <v>594</v>
      </c>
      <c r="G850" s="416" t="s">
        <v>3401</v>
      </c>
      <c r="H850" s="416" t="s">
        <v>3401</v>
      </c>
      <c r="I850" s="416" t="s">
        <v>3402</v>
      </c>
      <c r="J850" s="415" t="s">
        <v>661</v>
      </c>
      <c r="K850" s="417">
        <v>-17.525300000000001</v>
      </c>
      <c r="L850" s="417">
        <v>-70.035399999999996</v>
      </c>
      <c r="M850" s="418">
        <v>30</v>
      </c>
      <c r="N850" s="418" t="s">
        <v>2310</v>
      </c>
      <c r="O850" s="418" t="s">
        <v>2953</v>
      </c>
      <c r="P850" s="415">
        <v>3</v>
      </c>
      <c r="Q850" s="415">
        <v>30</v>
      </c>
      <c r="R850" s="415">
        <v>5</v>
      </c>
      <c r="S850" s="415">
        <f t="shared" si="39"/>
        <v>5</v>
      </c>
      <c r="T850" s="419">
        <f t="shared" si="40"/>
        <v>0.83333333333333337</v>
      </c>
      <c r="U850" s="419">
        <f t="shared" si="41"/>
        <v>5.833333333333333</v>
      </c>
      <c r="V850" s="415" t="s">
        <v>662</v>
      </c>
      <c r="W850" s="415" t="s">
        <v>614</v>
      </c>
      <c r="X850" s="415" t="s">
        <v>671</v>
      </c>
      <c r="Y850" s="415"/>
    </row>
    <row r="851" spans="1:25" hidden="1" x14ac:dyDescent="0.25">
      <c r="A851" s="415">
        <v>850</v>
      </c>
      <c r="B851" s="415">
        <v>1249</v>
      </c>
      <c r="C851" s="415">
        <v>489873</v>
      </c>
      <c r="D851" s="416" t="s">
        <v>3403</v>
      </c>
      <c r="E851" s="416" t="s">
        <v>591</v>
      </c>
      <c r="F851" s="416" t="s">
        <v>594</v>
      </c>
      <c r="G851" s="416" t="s">
        <v>3404</v>
      </c>
      <c r="H851" s="416" t="s">
        <v>3404</v>
      </c>
      <c r="I851" s="416" t="s">
        <v>3405</v>
      </c>
      <c r="J851" s="415" t="s">
        <v>661</v>
      </c>
      <c r="K851" s="417">
        <v>-17.451197000000001</v>
      </c>
      <c r="L851" s="417">
        <v>-70.045090999999999</v>
      </c>
      <c r="M851" s="418">
        <v>30</v>
      </c>
      <c r="N851" s="418" t="s">
        <v>2310</v>
      </c>
      <c r="O851" s="418" t="s">
        <v>2953</v>
      </c>
      <c r="P851" s="415">
        <v>3</v>
      </c>
      <c r="Q851" s="415">
        <v>30</v>
      </c>
      <c r="R851" s="415">
        <v>5</v>
      </c>
      <c r="S851" s="415">
        <f t="shared" si="39"/>
        <v>5</v>
      </c>
      <c r="T851" s="419">
        <f t="shared" si="40"/>
        <v>0.83333333333333337</v>
      </c>
      <c r="U851" s="419">
        <f t="shared" si="41"/>
        <v>5.833333333333333</v>
      </c>
      <c r="V851" s="415" t="s">
        <v>662</v>
      </c>
      <c r="W851" s="415" t="s">
        <v>614</v>
      </c>
      <c r="X851" s="415" t="s">
        <v>671</v>
      </c>
      <c r="Y851" s="415"/>
    </row>
    <row r="852" spans="1:25" hidden="1" x14ac:dyDescent="0.25">
      <c r="A852" s="415">
        <v>851</v>
      </c>
      <c r="B852" s="415">
        <v>444</v>
      </c>
      <c r="C852" s="415">
        <v>100702</v>
      </c>
      <c r="D852" s="416" t="s">
        <v>1765</v>
      </c>
      <c r="E852" s="416" t="s">
        <v>462</v>
      </c>
      <c r="F852" s="416" t="s">
        <v>463</v>
      </c>
      <c r="G852" s="416" t="s">
        <v>1002</v>
      </c>
      <c r="H852" s="416" t="s">
        <v>1002</v>
      </c>
      <c r="I852" s="416" t="s">
        <v>3406</v>
      </c>
      <c r="J852" s="415" t="s">
        <v>661</v>
      </c>
      <c r="K852" s="417">
        <v>-7.452464</v>
      </c>
      <c r="L852" s="417">
        <v>-78.270274000000001</v>
      </c>
      <c r="M852" s="418">
        <v>30</v>
      </c>
      <c r="N852" s="418" t="s">
        <v>2310</v>
      </c>
      <c r="O852" s="418" t="s">
        <v>3407</v>
      </c>
      <c r="P852" s="415">
        <v>4</v>
      </c>
      <c r="Q852" s="415">
        <v>30</v>
      </c>
      <c r="R852" s="415">
        <v>5</v>
      </c>
      <c r="S852" s="415">
        <f t="shared" si="39"/>
        <v>5</v>
      </c>
      <c r="T852" s="419">
        <f t="shared" si="40"/>
        <v>0.83333333333333337</v>
      </c>
      <c r="U852" s="419">
        <f t="shared" si="41"/>
        <v>5.833333333333333</v>
      </c>
      <c r="V852" s="415" t="s">
        <v>662</v>
      </c>
      <c r="W852" s="415" t="s">
        <v>616</v>
      </c>
      <c r="X852" s="415" t="s">
        <v>666</v>
      </c>
      <c r="Y852" s="415"/>
    </row>
    <row r="853" spans="1:25" hidden="1" x14ac:dyDescent="0.25">
      <c r="A853" s="415">
        <v>852</v>
      </c>
      <c r="B853" s="415">
        <v>445</v>
      </c>
      <c r="C853" s="415">
        <v>100231</v>
      </c>
      <c r="D853" s="416" t="s">
        <v>1005</v>
      </c>
      <c r="E853" s="416" t="s">
        <v>462</v>
      </c>
      <c r="F853" s="416" t="s">
        <v>463</v>
      </c>
      <c r="G853" s="416" t="s">
        <v>1002</v>
      </c>
      <c r="H853" s="416" t="s">
        <v>1006</v>
      </c>
      <c r="I853" s="416" t="s">
        <v>1006</v>
      </c>
      <c r="J853" s="415" t="s">
        <v>661</v>
      </c>
      <c r="K853" s="417">
        <v>-7.552098</v>
      </c>
      <c r="L853" s="417">
        <v>-78.311912000000007</v>
      </c>
      <c r="M853" s="418">
        <v>30</v>
      </c>
      <c r="N853" s="418" t="s">
        <v>2310</v>
      </c>
      <c r="O853" s="418" t="s">
        <v>3407</v>
      </c>
      <c r="P853" s="415">
        <v>4</v>
      </c>
      <c r="Q853" s="415">
        <v>30</v>
      </c>
      <c r="R853" s="415">
        <v>5</v>
      </c>
      <c r="S853" s="415">
        <f t="shared" si="39"/>
        <v>5</v>
      </c>
      <c r="T853" s="419">
        <f t="shared" si="40"/>
        <v>0.83333333333333337</v>
      </c>
      <c r="U853" s="419">
        <f t="shared" si="41"/>
        <v>5.833333333333333</v>
      </c>
      <c r="V853" s="415" t="s">
        <v>662</v>
      </c>
      <c r="W853" s="415" t="s">
        <v>616</v>
      </c>
      <c r="X853" s="415" t="s">
        <v>666</v>
      </c>
      <c r="Y853" s="415"/>
    </row>
    <row r="854" spans="1:25" hidden="1" x14ac:dyDescent="0.25">
      <c r="A854" s="415">
        <v>853</v>
      </c>
      <c r="B854" s="415">
        <v>446</v>
      </c>
      <c r="C854" s="415">
        <v>100542</v>
      </c>
      <c r="D854" s="416" t="s">
        <v>3408</v>
      </c>
      <c r="E854" s="416" t="s">
        <v>462</v>
      </c>
      <c r="F854" s="416" t="s">
        <v>463</v>
      </c>
      <c r="G854" s="416" t="s">
        <v>1002</v>
      </c>
      <c r="H854" s="416" t="s">
        <v>3409</v>
      </c>
      <c r="I854" s="416" t="s">
        <v>3409</v>
      </c>
      <c r="J854" s="415" t="s">
        <v>661</v>
      </c>
      <c r="K854" s="417">
        <v>-7.5161860000000003</v>
      </c>
      <c r="L854" s="417">
        <v>-78.164050000000003</v>
      </c>
      <c r="M854" s="418">
        <v>30</v>
      </c>
      <c r="N854" s="418" t="s">
        <v>2310</v>
      </c>
      <c r="O854" s="418" t="s">
        <v>3407</v>
      </c>
      <c r="P854" s="415">
        <v>4</v>
      </c>
      <c r="Q854" s="415">
        <v>30</v>
      </c>
      <c r="R854" s="415">
        <v>5</v>
      </c>
      <c r="S854" s="415">
        <f t="shared" si="39"/>
        <v>5</v>
      </c>
      <c r="T854" s="419">
        <f t="shared" si="40"/>
        <v>0.83333333333333337</v>
      </c>
      <c r="U854" s="419">
        <f t="shared" si="41"/>
        <v>5.833333333333333</v>
      </c>
      <c r="V854" s="415" t="s">
        <v>662</v>
      </c>
      <c r="W854" s="415" t="s">
        <v>616</v>
      </c>
      <c r="X854" s="415" t="s">
        <v>666</v>
      </c>
      <c r="Y854" s="415"/>
    </row>
    <row r="855" spans="1:25" hidden="1" x14ac:dyDescent="0.25">
      <c r="A855" s="415">
        <v>854</v>
      </c>
      <c r="B855" s="415">
        <v>447</v>
      </c>
      <c r="C855" s="415">
        <v>100113</v>
      </c>
      <c r="D855" s="416" t="s">
        <v>1001</v>
      </c>
      <c r="E855" s="416" t="s">
        <v>462</v>
      </c>
      <c r="F855" s="416" t="s">
        <v>463</v>
      </c>
      <c r="G855" s="416" t="s">
        <v>1002</v>
      </c>
      <c r="H855" s="416" t="s">
        <v>1003</v>
      </c>
      <c r="I855" s="416" t="s">
        <v>1004</v>
      </c>
      <c r="J855" s="415" t="s">
        <v>661</v>
      </c>
      <c r="K855" s="417">
        <v>-7.53322</v>
      </c>
      <c r="L855" s="417">
        <v>-78.173810000000003</v>
      </c>
      <c r="M855" s="418">
        <v>30</v>
      </c>
      <c r="N855" s="418" t="s">
        <v>2310</v>
      </c>
      <c r="O855" s="418" t="s">
        <v>3407</v>
      </c>
      <c r="P855" s="415">
        <v>4</v>
      </c>
      <c r="Q855" s="415">
        <v>30</v>
      </c>
      <c r="R855" s="415">
        <v>5</v>
      </c>
      <c r="S855" s="415">
        <f t="shared" si="39"/>
        <v>5</v>
      </c>
      <c r="T855" s="419">
        <f t="shared" si="40"/>
        <v>0.83333333333333337</v>
      </c>
      <c r="U855" s="419">
        <f t="shared" si="41"/>
        <v>5.833333333333333</v>
      </c>
      <c r="V855" s="415" t="s">
        <v>662</v>
      </c>
      <c r="W855" s="415" t="s">
        <v>616</v>
      </c>
      <c r="X855" s="415" t="s">
        <v>666</v>
      </c>
      <c r="Y855" s="415"/>
    </row>
    <row r="856" spans="1:25" hidden="1" x14ac:dyDescent="0.25">
      <c r="A856" s="415">
        <v>855</v>
      </c>
      <c r="B856" s="415">
        <v>448</v>
      </c>
      <c r="C856" s="415">
        <v>100820</v>
      </c>
      <c r="D856" s="416" t="s">
        <v>3410</v>
      </c>
      <c r="E856" s="416" t="s">
        <v>462</v>
      </c>
      <c r="F856" s="416" t="s">
        <v>463</v>
      </c>
      <c r="G856" s="416" t="s">
        <v>1008</v>
      </c>
      <c r="H856" s="416" t="s">
        <v>3411</v>
      </c>
      <c r="I856" s="416" t="s">
        <v>3412</v>
      </c>
      <c r="J856" s="415" t="s">
        <v>661</v>
      </c>
      <c r="K856" s="417">
        <v>-7.5716530000000004</v>
      </c>
      <c r="L856" s="417">
        <v>-78.071853000000004</v>
      </c>
      <c r="M856" s="418">
        <v>30</v>
      </c>
      <c r="N856" s="418" t="s">
        <v>2310</v>
      </c>
      <c r="O856" s="418" t="s">
        <v>3407</v>
      </c>
      <c r="P856" s="415">
        <v>4</v>
      </c>
      <c r="Q856" s="415">
        <v>30</v>
      </c>
      <c r="R856" s="415">
        <v>5</v>
      </c>
      <c r="S856" s="415">
        <f t="shared" si="39"/>
        <v>5</v>
      </c>
      <c r="T856" s="419">
        <f t="shared" si="40"/>
        <v>0.83333333333333337</v>
      </c>
      <c r="U856" s="419">
        <f t="shared" si="41"/>
        <v>5.833333333333333</v>
      </c>
      <c r="V856" s="415" t="s">
        <v>662</v>
      </c>
      <c r="W856" s="415" t="s">
        <v>616</v>
      </c>
      <c r="X856" s="415" t="s">
        <v>666</v>
      </c>
      <c r="Y856" s="415"/>
    </row>
    <row r="857" spans="1:25" hidden="1" x14ac:dyDescent="0.25">
      <c r="A857" s="415">
        <v>856</v>
      </c>
      <c r="B857" s="415">
        <v>449</v>
      </c>
      <c r="C857" s="415">
        <v>101061</v>
      </c>
      <c r="D857" s="416" t="s">
        <v>830</v>
      </c>
      <c r="E857" s="416" t="s">
        <v>462</v>
      </c>
      <c r="F857" s="416" t="s">
        <v>463</v>
      </c>
      <c r="G857" s="416" t="s">
        <v>1008</v>
      </c>
      <c r="H857" s="416" t="s">
        <v>3411</v>
      </c>
      <c r="I857" s="416" t="s">
        <v>3413</v>
      </c>
      <c r="J857" s="415" t="s">
        <v>661</v>
      </c>
      <c r="K857" s="417">
        <v>-7.5733090000000001</v>
      </c>
      <c r="L857" s="417">
        <v>-78.071258</v>
      </c>
      <c r="M857" s="418">
        <v>30</v>
      </c>
      <c r="N857" s="418" t="s">
        <v>2310</v>
      </c>
      <c r="O857" s="418" t="s">
        <v>3407</v>
      </c>
      <c r="P857" s="415">
        <v>4</v>
      </c>
      <c r="Q857" s="415">
        <v>30</v>
      </c>
      <c r="R857" s="415">
        <v>5</v>
      </c>
      <c r="S857" s="415">
        <f t="shared" si="39"/>
        <v>5</v>
      </c>
      <c r="T857" s="419">
        <f t="shared" si="40"/>
        <v>0.83333333333333337</v>
      </c>
      <c r="U857" s="419">
        <f t="shared" si="41"/>
        <v>5.833333333333333</v>
      </c>
      <c r="V857" s="415" t="s">
        <v>662</v>
      </c>
      <c r="W857" s="415" t="s">
        <v>616</v>
      </c>
      <c r="X857" s="415" t="s">
        <v>666</v>
      </c>
      <c r="Y857" s="415"/>
    </row>
    <row r="858" spans="1:25" hidden="1" x14ac:dyDescent="0.25">
      <c r="A858" s="415">
        <v>857</v>
      </c>
      <c r="B858" s="415">
        <v>450</v>
      </c>
      <c r="C858" s="415">
        <v>100839</v>
      </c>
      <c r="D858" s="416" t="s">
        <v>3414</v>
      </c>
      <c r="E858" s="416" t="s">
        <v>462</v>
      </c>
      <c r="F858" s="416" t="s">
        <v>463</v>
      </c>
      <c r="G858" s="416" t="s">
        <v>1008</v>
      </c>
      <c r="H858" s="416" t="s">
        <v>3415</v>
      </c>
      <c r="I858" s="416" t="s">
        <v>3415</v>
      </c>
      <c r="J858" s="415" t="s">
        <v>661</v>
      </c>
      <c r="K858" s="417">
        <v>-7.5714319999999997</v>
      </c>
      <c r="L858" s="417">
        <v>-78.059852000000006</v>
      </c>
      <c r="M858" s="418">
        <v>30</v>
      </c>
      <c r="N858" s="418" t="s">
        <v>2310</v>
      </c>
      <c r="O858" s="418" t="s">
        <v>3407</v>
      </c>
      <c r="P858" s="415">
        <v>4</v>
      </c>
      <c r="Q858" s="415">
        <v>30</v>
      </c>
      <c r="R858" s="415">
        <v>5</v>
      </c>
      <c r="S858" s="415">
        <f t="shared" si="39"/>
        <v>5</v>
      </c>
      <c r="T858" s="419">
        <f t="shared" si="40"/>
        <v>0.83333333333333337</v>
      </c>
      <c r="U858" s="419">
        <f t="shared" si="41"/>
        <v>5.833333333333333</v>
      </c>
      <c r="V858" s="415" t="s">
        <v>662</v>
      </c>
      <c r="W858" s="415" t="s">
        <v>616</v>
      </c>
      <c r="X858" s="415" t="s">
        <v>666</v>
      </c>
      <c r="Y858" s="415"/>
    </row>
    <row r="859" spans="1:25" hidden="1" x14ac:dyDescent="0.25">
      <c r="A859" s="415">
        <v>858</v>
      </c>
      <c r="B859" s="415">
        <v>451</v>
      </c>
      <c r="C859" s="415">
        <v>95791</v>
      </c>
      <c r="D859" s="416" t="s">
        <v>990</v>
      </c>
      <c r="E859" s="416" t="s">
        <v>462</v>
      </c>
      <c r="F859" s="416" t="s">
        <v>462</v>
      </c>
      <c r="G859" s="416" t="s">
        <v>417</v>
      </c>
      <c r="H859" s="416" t="s">
        <v>991</v>
      </c>
      <c r="I859" s="416" t="s">
        <v>991</v>
      </c>
      <c r="J859" s="415" t="s">
        <v>661</v>
      </c>
      <c r="K859" s="417">
        <v>-7.3547380000000002</v>
      </c>
      <c r="L859" s="417">
        <v>-78.537282000000005</v>
      </c>
      <c r="M859" s="418">
        <v>30</v>
      </c>
      <c r="N859" s="418" t="s">
        <v>2310</v>
      </c>
      <c r="O859" s="418" t="s">
        <v>3407</v>
      </c>
      <c r="P859" s="415">
        <v>4</v>
      </c>
      <c r="Q859" s="415">
        <v>30</v>
      </c>
      <c r="R859" s="415">
        <v>5</v>
      </c>
      <c r="S859" s="415">
        <f t="shared" si="39"/>
        <v>5</v>
      </c>
      <c r="T859" s="419">
        <f t="shared" si="40"/>
        <v>0.83333333333333337</v>
      </c>
      <c r="U859" s="419">
        <f t="shared" si="41"/>
        <v>5.833333333333333</v>
      </c>
      <c r="V859" s="415" t="s">
        <v>662</v>
      </c>
      <c r="W859" s="415" t="s">
        <v>616</v>
      </c>
      <c r="X859" s="415" t="s">
        <v>666</v>
      </c>
      <c r="Y859" s="415"/>
    </row>
    <row r="860" spans="1:25" hidden="1" x14ac:dyDescent="0.25">
      <c r="A860" s="415">
        <v>859</v>
      </c>
      <c r="B860" s="415">
        <v>452</v>
      </c>
      <c r="C860" s="415">
        <v>94777</v>
      </c>
      <c r="D860" s="416" t="s">
        <v>3416</v>
      </c>
      <c r="E860" s="416" t="s">
        <v>462</v>
      </c>
      <c r="F860" s="416" t="s">
        <v>462</v>
      </c>
      <c r="G860" s="416" t="s">
        <v>462</v>
      </c>
      <c r="H860" s="416" t="s">
        <v>3417</v>
      </c>
      <c r="I860" s="416" t="s">
        <v>3418</v>
      </c>
      <c r="J860" s="415" t="s">
        <v>661</v>
      </c>
      <c r="K860" s="417">
        <v>-7.0865780000000003</v>
      </c>
      <c r="L860" s="417">
        <v>-78.568813000000006</v>
      </c>
      <c r="M860" s="418">
        <v>30</v>
      </c>
      <c r="N860" s="418" t="s">
        <v>2310</v>
      </c>
      <c r="O860" s="418" t="s">
        <v>3407</v>
      </c>
      <c r="P860" s="415">
        <v>4</v>
      </c>
      <c r="Q860" s="415">
        <v>30</v>
      </c>
      <c r="R860" s="415">
        <v>5</v>
      </c>
      <c r="S860" s="415">
        <f t="shared" si="39"/>
        <v>5</v>
      </c>
      <c r="T860" s="419">
        <f t="shared" si="40"/>
        <v>0.83333333333333337</v>
      </c>
      <c r="U860" s="419">
        <f t="shared" si="41"/>
        <v>5.833333333333333</v>
      </c>
      <c r="V860" s="415" t="s">
        <v>662</v>
      </c>
      <c r="W860" s="415" t="s">
        <v>608</v>
      </c>
      <c r="X860" s="415" t="s">
        <v>663</v>
      </c>
      <c r="Y860" s="415"/>
    </row>
    <row r="861" spans="1:25" hidden="1" x14ac:dyDescent="0.25">
      <c r="A861" s="415">
        <v>860</v>
      </c>
      <c r="B861" s="415">
        <v>453</v>
      </c>
      <c r="C861" s="415">
        <v>94353</v>
      </c>
      <c r="D861" s="416" t="s">
        <v>3419</v>
      </c>
      <c r="E861" s="416" t="s">
        <v>462</v>
      </c>
      <c r="F861" s="416" t="s">
        <v>462</v>
      </c>
      <c r="G861" s="416" t="s">
        <v>462</v>
      </c>
      <c r="H861" s="416" t="s">
        <v>3420</v>
      </c>
      <c r="I861" s="416" t="s">
        <v>3420</v>
      </c>
      <c r="J861" s="415" t="s">
        <v>661</v>
      </c>
      <c r="K861" s="417">
        <v>-7.1489339999999997</v>
      </c>
      <c r="L861" s="417">
        <v>-78.540520000000001</v>
      </c>
      <c r="M861" s="418">
        <v>30</v>
      </c>
      <c r="N861" s="418" t="s">
        <v>2310</v>
      </c>
      <c r="O861" s="418" t="s">
        <v>3407</v>
      </c>
      <c r="P861" s="415">
        <v>4</v>
      </c>
      <c r="Q861" s="415">
        <v>30</v>
      </c>
      <c r="R861" s="415">
        <v>5</v>
      </c>
      <c r="S861" s="415">
        <f t="shared" si="39"/>
        <v>5</v>
      </c>
      <c r="T861" s="419">
        <f t="shared" si="40"/>
        <v>0.83333333333333337</v>
      </c>
      <c r="U861" s="419">
        <f t="shared" si="41"/>
        <v>5.833333333333333</v>
      </c>
      <c r="V861" s="415" t="s">
        <v>662</v>
      </c>
      <c r="W861" s="415" t="s">
        <v>608</v>
      </c>
      <c r="X861" s="415" t="s">
        <v>663</v>
      </c>
      <c r="Y861" s="415"/>
    </row>
    <row r="862" spans="1:25" hidden="1" x14ac:dyDescent="0.25">
      <c r="A862" s="415">
        <v>861</v>
      </c>
      <c r="B862" s="415">
        <v>454</v>
      </c>
      <c r="C862" s="415">
        <v>94310</v>
      </c>
      <c r="D862" s="416" t="s">
        <v>988</v>
      </c>
      <c r="E862" s="416" t="s">
        <v>462</v>
      </c>
      <c r="F862" s="416" t="s">
        <v>462</v>
      </c>
      <c r="G862" s="416" t="s">
        <v>462</v>
      </c>
      <c r="H862" s="416" t="s">
        <v>989</v>
      </c>
      <c r="I862" s="416" t="s">
        <v>989</v>
      </c>
      <c r="J862" s="415" t="s">
        <v>661</v>
      </c>
      <c r="K862" s="417">
        <v>-7.1516929999999999</v>
      </c>
      <c r="L862" s="417">
        <v>-78.569953999999996</v>
      </c>
      <c r="M862" s="418">
        <v>30</v>
      </c>
      <c r="N862" s="418" t="s">
        <v>2310</v>
      </c>
      <c r="O862" s="418" t="s">
        <v>3407</v>
      </c>
      <c r="P862" s="415">
        <v>4</v>
      </c>
      <c r="Q862" s="415">
        <v>30</v>
      </c>
      <c r="R862" s="415">
        <v>5</v>
      </c>
      <c r="S862" s="415">
        <f t="shared" si="39"/>
        <v>5</v>
      </c>
      <c r="T862" s="419">
        <f t="shared" si="40"/>
        <v>0.83333333333333337</v>
      </c>
      <c r="U862" s="419">
        <f t="shared" si="41"/>
        <v>5.833333333333333</v>
      </c>
      <c r="V862" s="415" t="s">
        <v>662</v>
      </c>
      <c r="W862" s="415" t="s">
        <v>608</v>
      </c>
      <c r="X862" s="415" t="s">
        <v>663</v>
      </c>
      <c r="Y862" s="415"/>
    </row>
    <row r="863" spans="1:25" hidden="1" x14ac:dyDescent="0.25">
      <c r="A863" s="415">
        <v>862</v>
      </c>
      <c r="B863" s="415">
        <v>455</v>
      </c>
      <c r="C863" s="415">
        <v>94555</v>
      </c>
      <c r="D863" s="416" t="s">
        <v>3421</v>
      </c>
      <c r="E863" s="416" t="s">
        <v>462</v>
      </c>
      <c r="F863" s="416" t="s">
        <v>462</v>
      </c>
      <c r="G863" s="416" t="s">
        <v>462</v>
      </c>
      <c r="H863" s="416" t="s">
        <v>2188</v>
      </c>
      <c r="I863" s="416" t="s">
        <v>2188</v>
      </c>
      <c r="J863" s="415" t="s">
        <v>747</v>
      </c>
      <c r="K863" s="417">
        <v>-7.1067080000000002</v>
      </c>
      <c r="L863" s="417">
        <v>-78.538190999999998</v>
      </c>
      <c r="M863" s="418">
        <v>30</v>
      </c>
      <c r="N863" s="418" t="s">
        <v>2310</v>
      </c>
      <c r="O863" s="418" t="s">
        <v>3407</v>
      </c>
      <c r="P863" s="415">
        <v>4</v>
      </c>
      <c r="Q863" s="415">
        <v>30</v>
      </c>
      <c r="R863" s="415">
        <v>5</v>
      </c>
      <c r="S863" s="415">
        <f t="shared" si="39"/>
        <v>5</v>
      </c>
      <c r="T863" s="419">
        <f t="shared" si="40"/>
        <v>0.83333333333333337</v>
      </c>
      <c r="U863" s="419">
        <f t="shared" si="41"/>
        <v>5.833333333333333</v>
      </c>
      <c r="V863" s="415" t="s">
        <v>662</v>
      </c>
      <c r="W863" s="415" t="s">
        <v>608</v>
      </c>
      <c r="X863" s="415" t="s">
        <v>663</v>
      </c>
      <c r="Y863" s="415"/>
    </row>
    <row r="864" spans="1:25" hidden="1" x14ac:dyDescent="0.25">
      <c r="A864" s="415">
        <v>863</v>
      </c>
      <c r="B864" s="415">
        <v>456</v>
      </c>
      <c r="C864" s="415">
        <v>98520</v>
      </c>
      <c r="D864" s="416" t="s">
        <v>3422</v>
      </c>
      <c r="E864" s="416" t="s">
        <v>462</v>
      </c>
      <c r="F864" s="416" t="s">
        <v>462</v>
      </c>
      <c r="G864" s="416" t="s">
        <v>462</v>
      </c>
      <c r="H864" s="416" t="s">
        <v>3423</v>
      </c>
      <c r="I864" s="416" t="s">
        <v>3423</v>
      </c>
      <c r="J864" s="415" t="s">
        <v>661</v>
      </c>
      <c r="K864" s="417">
        <v>-7.0713999999999997</v>
      </c>
      <c r="L864" s="417">
        <v>-78.517399999999995</v>
      </c>
      <c r="M864" s="418">
        <v>30</v>
      </c>
      <c r="N864" s="418" t="s">
        <v>2310</v>
      </c>
      <c r="O864" s="418" t="s">
        <v>3407</v>
      </c>
      <c r="P864" s="415">
        <v>4</v>
      </c>
      <c r="Q864" s="415">
        <v>30</v>
      </c>
      <c r="R864" s="415">
        <v>5</v>
      </c>
      <c r="S864" s="415">
        <f t="shared" si="39"/>
        <v>5</v>
      </c>
      <c r="T864" s="419">
        <f t="shared" si="40"/>
        <v>0.83333333333333337</v>
      </c>
      <c r="U864" s="419">
        <f t="shared" si="41"/>
        <v>5.833333333333333</v>
      </c>
      <c r="V864" s="415" t="s">
        <v>662</v>
      </c>
      <c r="W864" s="415" t="s">
        <v>608</v>
      </c>
      <c r="X864" s="415" t="s">
        <v>663</v>
      </c>
      <c r="Y864" s="415"/>
    </row>
    <row r="865" spans="1:25" hidden="1" x14ac:dyDescent="0.25">
      <c r="A865" s="415">
        <v>864</v>
      </c>
      <c r="B865" s="415">
        <v>457</v>
      </c>
      <c r="C865" s="415">
        <v>94763</v>
      </c>
      <c r="D865" s="416" t="s">
        <v>3424</v>
      </c>
      <c r="E865" s="416" t="s">
        <v>462</v>
      </c>
      <c r="F865" s="416" t="s">
        <v>462</v>
      </c>
      <c r="G865" s="416" t="s">
        <v>462</v>
      </c>
      <c r="H865" s="416" t="s">
        <v>3425</v>
      </c>
      <c r="I865" s="416" t="s">
        <v>3425</v>
      </c>
      <c r="J865" s="415" t="s">
        <v>661</v>
      </c>
      <c r="K865" s="417">
        <v>-7.1540290000000004</v>
      </c>
      <c r="L865" s="417">
        <v>-78.550134</v>
      </c>
      <c r="M865" s="418">
        <v>30</v>
      </c>
      <c r="N865" s="418" t="s">
        <v>2310</v>
      </c>
      <c r="O865" s="418" t="s">
        <v>3407</v>
      </c>
      <c r="P865" s="415">
        <v>4</v>
      </c>
      <c r="Q865" s="415">
        <v>30</v>
      </c>
      <c r="R865" s="415">
        <v>5</v>
      </c>
      <c r="S865" s="415">
        <f t="shared" si="39"/>
        <v>5</v>
      </c>
      <c r="T865" s="419">
        <f t="shared" si="40"/>
        <v>0.83333333333333337</v>
      </c>
      <c r="U865" s="419">
        <f t="shared" si="41"/>
        <v>5.833333333333333</v>
      </c>
      <c r="V865" s="415" t="s">
        <v>662</v>
      </c>
      <c r="W865" s="415" t="s">
        <v>608</v>
      </c>
      <c r="X865" s="415" t="s">
        <v>663</v>
      </c>
      <c r="Y865" s="415"/>
    </row>
    <row r="866" spans="1:25" hidden="1" x14ac:dyDescent="0.25">
      <c r="A866" s="415">
        <v>865</v>
      </c>
      <c r="B866" s="415">
        <v>458</v>
      </c>
      <c r="C866" s="415">
        <v>94348</v>
      </c>
      <c r="D866" s="416" t="s">
        <v>3426</v>
      </c>
      <c r="E866" s="416" t="s">
        <v>462</v>
      </c>
      <c r="F866" s="416" t="s">
        <v>462</v>
      </c>
      <c r="G866" s="416" t="s">
        <v>462</v>
      </c>
      <c r="H866" s="416" t="s">
        <v>3427</v>
      </c>
      <c r="I866" s="416" t="s">
        <v>3428</v>
      </c>
      <c r="J866" s="415" t="s">
        <v>661</v>
      </c>
      <c r="K866" s="417">
        <v>-7.1734200000000001</v>
      </c>
      <c r="L866" s="417">
        <v>-78.530900000000003</v>
      </c>
      <c r="M866" s="418">
        <v>30</v>
      </c>
      <c r="N866" s="418" t="s">
        <v>2310</v>
      </c>
      <c r="O866" s="418" t="s">
        <v>3407</v>
      </c>
      <c r="P866" s="415">
        <v>4</v>
      </c>
      <c r="Q866" s="415">
        <v>30</v>
      </c>
      <c r="R866" s="415">
        <v>5</v>
      </c>
      <c r="S866" s="415">
        <f t="shared" si="39"/>
        <v>5</v>
      </c>
      <c r="T866" s="419">
        <f t="shared" si="40"/>
        <v>0.83333333333333337</v>
      </c>
      <c r="U866" s="419">
        <f t="shared" si="41"/>
        <v>5.833333333333333</v>
      </c>
      <c r="V866" s="415" t="s">
        <v>662</v>
      </c>
      <c r="W866" s="415" t="s">
        <v>608</v>
      </c>
      <c r="X866" s="415" t="s">
        <v>663</v>
      </c>
      <c r="Y866" s="415"/>
    </row>
    <row r="867" spans="1:25" hidden="1" x14ac:dyDescent="0.25">
      <c r="A867" s="415">
        <v>866</v>
      </c>
      <c r="B867" s="415">
        <v>459</v>
      </c>
      <c r="C867" s="415">
        <v>96050</v>
      </c>
      <c r="D867" s="416" t="s">
        <v>993</v>
      </c>
      <c r="E867" s="416" t="s">
        <v>462</v>
      </c>
      <c r="F867" s="416" t="s">
        <v>462</v>
      </c>
      <c r="G867" s="416" t="s">
        <v>992</v>
      </c>
      <c r="H867" s="416" t="s">
        <v>994</v>
      </c>
      <c r="I867" s="416" t="s">
        <v>994</v>
      </c>
      <c r="J867" s="415" t="s">
        <v>661</v>
      </c>
      <c r="K867" s="417">
        <v>-7.4086280000000002</v>
      </c>
      <c r="L867" s="417">
        <v>-78.582819000000001</v>
      </c>
      <c r="M867" s="418">
        <v>30</v>
      </c>
      <c r="N867" s="418" t="s">
        <v>2310</v>
      </c>
      <c r="O867" s="418" t="s">
        <v>3407</v>
      </c>
      <c r="P867" s="415">
        <v>4</v>
      </c>
      <c r="Q867" s="415">
        <v>30</v>
      </c>
      <c r="R867" s="415">
        <v>5</v>
      </c>
      <c r="S867" s="415">
        <f t="shared" si="39"/>
        <v>5</v>
      </c>
      <c r="T867" s="419">
        <f t="shared" si="40"/>
        <v>0.83333333333333337</v>
      </c>
      <c r="U867" s="419">
        <f t="shared" si="41"/>
        <v>5.833333333333333</v>
      </c>
      <c r="V867" s="415" t="s">
        <v>662</v>
      </c>
      <c r="W867" s="415" t="s">
        <v>616</v>
      </c>
      <c r="X867" s="415" t="s">
        <v>666</v>
      </c>
      <c r="Y867" s="415"/>
    </row>
    <row r="868" spans="1:25" hidden="1" x14ac:dyDescent="0.25">
      <c r="A868" s="415">
        <v>867</v>
      </c>
      <c r="B868" s="415">
        <v>460</v>
      </c>
      <c r="C868" s="415">
        <v>96205</v>
      </c>
      <c r="D868" s="416" t="s">
        <v>995</v>
      </c>
      <c r="E868" s="416" t="s">
        <v>462</v>
      </c>
      <c r="F868" s="416" t="s">
        <v>462</v>
      </c>
      <c r="G868" s="416" t="s">
        <v>992</v>
      </c>
      <c r="H868" s="416" t="s">
        <v>996</v>
      </c>
      <c r="I868" s="416" t="s">
        <v>996</v>
      </c>
      <c r="J868" s="415" t="s">
        <v>661</v>
      </c>
      <c r="K868" s="417">
        <v>-7.4882239999999998</v>
      </c>
      <c r="L868" s="417">
        <v>-78.389098000000004</v>
      </c>
      <c r="M868" s="418">
        <v>30</v>
      </c>
      <c r="N868" s="418" t="s">
        <v>2310</v>
      </c>
      <c r="O868" s="418" t="s">
        <v>3407</v>
      </c>
      <c r="P868" s="415">
        <v>4</v>
      </c>
      <c r="Q868" s="415">
        <v>30</v>
      </c>
      <c r="R868" s="415">
        <v>5</v>
      </c>
      <c r="S868" s="415">
        <f t="shared" si="39"/>
        <v>5</v>
      </c>
      <c r="T868" s="419">
        <f t="shared" si="40"/>
        <v>0.83333333333333337</v>
      </c>
      <c r="U868" s="419">
        <f t="shared" si="41"/>
        <v>5.833333333333333</v>
      </c>
      <c r="V868" s="415" t="s">
        <v>662</v>
      </c>
      <c r="W868" s="415" t="s">
        <v>616</v>
      </c>
      <c r="X868" s="415" t="s">
        <v>666</v>
      </c>
      <c r="Y868" s="415"/>
    </row>
    <row r="869" spans="1:25" hidden="1" x14ac:dyDescent="0.25">
      <c r="A869" s="415">
        <v>868</v>
      </c>
      <c r="B869" s="415">
        <v>461</v>
      </c>
      <c r="C869" s="415">
        <v>828788</v>
      </c>
      <c r="D869" s="416" t="s">
        <v>3429</v>
      </c>
      <c r="E869" s="416" t="s">
        <v>462</v>
      </c>
      <c r="F869" s="416" t="s">
        <v>462</v>
      </c>
      <c r="G869" s="416" t="s">
        <v>987</v>
      </c>
      <c r="H869" s="416" t="s">
        <v>473</v>
      </c>
      <c r="I869" s="416" t="s">
        <v>473</v>
      </c>
      <c r="J869" s="415" t="s">
        <v>661</v>
      </c>
      <c r="K869" s="417">
        <v>-7.365545</v>
      </c>
      <c r="L869" s="417">
        <v>-78.324993000000006</v>
      </c>
      <c r="M869" s="418">
        <v>30</v>
      </c>
      <c r="N869" s="418" t="s">
        <v>2310</v>
      </c>
      <c r="O869" s="418" t="s">
        <v>3407</v>
      </c>
      <c r="P869" s="415">
        <v>4</v>
      </c>
      <c r="Q869" s="415">
        <v>30</v>
      </c>
      <c r="R869" s="415">
        <v>5</v>
      </c>
      <c r="S869" s="415">
        <f t="shared" si="39"/>
        <v>5</v>
      </c>
      <c r="T869" s="419">
        <f t="shared" si="40"/>
        <v>0.83333333333333337</v>
      </c>
      <c r="U869" s="419">
        <f t="shared" si="41"/>
        <v>5.833333333333333</v>
      </c>
      <c r="V869" s="415" t="s">
        <v>662</v>
      </c>
      <c r="W869" s="415" t="s">
        <v>616</v>
      </c>
      <c r="X869" s="415" t="s">
        <v>666</v>
      </c>
      <c r="Y869" s="415"/>
    </row>
    <row r="870" spans="1:25" hidden="1" x14ac:dyDescent="0.25">
      <c r="A870" s="415">
        <v>869</v>
      </c>
      <c r="B870" s="415">
        <v>462</v>
      </c>
      <c r="C870" s="415">
        <v>98921</v>
      </c>
      <c r="D870" s="416" t="s">
        <v>3430</v>
      </c>
      <c r="E870" s="416" t="s">
        <v>462</v>
      </c>
      <c r="F870" s="416" t="s">
        <v>462</v>
      </c>
      <c r="G870" s="416" t="s">
        <v>1000</v>
      </c>
      <c r="H870" s="416" t="s">
        <v>3431</v>
      </c>
      <c r="I870" s="416" t="s">
        <v>3431</v>
      </c>
      <c r="J870" s="415" t="s">
        <v>661</v>
      </c>
      <c r="K870" s="417">
        <v>-7.24695</v>
      </c>
      <c r="L870" s="417">
        <v>-78.280562000000003</v>
      </c>
      <c r="M870" s="418">
        <v>30</v>
      </c>
      <c r="N870" s="418" t="s">
        <v>2310</v>
      </c>
      <c r="O870" s="418" t="s">
        <v>3407</v>
      </c>
      <c r="P870" s="415">
        <v>4</v>
      </c>
      <c r="Q870" s="415">
        <v>30</v>
      </c>
      <c r="R870" s="415">
        <v>5</v>
      </c>
      <c r="S870" s="415">
        <f t="shared" si="39"/>
        <v>5</v>
      </c>
      <c r="T870" s="419">
        <f t="shared" si="40"/>
        <v>0.83333333333333337</v>
      </c>
      <c r="U870" s="419">
        <f t="shared" si="41"/>
        <v>5.833333333333333</v>
      </c>
      <c r="V870" s="415" t="s">
        <v>662</v>
      </c>
      <c r="W870" s="415" t="s">
        <v>616</v>
      </c>
      <c r="X870" s="415" t="s">
        <v>666</v>
      </c>
      <c r="Y870" s="415"/>
    </row>
    <row r="871" spans="1:25" hidden="1" x14ac:dyDescent="0.25">
      <c r="A871" s="415">
        <v>870</v>
      </c>
      <c r="B871" s="415">
        <v>463</v>
      </c>
      <c r="C871" s="415">
        <v>102517</v>
      </c>
      <c r="D871" s="416" t="s">
        <v>1012</v>
      </c>
      <c r="E871" s="416" t="s">
        <v>462</v>
      </c>
      <c r="F871" s="416" t="s">
        <v>464</v>
      </c>
      <c r="G871" s="416" t="s">
        <v>1011</v>
      </c>
      <c r="H871" s="416" t="s">
        <v>1012</v>
      </c>
      <c r="I871" s="416" t="s">
        <v>1012</v>
      </c>
      <c r="J871" s="415" t="s">
        <v>661</v>
      </c>
      <c r="K871" s="417">
        <v>-6.512238</v>
      </c>
      <c r="L871" s="417">
        <v>-78.255139</v>
      </c>
      <c r="M871" s="418">
        <v>30</v>
      </c>
      <c r="N871" s="418" t="s">
        <v>2310</v>
      </c>
      <c r="O871" s="418" t="s">
        <v>3407</v>
      </c>
      <c r="P871" s="415">
        <v>4</v>
      </c>
      <c r="Q871" s="415">
        <v>30</v>
      </c>
      <c r="R871" s="415">
        <v>5</v>
      </c>
      <c r="S871" s="415">
        <f t="shared" si="39"/>
        <v>5</v>
      </c>
      <c r="T871" s="419">
        <f t="shared" si="40"/>
        <v>0.83333333333333337</v>
      </c>
      <c r="U871" s="419">
        <f t="shared" si="41"/>
        <v>5.833333333333333</v>
      </c>
      <c r="V871" s="415" t="s">
        <v>662</v>
      </c>
      <c r="W871" s="415" t="s">
        <v>608</v>
      </c>
      <c r="X871" s="415" t="s">
        <v>663</v>
      </c>
      <c r="Y871" s="415"/>
    </row>
    <row r="872" spans="1:25" hidden="1" x14ac:dyDescent="0.25">
      <c r="A872" s="415">
        <v>871</v>
      </c>
      <c r="B872" s="415">
        <v>464</v>
      </c>
      <c r="C872" s="415">
        <v>573447</v>
      </c>
      <c r="D872" s="416" t="s">
        <v>1407</v>
      </c>
      <c r="E872" s="416" t="s">
        <v>462</v>
      </c>
      <c r="F872" s="416" t="s">
        <v>464</v>
      </c>
      <c r="G872" s="416" t="s">
        <v>1013</v>
      </c>
      <c r="H872" s="416" t="s">
        <v>2229</v>
      </c>
      <c r="I872" s="416" t="s">
        <v>2229</v>
      </c>
      <c r="J872" s="415" t="s">
        <v>661</v>
      </c>
      <c r="K872" s="417">
        <v>-6.8628710000000002</v>
      </c>
      <c r="L872" s="417">
        <v>-78.215131</v>
      </c>
      <c r="M872" s="418">
        <v>30</v>
      </c>
      <c r="N872" s="418" t="s">
        <v>2310</v>
      </c>
      <c r="O872" s="418" t="s">
        <v>3407</v>
      </c>
      <c r="P872" s="415">
        <v>4</v>
      </c>
      <c r="Q872" s="415">
        <v>30</v>
      </c>
      <c r="R872" s="415">
        <v>5</v>
      </c>
      <c r="S872" s="415">
        <f t="shared" si="39"/>
        <v>5</v>
      </c>
      <c r="T872" s="419">
        <f t="shared" si="40"/>
        <v>0.83333333333333337</v>
      </c>
      <c r="U872" s="419">
        <f t="shared" si="41"/>
        <v>5.833333333333333</v>
      </c>
      <c r="V872" s="415" t="s">
        <v>662</v>
      </c>
      <c r="W872" s="415" t="s">
        <v>608</v>
      </c>
      <c r="X872" s="415" t="s">
        <v>663</v>
      </c>
      <c r="Y872" s="415"/>
    </row>
    <row r="873" spans="1:25" hidden="1" x14ac:dyDescent="0.25">
      <c r="A873" s="415">
        <v>872</v>
      </c>
      <c r="B873" s="415">
        <v>465</v>
      </c>
      <c r="C873" s="415">
        <v>103102</v>
      </c>
      <c r="D873" s="416" t="s">
        <v>1015</v>
      </c>
      <c r="E873" s="416" t="s">
        <v>462</v>
      </c>
      <c r="F873" s="416" t="s">
        <v>464</v>
      </c>
      <c r="G873" s="416" t="s">
        <v>1013</v>
      </c>
      <c r="H873" s="416" t="s">
        <v>1013</v>
      </c>
      <c r="I873" s="416" t="s">
        <v>1016</v>
      </c>
      <c r="J873" s="415" t="s">
        <v>661</v>
      </c>
      <c r="K873" s="417">
        <v>-6.8357340000000004</v>
      </c>
      <c r="L873" s="417">
        <v>-78.244594000000006</v>
      </c>
      <c r="M873" s="418">
        <v>30</v>
      </c>
      <c r="N873" s="418" t="s">
        <v>2310</v>
      </c>
      <c r="O873" s="418" t="s">
        <v>3407</v>
      </c>
      <c r="P873" s="415">
        <v>4</v>
      </c>
      <c r="Q873" s="415">
        <v>30</v>
      </c>
      <c r="R873" s="415">
        <v>5</v>
      </c>
      <c r="S873" s="415">
        <f t="shared" si="39"/>
        <v>5</v>
      </c>
      <c r="T873" s="419">
        <f t="shared" si="40"/>
        <v>0.83333333333333337</v>
      </c>
      <c r="U873" s="419">
        <f t="shared" si="41"/>
        <v>5.833333333333333</v>
      </c>
      <c r="V873" s="415" t="s">
        <v>662</v>
      </c>
      <c r="W873" s="415" t="s">
        <v>608</v>
      </c>
      <c r="X873" s="415" t="s">
        <v>663</v>
      </c>
      <c r="Y873" s="415"/>
    </row>
    <row r="874" spans="1:25" hidden="1" x14ac:dyDescent="0.25">
      <c r="A874" s="415">
        <v>873</v>
      </c>
      <c r="B874" s="415">
        <v>466</v>
      </c>
      <c r="C874" s="415">
        <v>103531</v>
      </c>
      <c r="D874" s="416" t="s">
        <v>3432</v>
      </c>
      <c r="E874" s="416" t="s">
        <v>462</v>
      </c>
      <c r="F874" s="416" t="s">
        <v>464</v>
      </c>
      <c r="G874" s="416" t="s">
        <v>1017</v>
      </c>
      <c r="H874" s="416" t="s">
        <v>3433</v>
      </c>
      <c r="I874" s="416" t="s">
        <v>3433</v>
      </c>
      <c r="J874" s="415" t="s">
        <v>661</v>
      </c>
      <c r="K874" s="417">
        <v>-7.0978490000000001</v>
      </c>
      <c r="L874" s="417">
        <v>-78.073113000000006</v>
      </c>
      <c r="M874" s="418">
        <v>30</v>
      </c>
      <c r="N874" s="418" t="s">
        <v>2310</v>
      </c>
      <c r="O874" s="418" t="s">
        <v>3407</v>
      </c>
      <c r="P874" s="415">
        <v>4</v>
      </c>
      <c r="Q874" s="415">
        <v>30</v>
      </c>
      <c r="R874" s="415">
        <v>5</v>
      </c>
      <c r="S874" s="415">
        <f t="shared" si="39"/>
        <v>5</v>
      </c>
      <c r="T874" s="419">
        <f t="shared" si="40"/>
        <v>0.83333333333333337</v>
      </c>
      <c r="U874" s="419">
        <f t="shared" si="41"/>
        <v>5.833333333333333</v>
      </c>
      <c r="V874" s="415" t="s">
        <v>662</v>
      </c>
      <c r="W874" s="415" t="s">
        <v>616</v>
      </c>
      <c r="X874" s="415" t="s">
        <v>666</v>
      </c>
      <c r="Y874" s="415"/>
    </row>
    <row r="875" spans="1:25" hidden="1" x14ac:dyDescent="0.25">
      <c r="A875" s="415">
        <v>874</v>
      </c>
      <c r="B875" s="415">
        <v>467</v>
      </c>
      <c r="C875" s="415">
        <v>103927</v>
      </c>
      <c r="D875" s="416" t="s">
        <v>3434</v>
      </c>
      <c r="E875" s="416" t="s">
        <v>462</v>
      </c>
      <c r="F875" s="416" t="s">
        <v>464</v>
      </c>
      <c r="G875" s="416" t="s">
        <v>3435</v>
      </c>
      <c r="H875" s="416" t="s">
        <v>1187</v>
      </c>
      <c r="I875" s="416" t="s">
        <v>3436</v>
      </c>
      <c r="J875" s="415" t="s">
        <v>661</v>
      </c>
      <c r="K875" s="417">
        <v>-6.9115890000000002</v>
      </c>
      <c r="L875" s="417">
        <v>-78.291893999999999</v>
      </c>
      <c r="M875" s="418">
        <v>30</v>
      </c>
      <c r="N875" s="418" t="s">
        <v>2310</v>
      </c>
      <c r="O875" s="418" t="s">
        <v>3407</v>
      </c>
      <c r="P875" s="415">
        <v>4</v>
      </c>
      <c r="Q875" s="415">
        <v>30</v>
      </c>
      <c r="R875" s="415">
        <v>5</v>
      </c>
      <c r="S875" s="415">
        <f t="shared" si="39"/>
        <v>5</v>
      </c>
      <c r="T875" s="419">
        <f t="shared" si="40"/>
        <v>0.83333333333333337</v>
      </c>
      <c r="U875" s="419">
        <f t="shared" si="41"/>
        <v>5.833333333333333</v>
      </c>
      <c r="V875" s="415" t="s">
        <v>662</v>
      </c>
      <c r="W875" s="415" t="s">
        <v>608</v>
      </c>
      <c r="X875" s="415" t="s">
        <v>663</v>
      </c>
      <c r="Y875" s="415"/>
    </row>
    <row r="876" spans="1:25" hidden="1" x14ac:dyDescent="0.25">
      <c r="A876" s="415">
        <v>875</v>
      </c>
      <c r="B876" s="415">
        <v>468</v>
      </c>
      <c r="C876" s="415">
        <v>104371</v>
      </c>
      <c r="D876" s="416" t="s">
        <v>997</v>
      </c>
      <c r="E876" s="416" t="s">
        <v>462</v>
      </c>
      <c r="F876" s="416" t="s">
        <v>464</v>
      </c>
      <c r="G876" s="416" t="s">
        <v>1018</v>
      </c>
      <c r="H876" s="416" t="s">
        <v>1019</v>
      </c>
      <c r="I876" s="416" t="s">
        <v>1020</v>
      </c>
      <c r="J876" s="415" t="s">
        <v>661</v>
      </c>
      <c r="K876" s="417">
        <v>-6.8578960000000002</v>
      </c>
      <c r="L876" s="417">
        <v>-78.091183999999998</v>
      </c>
      <c r="M876" s="418">
        <v>30</v>
      </c>
      <c r="N876" s="418" t="s">
        <v>2310</v>
      </c>
      <c r="O876" s="418" t="s">
        <v>3407</v>
      </c>
      <c r="P876" s="415">
        <v>4</v>
      </c>
      <c r="Q876" s="415">
        <v>30</v>
      </c>
      <c r="R876" s="415">
        <v>5</v>
      </c>
      <c r="S876" s="415">
        <f t="shared" si="39"/>
        <v>5</v>
      </c>
      <c r="T876" s="419">
        <f t="shared" si="40"/>
        <v>0.83333333333333337</v>
      </c>
      <c r="U876" s="419">
        <f t="shared" si="41"/>
        <v>5.833333333333333</v>
      </c>
      <c r="V876" s="415" t="s">
        <v>662</v>
      </c>
      <c r="W876" s="415" t="s">
        <v>608</v>
      </c>
      <c r="X876" s="415" t="s">
        <v>663</v>
      </c>
      <c r="Y876" s="415"/>
    </row>
    <row r="877" spans="1:25" hidden="1" x14ac:dyDescent="0.25">
      <c r="A877" s="415">
        <v>876</v>
      </c>
      <c r="B877" s="415">
        <v>469</v>
      </c>
      <c r="C877" s="415">
        <v>106266</v>
      </c>
      <c r="D877" s="416" t="s">
        <v>1022</v>
      </c>
      <c r="E877" s="416" t="s">
        <v>462</v>
      </c>
      <c r="F877" s="416" t="s">
        <v>465</v>
      </c>
      <c r="G877" s="416" t="s">
        <v>1023</v>
      </c>
      <c r="H877" s="416" t="s">
        <v>1024</v>
      </c>
      <c r="I877" s="416" t="s">
        <v>1024</v>
      </c>
      <c r="J877" s="415" t="s">
        <v>661</v>
      </c>
      <c r="K877" s="417">
        <v>-6.3118569999999998</v>
      </c>
      <c r="L877" s="417">
        <v>-78.489617999999993</v>
      </c>
      <c r="M877" s="418">
        <v>30</v>
      </c>
      <c r="N877" s="418" t="s">
        <v>2310</v>
      </c>
      <c r="O877" s="418" t="s">
        <v>3407</v>
      </c>
      <c r="P877" s="415">
        <v>4</v>
      </c>
      <c r="Q877" s="415">
        <v>30</v>
      </c>
      <c r="R877" s="415">
        <v>5</v>
      </c>
      <c r="S877" s="415">
        <f t="shared" si="39"/>
        <v>5</v>
      </c>
      <c r="T877" s="419">
        <f t="shared" si="40"/>
        <v>0.83333333333333337</v>
      </c>
      <c r="U877" s="419">
        <f t="shared" si="41"/>
        <v>5.833333333333333</v>
      </c>
      <c r="V877" s="415" t="s">
        <v>662</v>
      </c>
      <c r="W877" s="415" t="s">
        <v>608</v>
      </c>
      <c r="X877" s="415" t="s">
        <v>663</v>
      </c>
      <c r="Y877" s="415"/>
    </row>
    <row r="878" spans="1:25" hidden="1" x14ac:dyDescent="0.25">
      <c r="A878" s="415">
        <v>877</v>
      </c>
      <c r="B878" s="415">
        <v>470</v>
      </c>
      <c r="C878" s="415">
        <v>105568</v>
      </c>
      <c r="D878" s="416" t="s">
        <v>2149</v>
      </c>
      <c r="E878" s="416" t="s">
        <v>462</v>
      </c>
      <c r="F878" s="416" t="s">
        <v>465</v>
      </c>
      <c r="G878" s="416" t="s">
        <v>465</v>
      </c>
      <c r="H878" s="416" t="s">
        <v>3437</v>
      </c>
      <c r="I878" s="416" t="s">
        <v>3438</v>
      </c>
      <c r="J878" s="415" t="s">
        <v>661</v>
      </c>
      <c r="K878" s="417">
        <v>-6.5539420000000002</v>
      </c>
      <c r="L878" s="417">
        <v>-78.674740999999997</v>
      </c>
      <c r="M878" s="418">
        <v>30</v>
      </c>
      <c r="N878" s="418" t="s">
        <v>2310</v>
      </c>
      <c r="O878" s="418" t="s">
        <v>3407</v>
      </c>
      <c r="P878" s="415">
        <v>4</v>
      </c>
      <c r="Q878" s="415">
        <v>30</v>
      </c>
      <c r="R878" s="415">
        <v>5</v>
      </c>
      <c r="S878" s="415">
        <f t="shared" si="39"/>
        <v>5</v>
      </c>
      <c r="T878" s="419">
        <f t="shared" si="40"/>
        <v>0.83333333333333337</v>
      </c>
      <c r="U878" s="419">
        <f t="shared" si="41"/>
        <v>5.833333333333333</v>
      </c>
      <c r="V878" s="415" t="s">
        <v>662</v>
      </c>
      <c r="W878" s="415" t="s">
        <v>608</v>
      </c>
      <c r="X878" s="415" t="s">
        <v>663</v>
      </c>
      <c r="Y878" s="415"/>
    </row>
    <row r="879" spans="1:25" hidden="1" x14ac:dyDescent="0.25">
      <c r="A879" s="415">
        <v>878</v>
      </c>
      <c r="B879" s="415">
        <v>471</v>
      </c>
      <c r="C879" s="415">
        <v>106964</v>
      </c>
      <c r="D879" s="416" t="s">
        <v>3439</v>
      </c>
      <c r="E879" s="416" t="s">
        <v>462</v>
      </c>
      <c r="F879" s="416" t="s">
        <v>465</v>
      </c>
      <c r="G879" s="416" t="s">
        <v>1025</v>
      </c>
      <c r="H879" s="416" t="s">
        <v>2230</v>
      </c>
      <c r="I879" s="416" t="s">
        <v>3440</v>
      </c>
      <c r="J879" s="415" t="s">
        <v>661</v>
      </c>
      <c r="K879" s="417">
        <v>-6.4234220000000004</v>
      </c>
      <c r="L879" s="417">
        <v>-78.669664999999995</v>
      </c>
      <c r="M879" s="418">
        <v>30</v>
      </c>
      <c r="N879" s="418" t="s">
        <v>2310</v>
      </c>
      <c r="O879" s="418" t="s">
        <v>3407</v>
      </c>
      <c r="P879" s="415">
        <v>4</v>
      </c>
      <c r="Q879" s="415">
        <v>30</v>
      </c>
      <c r="R879" s="415">
        <v>5</v>
      </c>
      <c r="S879" s="415">
        <f t="shared" si="39"/>
        <v>5</v>
      </c>
      <c r="T879" s="419">
        <f t="shared" si="40"/>
        <v>0.83333333333333337</v>
      </c>
      <c r="U879" s="419">
        <f t="shared" si="41"/>
        <v>5.833333333333333</v>
      </c>
      <c r="V879" s="415" t="s">
        <v>662</v>
      </c>
      <c r="W879" s="415" t="s">
        <v>608</v>
      </c>
      <c r="X879" s="415" t="s">
        <v>663</v>
      </c>
      <c r="Y879" s="415"/>
    </row>
    <row r="880" spans="1:25" hidden="1" x14ac:dyDescent="0.25">
      <c r="A880" s="415">
        <v>879</v>
      </c>
      <c r="B880" s="415">
        <v>472</v>
      </c>
      <c r="C880" s="415">
        <v>107015</v>
      </c>
      <c r="D880" s="416" t="s">
        <v>1765</v>
      </c>
      <c r="E880" s="416" t="s">
        <v>462</v>
      </c>
      <c r="F880" s="416" t="s">
        <v>465</v>
      </c>
      <c r="G880" s="416" t="s">
        <v>1025</v>
      </c>
      <c r="H880" s="416" t="s">
        <v>3441</v>
      </c>
      <c r="I880" s="416" t="s">
        <v>3441</v>
      </c>
      <c r="J880" s="415" t="s">
        <v>661</v>
      </c>
      <c r="K880" s="417">
        <v>-6.4920450000000001</v>
      </c>
      <c r="L880" s="417">
        <v>-78.560111000000006</v>
      </c>
      <c r="M880" s="418">
        <v>30</v>
      </c>
      <c r="N880" s="418" t="s">
        <v>2310</v>
      </c>
      <c r="O880" s="418" t="s">
        <v>3407</v>
      </c>
      <c r="P880" s="415">
        <v>4</v>
      </c>
      <c r="Q880" s="415">
        <v>30</v>
      </c>
      <c r="R880" s="415">
        <v>5</v>
      </c>
      <c r="S880" s="415">
        <f t="shared" si="39"/>
        <v>5</v>
      </c>
      <c r="T880" s="419">
        <f t="shared" si="40"/>
        <v>0.83333333333333337</v>
      </c>
      <c r="U880" s="419">
        <f t="shared" si="41"/>
        <v>5.833333333333333</v>
      </c>
      <c r="V880" s="415" t="s">
        <v>662</v>
      </c>
      <c r="W880" s="415" t="s">
        <v>608</v>
      </c>
      <c r="X880" s="415" t="s">
        <v>663</v>
      </c>
      <c r="Y880" s="415"/>
    </row>
    <row r="881" spans="1:25" hidden="1" x14ac:dyDescent="0.25">
      <c r="A881" s="415">
        <v>880</v>
      </c>
      <c r="B881" s="415">
        <v>473</v>
      </c>
      <c r="C881" s="415">
        <v>107218</v>
      </c>
      <c r="D881" s="416" t="s">
        <v>3442</v>
      </c>
      <c r="E881" s="416" t="s">
        <v>462</v>
      </c>
      <c r="F881" s="416" t="s">
        <v>465</v>
      </c>
      <c r="G881" s="416" t="s">
        <v>1026</v>
      </c>
      <c r="H881" s="416" t="s">
        <v>3443</v>
      </c>
      <c r="I881" s="416" t="s">
        <v>3444</v>
      </c>
      <c r="J881" s="415" t="s">
        <v>661</v>
      </c>
      <c r="K881" s="417">
        <v>-6.4550179999999999</v>
      </c>
      <c r="L881" s="417">
        <v>-78.940551999999997</v>
      </c>
      <c r="M881" s="418">
        <v>30</v>
      </c>
      <c r="N881" s="418" t="s">
        <v>2310</v>
      </c>
      <c r="O881" s="418" t="s">
        <v>3407</v>
      </c>
      <c r="P881" s="415">
        <v>4</v>
      </c>
      <c r="Q881" s="415">
        <v>30</v>
      </c>
      <c r="R881" s="415">
        <v>5</v>
      </c>
      <c r="S881" s="415">
        <f t="shared" si="39"/>
        <v>5</v>
      </c>
      <c r="T881" s="419">
        <f t="shared" si="40"/>
        <v>0.83333333333333337</v>
      </c>
      <c r="U881" s="419">
        <f t="shared" si="41"/>
        <v>5.833333333333333</v>
      </c>
      <c r="V881" s="415" t="s">
        <v>662</v>
      </c>
      <c r="W881" s="415" t="s">
        <v>608</v>
      </c>
      <c r="X881" s="415" t="s">
        <v>663</v>
      </c>
      <c r="Y881" s="415"/>
    </row>
    <row r="882" spans="1:25" hidden="1" x14ac:dyDescent="0.25">
      <c r="A882" s="415">
        <v>881</v>
      </c>
      <c r="B882" s="415">
        <v>474</v>
      </c>
      <c r="C882" s="415">
        <v>107459</v>
      </c>
      <c r="D882" s="416" t="s">
        <v>1027</v>
      </c>
      <c r="E882" s="416" t="s">
        <v>462</v>
      </c>
      <c r="F882" s="416" t="s">
        <v>465</v>
      </c>
      <c r="G882" s="416" t="s">
        <v>1028</v>
      </c>
      <c r="H882" s="416" t="s">
        <v>1029</v>
      </c>
      <c r="I882" s="416" t="s">
        <v>1029</v>
      </c>
      <c r="J882" s="415" t="s">
        <v>661</v>
      </c>
      <c r="K882" s="417">
        <v>-6.598592</v>
      </c>
      <c r="L882" s="417">
        <v>-78.709449000000006</v>
      </c>
      <c r="M882" s="418">
        <v>30</v>
      </c>
      <c r="N882" s="418" t="s">
        <v>2310</v>
      </c>
      <c r="O882" s="418" t="s">
        <v>3407</v>
      </c>
      <c r="P882" s="415">
        <v>4</v>
      </c>
      <c r="Q882" s="415">
        <v>30</v>
      </c>
      <c r="R882" s="415">
        <v>5</v>
      </c>
      <c r="S882" s="415">
        <f t="shared" si="39"/>
        <v>5</v>
      </c>
      <c r="T882" s="419">
        <f t="shared" si="40"/>
        <v>0.83333333333333337</v>
      </c>
      <c r="U882" s="419">
        <f t="shared" si="41"/>
        <v>5.833333333333333</v>
      </c>
      <c r="V882" s="415" t="s">
        <v>662</v>
      </c>
      <c r="W882" s="415" t="s">
        <v>608</v>
      </c>
      <c r="X882" s="415" t="s">
        <v>663</v>
      </c>
      <c r="Y882" s="415"/>
    </row>
    <row r="883" spans="1:25" hidden="1" x14ac:dyDescent="0.25">
      <c r="A883" s="415">
        <v>882</v>
      </c>
      <c r="B883" s="415">
        <v>475</v>
      </c>
      <c r="C883" s="415">
        <v>107708</v>
      </c>
      <c r="D883" s="416" t="s">
        <v>1030</v>
      </c>
      <c r="E883" s="416" t="s">
        <v>462</v>
      </c>
      <c r="F883" s="416" t="s">
        <v>465</v>
      </c>
      <c r="G883" s="416" t="s">
        <v>1028</v>
      </c>
      <c r="H883" s="416" t="s">
        <v>1029</v>
      </c>
      <c r="I883" s="416" t="s">
        <v>1031</v>
      </c>
      <c r="J883" s="415" t="s">
        <v>661</v>
      </c>
      <c r="K883" s="417">
        <v>-6.5994700000000002</v>
      </c>
      <c r="L883" s="417">
        <v>-78.708367999999993</v>
      </c>
      <c r="M883" s="418">
        <v>30</v>
      </c>
      <c r="N883" s="418" t="s">
        <v>2310</v>
      </c>
      <c r="O883" s="418" t="s">
        <v>3407</v>
      </c>
      <c r="P883" s="415">
        <v>4</v>
      </c>
      <c r="Q883" s="415">
        <v>30</v>
      </c>
      <c r="R883" s="415">
        <v>5</v>
      </c>
      <c r="S883" s="415">
        <f t="shared" si="39"/>
        <v>5</v>
      </c>
      <c r="T883" s="419">
        <f t="shared" si="40"/>
        <v>0.83333333333333337</v>
      </c>
      <c r="U883" s="419">
        <f t="shared" si="41"/>
        <v>5.833333333333333</v>
      </c>
      <c r="V883" s="415" t="s">
        <v>662</v>
      </c>
      <c r="W883" s="415" t="s">
        <v>608</v>
      </c>
      <c r="X883" s="415" t="s">
        <v>663</v>
      </c>
      <c r="Y883" s="415"/>
    </row>
    <row r="884" spans="1:25" hidden="1" x14ac:dyDescent="0.25">
      <c r="A884" s="415">
        <v>883</v>
      </c>
      <c r="B884" s="415">
        <v>476</v>
      </c>
      <c r="C884" s="415">
        <v>108133</v>
      </c>
      <c r="D884" s="416" t="s">
        <v>3445</v>
      </c>
      <c r="E884" s="416" t="s">
        <v>462</v>
      </c>
      <c r="F884" s="416" t="s">
        <v>465</v>
      </c>
      <c r="G884" s="416" t="s">
        <v>2244</v>
      </c>
      <c r="H884" s="416" t="s">
        <v>2244</v>
      </c>
      <c r="I884" s="416" t="s">
        <v>3446</v>
      </c>
      <c r="J884" s="415" t="s">
        <v>661</v>
      </c>
      <c r="K884" s="417">
        <v>-6.4054120000000001</v>
      </c>
      <c r="L884" s="417">
        <v>-79.284595999999993</v>
      </c>
      <c r="M884" s="418">
        <v>30</v>
      </c>
      <c r="N884" s="418" t="s">
        <v>2310</v>
      </c>
      <c r="O884" s="418" t="s">
        <v>3407</v>
      </c>
      <c r="P884" s="415">
        <v>4</v>
      </c>
      <c r="Q884" s="415">
        <v>30</v>
      </c>
      <c r="R884" s="415">
        <v>5</v>
      </c>
      <c r="S884" s="415">
        <f t="shared" si="39"/>
        <v>5</v>
      </c>
      <c r="T884" s="419">
        <f t="shared" si="40"/>
        <v>0.83333333333333337</v>
      </c>
      <c r="U884" s="419">
        <f t="shared" si="41"/>
        <v>5.833333333333333</v>
      </c>
      <c r="V884" s="415" t="s">
        <v>662</v>
      </c>
      <c r="W884" s="415" t="s">
        <v>608</v>
      </c>
      <c r="X884" s="415" t="s">
        <v>663</v>
      </c>
      <c r="Y884" s="415"/>
    </row>
    <row r="885" spans="1:25" hidden="1" x14ac:dyDescent="0.25">
      <c r="A885" s="415">
        <v>884</v>
      </c>
      <c r="B885" s="415">
        <v>477</v>
      </c>
      <c r="C885" s="415">
        <v>109000</v>
      </c>
      <c r="D885" s="416" t="s">
        <v>997</v>
      </c>
      <c r="E885" s="416" t="s">
        <v>462</v>
      </c>
      <c r="F885" s="416" t="s">
        <v>465</v>
      </c>
      <c r="G885" s="416" t="s">
        <v>1032</v>
      </c>
      <c r="H885" s="416" t="s">
        <v>1033</v>
      </c>
      <c r="I885" s="416" t="s">
        <v>1034</v>
      </c>
      <c r="J885" s="415" t="s">
        <v>661</v>
      </c>
      <c r="K885" s="417">
        <v>-6.3621299999999996</v>
      </c>
      <c r="L885" s="417">
        <v>-79.080100000000002</v>
      </c>
      <c r="M885" s="418">
        <v>30</v>
      </c>
      <c r="N885" s="418" t="s">
        <v>2310</v>
      </c>
      <c r="O885" s="418" t="s">
        <v>3407</v>
      </c>
      <c r="P885" s="415">
        <v>4</v>
      </c>
      <c r="Q885" s="415">
        <v>30</v>
      </c>
      <c r="R885" s="415">
        <v>5</v>
      </c>
      <c r="S885" s="415">
        <f t="shared" si="39"/>
        <v>5</v>
      </c>
      <c r="T885" s="419">
        <f t="shared" si="40"/>
        <v>0.83333333333333337</v>
      </c>
      <c r="U885" s="419">
        <f t="shared" si="41"/>
        <v>5.833333333333333</v>
      </c>
      <c r="V885" s="415" t="s">
        <v>662</v>
      </c>
      <c r="W885" s="415" t="s">
        <v>608</v>
      </c>
      <c r="X885" s="415" t="s">
        <v>663</v>
      </c>
      <c r="Y885" s="415"/>
    </row>
    <row r="886" spans="1:25" hidden="1" x14ac:dyDescent="0.25">
      <c r="A886" s="415">
        <v>885</v>
      </c>
      <c r="B886" s="415">
        <v>478</v>
      </c>
      <c r="C886" s="415">
        <v>109222</v>
      </c>
      <c r="D886" s="416" t="s">
        <v>1036</v>
      </c>
      <c r="E886" s="416" t="s">
        <v>462</v>
      </c>
      <c r="F886" s="416" t="s">
        <v>465</v>
      </c>
      <c r="G886" s="416" t="s">
        <v>1037</v>
      </c>
      <c r="H886" s="416" t="s">
        <v>1038</v>
      </c>
      <c r="I886" s="416" t="s">
        <v>1039</v>
      </c>
      <c r="J886" s="415" t="s">
        <v>661</v>
      </c>
      <c r="K886" s="417">
        <v>-6.4120480000000004</v>
      </c>
      <c r="L886" s="417">
        <v>-78.553764999999999</v>
      </c>
      <c r="M886" s="418">
        <v>30</v>
      </c>
      <c r="N886" s="418" t="s">
        <v>2310</v>
      </c>
      <c r="O886" s="418" t="s">
        <v>3407</v>
      </c>
      <c r="P886" s="415">
        <v>4</v>
      </c>
      <c r="Q886" s="415">
        <v>30</v>
      </c>
      <c r="R886" s="415">
        <v>5</v>
      </c>
      <c r="S886" s="415">
        <f t="shared" si="39"/>
        <v>5</v>
      </c>
      <c r="T886" s="419">
        <f t="shared" si="40"/>
        <v>0.83333333333333337</v>
      </c>
      <c r="U886" s="419">
        <f t="shared" si="41"/>
        <v>5.833333333333333</v>
      </c>
      <c r="V886" s="415" t="s">
        <v>662</v>
      </c>
      <c r="W886" s="415" t="s">
        <v>608</v>
      </c>
      <c r="X886" s="415" t="s">
        <v>663</v>
      </c>
      <c r="Y886" s="415"/>
    </row>
    <row r="887" spans="1:25" hidden="1" x14ac:dyDescent="0.25">
      <c r="A887" s="415">
        <v>886</v>
      </c>
      <c r="B887" s="415">
        <v>479</v>
      </c>
      <c r="C887" s="415">
        <v>109665</v>
      </c>
      <c r="D887" s="416" t="s">
        <v>3447</v>
      </c>
      <c r="E887" s="416" t="s">
        <v>462</v>
      </c>
      <c r="F887" s="416" t="s">
        <v>465</v>
      </c>
      <c r="G887" s="416" t="s">
        <v>1037</v>
      </c>
      <c r="H887" s="416" t="s">
        <v>2220</v>
      </c>
      <c r="I887" s="416" t="s">
        <v>3448</v>
      </c>
      <c r="J887" s="415" t="s">
        <v>661</v>
      </c>
      <c r="K887" s="417">
        <v>-6.4247940000000003</v>
      </c>
      <c r="L887" s="417">
        <v>-78.484877999999995</v>
      </c>
      <c r="M887" s="418">
        <v>30</v>
      </c>
      <c r="N887" s="418" t="s">
        <v>2310</v>
      </c>
      <c r="O887" s="418" t="s">
        <v>3407</v>
      </c>
      <c r="P887" s="415">
        <v>4</v>
      </c>
      <c r="Q887" s="415">
        <v>30</v>
      </c>
      <c r="R887" s="415">
        <v>5</v>
      </c>
      <c r="S887" s="415">
        <f t="shared" si="39"/>
        <v>5</v>
      </c>
      <c r="T887" s="419">
        <f t="shared" si="40"/>
        <v>0.83333333333333337</v>
      </c>
      <c r="U887" s="419">
        <f t="shared" si="41"/>
        <v>5.833333333333333</v>
      </c>
      <c r="V887" s="415" t="s">
        <v>662</v>
      </c>
      <c r="W887" s="415" t="s">
        <v>608</v>
      </c>
      <c r="X887" s="415" t="s">
        <v>663</v>
      </c>
      <c r="Y887" s="415"/>
    </row>
    <row r="888" spans="1:25" hidden="1" x14ac:dyDescent="0.25">
      <c r="A888" s="415">
        <v>887</v>
      </c>
      <c r="B888" s="415">
        <v>480</v>
      </c>
      <c r="C888" s="415">
        <v>113945</v>
      </c>
      <c r="D888" s="416" t="s">
        <v>3449</v>
      </c>
      <c r="E888" s="416" t="s">
        <v>462</v>
      </c>
      <c r="F888" s="416" t="s">
        <v>467</v>
      </c>
      <c r="G888" s="416" t="s">
        <v>1043</v>
      </c>
      <c r="H888" s="416" t="s">
        <v>3450</v>
      </c>
      <c r="I888" s="416" t="s">
        <v>3451</v>
      </c>
      <c r="J888" s="415" t="s">
        <v>661</v>
      </c>
      <c r="K888" s="417">
        <v>-6.1839589999999998</v>
      </c>
      <c r="L888" s="417">
        <v>-78.860785000000007</v>
      </c>
      <c r="M888" s="418">
        <v>30</v>
      </c>
      <c r="N888" s="418" t="s">
        <v>2310</v>
      </c>
      <c r="O888" s="418" t="s">
        <v>3407</v>
      </c>
      <c r="P888" s="415">
        <v>4</v>
      </c>
      <c r="Q888" s="415">
        <v>30</v>
      </c>
      <c r="R888" s="415">
        <v>5</v>
      </c>
      <c r="S888" s="415">
        <f t="shared" si="39"/>
        <v>5</v>
      </c>
      <c r="T888" s="419">
        <f t="shared" si="40"/>
        <v>0.83333333333333337</v>
      </c>
      <c r="U888" s="419">
        <f t="shared" si="41"/>
        <v>5.833333333333333</v>
      </c>
      <c r="V888" s="415" t="s">
        <v>662</v>
      </c>
      <c r="W888" s="415" t="s">
        <v>608</v>
      </c>
      <c r="X888" s="415" t="s">
        <v>663</v>
      </c>
      <c r="Y888" s="415"/>
    </row>
    <row r="889" spans="1:25" hidden="1" x14ac:dyDescent="0.25">
      <c r="A889" s="415">
        <v>888</v>
      </c>
      <c r="B889" s="415">
        <v>481</v>
      </c>
      <c r="C889" s="415">
        <v>114186</v>
      </c>
      <c r="D889" s="416" t="s">
        <v>1046</v>
      </c>
      <c r="E889" s="416" t="s">
        <v>462</v>
      </c>
      <c r="F889" s="416" t="s">
        <v>467</v>
      </c>
      <c r="G889" s="416" t="s">
        <v>1047</v>
      </c>
      <c r="H889" s="416" t="s">
        <v>1048</v>
      </c>
      <c r="I889" s="416" t="s">
        <v>1048</v>
      </c>
      <c r="J889" s="415" t="s">
        <v>661</v>
      </c>
      <c r="K889" s="417">
        <v>-5.9475680000000004</v>
      </c>
      <c r="L889" s="417">
        <v>-78.763085000000004</v>
      </c>
      <c r="M889" s="418">
        <v>30</v>
      </c>
      <c r="N889" s="418" t="s">
        <v>2310</v>
      </c>
      <c r="O889" s="418" t="s">
        <v>3407</v>
      </c>
      <c r="P889" s="415">
        <v>4</v>
      </c>
      <c r="Q889" s="415">
        <v>30</v>
      </c>
      <c r="R889" s="415">
        <v>5</v>
      </c>
      <c r="S889" s="415">
        <f t="shared" si="39"/>
        <v>5</v>
      </c>
      <c r="T889" s="419">
        <f t="shared" si="40"/>
        <v>0.83333333333333337</v>
      </c>
      <c r="U889" s="419">
        <f t="shared" si="41"/>
        <v>5.833333333333333</v>
      </c>
      <c r="V889" s="415" t="s">
        <v>662</v>
      </c>
      <c r="W889" s="415" t="s">
        <v>608</v>
      </c>
      <c r="X889" s="415" t="s">
        <v>663</v>
      </c>
      <c r="Y889" s="415"/>
    </row>
    <row r="890" spans="1:25" hidden="1" x14ac:dyDescent="0.25">
      <c r="A890" s="415">
        <v>889</v>
      </c>
      <c r="B890" s="415">
        <v>482</v>
      </c>
      <c r="C890" s="415">
        <v>114214</v>
      </c>
      <c r="D890" s="416" t="s">
        <v>1049</v>
      </c>
      <c r="E890" s="416" t="s">
        <v>462</v>
      </c>
      <c r="F890" s="416" t="s">
        <v>467</v>
      </c>
      <c r="G890" s="416" t="s">
        <v>1047</v>
      </c>
      <c r="H890" s="416" t="s">
        <v>1050</v>
      </c>
      <c r="I890" s="416" t="s">
        <v>1050</v>
      </c>
      <c r="J890" s="415" t="s">
        <v>661</v>
      </c>
      <c r="K890" s="417">
        <v>-5.951098</v>
      </c>
      <c r="L890" s="417">
        <v>-78.736718999999994</v>
      </c>
      <c r="M890" s="418">
        <v>30</v>
      </c>
      <c r="N890" s="418" t="s">
        <v>2310</v>
      </c>
      <c r="O890" s="418" t="s">
        <v>3407</v>
      </c>
      <c r="P890" s="415">
        <v>4</v>
      </c>
      <c r="Q890" s="415">
        <v>30</v>
      </c>
      <c r="R890" s="415">
        <v>5</v>
      </c>
      <c r="S890" s="415">
        <f t="shared" si="39"/>
        <v>5</v>
      </c>
      <c r="T890" s="419">
        <f t="shared" si="40"/>
        <v>0.83333333333333337</v>
      </c>
      <c r="U890" s="419">
        <f t="shared" si="41"/>
        <v>5.833333333333333</v>
      </c>
      <c r="V890" s="415" t="s">
        <v>662</v>
      </c>
      <c r="W890" s="415" t="s">
        <v>608</v>
      </c>
      <c r="X890" s="415" t="s">
        <v>663</v>
      </c>
      <c r="Y890" s="415"/>
    </row>
    <row r="891" spans="1:25" hidden="1" x14ac:dyDescent="0.25">
      <c r="A891" s="415">
        <v>890</v>
      </c>
      <c r="B891" s="415">
        <v>483</v>
      </c>
      <c r="C891" s="415">
        <v>113078</v>
      </c>
      <c r="D891" s="416" t="s">
        <v>1041</v>
      </c>
      <c r="E891" s="416" t="s">
        <v>462</v>
      </c>
      <c r="F891" s="416" t="s">
        <v>467</v>
      </c>
      <c r="G891" s="416" t="s">
        <v>467</v>
      </c>
      <c r="H891" s="416" t="s">
        <v>1042</v>
      </c>
      <c r="I891" s="416" t="s">
        <v>1042</v>
      </c>
      <c r="J891" s="415" t="s">
        <v>661</v>
      </c>
      <c r="K891" s="417">
        <v>-6.3871520000000004</v>
      </c>
      <c r="L891" s="417">
        <v>-78.767418000000006</v>
      </c>
      <c r="M891" s="418">
        <v>30</v>
      </c>
      <c r="N891" s="418" t="s">
        <v>2310</v>
      </c>
      <c r="O891" s="418" t="s">
        <v>3407</v>
      </c>
      <c r="P891" s="415">
        <v>4</v>
      </c>
      <c r="Q891" s="415">
        <v>30</v>
      </c>
      <c r="R891" s="415">
        <v>5</v>
      </c>
      <c r="S891" s="415">
        <f t="shared" si="39"/>
        <v>5</v>
      </c>
      <c r="T891" s="419">
        <f t="shared" si="40"/>
        <v>0.83333333333333337</v>
      </c>
      <c r="U891" s="419">
        <f t="shared" si="41"/>
        <v>5.833333333333333</v>
      </c>
      <c r="V891" s="415" t="s">
        <v>662</v>
      </c>
      <c r="W891" s="415" t="s">
        <v>608</v>
      </c>
      <c r="X891" s="415" t="s">
        <v>663</v>
      </c>
      <c r="Y891" s="415"/>
    </row>
    <row r="892" spans="1:25" hidden="1" x14ac:dyDescent="0.25">
      <c r="A892" s="415">
        <v>891</v>
      </c>
      <c r="B892" s="415">
        <v>484</v>
      </c>
      <c r="C892" s="415">
        <v>112936</v>
      </c>
      <c r="D892" s="416" t="s">
        <v>3452</v>
      </c>
      <c r="E892" s="416" t="s">
        <v>462</v>
      </c>
      <c r="F892" s="416" t="s">
        <v>467</v>
      </c>
      <c r="G892" s="416" t="s">
        <v>467</v>
      </c>
      <c r="H892" s="416" t="s">
        <v>1080</v>
      </c>
      <c r="I892" s="416" t="s">
        <v>1080</v>
      </c>
      <c r="J892" s="415" t="s">
        <v>661</v>
      </c>
      <c r="K892" s="417">
        <v>-6.4180999999999999</v>
      </c>
      <c r="L892" s="417">
        <v>-78.869646000000003</v>
      </c>
      <c r="M892" s="418">
        <v>30</v>
      </c>
      <c r="N892" s="418" t="s">
        <v>2310</v>
      </c>
      <c r="O892" s="418" t="s">
        <v>3407</v>
      </c>
      <c r="P892" s="415">
        <v>4</v>
      </c>
      <c r="Q892" s="415">
        <v>30</v>
      </c>
      <c r="R892" s="415">
        <v>5</v>
      </c>
      <c r="S892" s="415">
        <f t="shared" si="39"/>
        <v>5</v>
      </c>
      <c r="T892" s="419">
        <f t="shared" si="40"/>
        <v>0.83333333333333337</v>
      </c>
      <c r="U892" s="419">
        <f t="shared" si="41"/>
        <v>5.833333333333333</v>
      </c>
      <c r="V892" s="415" t="s">
        <v>662</v>
      </c>
      <c r="W892" s="415" t="s">
        <v>608</v>
      </c>
      <c r="X892" s="415" t="s">
        <v>663</v>
      </c>
      <c r="Y892" s="415"/>
    </row>
    <row r="893" spans="1:25" hidden="1" x14ac:dyDescent="0.25">
      <c r="A893" s="415">
        <v>892</v>
      </c>
      <c r="B893" s="415">
        <v>485</v>
      </c>
      <c r="C893" s="415">
        <v>112106</v>
      </c>
      <c r="D893" s="416" t="s">
        <v>3453</v>
      </c>
      <c r="E893" s="416" t="s">
        <v>462</v>
      </c>
      <c r="F893" s="416" t="s">
        <v>467</v>
      </c>
      <c r="G893" s="416" t="s">
        <v>467</v>
      </c>
      <c r="H893" s="416" t="s">
        <v>3454</v>
      </c>
      <c r="I893" s="416" t="s">
        <v>3455</v>
      </c>
      <c r="J893" s="415" t="s">
        <v>661</v>
      </c>
      <c r="K893" s="417">
        <v>-6.3782360000000002</v>
      </c>
      <c r="L893" s="417">
        <v>-78.828946999999999</v>
      </c>
      <c r="M893" s="418">
        <v>30</v>
      </c>
      <c r="N893" s="418" t="s">
        <v>2310</v>
      </c>
      <c r="O893" s="418" t="s">
        <v>3407</v>
      </c>
      <c r="P893" s="415">
        <v>4</v>
      </c>
      <c r="Q893" s="415">
        <v>30</v>
      </c>
      <c r="R893" s="415">
        <v>5</v>
      </c>
      <c r="S893" s="415">
        <f t="shared" si="39"/>
        <v>5</v>
      </c>
      <c r="T893" s="419">
        <f t="shared" si="40"/>
        <v>0.83333333333333337</v>
      </c>
      <c r="U893" s="419">
        <f t="shared" si="41"/>
        <v>5.833333333333333</v>
      </c>
      <c r="V893" s="415" t="s">
        <v>662</v>
      </c>
      <c r="W893" s="415" t="s">
        <v>608</v>
      </c>
      <c r="X893" s="415" t="s">
        <v>663</v>
      </c>
      <c r="Y893" s="415"/>
    </row>
    <row r="894" spans="1:25" hidden="1" x14ac:dyDescent="0.25">
      <c r="A894" s="415">
        <v>893</v>
      </c>
      <c r="B894" s="415">
        <v>486</v>
      </c>
      <c r="C894" s="415">
        <v>113441</v>
      </c>
      <c r="D894" s="416" t="s">
        <v>3456</v>
      </c>
      <c r="E894" s="416" t="s">
        <v>462</v>
      </c>
      <c r="F894" s="416" t="s">
        <v>467</v>
      </c>
      <c r="G894" s="416" t="s">
        <v>467</v>
      </c>
      <c r="H894" s="416" t="s">
        <v>3457</v>
      </c>
      <c r="I894" s="416" t="s">
        <v>3458</v>
      </c>
      <c r="J894" s="415" t="s">
        <v>661</v>
      </c>
      <c r="K894" s="417">
        <v>-6.4308189999999996</v>
      </c>
      <c r="L894" s="417">
        <v>-78.745919000000001</v>
      </c>
      <c r="M894" s="418">
        <v>30</v>
      </c>
      <c r="N894" s="418" t="s">
        <v>2310</v>
      </c>
      <c r="O894" s="418" t="s">
        <v>3407</v>
      </c>
      <c r="P894" s="415">
        <v>4</v>
      </c>
      <c r="Q894" s="415">
        <v>30</v>
      </c>
      <c r="R894" s="415">
        <v>5</v>
      </c>
      <c r="S894" s="415">
        <f t="shared" si="39"/>
        <v>5</v>
      </c>
      <c r="T894" s="419">
        <f t="shared" si="40"/>
        <v>0.83333333333333337</v>
      </c>
      <c r="U894" s="419">
        <f t="shared" si="41"/>
        <v>5.833333333333333</v>
      </c>
      <c r="V894" s="415" t="s">
        <v>662</v>
      </c>
      <c r="W894" s="415" t="s">
        <v>608</v>
      </c>
      <c r="X894" s="415" t="s">
        <v>663</v>
      </c>
      <c r="Y894" s="415"/>
    </row>
    <row r="895" spans="1:25" hidden="1" x14ac:dyDescent="0.25">
      <c r="A895" s="415">
        <v>894</v>
      </c>
      <c r="B895" s="415">
        <v>487</v>
      </c>
      <c r="C895" s="415">
        <v>115077</v>
      </c>
      <c r="D895" s="416" t="s">
        <v>716</v>
      </c>
      <c r="E895" s="416" t="s">
        <v>462</v>
      </c>
      <c r="F895" s="416" t="s">
        <v>467</v>
      </c>
      <c r="G895" s="416" t="s">
        <v>1051</v>
      </c>
      <c r="H895" s="416" t="s">
        <v>3459</v>
      </c>
      <c r="I895" s="416" t="s">
        <v>3460</v>
      </c>
      <c r="J895" s="415" t="s">
        <v>661</v>
      </c>
      <c r="K895" s="417">
        <v>-6.059113</v>
      </c>
      <c r="L895" s="417">
        <v>-78.755847000000003</v>
      </c>
      <c r="M895" s="418">
        <v>30</v>
      </c>
      <c r="N895" s="418" t="s">
        <v>2310</v>
      </c>
      <c r="O895" s="418" t="s">
        <v>3407</v>
      </c>
      <c r="P895" s="415">
        <v>4</v>
      </c>
      <c r="Q895" s="415">
        <v>30</v>
      </c>
      <c r="R895" s="415">
        <v>5</v>
      </c>
      <c r="S895" s="415">
        <f t="shared" si="39"/>
        <v>5</v>
      </c>
      <c r="T895" s="419">
        <f t="shared" si="40"/>
        <v>0.83333333333333337</v>
      </c>
      <c r="U895" s="419">
        <f t="shared" si="41"/>
        <v>5.833333333333333</v>
      </c>
      <c r="V895" s="415" t="s">
        <v>662</v>
      </c>
      <c r="W895" s="415" t="s">
        <v>608</v>
      </c>
      <c r="X895" s="415" t="s">
        <v>663</v>
      </c>
      <c r="Y895" s="415"/>
    </row>
    <row r="896" spans="1:25" hidden="1" x14ac:dyDescent="0.25">
      <c r="A896" s="415">
        <v>895</v>
      </c>
      <c r="B896" s="415">
        <v>488</v>
      </c>
      <c r="C896" s="415">
        <v>116086</v>
      </c>
      <c r="D896" s="416" t="s">
        <v>1053</v>
      </c>
      <c r="E896" s="416" t="s">
        <v>462</v>
      </c>
      <c r="F896" s="416" t="s">
        <v>467</v>
      </c>
      <c r="G896" s="416" t="s">
        <v>1054</v>
      </c>
      <c r="H896" s="416" t="s">
        <v>1054</v>
      </c>
      <c r="I896" s="416" t="s">
        <v>1055</v>
      </c>
      <c r="J896" s="415" t="s">
        <v>661</v>
      </c>
      <c r="K896" s="417">
        <v>-6.1638130000000002</v>
      </c>
      <c r="L896" s="417">
        <v>-78.599531999999996</v>
      </c>
      <c r="M896" s="418">
        <v>30</v>
      </c>
      <c r="N896" s="418" t="s">
        <v>2310</v>
      </c>
      <c r="O896" s="418" t="s">
        <v>3407</v>
      </c>
      <c r="P896" s="415">
        <v>4</v>
      </c>
      <c r="Q896" s="415">
        <v>30</v>
      </c>
      <c r="R896" s="415">
        <v>5</v>
      </c>
      <c r="S896" s="415">
        <f t="shared" si="39"/>
        <v>5</v>
      </c>
      <c r="T896" s="419">
        <f t="shared" si="40"/>
        <v>0.83333333333333337</v>
      </c>
      <c r="U896" s="419">
        <f t="shared" si="41"/>
        <v>5.833333333333333</v>
      </c>
      <c r="V896" s="415" t="s">
        <v>662</v>
      </c>
      <c r="W896" s="415" t="s">
        <v>608</v>
      </c>
      <c r="X896" s="415" t="s">
        <v>663</v>
      </c>
      <c r="Y896" s="415"/>
    </row>
    <row r="897" spans="1:25" hidden="1" x14ac:dyDescent="0.25">
      <c r="A897" s="415">
        <v>896</v>
      </c>
      <c r="B897" s="415">
        <v>489</v>
      </c>
      <c r="C897" s="415">
        <v>116656</v>
      </c>
      <c r="D897" s="416" t="s">
        <v>3461</v>
      </c>
      <c r="E897" s="416" t="s">
        <v>462</v>
      </c>
      <c r="F897" s="416" t="s">
        <v>467</v>
      </c>
      <c r="G897" s="416" t="s">
        <v>1057</v>
      </c>
      <c r="H897" s="416" t="s">
        <v>1019</v>
      </c>
      <c r="I897" s="416" t="s">
        <v>3462</v>
      </c>
      <c r="J897" s="415" t="s">
        <v>661</v>
      </c>
      <c r="K897" s="417">
        <v>-6.2225099999999998</v>
      </c>
      <c r="L897" s="417">
        <v>-78.850577000000001</v>
      </c>
      <c r="M897" s="418">
        <v>30</v>
      </c>
      <c r="N897" s="418" t="s">
        <v>2310</v>
      </c>
      <c r="O897" s="418" t="s">
        <v>3407</v>
      </c>
      <c r="P897" s="415">
        <v>4</v>
      </c>
      <c r="Q897" s="415">
        <v>30</v>
      </c>
      <c r="R897" s="415">
        <v>5</v>
      </c>
      <c r="S897" s="415">
        <f t="shared" si="39"/>
        <v>5</v>
      </c>
      <c r="T897" s="419">
        <f t="shared" si="40"/>
        <v>0.83333333333333337</v>
      </c>
      <c r="U897" s="419">
        <f t="shared" si="41"/>
        <v>5.833333333333333</v>
      </c>
      <c r="V897" s="415" t="s">
        <v>662</v>
      </c>
      <c r="W897" s="415" t="s">
        <v>608</v>
      </c>
      <c r="X897" s="415" t="s">
        <v>663</v>
      </c>
      <c r="Y897" s="415"/>
    </row>
    <row r="898" spans="1:25" hidden="1" x14ac:dyDescent="0.25">
      <c r="A898" s="415">
        <v>897</v>
      </c>
      <c r="B898" s="415">
        <v>490</v>
      </c>
      <c r="C898" s="415">
        <v>116661</v>
      </c>
      <c r="D898" s="416" t="s">
        <v>3463</v>
      </c>
      <c r="E898" s="416" t="s">
        <v>462</v>
      </c>
      <c r="F898" s="416" t="s">
        <v>467</v>
      </c>
      <c r="G898" s="416" t="s">
        <v>1057</v>
      </c>
      <c r="H898" s="416" t="s">
        <v>691</v>
      </c>
      <c r="I898" s="416" t="s">
        <v>3464</v>
      </c>
      <c r="J898" s="415" t="s">
        <v>661</v>
      </c>
      <c r="K898" s="417">
        <v>-6.2531970000000001</v>
      </c>
      <c r="L898" s="417">
        <v>-78.843388000000004</v>
      </c>
      <c r="M898" s="418">
        <v>30</v>
      </c>
      <c r="N898" s="418" t="s">
        <v>2310</v>
      </c>
      <c r="O898" s="418" t="s">
        <v>3407</v>
      </c>
      <c r="P898" s="415">
        <v>4</v>
      </c>
      <c r="Q898" s="415">
        <v>30</v>
      </c>
      <c r="R898" s="415">
        <v>5</v>
      </c>
      <c r="S898" s="415">
        <f t="shared" si="39"/>
        <v>5</v>
      </c>
      <c r="T898" s="419">
        <f t="shared" si="40"/>
        <v>0.83333333333333337</v>
      </c>
      <c r="U898" s="419">
        <f t="shared" si="41"/>
        <v>5.833333333333333</v>
      </c>
      <c r="V898" s="415" t="s">
        <v>662</v>
      </c>
      <c r="W898" s="415" t="s">
        <v>608</v>
      </c>
      <c r="X898" s="415" t="s">
        <v>663</v>
      </c>
      <c r="Y898" s="415"/>
    </row>
    <row r="899" spans="1:25" hidden="1" x14ac:dyDescent="0.25">
      <c r="A899" s="415">
        <v>898</v>
      </c>
      <c r="B899" s="415">
        <v>491</v>
      </c>
      <c r="C899" s="415">
        <v>116699</v>
      </c>
      <c r="D899" s="416" t="s">
        <v>1056</v>
      </c>
      <c r="E899" s="416" t="s">
        <v>462</v>
      </c>
      <c r="F899" s="416" t="s">
        <v>467</v>
      </c>
      <c r="G899" s="416" t="s">
        <v>1057</v>
      </c>
      <c r="H899" s="416" t="s">
        <v>965</v>
      </c>
      <c r="I899" s="416" t="s">
        <v>965</v>
      </c>
      <c r="J899" s="415" t="s">
        <v>661</v>
      </c>
      <c r="K899" s="417">
        <v>-6.2716669999999999</v>
      </c>
      <c r="L899" s="417">
        <v>-78.840791999999993</v>
      </c>
      <c r="M899" s="418">
        <v>30</v>
      </c>
      <c r="N899" s="418" t="s">
        <v>2310</v>
      </c>
      <c r="O899" s="418" t="s">
        <v>3407</v>
      </c>
      <c r="P899" s="415">
        <v>4</v>
      </c>
      <c r="Q899" s="415">
        <v>30</v>
      </c>
      <c r="R899" s="415">
        <v>5</v>
      </c>
      <c r="S899" s="415">
        <f t="shared" ref="S899:S962" si="42">Q899/$AB$1</f>
        <v>5</v>
      </c>
      <c r="T899" s="419">
        <f t="shared" ref="T899:T962" si="43">R899/$AB$1</f>
        <v>0.83333333333333337</v>
      </c>
      <c r="U899" s="419">
        <f t="shared" ref="U899:U962" si="44">S899+T899</f>
        <v>5.833333333333333</v>
      </c>
      <c r="V899" s="415" t="s">
        <v>662</v>
      </c>
      <c r="W899" s="415" t="s">
        <v>608</v>
      </c>
      <c r="X899" s="415" t="s">
        <v>663</v>
      </c>
      <c r="Y899" s="415"/>
    </row>
    <row r="900" spans="1:25" hidden="1" x14ac:dyDescent="0.25">
      <c r="A900" s="415">
        <v>899</v>
      </c>
      <c r="B900" s="415">
        <v>492</v>
      </c>
      <c r="C900" s="415">
        <v>117137</v>
      </c>
      <c r="D900" s="416" t="s">
        <v>1059</v>
      </c>
      <c r="E900" s="416" t="s">
        <v>462</v>
      </c>
      <c r="F900" s="416" t="s">
        <v>467</v>
      </c>
      <c r="G900" s="416" t="s">
        <v>1058</v>
      </c>
      <c r="H900" s="416" t="s">
        <v>1060</v>
      </c>
      <c r="I900" s="416" t="s">
        <v>1060</v>
      </c>
      <c r="J900" s="415" t="s">
        <v>661</v>
      </c>
      <c r="K900" s="417">
        <v>-6.0590020000000004</v>
      </c>
      <c r="L900" s="417">
        <v>-78.655598999999995</v>
      </c>
      <c r="M900" s="418">
        <v>30</v>
      </c>
      <c r="N900" s="418" t="s">
        <v>2310</v>
      </c>
      <c r="O900" s="418" t="s">
        <v>3407</v>
      </c>
      <c r="P900" s="415">
        <v>4</v>
      </c>
      <c r="Q900" s="415">
        <v>30</v>
      </c>
      <c r="R900" s="415">
        <v>5</v>
      </c>
      <c r="S900" s="415">
        <f t="shared" si="42"/>
        <v>5</v>
      </c>
      <c r="T900" s="419">
        <f t="shared" si="43"/>
        <v>0.83333333333333337</v>
      </c>
      <c r="U900" s="419">
        <f t="shared" si="44"/>
        <v>5.833333333333333</v>
      </c>
      <c r="V900" s="415" t="s">
        <v>662</v>
      </c>
      <c r="W900" s="415" t="s">
        <v>608</v>
      </c>
      <c r="X900" s="415" t="s">
        <v>663</v>
      </c>
      <c r="Y900" s="415"/>
    </row>
    <row r="901" spans="1:25" hidden="1" x14ac:dyDescent="0.25">
      <c r="A901" s="415">
        <v>900</v>
      </c>
      <c r="B901" s="415">
        <v>493</v>
      </c>
      <c r="C901" s="415">
        <v>116939</v>
      </c>
      <c r="D901" s="416" t="s">
        <v>3465</v>
      </c>
      <c r="E901" s="416" t="s">
        <v>462</v>
      </c>
      <c r="F901" s="416" t="s">
        <v>467</v>
      </c>
      <c r="G901" s="416" t="s">
        <v>1058</v>
      </c>
      <c r="H901" s="416" t="s">
        <v>1058</v>
      </c>
      <c r="I901" s="416" t="s">
        <v>3466</v>
      </c>
      <c r="J901" s="415" t="s">
        <v>661</v>
      </c>
      <c r="K901" s="417">
        <v>-6.1534389999999997</v>
      </c>
      <c r="L901" s="417">
        <v>-78.685327999999998</v>
      </c>
      <c r="M901" s="418">
        <v>30</v>
      </c>
      <c r="N901" s="418" t="s">
        <v>2310</v>
      </c>
      <c r="O901" s="418" t="s">
        <v>3407</v>
      </c>
      <c r="P901" s="415">
        <v>4</v>
      </c>
      <c r="Q901" s="415">
        <v>30</v>
      </c>
      <c r="R901" s="415">
        <v>5</v>
      </c>
      <c r="S901" s="415">
        <f t="shared" si="42"/>
        <v>5</v>
      </c>
      <c r="T901" s="419">
        <f t="shared" si="43"/>
        <v>0.83333333333333337</v>
      </c>
      <c r="U901" s="419">
        <f t="shared" si="44"/>
        <v>5.833333333333333</v>
      </c>
      <c r="V901" s="415" t="s">
        <v>662</v>
      </c>
      <c r="W901" s="415" t="s">
        <v>608</v>
      </c>
      <c r="X901" s="415" t="s">
        <v>663</v>
      </c>
      <c r="Y901" s="415"/>
    </row>
    <row r="902" spans="1:25" hidden="1" x14ac:dyDescent="0.25">
      <c r="A902" s="415">
        <v>901</v>
      </c>
      <c r="B902" s="415">
        <v>494</v>
      </c>
      <c r="C902" s="415">
        <v>523787</v>
      </c>
      <c r="D902" s="416" t="s">
        <v>3467</v>
      </c>
      <c r="E902" s="416" t="s">
        <v>462</v>
      </c>
      <c r="F902" s="416" t="s">
        <v>467</v>
      </c>
      <c r="G902" s="416" t="s">
        <v>3468</v>
      </c>
      <c r="H902" s="416" t="s">
        <v>464</v>
      </c>
      <c r="I902" s="416" t="s">
        <v>464</v>
      </c>
      <c r="J902" s="415" t="s">
        <v>661</v>
      </c>
      <c r="K902" s="417">
        <v>-5.9593259999999999</v>
      </c>
      <c r="L902" s="417">
        <v>-78.724110999999994</v>
      </c>
      <c r="M902" s="418">
        <v>30</v>
      </c>
      <c r="N902" s="418" t="s">
        <v>2310</v>
      </c>
      <c r="O902" s="418" t="s">
        <v>3407</v>
      </c>
      <c r="P902" s="415">
        <v>4</v>
      </c>
      <c r="Q902" s="415">
        <v>30</v>
      </c>
      <c r="R902" s="415">
        <v>5</v>
      </c>
      <c r="S902" s="415">
        <f t="shared" si="42"/>
        <v>5</v>
      </c>
      <c r="T902" s="419">
        <f t="shared" si="43"/>
        <v>0.83333333333333337</v>
      </c>
      <c r="U902" s="419">
        <f t="shared" si="44"/>
        <v>5.833333333333333</v>
      </c>
      <c r="V902" s="415" t="s">
        <v>662</v>
      </c>
      <c r="W902" s="415" t="s">
        <v>608</v>
      </c>
      <c r="X902" s="415" t="s">
        <v>663</v>
      </c>
      <c r="Y902" s="415"/>
    </row>
    <row r="903" spans="1:25" hidden="1" x14ac:dyDescent="0.25">
      <c r="A903" s="415">
        <v>902</v>
      </c>
      <c r="B903" s="415">
        <v>495</v>
      </c>
      <c r="C903" s="415">
        <v>117745</v>
      </c>
      <c r="D903" s="416" t="s">
        <v>3469</v>
      </c>
      <c r="E903" s="416" t="s">
        <v>462</v>
      </c>
      <c r="F903" s="416" t="s">
        <v>467</v>
      </c>
      <c r="G903" s="416" t="s">
        <v>3468</v>
      </c>
      <c r="H903" s="416" t="s">
        <v>1052</v>
      </c>
      <c r="I903" s="416" t="s">
        <v>3470</v>
      </c>
      <c r="J903" s="415" t="s">
        <v>661</v>
      </c>
      <c r="K903" s="417">
        <v>-6.0170089999999998</v>
      </c>
      <c r="L903" s="417">
        <v>-78.688998999999995</v>
      </c>
      <c r="M903" s="418">
        <v>30</v>
      </c>
      <c r="N903" s="418" t="s">
        <v>2310</v>
      </c>
      <c r="O903" s="418" t="s">
        <v>3407</v>
      </c>
      <c r="P903" s="415">
        <v>4</v>
      </c>
      <c r="Q903" s="415">
        <v>30</v>
      </c>
      <c r="R903" s="415">
        <v>5</v>
      </c>
      <c r="S903" s="415">
        <f t="shared" si="42"/>
        <v>5</v>
      </c>
      <c r="T903" s="419">
        <f t="shared" si="43"/>
        <v>0.83333333333333337</v>
      </c>
      <c r="U903" s="419">
        <f t="shared" si="44"/>
        <v>5.833333333333333</v>
      </c>
      <c r="V903" s="415" t="s">
        <v>662</v>
      </c>
      <c r="W903" s="415" t="s">
        <v>608</v>
      </c>
      <c r="X903" s="415" t="s">
        <v>663</v>
      </c>
      <c r="Y903" s="415"/>
    </row>
    <row r="904" spans="1:25" hidden="1" x14ac:dyDescent="0.25">
      <c r="A904" s="415">
        <v>903</v>
      </c>
      <c r="B904" s="415">
        <v>496</v>
      </c>
      <c r="C904" s="415">
        <v>117712</v>
      </c>
      <c r="D904" s="416" t="s">
        <v>3471</v>
      </c>
      <c r="E904" s="416" t="s">
        <v>462</v>
      </c>
      <c r="F904" s="416" t="s">
        <v>467</v>
      </c>
      <c r="G904" s="416" t="s">
        <v>3468</v>
      </c>
      <c r="H904" s="416" t="s">
        <v>3472</v>
      </c>
      <c r="I904" s="416" t="s">
        <v>3473</v>
      </c>
      <c r="J904" s="415" t="s">
        <v>661</v>
      </c>
      <c r="K904" s="417">
        <v>-6.0074319999999997</v>
      </c>
      <c r="L904" s="417">
        <v>-78.700766999999999</v>
      </c>
      <c r="M904" s="418">
        <v>30</v>
      </c>
      <c r="N904" s="418" t="s">
        <v>2310</v>
      </c>
      <c r="O904" s="418" t="s">
        <v>3407</v>
      </c>
      <c r="P904" s="415">
        <v>4</v>
      </c>
      <c r="Q904" s="415">
        <v>30</v>
      </c>
      <c r="R904" s="415">
        <v>5</v>
      </c>
      <c r="S904" s="415">
        <f t="shared" si="42"/>
        <v>5</v>
      </c>
      <c r="T904" s="419">
        <f t="shared" si="43"/>
        <v>0.83333333333333337</v>
      </c>
      <c r="U904" s="419">
        <f t="shared" si="44"/>
        <v>5.833333333333333</v>
      </c>
      <c r="V904" s="415" t="s">
        <v>662</v>
      </c>
      <c r="W904" s="415" t="s">
        <v>608</v>
      </c>
      <c r="X904" s="415" t="s">
        <v>663</v>
      </c>
      <c r="Y904" s="415"/>
    </row>
    <row r="905" spans="1:25" hidden="1" x14ac:dyDescent="0.25">
      <c r="A905" s="415">
        <v>904</v>
      </c>
      <c r="B905" s="415">
        <v>497</v>
      </c>
      <c r="C905" s="415">
        <v>581918</v>
      </c>
      <c r="D905" s="416" t="s">
        <v>3474</v>
      </c>
      <c r="E905" s="416" t="s">
        <v>462</v>
      </c>
      <c r="F905" s="416" t="s">
        <v>468</v>
      </c>
      <c r="G905" s="416" t="s">
        <v>1063</v>
      </c>
      <c r="H905" s="416" t="s">
        <v>3475</v>
      </c>
      <c r="I905" s="416" t="s">
        <v>3476</v>
      </c>
      <c r="J905" s="415" t="s">
        <v>661</v>
      </c>
      <c r="K905" s="417">
        <v>-6.6697129999999998</v>
      </c>
      <c r="L905" s="417">
        <v>-78.503517000000002</v>
      </c>
      <c r="M905" s="418">
        <v>30</v>
      </c>
      <c r="N905" s="418" t="s">
        <v>2310</v>
      </c>
      <c r="O905" s="418" t="s">
        <v>3407</v>
      </c>
      <c r="P905" s="415">
        <v>4</v>
      </c>
      <c r="Q905" s="415">
        <v>30</v>
      </c>
      <c r="R905" s="415">
        <v>5</v>
      </c>
      <c r="S905" s="415">
        <f t="shared" si="42"/>
        <v>5</v>
      </c>
      <c r="T905" s="419">
        <f t="shared" si="43"/>
        <v>0.83333333333333337</v>
      </c>
      <c r="U905" s="419">
        <f t="shared" si="44"/>
        <v>5.833333333333333</v>
      </c>
      <c r="V905" s="415" t="s">
        <v>662</v>
      </c>
      <c r="W905" s="415" t="s">
        <v>608</v>
      </c>
      <c r="X905" s="415" t="s">
        <v>663</v>
      </c>
      <c r="Y905" s="415"/>
    </row>
    <row r="906" spans="1:25" hidden="1" x14ac:dyDescent="0.25">
      <c r="A906" s="415">
        <v>905</v>
      </c>
      <c r="B906" s="415">
        <v>498</v>
      </c>
      <c r="C906" s="415">
        <v>117811</v>
      </c>
      <c r="D906" s="416" t="s">
        <v>3477</v>
      </c>
      <c r="E906" s="416" t="s">
        <v>462</v>
      </c>
      <c r="F906" s="416" t="s">
        <v>468</v>
      </c>
      <c r="G906" s="416" t="s">
        <v>1063</v>
      </c>
      <c r="H906" s="416" t="s">
        <v>3478</v>
      </c>
      <c r="I906" s="416" t="s">
        <v>3478</v>
      </c>
      <c r="J906" s="415" t="s">
        <v>661</v>
      </c>
      <c r="K906" s="417">
        <v>-6.6916469999999997</v>
      </c>
      <c r="L906" s="417">
        <v>-78.490527999999998</v>
      </c>
      <c r="M906" s="418">
        <v>30</v>
      </c>
      <c r="N906" s="418" t="s">
        <v>2310</v>
      </c>
      <c r="O906" s="418" t="s">
        <v>3407</v>
      </c>
      <c r="P906" s="415">
        <v>4</v>
      </c>
      <c r="Q906" s="415">
        <v>30</v>
      </c>
      <c r="R906" s="415">
        <v>5</v>
      </c>
      <c r="S906" s="415">
        <f t="shared" si="42"/>
        <v>5</v>
      </c>
      <c r="T906" s="419">
        <f t="shared" si="43"/>
        <v>0.83333333333333337</v>
      </c>
      <c r="U906" s="419">
        <f t="shared" si="44"/>
        <v>5.833333333333333</v>
      </c>
      <c r="V906" s="415" t="s">
        <v>662</v>
      </c>
      <c r="W906" s="415" t="s">
        <v>608</v>
      </c>
      <c r="X906" s="415" t="s">
        <v>663</v>
      </c>
      <c r="Y906" s="415"/>
    </row>
    <row r="907" spans="1:25" hidden="1" x14ac:dyDescent="0.25">
      <c r="A907" s="415">
        <v>906</v>
      </c>
      <c r="B907" s="415">
        <v>499</v>
      </c>
      <c r="C907" s="415">
        <v>581843</v>
      </c>
      <c r="D907" s="416" t="s">
        <v>3479</v>
      </c>
      <c r="E907" s="416" t="s">
        <v>462</v>
      </c>
      <c r="F907" s="416" t="s">
        <v>468</v>
      </c>
      <c r="G907" s="416" t="s">
        <v>1063</v>
      </c>
      <c r="H907" s="416" t="s">
        <v>1064</v>
      </c>
      <c r="I907" s="416" t="s">
        <v>1065</v>
      </c>
      <c r="J907" s="415" t="s">
        <v>661</v>
      </c>
      <c r="K907" s="417">
        <v>-6.687538</v>
      </c>
      <c r="L907" s="417">
        <v>-78.567452000000003</v>
      </c>
      <c r="M907" s="418">
        <v>30</v>
      </c>
      <c r="N907" s="418" t="s">
        <v>2310</v>
      </c>
      <c r="O907" s="418" t="s">
        <v>3407</v>
      </c>
      <c r="P907" s="415">
        <v>4</v>
      </c>
      <c r="Q907" s="415">
        <v>30</v>
      </c>
      <c r="R907" s="415">
        <v>5</v>
      </c>
      <c r="S907" s="415">
        <f t="shared" si="42"/>
        <v>5</v>
      </c>
      <c r="T907" s="419">
        <f t="shared" si="43"/>
        <v>0.83333333333333337</v>
      </c>
      <c r="U907" s="419">
        <f t="shared" si="44"/>
        <v>5.833333333333333</v>
      </c>
      <c r="V907" s="415" t="s">
        <v>662</v>
      </c>
      <c r="W907" s="415" t="s">
        <v>608</v>
      </c>
      <c r="X907" s="415" t="s">
        <v>663</v>
      </c>
      <c r="Y907" s="415"/>
    </row>
    <row r="908" spans="1:25" hidden="1" x14ac:dyDescent="0.25">
      <c r="A908" s="415">
        <v>907</v>
      </c>
      <c r="B908" s="415">
        <v>500</v>
      </c>
      <c r="C908" s="415">
        <v>581800</v>
      </c>
      <c r="D908" s="416" t="s">
        <v>3480</v>
      </c>
      <c r="E908" s="416" t="s">
        <v>462</v>
      </c>
      <c r="F908" s="416" t="s">
        <v>468</v>
      </c>
      <c r="G908" s="416" t="s">
        <v>1063</v>
      </c>
      <c r="H908" s="416" t="s">
        <v>3481</v>
      </c>
      <c r="I908" s="416" t="s">
        <v>3482</v>
      </c>
      <c r="J908" s="415" t="s">
        <v>661</v>
      </c>
      <c r="K908" s="417">
        <v>-6.6893799999999999</v>
      </c>
      <c r="L908" s="417">
        <v>-78.573616999999999</v>
      </c>
      <c r="M908" s="418">
        <v>30</v>
      </c>
      <c r="N908" s="418" t="s">
        <v>2310</v>
      </c>
      <c r="O908" s="418" t="s">
        <v>3407</v>
      </c>
      <c r="P908" s="415">
        <v>4</v>
      </c>
      <c r="Q908" s="415">
        <v>30</v>
      </c>
      <c r="R908" s="415">
        <v>5</v>
      </c>
      <c r="S908" s="415">
        <f t="shared" si="42"/>
        <v>5</v>
      </c>
      <c r="T908" s="419">
        <f t="shared" si="43"/>
        <v>0.83333333333333337</v>
      </c>
      <c r="U908" s="419">
        <f t="shared" si="44"/>
        <v>5.833333333333333</v>
      </c>
      <c r="V908" s="415" t="s">
        <v>662</v>
      </c>
      <c r="W908" s="415" t="s">
        <v>608</v>
      </c>
      <c r="X908" s="415" t="s">
        <v>663</v>
      </c>
      <c r="Y908" s="415"/>
    </row>
    <row r="909" spans="1:25" hidden="1" x14ac:dyDescent="0.25">
      <c r="A909" s="415">
        <v>908</v>
      </c>
      <c r="B909" s="415">
        <v>501</v>
      </c>
      <c r="C909" s="415">
        <v>118617</v>
      </c>
      <c r="D909" s="416" t="s">
        <v>3483</v>
      </c>
      <c r="E909" s="416" t="s">
        <v>462</v>
      </c>
      <c r="F909" s="416" t="s">
        <v>468</v>
      </c>
      <c r="G909" s="416" t="s">
        <v>1063</v>
      </c>
      <c r="H909" s="416" t="s">
        <v>3484</v>
      </c>
      <c r="I909" s="416" t="s">
        <v>3484</v>
      </c>
      <c r="J909" s="415" t="s">
        <v>661</v>
      </c>
      <c r="K909" s="417">
        <v>-6.7021639999999998</v>
      </c>
      <c r="L909" s="417">
        <v>-78.572421000000006</v>
      </c>
      <c r="M909" s="418">
        <v>30</v>
      </c>
      <c r="N909" s="418" t="s">
        <v>2310</v>
      </c>
      <c r="O909" s="418" t="s">
        <v>3407</v>
      </c>
      <c r="P909" s="415">
        <v>4</v>
      </c>
      <c r="Q909" s="415">
        <v>30</v>
      </c>
      <c r="R909" s="415">
        <v>5</v>
      </c>
      <c r="S909" s="415">
        <f t="shared" si="42"/>
        <v>5</v>
      </c>
      <c r="T909" s="419">
        <f t="shared" si="43"/>
        <v>0.83333333333333337</v>
      </c>
      <c r="U909" s="419">
        <f t="shared" si="44"/>
        <v>5.833333333333333</v>
      </c>
      <c r="V909" s="415" t="s">
        <v>662</v>
      </c>
      <c r="W909" s="415" t="s">
        <v>608</v>
      </c>
      <c r="X909" s="415" t="s">
        <v>663</v>
      </c>
      <c r="Y909" s="415"/>
    </row>
    <row r="910" spans="1:25" hidden="1" x14ac:dyDescent="0.25">
      <c r="A910" s="415">
        <v>909</v>
      </c>
      <c r="B910" s="415">
        <v>502</v>
      </c>
      <c r="C910" s="415">
        <v>119216</v>
      </c>
      <c r="D910" s="416" t="s">
        <v>1108</v>
      </c>
      <c r="E910" s="416" t="s">
        <v>462</v>
      </c>
      <c r="F910" s="416" t="s">
        <v>468</v>
      </c>
      <c r="G910" s="416" t="s">
        <v>1063</v>
      </c>
      <c r="H910" s="416" t="s">
        <v>3485</v>
      </c>
      <c r="I910" s="416" t="s">
        <v>3486</v>
      </c>
      <c r="J910" s="415" t="s">
        <v>661</v>
      </c>
      <c r="K910" s="417">
        <v>-6.7923070000000001</v>
      </c>
      <c r="L910" s="417">
        <v>-78.523414000000002</v>
      </c>
      <c r="M910" s="418">
        <v>30</v>
      </c>
      <c r="N910" s="418" t="s">
        <v>2310</v>
      </c>
      <c r="O910" s="418" t="s">
        <v>3407</v>
      </c>
      <c r="P910" s="415">
        <v>4</v>
      </c>
      <c r="Q910" s="415">
        <v>30</v>
      </c>
      <c r="R910" s="415">
        <v>5</v>
      </c>
      <c r="S910" s="415">
        <f t="shared" si="42"/>
        <v>5</v>
      </c>
      <c r="T910" s="419">
        <f t="shared" si="43"/>
        <v>0.83333333333333337</v>
      </c>
      <c r="U910" s="419">
        <f t="shared" si="44"/>
        <v>5.833333333333333</v>
      </c>
      <c r="V910" s="415" t="s">
        <v>662</v>
      </c>
      <c r="W910" s="415" t="s">
        <v>608</v>
      </c>
      <c r="X910" s="415" t="s">
        <v>663</v>
      </c>
      <c r="Y910" s="415"/>
    </row>
    <row r="911" spans="1:25" hidden="1" x14ac:dyDescent="0.25">
      <c r="A911" s="415">
        <v>910</v>
      </c>
      <c r="B911" s="415">
        <v>503</v>
      </c>
      <c r="C911" s="415">
        <v>118801</v>
      </c>
      <c r="D911" s="416" t="s">
        <v>3487</v>
      </c>
      <c r="E911" s="416" t="s">
        <v>462</v>
      </c>
      <c r="F911" s="416" t="s">
        <v>468</v>
      </c>
      <c r="G911" s="416" t="s">
        <v>1063</v>
      </c>
      <c r="H911" s="416" t="s">
        <v>3488</v>
      </c>
      <c r="I911" s="416" t="s">
        <v>3488</v>
      </c>
      <c r="J911" s="415" t="s">
        <v>661</v>
      </c>
      <c r="K911" s="417">
        <v>-6.771115</v>
      </c>
      <c r="L911" s="417">
        <v>-78.485523000000001</v>
      </c>
      <c r="M911" s="418">
        <v>30</v>
      </c>
      <c r="N911" s="418" t="s">
        <v>2310</v>
      </c>
      <c r="O911" s="418" t="s">
        <v>3407</v>
      </c>
      <c r="P911" s="415">
        <v>4</v>
      </c>
      <c r="Q911" s="415">
        <v>30</v>
      </c>
      <c r="R911" s="415">
        <v>5</v>
      </c>
      <c r="S911" s="415">
        <f t="shared" si="42"/>
        <v>5</v>
      </c>
      <c r="T911" s="419">
        <f t="shared" si="43"/>
        <v>0.83333333333333337</v>
      </c>
      <c r="U911" s="419">
        <f t="shared" si="44"/>
        <v>5.833333333333333</v>
      </c>
      <c r="V911" s="415" t="s">
        <v>662</v>
      </c>
      <c r="W911" s="415" t="s">
        <v>608</v>
      </c>
      <c r="X911" s="415" t="s">
        <v>663</v>
      </c>
      <c r="Y911" s="415"/>
    </row>
    <row r="912" spans="1:25" hidden="1" x14ac:dyDescent="0.25">
      <c r="A912" s="415">
        <v>911</v>
      </c>
      <c r="B912" s="415">
        <v>504</v>
      </c>
      <c r="C912" s="415">
        <v>119725</v>
      </c>
      <c r="D912" s="416" t="s">
        <v>3489</v>
      </c>
      <c r="E912" s="416" t="s">
        <v>462</v>
      </c>
      <c r="F912" s="416" t="s">
        <v>468</v>
      </c>
      <c r="G912" s="416" t="s">
        <v>468</v>
      </c>
      <c r="H912" s="416" t="s">
        <v>3490</v>
      </c>
      <c r="I912" s="416" t="s">
        <v>3490</v>
      </c>
      <c r="J912" s="415" t="s">
        <v>661</v>
      </c>
      <c r="K912" s="417">
        <v>-6.6690620000000003</v>
      </c>
      <c r="L912" s="417">
        <v>-78.638816000000006</v>
      </c>
      <c r="M912" s="418">
        <v>30</v>
      </c>
      <c r="N912" s="418" t="s">
        <v>2310</v>
      </c>
      <c r="O912" s="418" t="s">
        <v>3407</v>
      </c>
      <c r="P912" s="415">
        <v>4</v>
      </c>
      <c r="Q912" s="415">
        <v>30</v>
      </c>
      <c r="R912" s="415">
        <v>5</v>
      </c>
      <c r="S912" s="415">
        <f t="shared" si="42"/>
        <v>5</v>
      </c>
      <c r="T912" s="419">
        <f t="shared" si="43"/>
        <v>0.83333333333333337</v>
      </c>
      <c r="U912" s="419">
        <f t="shared" si="44"/>
        <v>5.833333333333333</v>
      </c>
      <c r="V912" s="415" t="s">
        <v>662</v>
      </c>
      <c r="W912" s="415" t="s">
        <v>608</v>
      </c>
      <c r="X912" s="415" t="s">
        <v>663</v>
      </c>
      <c r="Y912" s="415"/>
    </row>
    <row r="913" spans="1:25" hidden="1" x14ac:dyDescent="0.25">
      <c r="A913" s="415">
        <v>912</v>
      </c>
      <c r="B913" s="415">
        <v>505</v>
      </c>
      <c r="C913" s="415">
        <v>122313</v>
      </c>
      <c r="D913" s="416" t="s">
        <v>1071</v>
      </c>
      <c r="E913" s="416" t="s">
        <v>462</v>
      </c>
      <c r="F913" s="416" t="s">
        <v>469</v>
      </c>
      <c r="G913" s="416" t="s">
        <v>1072</v>
      </c>
      <c r="H913" s="416" t="s">
        <v>1073</v>
      </c>
      <c r="I913" s="416" t="s">
        <v>1073</v>
      </c>
      <c r="J913" s="415" t="s">
        <v>661</v>
      </c>
      <c r="K913" s="417">
        <v>-5.6059640000000002</v>
      </c>
      <c r="L913" s="417">
        <v>-79.147480000000002</v>
      </c>
      <c r="M913" s="418">
        <v>30</v>
      </c>
      <c r="N913" s="418" t="s">
        <v>2310</v>
      </c>
      <c r="O913" s="418" t="s">
        <v>3407</v>
      </c>
      <c r="P913" s="415">
        <v>4</v>
      </c>
      <c r="Q913" s="415">
        <v>30</v>
      </c>
      <c r="R913" s="415">
        <v>5</v>
      </c>
      <c r="S913" s="415">
        <f t="shared" si="42"/>
        <v>5</v>
      </c>
      <c r="T913" s="419">
        <f t="shared" si="43"/>
        <v>0.83333333333333337</v>
      </c>
      <c r="U913" s="419">
        <f t="shared" si="44"/>
        <v>5.833333333333333</v>
      </c>
      <c r="V913" s="415" t="s">
        <v>662</v>
      </c>
      <c r="W913" s="415" t="s">
        <v>608</v>
      </c>
      <c r="X913" s="415" t="s">
        <v>663</v>
      </c>
      <c r="Y913" s="415"/>
    </row>
    <row r="914" spans="1:25" hidden="1" x14ac:dyDescent="0.25">
      <c r="A914" s="415">
        <v>913</v>
      </c>
      <c r="B914" s="415">
        <v>506</v>
      </c>
      <c r="C914" s="415">
        <v>122474</v>
      </c>
      <c r="D914" s="416" t="s">
        <v>1074</v>
      </c>
      <c r="E914" s="416" t="s">
        <v>462</v>
      </c>
      <c r="F914" s="416" t="s">
        <v>469</v>
      </c>
      <c r="G914" s="416" t="s">
        <v>1072</v>
      </c>
      <c r="H914" s="416" t="s">
        <v>1075</v>
      </c>
      <c r="I914" s="416" t="s">
        <v>1076</v>
      </c>
      <c r="J914" s="415" t="s">
        <v>661</v>
      </c>
      <c r="K914" s="417">
        <v>-5.5881090000000002</v>
      </c>
      <c r="L914" s="417">
        <v>-79.134299999999996</v>
      </c>
      <c r="M914" s="418">
        <v>30</v>
      </c>
      <c r="N914" s="418" t="s">
        <v>2310</v>
      </c>
      <c r="O914" s="418" t="s">
        <v>3407</v>
      </c>
      <c r="P914" s="415">
        <v>4</v>
      </c>
      <c r="Q914" s="415">
        <v>30</v>
      </c>
      <c r="R914" s="415">
        <v>5</v>
      </c>
      <c r="S914" s="415">
        <f t="shared" si="42"/>
        <v>5</v>
      </c>
      <c r="T914" s="419">
        <f t="shared" si="43"/>
        <v>0.83333333333333337</v>
      </c>
      <c r="U914" s="419">
        <f t="shared" si="44"/>
        <v>5.833333333333333</v>
      </c>
      <c r="V914" s="415" t="s">
        <v>662</v>
      </c>
      <c r="W914" s="415" t="s">
        <v>608</v>
      </c>
      <c r="X914" s="415" t="s">
        <v>663</v>
      </c>
      <c r="Y914" s="415"/>
    </row>
    <row r="915" spans="1:25" hidden="1" x14ac:dyDescent="0.25">
      <c r="A915" s="415">
        <v>914</v>
      </c>
      <c r="B915" s="415">
        <v>507</v>
      </c>
      <c r="C915" s="415">
        <v>123586</v>
      </c>
      <c r="D915" s="416" t="s">
        <v>3491</v>
      </c>
      <c r="E915" s="416" t="s">
        <v>462</v>
      </c>
      <c r="F915" s="416" t="s">
        <v>469</v>
      </c>
      <c r="G915" s="416" t="s">
        <v>1045</v>
      </c>
      <c r="H915" s="416" t="s">
        <v>1771</v>
      </c>
      <c r="I915" s="416" t="s">
        <v>1771</v>
      </c>
      <c r="J915" s="415" t="s">
        <v>661</v>
      </c>
      <c r="K915" s="417">
        <v>-5.6157570000000003</v>
      </c>
      <c r="L915" s="417">
        <v>-78.970376000000002</v>
      </c>
      <c r="M915" s="418">
        <v>30</v>
      </c>
      <c r="N915" s="418" t="s">
        <v>2310</v>
      </c>
      <c r="O915" s="418" t="s">
        <v>3407</v>
      </c>
      <c r="P915" s="415">
        <v>4</v>
      </c>
      <c r="Q915" s="415">
        <v>30</v>
      </c>
      <c r="R915" s="415">
        <v>5</v>
      </c>
      <c r="S915" s="415">
        <f t="shared" si="42"/>
        <v>5</v>
      </c>
      <c r="T915" s="419">
        <f t="shared" si="43"/>
        <v>0.83333333333333337</v>
      </c>
      <c r="U915" s="419">
        <f t="shared" si="44"/>
        <v>5.833333333333333</v>
      </c>
      <c r="V915" s="415" t="s">
        <v>662</v>
      </c>
      <c r="W915" s="415" t="s">
        <v>608</v>
      </c>
      <c r="X915" s="415" t="s">
        <v>663</v>
      </c>
      <c r="Y915" s="415"/>
    </row>
    <row r="916" spans="1:25" hidden="1" x14ac:dyDescent="0.25">
      <c r="A916" s="415">
        <v>915</v>
      </c>
      <c r="B916" s="415">
        <v>508</v>
      </c>
      <c r="C916" s="415">
        <v>120352</v>
      </c>
      <c r="D916" s="416" t="s">
        <v>3492</v>
      </c>
      <c r="E916" s="416" t="s">
        <v>462</v>
      </c>
      <c r="F916" s="416" t="s">
        <v>469</v>
      </c>
      <c r="G916" s="416" t="s">
        <v>469</v>
      </c>
      <c r="H916" s="416" t="s">
        <v>3493</v>
      </c>
      <c r="I916" s="416" t="s">
        <v>3494</v>
      </c>
      <c r="J916" s="415" t="s">
        <v>661</v>
      </c>
      <c r="K916" s="417">
        <v>-5.8332110000000004</v>
      </c>
      <c r="L916" s="417">
        <v>-78.747501999999997</v>
      </c>
      <c r="M916" s="418">
        <v>30</v>
      </c>
      <c r="N916" s="418" t="s">
        <v>2310</v>
      </c>
      <c r="O916" s="418" t="s">
        <v>3407</v>
      </c>
      <c r="P916" s="415">
        <v>4</v>
      </c>
      <c r="Q916" s="415">
        <v>30</v>
      </c>
      <c r="R916" s="415">
        <v>5</v>
      </c>
      <c r="S916" s="415">
        <f t="shared" si="42"/>
        <v>5</v>
      </c>
      <c r="T916" s="419">
        <f t="shared" si="43"/>
        <v>0.83333333333333337</v>
      </c>
      <c r="U916" s="419">
        <f t="shared" si="44"/>
        <v>5.833333333333333</v>
      </c>
      <c r="V916" s="415" t="s">
        <v>662</v>
      </c>
      <c r="W916" s="415" t="s">
        <v>608</v>
      </c>
      <c r="X916" s="415" t="s">
        <v>663</v>
      </c>
      <c r="Y916" s="415"/>
    </row>
    <row r="917" spans="1:25" hidden="1" x14ac:dyDescent="0.25">
      <c r="A917" s="415">
        <v>916</v>
      </c>
      <c r="B917" s="415">
        <v>509</v>
      </c>
      <c r="C917" s="415">
        <v>517965</v>
      </c>
      <c r="D917" s="416" t="s">
        <v>2206</v>
      </c>
      <c r="E917" s="416" t="s">
        <v>462</v>
      </c>
      <c r="F917" s="416" t="s">
        <v>469</v>
      </c>
      <c r="G917" s="416" t="s">
        <v>469</v>
      </c>
      <c r="H917" s="416" t="s">
        <v>2207</v>
      </c>
      <c r="I917" s="416" t="s">
        <v>2208</v>
      </c>
      <c r="J917" s="415" t="s">
        <v>661</v>
      </c>
      <c r="K917" s="417">
        <v>-5.6741549999999998</v>
      </c>
      <c r="L917" s="417">
        <v>-78.878353000000004</v>
      </c>
      <c r="M917" s="418">
        <v>30</v>
      </c>
      <c r="N917" s="418" t="s">
        <v>2310</v>
      </c>
      <c r="O917" s="418" t="s">
        <v>3407</v>
      </c>
      <c r="P917" s="415">
        <v>4</v>
      </c>
      <c r="Q917" s="415">
        <v>30</v>
      </c>
      <c r="R917" s="415">
        <v>5</v>
      </c>
      <c r="S917" s="415">
        <f t="shared" si="42"/>
        <v>5</v>
      </c>
      <c r="T917" s="419">
        <f t="shared" si="43"/>
        <v>0.83333333333333337</v>
      </c>
      <c r="U917" s="419">
        <f t="shared" si="44"/>
        <v>5.833333333333333</v>
      </c>
      <c r="V917" s="415" t="s">
        <v>662</v>
      </c>
      <c r="W917" s="415" t="s">
        <v>608</v>
      </c>
      <c r="X917" s="415" t="s">
        <v>663</v>
      </c>
      <c r="Y917" s="415"/>
    </row>
    <row r="918" spans="1:25" hidden="1" x14ac:dyDescent="0.25">
      <c r="A918" s="415">
        <v>917</v>
      </c>
      <c r="B918" s="415">
        <v>510</v>
      </c>
      <c r="C918" s="415">
        <v>120489</v>
      </c>
      <c r="D918" s="416" t="s">
        <v>3495</v>
      </c>
      <c r="E918" s="416" t="s">
        <v>462</v>
      </c>
      <c r="F918" s="416" t="s">
        <v>469</v>
      </c>
      <c r="G918" s="416" t="s">
        <v>469</v>
      </c>
      <c r="H918" s="416" t="s">
        <v>3496</v>
      </c>
      <c r="I918" s="416" t="s">
        <v>3496</v>
      </c>
      <c r="J918" s="415" t="s">
        <v>747</v>
      </c>
      <c r="K918" s="417">
        <v>-5.6884870000000003</v>
      </c>
      <c r="L918" s="417">
        <v>-78.792669000000004</v>
      </c>
      <c r="M918" s="418">
        <v>30</v>
      </c>
      <c r="N918" s="418" t="s">
        <v>2310</v>
      </c>
      <c r="O918" s="418" t="s">
        <v>3407</v>
      </c>
      <c r="P918" s="415">
        <v>4</v>
      </c>
      <c r="Q918" s="415">
        <v>30</v>
      </c>
      <c r="R918" s="415">
        <v>5</v>
      </c>
      <c r="S918" s="415">
        <f t="shared" si="42"/>
        <v>5</v>
      </c>
      <c r="T918" s="419">
        <f t="shared" si="43"/>
        <v>0.83333333333333337</v>
      </c>
      <c r="U918" s="419">
        <f t="shared" si="44"/>
        <v>5.833333333333333</v>
      </c>
      <c r="V918" s="415" t="s">
        <v>662</v>
      </c>
      <c r="W918" s="415" t="s">
        <v>608</v>
      </c>
      <c r="X918" s="415" t="s">
        <v>663</v>
      </c>
      <c r="Y918" s="415"/>
    </row>
    <row r="919" spans="1:25" hidden="1" x14ac:dyDescent="0.25">
      <c r="A919" s="415">
        <v>918</v>
      </c>
      <c r="B919" s="415">
        <v>511</v>
      </c>
      <c r="C919" s="415">
        <v>120540</v>
      </c>
      <c r="D919" s="416" t="s">
        <v>3497</v>
      </c>
      <c r="E919" s="416" t="s">
        <v>462</v>
      </c>
      <c r="F919" s="416" t="s">
        <v>469</v>
      </c>
      <c r="G919" s="416" t="s">
        <v>469</v>
      </c>
      <c r="H919" s="416" t="s">
        <v>3498</v>
      </c>
      <c r="I919" s="416" t="s">
        <v>3499</v>
      </c>
      <c r="J919" s="415" t="s">
        <v>661</v>
      </c>
      <c r="K919" s="417">
        <v>-5.7944610000000001</v>
      </c>
      <c r="L919" s="417">
        <v>-78.783142999999995</v>
      </c>
      <c r="M919" s="418">
        <v>30</v>
      </c>
      <c r="N919" s="418" t="s">
        <v>2310</v>
      </c>
      <c r="O919" s="418" t="s">
        <v>3407</v>
      </c>
      <c r="P919" s="415">
        <v>4</v>
      </c>
      <c r="Q919" s="415">
        <v>30</v>
      </c>
      <c r="R919" s="415">
        <v>5</v>
      </c>
      <c r="S919" s="415">
        <f t="shared" si="42"/>
        <v>5</v>
      </c>
      <c r="T919" s="419">
        <f t="shared" si="43"/>
        <v>0.83333333333333337</v>
      </c>
      <c r="U919" s="419">
        <f t="shared" si="44"/>
        <v>5.833333333333333</v>
      </c>
      <c r="V919" s="415" t="s">
        <v>662</v>
      </c>
      <c r="W919" s="415" t="s">
        <v>608</v>
      </c>
      <c r="X919" s="415" t="s">
        <v>663</v>
      </c>
      <c r="Y919" s="415"/>
    </row>
    <row r="920" spans="1:25" hidden="1" x14ac:dyDescent="0.25">
      <c r="A920" s="415">
        <v>919</v>
      </c>
      <c r="B920" s="415">
        <v>512</v>
      </c>
      <c r="C920" s="415">
        <v>120253</v>
      </c>
      <c r="D920" s="416" t="s">
        <v>3500</v>
      </c>
      <c r="E920" s="416" t="s">
        <v>462</v>
      </c>
      <c r="F920" s="416" t="s">
        <v>469</v>
      </c>
      <c r="G920" s="416" t="s">
        <v>469</v>
      </c>
      <c r="H920" s="416" t="s">
        <v>1922</v>
      </c>
      <c r="I920" s="416" t="s">
        <v>3501</v>
      </c>
      <c r="J920" s="415" t="s">
        <v>661</v>
      </c>
      <c r="K920" s="417">
        <v>-5.8194020000000002</v>
      </c>
      <c r="L920" s="417">
        <v>-78.912616999999997</v>
      </c>
      <c r="M920" s="418">
        <v>30</v>
      </c>
      <c r="N920" s="418" t="s">
        <v>2310</v>
      </c>
      <c r="O920" s="418" t="s">
        <v>3407</v>
      </c>
      <c r="P920" s="415">
        <v>4</v>
      </c>
      <c r="Q920" s="415">
        <v>30</v>
      </c>
      <c r="R920" s="415">
        <v>5</v>
      </c>
      <c r="S920" s="415">
        <f t="shared" si="42"/>
        <v>5</v>
      </c>
      <c r="T920" s="419">
        <f t="shared" si="43"/>
        <v>0.83333333333333337</v>
      </c>
      <c r="U920" s="419">
        <f t="shared" si="44"/>
        <v>5.833333333333333</v>
      </c>
      <c r="V920" s="415" t="s">
        <v>662</v>
      </c>
      <c r="W920" s="415" t="s">
        <v>608</v>
      </c>
      <c r="X920" s="415" t="s">
        <v>663</v>
      </c>
      <c r="Y920" s="415"/>
    </row>
    <row r="921" spans="1:25" hidden="1" x14ac:dyDescent="0.25">
      <c r="A921" s="415">
        <v>920</v>
      </c>
      <c r="B921" s="415">
        <v>513</v>
      </c>
      <c r="C921" s="415">
        <v>120917</v>
      </c>
      <c r="D921" s="416" t="s">
        <v>1066</v>
      </c>
      <c r="E921" s="416" t="s">
        <v>462</v>
      </c>
      <c r="F921" s="416" t="s">
        <v>469</v>
      </c>
      <c r="G921" s="416" t="s">
        <v>469</v>
      </c>
      <c r="H921" s="416" t="s">
        <v>1067</v>
      </c>
      <c r="I921" s="416" t="s">
        <v>1068</v>
      </c>
      <c r="J921" s="415" t="s">
        <v>661</v>
      </c>
      <c r="K921" s="417">
        <v>-5.7719279999999999</v>
      </c>
      <c r="L921" s="417">
        <v>-78.884887000000006</v>
      </c>
      <c r="M921" s="418">
        <v>30</v>
      </c>
      <c r="N921" s="418" t="s">
        <v>2310</v>
      </c>
      <c r="O921" s="418" t="s">
        <v>3407</v>
      </c>
      <c r="P921" s="415">
        <v>4</v>
      </c>
      <c r="Q921" s="415">
        <v>30</v>
      </c>
      <c r="R921" s="415">
        <v>5</v>
      </c>
      <c r="S921" s="415">
        <f t="shared" si="42"/>
        <v>5</v>
      </c>
      <c r="T921" s="419">
        <f t="shared" si="43"/>
        <v>0.83333333333333337</v>
      </c>
      <c r="U921" s="419">
        <f t="shared" si="44"/>
        <v>5.833333333333333</v>
      </c>
      <c r="V921" s="415" t="s">
        <v>662</v>
      </c>
      <c r="W921" s="415" t="s">
        <v>608</v>
      </c>
      <c r="X921" s="415" t="s">
        <v>663</v>
      </c>
      <c r="Y921" s="415"/>
    </row>
    <row r="922" spans="1:25" hidden="1" x14ac:dyDescent="0.25">
      <c r="A922" s="415">
        <v>921</v>
      </c>
      <c r="B922" s="415">
        <v>514</v>
      </c>
      <c r="C922" s="415">
        <v>124736</v>
      </c>
      <c r="D922" s="416" t="s">
        <v>1084</v>
      </c>
      <c r="E922" s="416" t="s">
        <v>462</v>
      </c>
      <c r="F922" s="416" t="s">
        <v>469</v>
      </c>
      <c r="G922" s="416" t="s">
        <v>1083</v>
      </c>
      <c r="H922" s="416" t="s">
        <v>1085</v>
      </c>
      <c r="I922" s="416" t="s">
        <v>1085</v>
      </c>
      <c r="J922" s="415" t="s">
        <v>661</v>
      </c>
      <c r="K922" s="417">
        <v>-5.6211180000000001</v>
      </c>
      <c r="L922" s="417">
        <v>-79.309246000000002</v>
      </c>
      <c r="M922" s="418">
        <v>30</v>
      </c>
      <c r="N922" s="418" t="s">
        <v>2310</v>
      </c>
      <c r="O922" s="418" t="s">
        <v>3407</v>
      </c>
      <c r="P922" s="415">
        <v>4</v>
      </c>
      <c r="Q922" s="415">
        <v>30</v>
      </c>
      <c r="R922" s="415">
        <v>5</v>
      </c>
      <c r="S922" s="415">
        <f t="shared" si="42"/>
        <v>5</v>
      </c>
      <c r="T922" s="419">
        <f t="shared" si="43"/>
        <v>0.83333333333333337</v>
      </c>
      <c r="U922" s="419">
        <f t="shared" si="44"/>
        <v>5.833333333333333</v>
      </c>
      <c r="V922" s="415" t="s">
        <v>662</v>
      </c>
      <c r="W922" s="415" t="s">
        <v>608</v>
      </c>
      <c r="X922" s="415" t="s">
        <v>663</v>
      </c>
      <c r="Y922" s="415"/>
    </row>
    <row r="923" spans="1:25" hidden="1" x14ac:dyDescent="0.25">
      <c r="A923" s="415">
        <v>922</v>
      </c>
      <c r="B923" s="415">
        <v>515</v>
      </c>
      <c r="C923" s="415">
        <v>592040</v>
      </c>
      <c r="D923" s="416" t="s">
        <v>805</v>
      </c>
      <c r="E923" s="416" t="s">
        <v>462</v>
      </c>
      <c r="F923" s="416" t="s">
        <v>469</v>
      </c>
      <c r="G923" s="416" t="s">
        <v>1083</v>
      </c>
      <c r="H923" s="416" t="s">
        <v>1083</v>
      </c>
      <c r="I923" s="416" t="s">
        <v>1853</v>
      </c>
      <c r="J923" s="415" t="s">
        <v>661</v>
      </c>
      <c r="K923" s="417">
        <v>-5.6569099999999999</v>
      </c>
      <c r="L923" s="417">
        <v>-79.315903000000006</v>
      </c>
      <c r="M923" s="418">
        <v>30</v>
      </c>
      <c r="N923" s="418" t="s">
        <v>2310</v>
      </c>
      <c r="O923" s="418" t="s">
        <v>3407</v>
      </c>
      <c r="P923" s="415">
        <v>4</v>
      </c>
      <c r="Q923" s="415">
        <v>30</v>
      </c>
      <c r="R923" s="415">
        <v>5</v>
      </c>
      <c r="S923" s="415">
        <f t="shared" si="42"/>
        <v>5</v>
      </c>
      <c r="T923" s="419">
        <f t="shared" si="43"/>
        <v>0.83333333333333337</v>
      </c>
      <c r="U923" s="419">
        <f t="shared" si="44"/>
        <v>5.833333333333333</v>
      </c>
      <c r="V923" s="415" t="s">
        <v>662</v>
      </c>
      <c r="W923" s="415" t="s">
        <v>608</v>
      </c>
      <c r="X923" s="415" t="s">
        <v>663</v>
      </c>
      <c r="Y923" s="415"/>
    </row>
    <row r="924" spans="1:25" hidden="1" x14ac:dyDescent="0.25">
      <c r="A924" s="415">
        <v>923</v>
      </c>
      <c r="B924" s="415">
        <v>516</v>
      </c>
      <c r="C924" s="415">
        <v>124656</v>
      </c>
      <c r="D924" s="416" t="s">
        <v>3502</v>
      </c>
      <c r="E924" s="416" t="s">
        <v>462</v>
      </c>
      <c r="F924" s="416" t="s">
        <v>469</v>
      </c>
      <c r="G924" s="416" t="s">
        <v>1083</v>
      </c>
      <c r="H924" s="416" t="s">
        <v>1003</v>
      </c>
      <c r="I924" s="416" t="s">
        <v>3503</v>
      </c>
      <c r="J924" s="415" t="s">
        <v>661</v>
      </c>
      <c r="K924" s="417">
        <v>-5.638509</v>
      </c>
      <c r="L924" s="417">
        <v>-79.308610999999999</v>
      </c>
      <c r="M924" s="418">
        <v>30</v>
      </c>
      <c r="N924" s="418" t="s">
        <v>2310</v>
      </c>
      <c r="O924" s="418" t="s">
        <v>3407</v>
      </c>
      <c r="P924" s="415">
        <v>4</v>
      </c>
      <c r="Q924" s="415">
        <v>30</v>
      </c>
      <c r="R924" s="415">
        <v>5</v>
      </c>
      <c r="S924" s="415">
        <f t="shared" si="42"/>
        <v>5</v>
      </c>
      <c r="T924" s="419">
        <f t="shared" si="43"/>
        <v>0.83333333333333337</v>
      </c>
      <c r="U924" s="419">
        <f t="shared" si="44"/>
        <v>5.833333333333333</v>
      </c>
      <c r="V924" s="415" t="s">
        <v>662</v>
      </c>
      <c r="W924" s="415" t="s">
        <v>608</v>
      </c>
      <c r="X924" s="415" t="s">
        <v>663</v>
      </c>
      <c r="Y924" s="415"/>
    </row>
    <row r="925" spans="1:25" hidden="1" x14ac:dyDescent="0.25">
      <c r="A925" s="415">
        <v>924</v>
      </c>
      <c r="B925" s="415">
        <v>517</v>
      </c>
      <c r="C925" s="415">
        <v>125142</v>
      </c>
      <c r="D925" s="416" t="s">
        <v>1086</v>
      </c>
      <c r="E925" s="416" t="s">
        <v>462</v>
      </c>
      <c r="F925" s="416" t="s">
        <v>469</v>
      </c>
      <c r="G925" s="416" t="s">
        <v>1087</v>
      </c>
      <c r="H925" s="416" t="s">
        <v>706</v>
      </c>
      <c r="I925" s="416" t="s">
        <v>1088</v>
      </c>
      <c r="J925" s="415" t="s">
        <v>661</v>
      </c>
      <c r="K925" s="417">
        <v>-5.7705190000000002</v>
      </c>
      <c r="L925" s="417">
        <v>-79.335401000000005</v>
      </c>
      <c r="M925" s="418">
        <v>30</v>
      </c>
      <c r="N925" s="418" t="s">
        <v>2310</v>
      </c>
      <c r="O925" s="418" t="s">
        <v>3407</v>
      </c>
      <c r="P925" s="415">
        <v>4</v>
      </c>
      <c r="Q925" s="415">
        <v>30</v>
      </c>
      <c r="R925" s="415">
        <v>5</v>
      </c>
      <c r="S925" s="415">
        <f t="shared" si="42"/>
        <v>5</v>
      </c>
      <c r="T925" s="419">
        <f t="shared" si="43"/>
        <v>0.83333333333333337</v>
      </c>
      <c r="U925" s="419">
        <f t="shared" si="44"/>
        <v>5.833333333333333</v>
      </c>
      <c r="V925" s="415" t="s">
        <v>662</v>
      </c>
      <c r="W925" s="415" t="s">
        <v>608</v>
      </c>
      <c r="X925" s="415" t="s">
        <v>663</v>
      </c>
      <c r="Y925" s="415"/>
    </row>
    <row r="926" spans="1:25" hidden="1" x14ac:dyDescent="0.25">
      <c r="A926" s="415">
        <v>925</v>
      </c>
      <c r="B926" s="415">
        <v>518</v>
      </c>
      <c r="C926" s="415">
        <v>124958</v>
      </c>
      <c r="D926" s="416" t="s">
        <v>3504</v>
      </c>
      <c r="E926" s="416" t="s">
        <v>462</v>
      </c>
      <c r="F926" s="416" t="s">
        <v>469</v>
      </c>
      <c r="G926" s="416" t="s">
        <v>1087</v>
      </c>
      <c r="H926" s="416" t="s">
        <v>3505</v>
      </c>
      <c r="I926" s="416" t="s">
        <v>3506</v>
      </c>
      <c r="J926" s="415" t="s">
        <v>661</v>
      </c>
      <c r="K926" s="417">
        <v>-5.8012940000000004</v>
      </c>
      <c r="L926" s="417">
        <v>-79.374840000000006</v>
      </c>
      <c r="M926" s="418">
        <v>30</v>
      </c>
      <c r="N926" s="418" t="s">
        <v>2310</v>
      </c>
      <c r="O926" s="418" t="s">
        <v>3407</v>
      </c>
      <c r="P926" s="415">
        <v>4</v>
      </c>
      <c r="Q926" s="415">
        <v>30</v>
      </c>
      <c r="R926" s="415">
        <v>5</v>
      </c>
      <c r="S926" s="415">
        <f t="shared" si="42"/>
        <v>5</v>
      </c>
      <c r="T926" s="419">
        <f t="shared" si="43"/>
        <v>0.83333333333333337</v>
      </c>
      <c r="U926" s="419">
        <f t="shared" si="44"/>
        <v>5.833333333333333</v>
      </c>
      <c r="V926" s="415" t="s">
        <v>662</v>
      </c>
      <c r="W926" s="415" t="s">
        <v>608</v>
      </c>
      <c r="X926" s="415" t="s">
        <v>663</v>
      </c>
      <c r="Y926" s="415"/>
    </row>
    <row r="927" spans="1:25" hidden="1" x14ac:dyDescent="0.25">
      <c r="A927" s="415">
        <v>926</v>
      </c>
      <c r="B927" s="415">
        <v>519</v>
      </c>
      <c r="C927" s="415">
        <v>586987</v>
      </c>
      <c r="D927" s="416" t="s">
        <v>2236</v>
      </c>
      <c r="E927" s="416" t="s">
        <v>462</v>
      </c>
      <c r="F927" s="416" t="s">
        <v>469</v>
      </c>
      <c r="G927" s="416" t="s">
        <v>1087</v>
      </c>
      <c r="H927" s="416" t="s">
        <v>2237</v>
      </c>
      <c r="I927" s="416" t="s">
        <v>2237</v>
      </c>
      <c r="J927" s="415" t="s">
        <v>661</v>
      </c>
      <c r="K927" s="417">
        <v>-5.7425369999999996</v>
      </c>
      <c r="L927" s="417">
        <v>-79.326138</v>
      </c>
      <c r="M927" s="418">
        <v>30</v>
      </c>
      <c r="N927" s="418" t="s">
        <v>2310</v>
      </c>
      <c r="O927" s="418" t="s">
        <v>3407</v>
      </c>
      <c r="P927" s="415">
        <v>4</v>
      </c>
      <c r="Q927" s="415">
        <v>30</v>
      </c>
      <c r="R927" s="415">
        <v>5</v>
      </c>
      <c r="S927" s="415">
        <f t="shared" si="42"/>
        <v>5</v>
      </c>
      <c r="T927" s="419">
        <f t="shared" si="43"/>
        <v>0.83333333333333337</v>
      </c>
      <c r="U927" s="419">
        <f t="shared" si="44"/>
        <v>5.833333333333333</v>
      </c>
      <c r="V927" s="415" t="s">
        <v>662</v>
      </c>
      <c r="W927" s="415" t="s">
        <v>608</v>
      </c>
      <c r="X927" s="415" t="s">
        <v>663</v>
      </c>
      <c r="Y927" s="415"/>
    </row>
    <row r="928" spans="1:25" hidden="1" x14ac:dyDescent="0.25">
      <c r="A928" s="415">
        <v>927</v>
      </c>
      <c r="B928" s="415">
        <v>520</v>
      </c>
      <c r="C928" s="415">
        <v>125199</v>
      </c>
      <c r="D928" s="416" t="s">
        <v>3507</v>
      </c>
      <c r="E928" s="416" t="s">
        <v>462</v>
      </c>
      <c r="F928" s="416" t="s">
        <v>469</v>
      </c>
      <c r="G928" s="416" t="s">
        <v>1087</v>
      </c>
      <c r="H928" s="416" t="s">
        <v>1087</v>
      </c>
      <c r="I928" s="416" t="s">
        <v>3508</v>
      </c>
      <c r="J928" s="415" t="s">
        <v>661</v>
      </c>
      <c r="K928" s="417">
        <v>-5.7701479999999998</v>
      </c>
      <c r="L928" s="417">
        <v>-79.318355999999994</v>
      </c>
      <c r="M928" s="418">
        <v>30</v>
      </c>
      <c r="N928" s="418" t="s">
        <v>2310</v>
      </c>
      <c r="O928" s="418" t="s">
        <v>3407</v>
      </c>
      <c r="P928" s="415">
        <v>4</v>
      </c>
      <c r="Q928" s="415">
        <v>30</v>
      </c>
      <c r="R928" s="415">
        <v>5</v>
      </c>
      <c r="S928" s="415">
        <f t="shared" si="42"/>
        <v>5</v>
      </c>
      <c r="T928" s="419">
        <f t="shared" si="43"/>
        <v>0.83333333333333337</v>
      </c>
      <c r="U928" s="419">
        <f t="shared" si="44"/>
        <v>5.833333333333333</v>
      </c>
      <c r="V928" s="415" t="s">
        <v>662</v>
      </c>
      <c r="W928" s="415" t="s">
        <v>608</v>
      </c>
      <c r="X928" s="415" t="s">
        <v>663</v>
      </c>
      <c r="Y928" s="415"/>
    </row>
    <row r="929" spans="1:25" hidden="1" x14ac:dyDescent="0.25">
      <c r="A929" s="415">
        <v>928</v>
      </c>
      <c r="B929" s="415">
        <v>521</v>
      </c>
      <c r="C929" s="415">
        <v>127315</v>
      </c>
      <c r="D929" s="416" t="s">
        <v>3509</v>
      </c>
      <c r="E929" s="416" t="s">
        <v>462</v>
      </c>
      <c r="F929" s="416" t="s">
        <v>470</v>
      </c>
      <c r="G929" s="416" t="s">
        <v>3510</v>
      </c>
      <c r="H929" s="416" t="s">
        <v>3510</v>
      </c>
      <c r="I929" s="416" t="s">
        <v>3511</v>
      </c>
      <c r="J929" s="415" t="s">
        <v>661</v>
      </c>
      <c r="K929" s="417">
        <v>-5.3004749999999996</v>
      </c>
      <c r="L929" s="417">
        <v>-78.900343000000007</v>
      </c>
      <c r="M929" s="418">
        <v>30</v>
      </c>
      <c r="N929" s="418" t="s">
        <v>2310</v>
      </c>
      <c r="O929" s="418" t="s">
        <v>3407</v>
      </c>
      <c r="P929" s="415">
        <v>4</v>
      </c>
      <c r="Q929" s="415">
        <v>30</v>
      </c>
      <c r="R929" s="415">
        <v>5</v>
      </c>
      <c r="S929" s="415">
        <f t="shared" si="42"/>
        <v>5</v>
      </c>
      <c r="T929" s="419">
        <f t="shared" si="43"/>
        <v>0.83333333333333337</v>
      </c>
      <c r="U929" s="419">
        <f t="shared" si="44"/>
        <v>5.833333333333333</v>
      </c>
      <c r="V929" s="415" t="s">
        <v>662</v>
      </c>
      <c r="W929" s="415" t="s">
        <v>608</v>
      </c>
      <c r="X929" s="415" t="s">
        <v>663</v>
      </c>
      <c r="Y929" s="415"/>
    </row>
    <row r="930" spans="1:25" hidden="1" x14ac:dyDescent="0.25">
      <c r="A930" s="415">
        <v>929</v>
      </c>
      <c r="B930" s="415">
        <v>522</v>
      </c>
      <c r="C930" s="415">
        <v>127339</v>
      </c>
      <c r="D930" s="416" t="s">
        <v>3512</v>
      </c>
      <c r="E930" s="416" t="s">
        <v>462</v>
      </c>
      <c r="F930" s="416" t="s">
        <v>470</v>
      </c>
      <c r="G930" s="416" t="s">
        <v>3510</v>
      </c>
      <c r="H930" s="416" t="s">
        <v>3510</v>
      </c>
      <c r="I930" s="416" t="s">
        <v>3513</v>
      </c>
      <c r="J930" s="415" t="s">
        <v>661</v>
      </c>
      <c r="K930" s="417">
        <v>-5.3049309999999998</v>
      </c>
      <c r="L930" s="417">
        <v>-78.897819999999996</v>
      </c>
      <c r="M930" s="418">
        <v>30</v>
      </c>
      <c r="N930" s="418" t="s">
        <v>2310</v>
      </c>
      <c r="O930" s="418" t="s">
        <v>3407</v>
      </c>
      <c r="P930" s="415">
        <v>4</v>
      </c>
      <c r="Q930" s="415">
        <v>30</v>
      </c>
      <c r="R930" s="415">
        <v>5</v>
      </c>
      <c r="S930" s="415">
        <f t="shared" si="42"/>
        <v>5</v>
      </c>
      <c r="T930" s="419">
        <f t="shared" si="43"/>
        <v>0.83333333333333337</v>
      </c>
      <c r="U930" s="419">
        <f t="shared" si="44"/>
        <v>5.833333333333333</v>
      </c>
      <c r="V930" s="415" t="s">
        <v>662</v>
      </c>
      <c r="W930" s="415" t="s">
        <v>608</v>
      </c>
      <c r="X930" s="415" t="s">
        <v>663</v>
      </c>
      <c r="Y930" s="415"/>
    </row>
    <row r="931" spans="1:25" hidden="1" x14ac:dyDescent="0.25">
      <c r="A931" s="415">
        <v>930</v>
      </c>
      <c r="B931" s="415">
        <v>523</v>
      </c>
      <c r="C931" s="415">
        <v>127725</v>
      </c>
      <c r="D931" s="416" t="s">
        <v>2228</v>
      </c>
      <c r="E931" s="416" t="s">
        <v>462</v>
      </c>
      <c r="F931" s="416" t="s">
        <v>470</v>
      </c>
      <c r="G931" s="416" t="s">
        <v>3510</v>
      </c>
      <c r="H931" s="416" t="s">
        <v>3510</v>
      </c>
      <c r="I931" s="416" t="s">
        <v>3514</v>
      </c>
      <c r="J931" s="415" t="s">
        <v>661</v>
      </c>
      <c r="K931" s="417">
        <v>-5.3005909999999998</v>
      </c>
      <c r="L931" s="417">
        <v>-78.899827999999999</v>
      </c>
      <c r="M931" s="418">
        <v>30</v>
      </c>
      <c r="N931" s="418" t="s">
        <v>2310</v>
      </c>
      <c r="O931" s="418" t="s">
        <v>3407</v>
      </c>
      <c r="P931" s="415">
        <v>4</v>
      </c>
      <c r="Q931" s="415">
        <v>30</v>
      </c>
      <c r="R931" s="415">
        <v>5</v>
      </c>
      <c r="S931" s="415">
        <f t="shared" si="42"/>
        <v>5</v>
      </c>
      <c r="T931" s="419">
        <f t="shared" si="43"/>
        <v>0.83333333333333337</v>
      </c>
      <c r="U931" s="419">
        <f t="shared" si="44"/>
        <v>5.833333333333333</v>
      </c>
      <c r="V931" s="415" t="s">
        <v>662</v>
      </c>
      <c r="W931" s="415" t="s">
        <v>608</v>
      </c>
      <c r="X931" s="415" t="s">
        <v>663</v>
      </c>
      <c r="Y931" s="415"/>
    </row>
    <row r="932" spans="1:25" hidden="1" x14ac:dyDescent="0.25">
      <c r="A932" s="415">
        <v>931</v>
      </c>
      <c r="B932" s="415">
        <v>524</v>
      </c>
      <c r="C932" s="415">
        <v>127706</v>
      </c>
      <c r="D932" s="416" t="s">
        <v>3515</v>
      </c>
      <c r="E932" s="416" t="s">
        <v>462</v>
      </c>
      <c r="F932" s="416" t="s">
        <v>470</v>
      </c>
      <c r="G932" s="416" t="s">
        <v>3510</v>
      </c>
      <c r="H932" s="416" t="s">
        <v>3516</v>
      </c>
      <c r="I932" s="416" t="s">
        <v>3517</v>
      </c>
      <c r="J932" s="415" t="s">
        <v>661</v>
      </c>
      <c r="K932" s="417">
        <v>-5.3428680000000002</v>
      </c>
      <c r="L932" s="417">
        <v>-78.793904999999995</v>
      </c>
      <c r="M932" s="418">
        <v>30</v>
      </c>
      <c r="N932" s="418" t="s">
        <v>2310</v>
      </c>
      <c r="O932" s="418" t="s">
        <v>3407</v>
      </c>
      <c r="P932" s="415">
        <v>4</v>
      </c>
      <c r="Q932" s="415">
        <v>30</v>
      </c>
      <c r="R932" s="415">
        <v>5</v>
      </c>
      <c r="S932" s="415">
        <f t="shared" si="42"/>
        <v>5</v>
      </c>
      <c r="T932" s="419">
        <f t="shared" si="43"/>
        <v>0.83333333333333337</v>
      </c>
      <c r="U932" s="419">
        <f t="shared" si="44"/>
        <v>5.833333333333333</v>
      </c>
      <c r="V932" s="415" t="s">
        <v>662</v>
      </c>
      <c r="W932" s="415" t="s">
        <v>608</v>
      </c>
      <c r="X932" s="415" t="s">
        <v>663</v>
      </c>
      <c r="Y932" s="415"/>
    </row>
    <row r="933" spans="1:25" hidden="1" x14ac:dyDescent="0.25">
      <c r="A933" s="415">
        <v>932</v>
      </c>
      <c r="B933" s="415">
        <v>525</v>
      </c>
      <c r="C933" s="415">
        <v>128367</v>
      </c>
      <c r="D933" s="416" t="s">
        <v>1090</v>
      </c>
      <c r="E933" s="416" t="s">
        <v>462</v>
      </c>
      <c r="F933" s="416" t="s">
        <v>470</v>
      </c>
      <c r="G933" s="416" t="s">
        <v>1091</v>
      </c>
      <c r="H933" s="416" t="s">
        <v>1092</v>
      </c>
      <c r="I933" s="416" t="s">
        <v>1092</v>
      </c>
      <c r="J933" s="415" t="s">
        <v>661</v>
      </c>
      <c r="K933" s="417">
        <v>-5.3469300000000004</v>
      </c>
      <c r="L933" s="417">
        <v>-78.634310999999997</v>
      </c>
      <c r="M933" s="418">
        <v>30</v>
      </c>
      <c r="N933" s="418" t="s">
        <v>2310</v>
      </c>
      <c r="O933" s="418" t="s">
        <v>3407</v>
      </c>
      <c r="P933" s="415">
        <v>4</v>
      </c>
      <c r="Q933" s="415">
        <v>30</v>
      </c>
      <c r="R933" s="415">
        <v>5</v>
      </c>
      <c r="S933" s="415">
        <f t="shared" si="42"/>
        <v>5</v>
      </c>
      <c r="T933" s="419">
        <f t="shared" si="43"/>
        <v>0.83333333333333337</v>
      </c>
      <c r="U933" s="419">
        <f t="shared" si="44"/>
        <v>5.833333333333333</v>
      </c>
      <c r="V933" s="415" t="s">
        <v>662</v>
      </c>
      <c r="W933" s="415" t="s">
        <v>608</v>
      </c>
      <c r="X933" s="415" t="s">
        <v>663</v>
      </c>
      <c r="Y933" s="415"/>
    </row>
    <row r="934" spans="1:25" hidden="1" x14ac:dyDescent="0.25">
      <c r="A934" s="415">
        <v>933</v>
      </c>
      <c r="B934" s="415">
        <v>526</v>
      </c>
      <c r="C934" s="415">
        <v>129183</v>
      </c>
      <c r="D934" s="416" t="s">
        <v>1094</v>
      </c>
      <c r="E934" s="416" t="s">
        <v>462</v>
      </c>
      <c r="F934" s="416" t="s">
        <v>470</v>
      </c>
      <c r="G934" s="416" t="s">
        <v>1093</v>
      </c>
      <c r="H934" s="416" t="s">
        <v>1095</v>
      </c>
      <c r="I934" s="416" t="s">
        <v>1095</v>
      </c>
      <c r="J934" s="415" t="s">
        <v>661</v>
      </c>
      <c r="K934" s="417">
        <v>-5.3580310000000004</v>
      </c>
      <c r="L934" s="417">
        <v>-78.954047000000003</v>
      </c>
      <c r="M934" s="418">
        <v>30</v>
      </c>
      <c r="N934" s="418" t="s">
        <v>2310</v>
      </c>
      <c r="O934" s="418" t="s">
        <v>3407</v>
      </c>
      <c r="P934" s="415">
        <v>4</v>
      </c>
      <c r="Q934" s="415">
        <v>30</v>
      </c>
      <c r="R934" s="415">
        <v>5</v>
      </c>
      <c r="S934" s="415">
        <f t="shared" si="42"/>
        <v>5</v>
      </c>
      <c r="T934" s="419">
        <f t="shared" si="43"/>
        <v>0.83333333333333337</v>
      </c>
      <c r="U934" s="419">
        <f t="shared" si="44"/>
        <v>5.833333333333333</v>
      </c>
      <c r="V934" s="415" t="s">
        <v>662</v>
      </c>
      <c r="W934" s="415" t="s">
        <v>608</v>
      </c>
      <c r="X934" s="415" t="s">
        <v>663</v>
      </c>
      <c r="Y934" s="415"/>
    </row>
    <row r="935" spans="1:25" hidden="1" x14ac:dyDescent="0.25">
      <c r="A935" s="415">
        <v>934</v>
      </c>
      <c r="B935" s="415">
        <v>527</v>
      </c>
      <c r="C935" s="415">
        <v>130087</v>
      </c>
      <c r="D935" s="416" t="s">
        <v>1097</v>
      </c>
      <c r="E935" s="416" t="s">
        <v>462</v>
      </c>
      <c r="F935" s="416" t="s">
        <v>470</v>
      </c>
      <c r="G935" s="416" t="s">
        <v>1096</v>
      </c>
      <c r="H935" s="416" t="s">
        <v>1098</v>
      </c>
      <c r="I935" s="416" t="s">
        <v>1098</v>
      </c>
      <c r="J935" s="415" t="s">
        <v>661</v>
      </c>
      <c r="K935" s="417">
        <v>-5.0258430000000001</v>
      </c>
      <c r="L935" s="417">
        <v>-78.888644999999997</v>
      </c>
      <c r="M935" s="418">
        <v>30</v>
      </c>
      <c r="N935" s="418" t="s">
        <v>2310</v>
      </c>
      <c r="O935" s="418" t="s">
        <v>3407</v>
      </c>
      <c r="P935" s="415">
        <v>4</v>
      </c>
      <c r="Q935" s="415">
        <v>30</v>
      </c>
      <c r="R935" s="415">
        <v>5</v>
      </c>
      <c r="S935" s="415">
        <f t="shared" si="42"/>
        <v>5</v>
      </c>
      <c r="T935" s="419">
        <f t="shared" si="43"/>
        <v>0.83333333333333337</v>
      </c>
      <c r="U935" s="419">
        <f t="shared" si="44"/>
        <v>5.833333333333333</v>
      </c>
      <c r="V935" s="415" t="s">
        <v>662</v>
      </c>
      <c r="W935" s="415" t="s">
        <v>608</v>
      </c>
      <c r="X935" s="415" t="s">
        <v>663</v>
      </c>
      <c r="Y935" s="415"/>
    </row>
    <row r="936" spans="1:25" hidden="1" x14ac:dyDescent="0.25">
      <c r="A936" s="415">
        <v>935</v>
      </c>
      <c r="B936" s="415">
        <v>528</v>
      </c>
      <c r="C936" s="415">
        <v>130775</v>
      </c>
      <c r="D936" s="416" t="s">
        <v>1100</v>
      </c>
      <c r="E936" s="416" t="s">
        <v>462</v>
      </c>
      <c r="F936" s="416" t="s">
        <v>470</v>
      </c>
      <c r="G936" s="416" t="s">
        <v>1099</v>
      </c>
      <c r="H936" s="416" t="s">
        <v>1101</v>
      </c>
      <c r="I936" s="416" t="s">
        <v>1101</v>
      </c>
      <c r="J936" s="415" t="s">
        <v>661</v>
      </c>
      <c r="K936" s="417">
        <v>-5.3116899999999996</v>
      </c>
      <c r="L936" s="417">
        <v>-79.103710000000007</v>
      </c>
      <c r="M936" s="418">
        <v>30</v>
      </c>
      <c r="N936" s="418" t="s">
        <v>2310</v>
      </c>
      <c r="O936" s="418" t="s">
        <v>3407</v>
      </c>
      <c r="P936" s="415">
        <v>4</v>
      </c>
      <c r="Q936" s="415">
        <v>30</v>
      </c>
      <c r="R936" s="415">
        <v>5</v>
      </c>
      <c r="S936" s="415">
        <f t="shared" si="42"/>
        <v>5</v>
      </c>
      <c r="T936" s="419">
        <f t="shared" si="43"/>
        <v>0.83333333333333337</v>
      </c>
      <c r="U936" s="419">
        <f t="shared" si="44"/>
        <v>5.833333333333333</v>
      </c>
      <c r="V936" s="415" t="s">
        <v>662</v>
      </c>
      <c r="W936" s="415" t="s">
        <v>608</v>
      </c>
      <c r="X936" s="415" t="s">
        <v>663</v>
      </c>
      <c r="Y936" s="415"/>
    </row>
    <row r="937" spans="1:25" hidden="1" x14ac:dyDescent="0.25">
      <c r="A937" s="415">
        <v>936</v>
      </c>
      <c r="B937" s="415">
        <v>529</v>
      </c>
      <c r="C937" s="415">
        <v>131082</v>
      </c>
      <c r="D937" s="416" t="s">
        <v>3518</v>
      </c>
      <c r="E937" s="416" t="s">
        <v>462</v>
      </c>
      <c r="F937" s="416" t="s">
        <v>470</v>
      </c>
      <c r="G937" s="416" t="s">
        <v>1099</v>
      </c>
      <c r="H937" s="416" t="s">
        <v>1099</v>
      </c>
      <c r="I937" s="416" t="s">
        <v>3519</v>
      </c>
      <c r="J937" s="415" t="s">
        <v>661</v>
      </c>
      <c r="K937" s="417">
        <v>-5.3158969999999997</v>
      </c>
      <c r="L937" s="417">
        <v>-79.282629</v>
      </c>
      <c r="M937" s="418">
        <v>30</v>
      </c>
      <c r="N937" s="418" t="s">
        <v>2310</v>
      </c>
      <c r="O937" s="418" t="s">
        <v>3407</v>
      </c>
      <c r="P937" s="415">
        <v>4</v>
      </c>
      <c r="Q937" s="415">
        <v>30</v>
      </c>
      <c r="R937" s="415">
        <v>5</v>
      </c>
      <c r="S937" s="415">
        <f t="shared" si="42"/>
        <v>5</v>
      </c>
      <c r="T937" s="419">
        <f t="shared" si="43"/>
        <v>0.83333333333333337</v>
      </c>
      <c r="U937" s="419">
        <f t="shared" si="44"/>
        <v>5.833333333333333</v>
      </c>
      <c r="V937" s="415" t="s">
        <v>662</v>
      </c>
      <c r="W937" s="415" t="s">
        <v>608</v>
      </c>
      <c r="X937" s="415" t="s">
        <v>663</v>
      </c>
      <c r="Y937" s="415"/>
    </row>
    <row r="938" spans="1:25" hidden="1" x14ac:dyDescent="0.25">
      <c r="A938" s="415">
        <v>937</v>
      </c>
      <c r="B938" s="415">
        <v>530</v>
      </c>
      <c r="C938" s="415">
        <v>132393</v>
      </c>
      <c r="D938" s="416" t="s">
        <v>1044</v>
      </c>
      <c r="E938" s="416" t="s">
        <v>462</v>
      </c>
      <c r="F938" s="416" t="s">
        <v>471</v>
      </c>
      <c r="G938" s="416" t="s">
        <v>1103</v>
      </c>
      <c r="H938" s="416" t="s">
        <v>1104</v>
      </c>
      <c r="I938" s="416" t="s">
        <v>1104</v>
      </c>
      <c r="J938" s="415" t="s">
        <v>661</v>
      </c>
      <c r="K938" s="417">
        <v>-7.2612189999999996</v>
      </c>
      <c r="L938" s="417">
        <v>-78.135508999999999</v>
      </c>
      <c r="M938" s="418">
        <v>30</v>
      </c>
      <c r="N938" s="418" t="s">
        <v>2310</v>
      </c>
      <c r="O938" s="418" t="s">
        <v>3407</v>
      </c>
      <c r="P938" s="415">
        <v>4</v>
      </c>
      <c r="Q938" s="415">
        <v>30</v>
      </c>
      <c r="R938" s="415">
        <v>5</v>
      </c>
      <c r="S938" s="415">
        <f t="shared" si="42"/>
        <v>5</v>
      </c>
      <c r="T938" s="419">
        <f t="shared" si="43"/>
        <v>0.83333333333333337</v>
      </c>
      <c r="U938" s="419">
        <f t="shared" si="44"/>
        <v>5.833333333333333</v>
      </c>
      <c r="V938" s="415" t="s">
        <v>662</v>
      </c>
      <c r="W938" s="415" t="s">
        <v>616</v>
      </c>
      <c r="X938" s="415" t="s">
        <v>666</v>
      </c>
      <c r="Y938" s="415"/>
    </row>
    <row r="939" spans="1:25" hidden="1" x14ac:dyDescent="0.25">
      <c r="A939" s="415">
        <v>938</v>
      </c>
      <c r="B939" s="415">
        <v>531</v>
      </c>
      <c r="C939" s="415">
        <v>132492</v>
      </c>
      <c r="D939" s="416" t="s">
        <v>3520</v>
      </c>
      <c r="E939" s="416" t="s">
        <v>462</v>
      </c>
      <c r="F939" s="416" t="s">
        <v>471</v>
      </c>
      <c r="G939" s="416" t="s">
        <v>3521</v>
      </c>
      <c r="H939" s="416" t="s">
        <v>3521</v>
      </c>
      <c r="I939" s="416" t="s">
        <v>3522</v>
      </c>
      <c r="J939" s="415" t="s">
        <v>661</v>
      </c>
      <c r="K939" s="417">
        <v>-7.3655499999999998</v>
      </c>
      <c r="L939" s="417">
        <v>-78.127118999999993</v>
      </c>
      <c r="M939" s="418">
        <v>30</v>
      </c>
      <c r="N939" s="418" t="s">
        <v>2310</v>
      </c>
      <c r="O939" s="418" t="s">
        <v>3407</v>
      </c>
      <c r="P939" s="415">
        <v>4</v>
      </c>
      <c r="Q939" s="415">
        <v>30</v>
      </c>
      <c r="R939" s="415">
        <v>5</v>
      </c>
      <c r="S939" s="415">
        <f t="shared" si="42"/>
        <v>5</v>
      </c>
      <c r="T939" s="419">
        <f t="shared" si="43"/>
        <v>0.83333333333333337</v>
      </c>
      <c r="U939" s="419">
        <f t="shared" si="44"/>
        <v>5.833333333333333</v>
      </c>
      <c r="V939" s="415" t="s">
        <v>662</v>
      </c>
      <c r="W939" s="415" t="s">
        <v>616</v>
      </c>
      <c r="X939" s="415" t="s">
        <v>666</v>
      </c>
      <c r="Y939" s="415"/>
    </row>
    <row r="940" spans="1:25" hidden="1" x14ac:dyDescent="0.25">
      <c r="A940" s="415">
        <v>939</v>
      </c>
      <c r="B940" s="415">
        <v>532</v>
      </c>
      <c r="C940" s="415">
        <v>132722</v>
      </c>
      <c r="D940" s="416" t="s">
        <v>1105</v>
      </c>
      <c r="E940" s="416" t="s">
        <v>462</v>
      </c>
      <c r="F940" s="416" t="s">
        <v>471</v>
      </c>
      <c r="G940" s="416" t="s">
        <v>1106</v>
      </c>
      <c r="H940" s="416" t="s">
        <v>1082</v>
      </c>
      <c r="I940" s="416" t="s">
        <v>1107</v>
      </c>
      <c r="J940" s="415" t="s">
        <v>661</v>
      </c>
      <c r="K940" s="417">
        <v>-7.1657950000000001</v>
      </c>
      <c r="L940" s="417">
        <v>-77.996863000000005</v>
      </c>
      <c r="M940" s="418">
        <v>30</v>
      </c>
      <c r="N940" s="418" t="s">
        <v>2310</v>
      </c>
      <c r="O940" s="418" t="s">
        <v>3407</v>
      </c>
      <c r="P940" s="415">
        <v>4</v>
      </c>
      <c r="Q940" s="415">
        <v>30</v>
      </c>
      <c r="R940" s="415">
        <v>5</v>
      </c>
      <c r="S940" s="415">
        <f t="shared" si="42"/>
        <v>5</v>
      </c>
      <c r="T940" s="419">
        <f t="shared" si="43"/>
        <v>0.83333333333333337</v>
      </c>
      <c r="U940" s="419">
        <f t="shared" si="44"/>
        <v>5.833333333333333</v>
      </c>
      <c r="V940" s="415" t="s">
        <v>662</v>
      </c>
      <c r="W940" s="415" t="s">
        <v>616</v>
      </c>
      <c r="X940" s="415" t="s">
        <v>666</v>
      </c>
      <c r="Y940" s="415"/>
    </row>
    <row r="941" spans="1:25" hidden="1" x14ac:dyDescent="0.25">
      <c r="A941" s="415">
        <v>940</v>
      </c>
      <c r="B941" s="415">
        <v>533</v>
      </c>
      <c r="C941" s="415">
        <v>134617</v>
      </c>
      <c r="D941" s="416" t="s">
        <v>3523</v>
      </c>
      <c r="E941" s="416" t="s">
        <v>462</v>
      </c>
      <c r="F941" s="416" t="s">
        <v>472</v>
      </c>
      <c r="G941" s="416" t="s">
        <v>1109</v>
      </c>
      <c r="H941" s="416" t="s">
        <v>2232</v>
      </c>
      <c r="I941" s="416" t="s">
        <v>2231</v>
      </c>
      <c r="J941" s="415" t="s">
        <v>661</v>
      </c>
      <c r="K941" s="417">
        <v>-6.9288259999999999</v>
      </c>
      <c r="L941" s="417">
        <v>-78.809174999999996</v>
      </c>
      <c r="M941" s="418">
        <v>30</v>
      </c>
      <c r="N941" s="418" t="s">
        <v>2310</v>
      </c>
      <c r="O941" s="418" t="s">
        <v>3407</v>
      </c>
      <c r="P941" s="415">
        <v>4</v>
      </c>
      <c r="Q941" s="415">
        <v>30</v>
      </c>
      <c r="R941" s="415">
        <v>5</v>
      </c>
      <c r="S941" s="415">
        <f t="shared" si="42"/>
        <v>5</v>
      </c>
      <c r="T941" s="419">
        <f t="shared" si="43"/>
        <v>0.83333333333333337</v>
      </c>
      <c r="U941" s="419">
        <f t="shared" si="44"/>
        <v>5.833333333333333</v>
      </c>
      <c r="V941" s="415" t="s">
        <v>662</v>
      </c>
      <c r="W941" s="415" t="s">
        <v>608</v>
      </c>
      <c r="X941" s="415" t="s">
        <v>663</v>
      </c>
      <c r="Y941" s="415"/>
    </row>
    <row r="942" spans="1:25" hidden="1" x14ac:dyDescent="0.25">
      <c r="A942" s="415">
        <v>941</v>
      </c>
      <c r="B942" s="415">
        <v>534</v>
      </c>
      <c r="C942" s="415">
        <v>135037</v>
      </c>
      <c r="D942" s="416" t="s">
        <v>1110</v>
      </c>
      <c r="E942" s="416" t="s">
        <v>462</v>
      </c>
      <c r="F942" s="416" t="s">
        <v>472</v>
      </c>
      <c r="G942" s="416" t="s">
        <v>1111</v>
      </c>
      <c r="H942" s="416" t="s">
        <v>1111</v>
      </c>
      <c r="I942" s="416" t="s">
        <v>1112</v>
      </c>
      <c r="J942" s="415" t="s">
        <v>661</v>
      </c>
      <c r="K942" s="417">
        <v>-6.9289160000000001</v>
      </c>
      <c r="L942" s="417">
        <v>-79.131439999999998</v>
      </c>
      <c r="M942" s="418">
        <v>30</v>
      </c>
      <c r="N942" s="418" t="s">
        <v>2310</v>
      </c>
      <c r="O942" s="418" t="s">
        <v>3407</v>
      </c>
      <c r="P942" s="415">
        <v>4</v>
      </c>
      <c r="Q942" s="415">
        <v>30</v>
      </c>
      <c r="R942" s="415">
        <v>5</v>
      </c>
      <c r="S942" s="415">
        <f t="shared" si="42"/>
        <v>5</v>
      </c>
      <c r="T942" s="419">
        <f t="shared" si="43"/>
        <v>0.83333333333333337</v>
      </c>
      <c r="U942" s="419">
        <f t="shared" si="44"/>
        <v>5.833333333333333</v>
      </c>
      <c r="V942" s="415" t="s">
        <v>662</v>
      </c>
      <c r="W942" s="415" t="s">
        <v>608</v>
      </c>
      <c r="X942" s="415" t="s">
        <v>663</v>
      </c>
      <c r="Y942" s="415"/>
    </row>
    <row r="943" spans="1:25" hidden="1" x14ac:dyDescent="0.25">
      <c r="A943" s="415">
        <v>942</v>
      </c>
      <c r="B943" s="415">
        <v>535</v>
      </c>
      <c r="C943" s="415">
        <v>136616</v>
      </c>
      <c r="D943" s="416" t="s">
        <v>1116</v>
      </c>
      <c r="E943" s="416" t="s">
        <v>462</v>
      </c>
      <c r="F943" s="416" t="s">
        <v>473</v>
      </c>
      <c r="G943" s="416" t="s">
        <v>1116</v>
      </c>
      <c r="H943" s="416" t="s">
        <v>1116</v>
      </c>
      <c r="I943" s="416" t="s">
        <v>1117</v>
      </c>
      <c r="J943" s="415" t="s">
        <v>661</v>
      </c>
      <c r="K943" s="417">
        <v>-7.167052</v>
      </c>
      <c r="L943" s="417">
        <v>-78.83099</v>
      </c>
      <c r="M943" s="418">
        <v>30</v>
      </c>
      <c r="N943" s="418" t="s">
        <v>2310</v>
      </c>
      <c r="O943" s="418" t="s">
        <v>3407</v>
      </c>
      <c r="P943" s="415">
        <v>4</v>
      </c>
      <c r="Q943" s="415">
        <v>30</v>
      </c>
      <c r="R943" s="415">
        <v>5</v>
      </c>
      <c r="S943" s="415">
        <f t="shared" si="42"/>
        <v>5</v>
      </c>
      <c r="T943" s="419">
        <f t="shared" si="43"/>
        <v>0.83333333333333337</v>
      </c>
      <c r="U943" s="419">
        <f t="shared" si="44"/>
        <v>5.833333333333333</v>
      </c>
      <c r="V943" s="415" t="s">
        <v>662</v>
      </c>
      <c r="W943" s="415" t="s">
        <v>608</v>
      </c>
      <c r="X943" s="415" t="s">
        <v>663</v>
      </c>
      <c r="Y943" s="415"/>
    </row>
    <row r="944" spans="1:25" hidden="1" x14ac:dyDescent="0.25">
      <c r="A944" s="415">
        <v>943</v>
      </c>
      <c r="B944" s="415">
        <v>536</v>
      </c>
      <c r="C944" s="415">
        <v>135928</v>
      </c>
      <c r="D944" s="416" t="s">
        <v>3524</v>
      </c>
      <c r="E944" s="416" t="s">
        <v>462</v>
      </c>
      <c r="F944" s="416" t="s">
        <v>473</v>
      </c>
      <c r="G944" s="416" t="s">
        <v>473</v>
      </c>
      <c r="H944" s="416" t="s">
        <v>1952</v>
      </c>
      <c r="I944" s="416" t="s">
        <v>1952</v>
      </c>
      <c r="J944" s="415" t="s">
        <v>661</v>
      </c>
      <c r="K944" s="417">
        <v>-7.1095600000000001</v>
      </c>
      <c r="L944" s="417">
        <v>-78.752764999999997</v>
      </c>
      <c r="M944" s="418">
        <v>30</v>
      </c>
      <c r="N944" s="418" t="s">
        <v>2310</v>
      </c>
      <c r="O944" s="418" t="s">
        <v>3407</v>
      </c>
      <c r="P944" s="415">
        <v>4</v>
      </c>
      <c r="Q944" s="415">
        <v>30</v>
      </c>
      <c r="R944" s="415">
        <v>5</v>
      </c>
      <c r="S944" s="415">
        <f t="shared" si="42"/>
        <v>5</v>
      </c>
      <c r="T944" s="419">
        <f t="shared" si="43"/>
        <v>0.83333333333333337</v>
      </c>
      <c r="U944" s="419">
        <f t="shared" si="44"/>
        <v>5.833333333333333</v>
      </c>
      <c r="V944" s="415" t="s">
        <v>662</v>
      </c>
      <c r="W944" s="415" t="s">
        <v>608</v>
      </c>
      <c r="X944" s="415" t="s">
        <v>663</v>
      </c>
      <c r="Y944" s="415"/>
    </row>
    <row r="945" spans="1:25" hidden="1" x14ac:dyDescent="0.25">
      <c r="A945" s="415">
        <v>944</v>
      </c>
      <c r="B945" s="415">
        <v>537</v>
      </c>
      <c r="C945" s="415">
        <v>136145</v>
      </c>
      <c r="D945" s="416" t="s">
        <v>1113</v>
      </c>
      <c r="E945" s="416" t="s">
        <v>462</v>
      </c>
      <c r="F945" s="416" t="s">
        <v>473</v>
      </c>
      <c r="G945" s="416" t="s">
        <v>473</v>
      </c>
      <c r="H945" s="416" t="s">
        <v>1114</v>
      </c>
      <c r="I945" s="416" t="s">
        <v>1114</v>
      </c>
      <c r="J945" s="415" t="s">
        <v>661</v>
      </c>
      <c r="K945" s="417">
        <v>-7.1034300000000004</v>
      </c>
      <c r="L945" s="417">
        <v>-78.714439999999996</v>
      </c>
      <c r="M945" s="418">
        <v>30</v>
      </c>
      <c r="N945" s="418" t="s">
        <v>2310</v>
      </c>
      <c r="O945" s="418" t="s">
        <v>3407</v>
      </c>
      <c r="P945" s="415">
        <v>4</v>
      </c>
      <c r="Q945" s="415">
        <v>30</v>
      </c>
      <c r="R945" s="415">
        <v>5</v>
      </c>
      <c r="S945" s="415">
        <f t="shared" si="42"/>
        <v>5</v>
      </c>
      <c r="T945" s="419">
        <f t="shared" si="43"/>
        <v>0.83333333333333337</v>
      </c>
      <c r="U945" s="419">
        <f t="shared" si="44"/>
        <v>5.833333333333333</v>
      </c>
      <c r="V945" s="415" t="s">
        <v>662</v>
      </c>
      <c r="W945" s="415" t="s">
        <v>608</v>
      </c>
      <c r="X945" s="415" t="s">
        <v>663</v>
      </c>
      <c r="Y945" s="415"/>
    </row>
    <row r="946" spans="1:25" hidden="1" x14ac:dyDescent="0.25">
      <c r="A946" s="415">
        <v>945</v>
      </c>
      <c r="B946" s="415">
        <v>538</v>
      </c>
      <c r="C946" s="415">
        <v>136292</v>
      </c>
      <c r="D946" s="416" t="s">
        <v>1115</v>
      </c>
      <c r="E946" s="416" t="s">
        <v>462</v>
      </c>
      <c r="F946" s="416" t="s">
        <v>473</v>
      </c>
      <c r="G946" s="416" t="s">
        <v>473</v>
      </c>
      <c r="H946" s="416" t="s">
        <v>1115</v>
      </c>
      <c r="I946" s="416" t="s">
        <v>1115</v>
      </c>
      <c r="J946" s="415" t="s">
        <v>661</v>
      </c>
      <c r="K946" s="417">
        <v>-7.0844820000000004</v>
      </c>
      <c r="L946" s="417">
        <v>-78.781648000000004</v>
      </c>
      <c r="M946" s="418">
        <v>30</v>
      </c>
      <c r="N946" s="418" t="s">
        <v>2310</v>
      </c>
      <c r="O946" s="418" t="s">
        <v>3407</v>
      </c>
      <c r="P946" s="415">
        <v>4</v>
      </c>
      <c r="Q946" s="415">
        <v>30</v>
      </c>
      <c r="R946" s="415">
        <v>5</v>
      </c>
      <c r="S946" s="415">
        <f t="shared" si="42"/>
        <v>5</v>
      </c>
      <c r="T946" s="419">
        <f t="shared" si="43"/>
        <v>0.83333333333333337</v>
      </c>
      <c r="U946" s="419">
        <f t="shared" si="44"/>
        <v>5.833333333333333</v>
      </c>
      <c r="V946" s="415" t="s">
        <v>662</v>
      </c>
      <c r="W946" s="415" t="s">
        <v>608</v>
      </c>
      <c r="X946" s="415" t="s">
        <v>663</v>
      </c>
      <c r="Y946" s="415"/>
    </row>
    <row r="947" spans="1:25" hidden="1" x14ac:dyDescent="0.25">
      <c r="A947" s="415">
        <v>946</v>
      </c>
      <c r="B947" s="415">
        <v>539</v>
      </c>
      <c r="C947" s="415">
        <v>136876</v>
      </c>
      <c r="D947" s="416" t="s">
        <v>1120</v>
      </c>
      <c r="E947" s="416" t="s">
        <v>462</v>
      </c>
      <c r="F947" s="416" t="s">
        <v>473</v>
      </c>
      <c r="G947" s="416" t="s">
        <v>1119</v>
      </c>
      <c r="H947" s="416" t="s">
        <v>1121</v>
      </c>
      <c r="I947" s="416" t="s">
        <v>1121</v>
      </c>
      <c r="J947" s="415" t="s">
        <v>661</v>
      </c>
      <c r="K947" s="417">
        <v>-6.9258649999999999</v>
      </c>
      <c r="L947" s="417">
        <v>-78.662769999999995</v>
      </c>
      <c r="M947" s="418">
        <v>30</v>
      </c>
      <c r="N947" s="418" t="s">
        <v>2310</v>
      </c>
      <c r="O947" s="418" t="s">
        <v>3407</v>
      </c>
      <c r="P947" s="415">
        <v>4</v>
      </c>
      <c r="Q947" s="415">
        <v>30</v>
      </c>
      <c r="R947" s="415">
        <v>5</v>
      </c>
      <c r="S947" s="415">
        <f t="shared" si="42"/>
        <v>5</v>
      </c>
      <c r="T947" s="419">
        <f t="shared" si="43"/>
        <v>0.83333333333333337</v>
      </c>
      <c r="U947" s="419">
        <f t="shared" si="44"/>
        <v>5.833333333333333</v>
      </c>
      <c r="V947" s="415" t="s">
        <v>662</v>
      </c>
      <c r="W947" s="415" t="s">
        <v>608</v>
      </c>
      <c r="X947" s="415" t="s">
        <v>663</v>
      </c>
      <c r="Y947" s="415"/>
    </row>
    <row r="948" spans="1:25" hidden="1" x14ac:dyDescent="0.25">
      <c r="A948" s="415">
        <v>947</v>
      </c>
      <c r="B948" s="415">
        <v>540</v>
      </c>
      <c r="C948" s="415">
        <v>578303</v>
      </c>
      <c r="D948" s="416" t="s">
        <v>1121</v>
      </c>
      <c r="E948" s="416" t="s">
        <v>462</v>
      </c>
      <c r="F948" s="416" t="s">
        <v>473</v>
      </c>
      <c r="G948" s="416" t="s">
        <v>1119</v>
      </c>
      <c r="H948" s="416" t="s">
        <v>1121</v>
      </c>
      <c r="I948" s="416" t="s">
        <v>1121</v>
      </c>
      <c r="J948" s="415" t="s">
        <v>661</v>
      </c>
      <c r="K948" s="417">
        <v>-6.9322800000000004</v>
      </c>
      <c r="L948" s="417">
        <v>-78.667179000000004</v>
      </c>
      <c r="M948" s="418">
        <v>30</v>
      </c>
      <c r="N948" s="418" t="s">
        <v>2310</v>
      </c>
      <c r="O948" s="418" t="s">
        <v>3407</v>
      </c>
      <c r="P948" s="415">
        <v>4</v>
      </c>
      <c r="Q948" s="415">
        <v>30</v>
      </c>
      <c r="R948" s="415">
        <v>5</v>
      </c>
      <c r="S948" s="415">
        <f t="shared" si="42"/>
        <v>5</v>
      </c>
      <c r="T948" s="419">
        <f t="shared" si="43"/>
        <v>0.83333333333333337</v>
      </c>
      <c r="U948" s="419">
        <f t="shared" si="44"/>
        <v>5.833333333333333</v>
      </c>
      <c r="V948" s="415" t="s">
        <v>662</v>
      </c>
      <c r="W948" s="415" t="s">
        <v>608</v>
      </c>
      <c r="X948" s="415" t="s">
        <v>663</v>
      </c>
      <c r="Y948" s="415"/>
    </row>
    <row r="949" spans="1:25" hidden="1" x14ac:dyDescent="0.25">
      <c r="A949" s="415">
        <v>948</v>
      </c>
      <c r="B949" s="415">
        <v>541</v>
      </c>
      <c r="C949" s="415">
        <v>136824</v>
      </c>
      <c r="D949" s="416" t="s">
        <v>1118</v>
      </c>
      <c r="E949" s="416" t="s">
        <v>462</v>
      </c>
      <c r="F949" s="416" t="s">
        <v>473</v>
      </c>
      <c r="G949" s="416" t="s">
        <v>1119</v>
      </c>
      <c r="H949" s="416" t="s">
        <v>713</v>
      </c>
      <c r="I949" s="416" t="s">
        <v>713</v>
      </c>
      <c r="J949" s="415" t="s">
        <v>661</v>
      </c>
      <c r="K949" s="417">
        <v>-6.9814090000000002</v>
      </c>
      <c r="L949" s="417">
        <v>-78.724800999999999</v>
      </c>
      <c r="M949" s="418">
        <v>30</v>
      </c>
      <c r="N949" s="418" t="s">
        <v>2310</v>
      </c>
      <c r="O949" s="418" t="s">
        <v>3407</v>
      </c>
      <c r="P949" s="415">
        <v>4</v>
      </c>
      <c r="Q949" s="415">
        <v>30</v>
      </c>
      <c r="R949" s="415">
        <v>5</v>
      </c>
      <c r="S949" s="415">
        <f t="shared" si="42"/>
        <v>5</v>
      </c>
      <c r="T949" s="419">
        <f t="shared" si="43"/>
        <v>0.83333333333333337</v>
      </c>
      <c r="U949" s="419">
        <f t="shared" si="44"/>
        <v>5.833333333333333</v>
      </c>
      <c r="V949" s="415" t="s">
        <v>662</v>
      </c>
      <c r="W949" s="415" t="s">
        <v>608</v>
      </c>
      <c r="X949" s="415" t="s">
        <v>663</v>
      </c>
      <c r="Y949" s="415"/>
    </row>
    <row r="950" spans="1:25" hidden="1" x14ac:dyDescent="0.25">
      <c r="A950" s="415">
        <v>949</v>
      </c>
      <c r="B950" s="415">
        <v>542</v>
      </c>
      <c r="C950" s="415">
        <v>801048</v>
      </c>
      <c r="D950" s="416" t="s">
        <v>713</v>
      </c>
      <c r="E950" s="416" t="s">
        <v>462</v>
      </c>
      <c r="F950" s="416" t="s">
        <v>473</v>
      </c>
      <c r="G950" s="416" t="s">
        <v>1119</v>
      </c>
      <c r="H950" s="416" t="s">
        <v>713</v>
      </c>
      <c r="I950" s="416" t="s">
        <v>713</v>
      </c>
      <c r="J950" s="415" t="s">
        <v>661</v>
      </c>
      <c r="K950" s="417">
        <v>-6.97553</v>
      </c>
      <c r="L950" s="417">
        <v>-78.721500000000006</v>
      </c>
      <c r="M950" s="418">
        <v>30</v>
      </c>
      <c r="N950" s="418" t="s">
        <v>2310</v>
      </c>
      <c r="O950" s="418" t="s">
        <v>3407</v>
      </c>
      <c r="P950" s="415">
        <v>4</v>
      </c>
      <c r="Q950" s="415">
        <v>30</v>
      </c>
      <c r="R950" s="415">
        <v>5</v>
      </c>
      <c r="S950" s="415">
        <f t="shared" si="42"/>
        <v>5</v>
      </c>
      <c r="T950" s="419">
        <f t="shared" si="43"/>
        <v>0.83333333333333337</v>
      </c>
      <c r="U950" s="419">
        <f t="shared" si="44"/>
        <v>5.833333333333333</v>
      </c>
      <c r="V950" s="415" t="s">
        <v>662</v>
      </c>
      <c r="W950" s="415" t="s">
        <v>608</v>
      </c>
      <c r="X950" s="415" t="s">
        <v>663</v>
      </c>
      <c r="Y950" s="415"/>
    </row>
    <row r="951" spans="1:25" hidden="1" x14ac:dyDescent="0.25">
      <c r="A951" s="415">
        <v>950</v>
      </c>
      <c r="B951" s="415">
        <v>543</v>
      </c>
      <c r="C951" s="415">
        <v>538492</v>
      </c>
      <c r="D951" s="416" t="s">
        <v>1070</v>
      </c>
      <c r="E951" s="416" t="s">
        <v>462</v>
      </c>
      <c r="F951" s="416" t="s">
        <v>474</v>
      </c>
      <c r="G951" s="416" t="s">
        <v>999</v>
      </c>
      <c r="H951" s="416" t="s">
        <v>999</v>
      </c>
      <c r="I951" s="416" t="s">
        <v>3525</v>
      </c>
      <c r="J951" s="415" t="s">
        <v>661</v>
      </c>
      <c r="K951" s="417">
        <v>-6.6761999999999997</v>
      </c>
      <c r="L951" s="417">
        <v>-79.033450000000002</v>
      </c>
      <c r="M951" s="418">
        <v>30</v>
      </c>
      <c r="N951" s="418" t="s">
        <v>2310</v>
      </c>
      <c r="O951" s="418" t="s">
        <v>3407</v>
      </c>
      <c r="P951" s="415">
        <v>4</v>
      </c>
      <c r="Q951" s="415">
        <v>30</v>
      </c>
      <c r="R951" s="415">
        <v>5</v>
      </c>
      <c r="S951" s="415">
        <f t="shared" si="42"/>
        <v>5</v>
      </c>
      <c r="T951" s="419">
        <f t="shared" si="43"/>
        <v>0.83333333333333337</v>
      </c>
      <c r="U951" s="419">
        <f t="shared" si="44"/>
        <v>5.833333333333333</v>
      </c>
      <c r="V951" s="415" t="s">
        <v>662</v>
      </c>
      <c r="W951" s="415" t="s">
        <v>608</v>
      </c>
      <c r="X951" s="415" t="s">
        <v>663</v>
      </c>
      <c r="Y951" s="415"/>
    </row>
    <row r="952" spans="1:25" hidden="1" x14ac:dyDescent="0.25">
      <c r="A952" s="415">
        <v>951</v>
      </c>
      <c r="B952" s="415">
        <v>544</v>
      </c>
      <c r="C952" s="415">
        <v>538500</v>
      </c>
      <c r="D952" s="416" t="s">
        <v>3526</v>
      </c>
      <c r="E952" s="416" t="s">
        <v>462</v>
      </c>
      <c r="F952" s="416" t="s">
        <v>474</v>
      </c>
      <c r="G952" s="416" t="s">
        <v>999</v>
      </c>
      <c r="H952" s="416" t="s">
        <v>3527</v>
      </c>
      <c r="I952" s="416" t="s">
        <v>1627</v>
      </c>
      <c r="J952" s="415" t="s">
        <v>661</v>
      </c>
      <c r="K952" s="417">
        <v>-6.8140850000000004</v>
      </c>
      <c r="L952" s="417">
        <v>-79.084160999999995</v>
      </c>
      <c r="M952" s="418">
        <v>30</v>
      </c>
      <c r="N952" s="418" t="s">
        <v>2310</v>
      </c>
      <c r="O952" s="418" t="s">
        <v>3407</v>
      </c>
      <c r="P952" s="415">
        <v>4</v>
      </c>
      <c r="Q952" s="415">
        <v>30</v>
      </c>
      <c r="R952" s="415">
        <v>5</v>
      </c>
      <c r="S952" s="415">
        <f t="shared" si="42"/>
        <v>5</v>
      </c>
      <c r="T952" s="419">
        <f t="shared" si="43"/>
        <v>0.83333333333333337</v>
      </c>
      <c r="U952" s="419">
        <f t="shared" si="44"/>
        <v>5.833333333333333</v>
      </c>
      <c r="V952" s="415" t="s">
        <v>662</v>
      </c>
      <c r="W952" s="415" t="s">
        <v>608</v>
      </c>
      <c r="X952" s="415" t="s">
        <v>663</v>
      </c>
      <c r="Y952" s="415"/>
    </row>
    <row r="953" spans="1:25" hidden="1" x14ac:dyDescent="0.25">
      <c r="A953" s="415">
        <v>952</v>
      </c>
      <c r="B953" s="415">
        <v>545</v>
      </c>
      <c r="C953" s="415">
        <v>137847</v>
      </c>
      <c r="D953" s="416" t="s">
        <v>1122</v>
      </c>
      <c r="E953" s="416" t="s">
        <v>462</v>
      </c>
      <c r="F953" s="416" t="s">
        <v>474</v>
      </c>
      <c r="G953" s="416" t="s">
        <v>999</v>
      </c>
      <c r="H953" s="416" t="s">
        <v>1123</v>
      </c>
      <c r="I953" s="416" t="s">
        <v>1124</v>
      </c>
      <c r="J953" s="415" t="s">
        <v>661</v>
      </c>
      <c r="K953" s="417">
        <v>-6.7849000000000004</v>
      </c>
      <c r="L953" s="417">
        <v>-79.058476999999996</v>
      </c>
      <c r="M953" s="418">
        <v>30</v>
      </c>
      <c r="N953" s="418" t="s">
        <v>2310</v>
      </c>
      <c r="O953" s="418" t="s">
        <v>3407</v>
      </c>
      <c r="P953" s="415">
        <v>4</v>
      </c>
      <c r="Q953" s="415">
        <v>30</v>
      </c>
      <c r="R953" s="415">
        <v>5</v>
      </c>
      <c r="S953" s="415">
        <f t="shared" si="42"/>
        <v>5</v>
      </c>
      <c r="T953" s="419">
        <f t="shared" si="43"/>
        <v>0.83333333333333337</v>
      </c>
      <c r="U953" s="419">
        <f t="shared" si="44"/>
        <v>5.833333333333333</v>
      </c>
      <c r="V953" s="415" t="s">
        <v>662</v>
      </c>
      <c r="W953" s="415" t="s">
        <v>608</v>
      </c>
      <c r="X953" s="415" t="s">
        <v>663</v>
      </c>
      <c r="Y953" s="415"/>
    </row>
    <row r="954" spans="1:25" hidden="1" x14ac:dyDescent="0.25">
      <c r="A954" s="415">
        <v>953</v>
      </c>
      <c r="B954" s="415">
        <v>546</v>
      </c>
      <c r="C954" s="415">
        <v>139337</v>
      </c>
      <c r="D954" s="416" t="s">
        <v>1125</v>
      </c>
      <c r="E954" s="416" t="s">
        <v>462</v>
      </c>
      <c r="F954" s="416" t="s">
        <v>474</v>
      </c>
      <c r="G954" s="416" t="s">
        <v>1126</v>
      </c>
      <c r="H954" s="416" t="s">
        <v>1127</v>
      </c>
      <c r="I954" s="416" t="s">
        <v>1127</v>
      </c>
      <c r="J954" s="415" t="s">
        <v>661</v>
      </c>
      <c r="K954" s="417">
        <v>-6.6916640000000003</v>
      </c>
      <c r="L954" s="417">
        <v>-78.858464999999995</v>
      </c>
      <c r="M954" s="418">
        <v>30</v>
      </c>
      <c r="N954" s="418" t="s">
        <v>2310</v>
      </c>
      <c r="O954" s="418" t="s">
        <v>3407</v>
      </c>
      <c r="P954" s="415">
        <v>4</v>
      </c>
      <c r="Q954" s="415">
        <v>30</v>
      </c>
      <c r="R954" s="415">
        <v>5</v>
      </c>
      <c r="S954" s="415">
        <f t="shared" si="42"/>
        <v>5</v>
      </c>
      <c r="T954" s="419">
        <f t="shared" si="43"/>
        <v>0.83333333333333337</v>
      </c>
      <c r="U954" s="419">
        <f t="shared" si="44"/>
        <v>5.833333333333333</v>
      </c>
      <c r="V954" s="415" t="s">
        <v>662</v>
      </c>
      <c r="W954" s="415" t="s">
        <v>608</v>
      </c>
      <c r="X954" s="415" t="s">
        <v>663</v>
      </c>
      <c r="Y954" s="415"/>
    </row>
    <row r="955" spans="1:25" hidden="1" x14ac:dyDescent="0.25">
      <c r="A955" s="415">
        <v>954</v>
      </c>
      <c r="B955" s="415">
        <v>547</v>
      </c>
      <c r="C955" s="415">
        <v>256109</v>
      </c>
      <c r="D955" s="416" t="s">
        <v>3528</v>
      </c>
      <c r="E955" s="416" t="s">
        <v>521</v>
      </c>
      <c r="F955" s="416" t="s">
        <v>523</v>
      </c>
      <c r="G955" s="416" t="s">
        <v>1636</v>
      </c>
      <c r="H955" s="416" t="s">
        <v>3529</v>
      </c>
      <c r="I955" s="416" t="s">
        <v>3529</v>
      </c>
      <c r="J955" s="415" t="s">
        <v>661</v>
      </c>
      <c r="K955" s="417">
        <v>-7.6604999999999999</v>
      </c>
      <c r="L955" s="417">
        <v>-78.952299999999994</v>
      </c>
      <c r="M955" s="418">
        <v>30</v>
      </c>
      <c r="N955" s="418" t="s">
        <v>2310</v>
      </c>
      <c r="O955" s="418" t="s">
        <v>3407</v>
      </c>
      <c r="P955" s="415">
        <v>4</v>
      </c>
      <c r="Q955" s="415">
        <v>30</v>
      </c>
      <c r="R955" s="415">
        <v>5</v>
      </c>
      <c r="S955" s="415">
        <f t="shared" si="42"/>
        <v>5</v>
      </c>
      <c r="T955" s="419">
        <f t="shared" si="43"/>
        <v>0.83333333333333337</v>
      </c>
      <c r="U955" s="419">
        <f t="shared" si="44"/>
        <v>5.833333333333333</v>
      </c>
      <c r="V955" s="415" t="s">
        <v>662</v>
      </c>
      <c r="W955" s="415" t="s">
        <v>616</v>
      </c>
      <c r="X955" s="415" t="s">
        <v>666</v>
      </c>
      <c r="Y955" s="415"/>
    </row>
    <row r="956" spans="1:25" hidden="1" x14ac:dyDescent="0.25">
      <c r="A956" s="415">
        <v>955</v>
      </c>
      <c r="B956" s="415">
        <v>548</v>
      </c>
      <c r="C956" s="415">
        <v>257043</v>
      </c>
      <c r="D956" s="416" t="s">
        <v>3530</v>
      </c>
      <c r="E956" s="416" t="s">
        <v>521</v>
      </c>
      <c r="F956" s="416" t="s">
        <v>523</v>
      </c>
      <c r="G956" s="416" t="s">
        <v>1637</v>
      </c>
      <c r="H956" s="416" t="s">
        <v>3531</v>
      </c>
      <c r="I956" s="416" t="s">
        <v>3532</v>
      </c>
      <c r="J956" s="415" t="s">
        <v>661</v>
      </c>
      <c r="K956" s="417">
        <v>-7.6880600000000001</v>
      </c>
      <c r="L956" s="417">
        <v>-79.318100000000001</v>
      </c>
      <c r="M956" s="418">
        <v>30</v>
      </c>
      <c r="N956" s="418" t="s">
        <v>2310</v>
      </c>
      <c r="O956" s="418" t="s">
        <v>3407</v>
      </c>
      <c r="P956" s="415">
        <v>4</v>
      </c>
      <c r="Q956" s="415">
        <v>30</v>
      </c>
      <c r="R956" s="415">
        <v>5</v>
      </c>
      <c r="S956" s="415">
        <f t="shared" si="42"/>
        <v>5</v>
      </c>
      <c r="T956" s="419">
        <f t="shared" si="43"/>
        <v>0.83333333333333337</v>
      </c>
      <c r="U956" s="419">
        <f t="shared" si="44"/>
        <v>5.833333333333333</v>
      </c>
      <c r="V956" s="415" t="s">
        <v>662</v>
      </c>
      <c r="W956" s="415" t="s">
        <v>608</v>
      </c>
      <c r="X956" s="415" t="s">
        <v>663</v>
      </c>
      <c r="Y956" s="415"/>
    </row>
    <row r="957" spans="1:25" hidden="1" x14ac:dyDescent="0.25">
      <c r="A957" s="415">
        <v>956</v>
      </c>
      <c r="B957" s="415">
        <v>549</v>
      </c>
      <c r="C957" s="415">
        <v>257750</v>
      </c>
      <c r="D957" s="416" t="s">
        <v>3533</v>
      </c>
      <c r="E957" s="416" t="s">
        <v>521</v>
      </c>
      <c r="F957" s="416" t="s">
        <v>524</v>
      </c>
      <c r="G957" s="416" t="s">
        <v>524</v>
      </c>
      <c r="H957" s="416" t="s">
        <v>1638</v>
      </c>
      <c r="I957" s="416" t="s">
        <v>1639</v>
      </c>
      <c r="J957" s="415" t="s">
        <v>661</v>
      </c>
      <c r="K957" s="417">
        <v>-7.1210000000000004</v>
      </c>
      <c r="L957" s="417">
        <v>-77.759900000000002</v>
      </c>
      <c r="M957" s="418">
        <v>30</v>
      </c>
      <c r="N957" s="418" t="s">
        <v>2310</v>
      </c>
      <c r="O957" s="418" t="s">
        <v>3407</v>
      </c>
      <c r="P957" s="415">
        <v>4</v>
      </c>
      <c r="Q957" s="415">
        <v>30</v>
      </c>
      <c r="R957" s="415">
        <v>5</v>
      </c>
      <c r="S957" s="415">
        <f t="shared" si="42"/>
        <v>5</v>
      </c>
      <c r="T957" s="419">
        <f t="shared" si="43"/>
        <v>0.83333333333333337</v>
      </c>
      <c r="U957" s="419">
        <f t="shared" si="44"/>
        <v>5.833333333333333</v>
      </c>
      <c r="V957" s="415" t="s">
        <v>662</v>
      </c>
      <c r="W957" s="415" t="s">
        <v>616</v>
      </c>
      <c r="X957" s="415" t="s">
        <v>666</v>
      </c>
      <c r="Y957" s="415"/>
    </row>
    <row r="958" spans="1:25" hidden="1" x14ac:dyDescent="0.25">
      <c r="A958" s="415">
        <v>957</v>
      </c>
      <c r="B958" s="415">
        <v>550</v>
      </c>
      <c r="C958" s="415">
        <v>258189</v>
      </c>
      <c r="D958" s="416" t="s">
        <v>3534</v>
      </c>
      <c r="E958" s="416" t="s">
        <v>521</v>
      </c>
      <c r="F958" s="416" t="s">
        <v>524</v>
      </c>
      <c r="G958" s="416" t="s">
        <v>1349</v>
      </c>
      <c r="H958" s="416" t="s">
        <v>793</v>
      </c>
      <c r="I958" s="416" t="s">
        <v>793</v>
      </c>
      <c r="J958" s="415" t="s">
        <v>661</v>
      </c>
      <c r="K958" s="417">
        <v>-7.531193</v>
      </c>
      <c r="L958" s="417">
        <v>-77.592416999999998</v>
      </c>
      <c r="M958" s="418">
        <v>30</v>
      </c>
      <c r="N958" s="418" t="s">
        <v>2310</v>
      </c>
      <c r="O958" s="418" t="s">
        <v>3407</v>
      </c>
      <c r="P958" s="415">
        <v>4</v>
      </c>
      <c r="Q958" s="415">
        <v>30</v>
      </c>
      <c r="R958" s="415">
        <v>5</v>
      </c>
      <c r="S958" s="415">
        <f t="shared" si="42"/>
        <v>5</v>
      </c>
      <c r="T958" s="419">
        <f t="shared" si="43"/>
        <v>0.83333333333333337</v>
      </c>
      <c r="U958" s="419">
        <f t="shared" si="44"/>
        <v>5.833333333333333</v>
      </c>
      <c r="V958" s="415" t="s">
        <v>662</v>
      </c>
      <c r="W958" s="415" t="s">
        <v>616</v>
      </c>
      <c r="X958" s="415" t="s">
        <v>666</v>
      </c>
      <c r="Y958" s="415"/>
    </row>
    <row r="959" spans="1:25" hidden="1" x14ac:dyDescent="0.25">
      <c r="A959" s="415">
        <v>958</v>
      </c>
      <c r="B959" s="415">
        <v>551</v>
      </c>
      <c r="C959" s="415">
        <v>258839</v>
      </c>
      <c r="D959" s="416" t="s">
        <v>3535</v>
      </c>
      <c r="E959" s="416" t="s">
        <v>521</v>
      </c>
      <c r="F959" s="416" t="s">
        <v>525</v>
      </c>
      <c r="G959" s="416" t="s">
        <v>525</v>
      </c>
      <c r="H959" s="416" t="s">
        <v>525</v>
      </c>
      <c r="I959" s="416" t="s">
        <v>3536</v>
      </c>
      <c r="J959" s="415" t="s">
        <v>747</v>
      </c>
      <c r="K959" s="417">
        <v>-7.2323000000000004</v>
      </c>
      <c r="L959" s="417">
        <v>-79.427000000000007</v>
      </c>
      <c r="M959" s="418">
        <v>30</v>
      </c>
      <c r="N959" s="418" t="s">
        <v>2310</v>
      </c>
      <c r="O959" s="418" t="s">
        <v>3407</v>
      </c>
      <c r="P959" s="415">
        <v>4</v>
      </c>
      <c r="Q959" s="415">
        <v>30</v>
      </c>
      <c r="R959" s="415">
        <v>5</v>
      </c>
      <c r="S959" s="415">
        <f t="shared" si="42"/>
        <v>5</v>
      </c>
      <c r="T959" s="419">
        <f t="shared" si="43"/>
        <v>0.83333333333333337</v>
      </c>
      <c r="U959" s="419">
        <f t="shared" si="44"/>
        <v>5.833333333333333</v>
      </c>
      <c r="V959" s="415" t="s">
        <v>662</v>
      </c>
      <c r="W959" s="415" t="s">
        <v>608</v>
      </c>
      <c r="X959" s="415" t="s">
        <v>663</v>
      </c>
      <c r="Y959" s="415"/>
    </row>
    <row r="960" spans="1:25" hidden="1" x14ac:dyDescent="0.25">
      <c r="A960" s="415">
        <v>959</v>
      </c>
      <c r="B960" s="415">
        <v>552</v>
      </c>
      <c r="C960" s="415">
        <v>258976</v>
      </c>
      <c r="D960" s="416" t="s">
        <v>3537</v>
      </c>
      <c r="E960" s="416" t="s">
        <v>521</v>
      </c>
      <c r="F960" s="416" t="s">
        <v>525</v>
      </c>
      <c r="G960" s="416" t="s">
        <v>525</v>
      </c>
      <c r="H960" s="416" t="s">
        <v>3538</v>
      </c>
      <c r="I960" s="416" t="s">
        <v>3539</v>
      </c>
      <c r="J960" s="415" t="s">
        <v>661</v>
      </c>
      <c r="K960" s="417">
        <v>-7.1828000000000003</v>
      </c>
      <c r="L960" s="417">
        <v>-79.413700000000006</v>
      </c>
      <c r="M960" s="418">
        <v>30</v>
      </c>
      <c r="N960" s="418" t="s">
        <v>2310</v>
      </c>
      <c r="O960" s="418" t="s">
        <v>3407</v>
      </c>
      <c r="P960" s="415">
        <v>4</v>
      </c>
      <c r="Q960" s="415">
        <v>30</v>
      </c>
      <c r="R960" s="415">
        <v>5</v>
      </c>
      <c r="S960" s="415">
        <f t="shared" si="42"/>
        <v>5</v>
      </c>
      <c r="T960" s="419">
        <f t="shared" si="43"/>
        <v>0.83333333333333337</v>
      </c>
      <c r="U960" s="419">
        <f t="shared" si="44"/>
        <v>5.833333333333333</v>
      </c>
      <c r="V960" s="415" t="s">
        <v>662</v>
      </c>
      <c r="W960" s="415" t="s">
        <v>608</v>
      </c>
      <c r="X960" s="415" t="s">
        <v>663</v>
      </c>
      <c r="Y960" s="415"/>
    </row>
    <row r="961" spans="1:25" hidden="1" x14ac:dyDescent="0.25">
      <c r="A961" s="415">
        <v>960</v>
      </c>
      <c r="B961" s="415">
        <v>553</v>
      </c>
      <c r="C961" s="415">
        <v>258943</v>
      </c>
      <c r="D961" s="416" t="s">
        <v>3540</v>
      </c>
      <c r="E961" s="416" t="s">
        <v>521</v>
      </c>
      <c r="F961" s="416" t="s">
        <v>525</v>
      </c>
      <c r="G961" s="416" t="s">
        <v>525</v>
      </c>
      <c r="H961" s="416" t="s">
        <v>1045</v>
      </c>
      <c r="I961" s="416" t="s">
        <v>3541</v>
      </c>
      <c r="J961" s="415" t="s">
        <v>661</v>
      </c>
      <c r="K961" s="417">
        <v>-7.2908400000000002</v>
      </c>
      <c r="L961" s="417">
        <v>-79.323089999999993</v>
      </c>
      <c r="M961" s="418">
        <v>30</v>
      </c>
      <c r="N961" s="418" t="s">
        <v>2310</v>
      </c>
      <c r="O961" s="418" t="s">
        <v>3407</v>
      </c>
      <c r="P961" s="415">
        <v>4</v>
      </c>
      <c r="Q961" s="415">
        <v>30</v>
      </c>
      <c r="R961" s="415">
        <v>5</v>
      </c>
      <c r="S961" s="415">
        <f t="shared" si="42"/>
        <v>5</v>
      </c>
      <c r="T961" s="419">
        <f t="shared" si="43"/>
        <v>0.83333333333333337</v>
      </c>
      <c r="U961" s="419">
        <f t="shared" si="44"/>
        <v>5.833333333333333</v>
      </c>
      <c r="V961" s="415" t="s">
        <v>662</v>
      </c>
      <c r="W961" s="415" t="s">
        <v>608</v>
      </c>
      <c r="X961" s="415" t="s">
        <v>663</v>
      </c>
      <c r="Y961" s="415"/>
    </row>
    <row r="962" spans="1:25" hidden="1" x14ac:dyDescent="0.25">
      <c r="A962" s="415">
        <v>961</v>
      </c>
      <c r="B962" s="415">
        <v>554</v>
      </c>
      <c r="C962" s="415">
        <v>259061</v>
      </c>
      <c r="D962" s="416" t="s">
        <v>3542</v>
      </c>
      <c r="E962" s="416" t="s">
        <v>521</v>
      </c>
      <c r="F962" s="416" t="s">
        <v>525</v>
      </c>
      <c r="G962" s="416" t="s">
        <v>525</v>
      </c>
      <c r="H962" s="416" t="s">
        <v>3543</v>
      </c>
      <c r="I962" s="416" t="s">
        <v>3544</v>
      </c>
      <c r="J962" s="415" t="s">
        <v>661</v>
      </c>
      <c r="K962" s="417">
        <v>-7.3027100000000003</v>
      </c>
      <c r="L962" s="417">
        <v>-79.397000000000006</v>
      </c>
      <c r="M962" s="418">
        <v>30</v>
      </c>
      <c r="N962" s="418" t="s">
        <v>2310</v>
      </c>
      <c r="O962" s="418" t="s">
        <v>3407</v>
      </c>
      <c r="P962" s="415">
        <v>4</v>
      </c>
      <c r="Q962" s="415">
        <v>30</v>
      </c>
      <c r="R962" s="415">
        <v>5</v>
      </c>
      <c r="S962" s="415">
        <f t="shared" si="42"/>
        <v>5</v>
      </c>
      <c r="T962" s="419">
        <f t="shared" si="43"/>
        <v>0.83333333333333337</v>
      </c>
      <c r="U962" s="419">
        <f t="shared" si="44"/>
        <v>5.833333333333333</v>
      </c>
      <c r="V962" s="415" t="s">
        <v>662</v>
      </c>
      <c r="W962" s="415" t="s">
        <v>608</v>
      </c>
      <c r="X962" s="415" t="s">
        <v>663</v>
      </c>
      <c r="Y962" s="415"/>
    </row>
    <row r="963" spans="1:25" hidden="1" x14ac:dyDescent="0.25">
      <c r="A963" s="415">
        <v>962</v>
      </c>
      <c r="B963" s="415">
        <v>555</v>
      </c>
      <c r="C963" s="415">
        <v>259023</v>
      </c>
      <c r="D963" s="416" t="s">
        <v>3545</v>
      </c>
      <c r="E963" s="416" t="s">
        <v>521</v>
      </c>
      <c r="F963" s="416" t="s">
        <v>525</v>
      </c>
      <c r="G963" s="416" t="s">
        <v>525</v>
      </c>
      <c r="H963" s="416" t="s">
        <v>3546</v>
      </c>
      <c r="I963" s="416" t="s">
        <v>3547</v>
      </c>
      <c r="J963" s="415" t="s">
        <v>661</v>
      </c>
      <c r="K963" s="417">
        <v>-7.1916399999999996</v>
      </c>
      <c r="L963" s="417">
        <v>-79.430599999999998</v>
      </c>
      <c r="M963" s="418">
        <v>30</v>
      </c>
      <c r="N963" s="418" t="s">
        <v>2310</v>
      </c>
      <c r="O963" s="418" t="s">
        <v>3407</v>
      </c>
      <c r="P963" s="415">
        <v>4</v>
      </c>
      <c r="Q963" s="415">
        <v>30</v>
      </c>
      <c r="R963" s="415">
        <v>5</v>
      </c>
      <c r="S963" s="415">
        <f t="shared" ref="S963:S1026" si="45">Q963/$AB$1</f>
        <v>5</v>
      </c>
      <c r="T963" s="419">
        <f t="shared" ref="T963:T1026" si="46">R963/$AB$1</f>
        <v>0.83333333333333337</v>
      </c>
      <c r="U963" s="419">
        <f t="shared" ref="U963:U1026" si="47">S963+T963</f>
        <v>5.833333333333333</v>
      </c>
      <c r="V963" s="415" t="s">
        <v>662</v>
      </c>
      <c r="W963" s="415" t="s">
        <v>608</v>
      </c>
      <c r="X963" s="415" t="s">
        <v>663</v>
      </c>
      <c r="Y963" s="415"/>
    </row>
    <row r="964" spans="1:25" hidden="1" x14ac:dyDescent="0.25">
      <c r="A964" s="415">
        <v>963</v>
      </c>
      <c r="B964" s="415">
        <v>556</v>
      </c>
      <c r="C964" s="415">
        <v>258957</v>
      </c>
      <c r="D964" s="416" t="s">
        <v>3548</v>
      </c>
      <c r="E964" s="416" t="s">
        <v>521</v>
      </c>
      <c r="F964" s="416" t="s">
        <v>525</v>
      </c>
      <c r="G964" s="416" t="s">
        <v>525</v>
      </c>
      <c r="H964" s="416" t="s">
        <v>3549</v>
      </c>
      <c r="I964" s="416" t="s">
        <v>3550</v>
      </c>
      <c r="J964" s="415" t="s">
        <v>661</v>
      </c>
      <c r="K964" s="417">
        <v>-7.2758000000000003</v>
      </c>
      <c r="L964" s="417">
        <v>-79.297799999999995</v>
      </c>
      <c r="M964" s="418">
        <v>30</v>
      </c>
      <c r="N964" s="418" t="s">
        <v>2310</v>
      </c>
      <c r="O964" s="418" t="s">
        <v>3407</v>
      </c>
      <c r="P964" s="415">
        <v>4</v>
      </c>
      <c r="Q964" s="415">
        <v>30</v>
      </c>
      <c r="R964" s="415">
        <v>5</v>
      </c>
      <c r="S964" s="415">
        <f t="shared" si="45"/>
        <v>5</v>
      </c>
      <c r="T964" s="419">
        <f t="shared" si="46"/>
        <v>0.83333333333333337</v>
      </c>
      <c r="U964" s="419">
        <f t="shared" si="47"/>
        <v>5.833333333333333</v>
      </c>
      <c r="V964" s="415" t="s">
        <v>662</v>
      </c>
      <c r="W964" s="415" t="s">
        <v>608</v>
      </c>
      <c r="X964" s="415" t="s">
        <v>663</v>
      </c>
      <c r="Y964" s="415"/>
    </row>
    <row r="965" spans="1:25" hidden="1" x14ac:dyDescent="0.25">
      <c r="A965" s="415">
        <v>964</v>
      </c>
      <c r="B965" s="415">
        <v>557</v>
      </c>
      <c r="C965" s="415">
        <v>663971</v>
      </c>
      <c r="D965" s="416" t="s">
        <v>3551</v>
      </c>
      <c r="E965" s="416" t="s">
        <v>521</v>
      </c>
      <c r="F965" s="416" t="s">
        <v>525</v>
      </c>
      <c r="G965" s="416" t="s">
        <v>1640</v>
      </c>
      <c r="H965" s="416" t="s">
        <v>3551</v>
      </c>
      <c r="I965" s="416" t="s">
        <v>1476</v>
      </c>
      <c r="J965" s="415" t="s">
        <v>661</v>
      </c>
      <c r="K965" s="417">
        <v>-7.1758199999999999</v>
      </c>
      <c r="L965" s="417">
        <v>-79.427289999999999</v>
      </c>
      <c r="M965" s="418">
        <v>30</v>
      </c>
      <c r="N965" s="418" t="s">
        <v>2310</v>
      </c>
      <c r="O965" s="418" t="s">
        <v>3407</v>
      </c>
      <c r="P965" s="415">
        <v>4</v>
      </c>
      <c r="Q965" s="415">
        <v>30</v>
      </c>
      <c r="R965" s="415">
        <v>5</v>
      </c>
      <c r="S965" s="415">
        <f t="shared" si="45"/>
        <v>5</v>
      </c>
      <c r="T965" s="419">
        <f t="shared" si="46"/>
        <v>0.83333333333333337</v>
      </c>
      <c r="U965" s="419">
        <f t="shared" si="47"/>
        <v>5.833333333333333</v>
      </c>
      <c r="V965" s="415" t="s">
        <v>662</v>
      </c>
      <c r="W965" s="415" t="s">
        <v>608</v>
      </c>
      <c r="X965" s="415" t="s">
        <v>663</v>
      </c>
      <c r="Y965" s="415"/>
    </row>
    <row r="966" spans="1:25" hidden="1" x14ac:dyDescent="0.25">
      <c r="A966" s="415">
        <v>965</v>
      </c>
      <c r="B966" s="415">
        <v>558</v>
      </c>
      <c r="C966" s="415">
        <v>259443</v>
      </c>
      <c r="D966" s="416" t="s">
        <v>3552</v>
      </c>
      <c r="E966" s="416" t="s">
        <v>521</v>
      </c>
      <c r="F966" s="416" t="s">
        <v>525</v>
      </c>
      <c r="G966" s="416" t="s">
        <v>1640</v>
      </c>
      <c r="H966" s="416" t="s">
        <v>3553</v>
      </c>
      <c r="I966" s="416" t="s">
        <v>2708</v>
      </c>
      <c r="J966" s="415" t="s">
        <v>661</v>
      </c>
      <c r="K966" s="417">
        <v>-7.1586970000000001</v>
      </c>
      <c r="L966" s="417">
        <v>-79.382317999999998</v>
      </c>
      <c r="M966" s="418">
        <v>30</v>
      </c>
      <c r="N966" s="418" t="s">
        <v>2310</v>
      </c>
      <c r="O966" s="418" t="s">
        <v>3407</v>
      </c>
      <c r="P966" s="415">
        <v>4</v>
      </c>
      <c r="Q966" s="415">
        <v>30</v>
      </c>
      <c r="R966" s="415">
        <v>5</v>
      </c>
      <c r="S966" s="415">
        <f t="shared" si="45"/>
        <v>5</v>
      </c>
      <c r="T966" s="419">
        <f t="shared" si="46"/>
        <v>0.83333333333333337</v>
      </c>
      <c r="U966" s="419">
        <f t="shared" si="47"/>
        <v>5.833333333333333</v>
      </c>
      <c r="V966" s="415" t="s">
        <v>662</v>
      </c>
      <c r="W966" s="415" t="s">
        <v>608</v>
      </c>
      <c r="X966" s="415" t="s">
        <v>663</v>
      </c>
      <c r="Y966" s="415"/>
    </row>
    <row r="967" spans="1:25" hidden="1" x14ac:dyDescent="0.25">
      <c r="A967" s="415">
        <v>966</v>
      </c>
      <c r="B967" s="415">
        <v>559</v>
      </c>
      <c r="C967" s="415">
        <v>615999</v>
      </c>
      <c r="D967" s="416" t="s">
        <v>3554</v>
      </c>
      <c r="E967" s="416" t="s">
        <v>521</v>
      </c>
      <c r="F967" s="416" t="s">
        <v>525</v>
      </c>
      <c r="G967" s="416" t="s">
        <v>1640</v>
      </c>
      <c r="H967" s="416" t="s">
        <v>1597</v>
      </c>
      <c r="I967" s="416" t="s">
        <v>3555</v>
      </c>
      <c r="J967" s="415" t="s">
        <v>661</v>
      </c>
      <c r="K967" s="417">
        <v>-7.1113999999999997</v>
      </c>
      <c r="L967" s="417">
        <v>-79.472200000000001</v>
      </c>
      <c r="M967" s="418">
        <v>30</v>
      </c>
      <c r="N967" s="418" t="s">
        <v>2310</v>
      </c>
      <c r="O967" s="418" t="s">
        <v>3407</v>
      </c>
      <c r="P967" s="415">
        <v>4</v>
      </c>
      <c r="Q967" s="415">
        <v>30</v>
      </c>
      <c r="R967" s="415">
        <v>5</v>
      </c>
      <c r="S967" s="415">
        <f t="shared" si="45"/>
        <v>5</v>
      </c>
      <c r="T967" s="419">
        <f t="shared" si="46"/>
        <v>0.83333333333333337</v>
      </c>
      <c r="U967" s="419">
        <f t="shared" si="47"/>
        <v>5.833333333333333</v>
      </c>
      <c r="V967" s="415" t="s">
        <v>662</v>
      </c>
      <c r="W967" s="415" t="s">
        <v>608</v>
      </c>
      <c r="X967" s="415" t="s">
        <v>663</v>
      </c>
      <c r="Y967" s="415"/>
    </row>
    <row r="968" spans="1:25" hidden="1" x14ac:dyDescent="0.25">
      <c r="A968" s="415">
        <v>967</v>
      </c>
      <c r="B968" s="415">
        <v>560</v>
      </c>
      <c r="C968" s="415">
        <v>259730</v>
      </c>
      <c r="D968" s="416" t="s">
        <v>3556</v>
      </c>
      <c r="E968" s="416" t="s">
        <v>521</v>
      </c>
      <c r="F968" s="416" t="s">
        <v>525</v>
      </c>
      <c r="G968" s="416" t="s">
        <v>1447</v>
      </c>
      <c r="H968" s="416" t="s">
        <v>3557</v>
      </c>
      <c r="I968" s="416" t="s">
        <v>3558</v>
      </c>
      <c r="J968" s="415" t="s">
        <v>661</v>
      </c>
      <c r="K968" s="417">
        <v>-7.1924900000000003</v>
      </c>
      <c r="L968" s="417">
        <v>-79.532780000000002</v>
      </c>
      <c r="M968" s="418">
        <v>30</v>
      </c>
      <c r="N968" s="418" t="s">
        <v>2310</v>
      </c>
      <c r="O968" s="418" t="s">
        <v>3407</v>
      </c>
      <c r="P968" s="415">
        <v>4</v>
      </c>
      <c r="Q968" s="415">
        <v>30</v>
      </c>
      <c r="R968" s="415">
        <v>5</v>
      </c>
      <c r="S968" s="415">
        <f t="shared" si="45"/>
        <v>5</v>
      </c>
      <c r="T968" s="419">
        <f t="shared" si="46"/>
        <v>0.83333333333333337</v>
      </c>
      <c r="U968" s="419">
        <f t="shared" si="47"/>
        <v>5.833333333333333</v>
      </c>
      <c r="V968" s="415" t="s">
        <v>662</v>
      </c>
      <c r="W968" s="415" t="s">
        <v>608</v>
      </c>
      <c r="X968" s="415" t="s">
        <v>663</v>
      </c>
      <c r="Y968" s="415"/>
    </row>
    <row r="969" spans="1:25" hidden="1" x14ac:dyDescent="0.25">
      <c r="A969" s="415">
        <v>968</v>
      </c>
      <c r="B969" s="415">
        <v>561</v>
      </c>
      <c r="C969" s="415">
        <v>259693</v>
      </c>
      <c r="D969" s="416" t="s">
        <v>3559</v>
      </c>
      <c r="E969" s="416" t="s">
        <v>521</v>
      </c>
      <c r="F969" s="416" t="s">
        <v>525</v>
      </c>
      <c r="G969" s="416" t="s">
        <v>1447</v>
      </c>
      <c r="H969" s="416" t="s">
        <v>2188</v>
      </c>
      <c r="I969" s="416" t="s">
        <v>2188</v>
      </c>
      <c r="J969" s="415" t="s">
        <v>661</v>
      </c>
      <c r="K969" s="417">
        <v>-7.2034399999999996</v>
      </c>
      <c r="L969" s="417">
        <v>-79.517390000000006</v>
      </c>
      <c r="M969" s="418">
        <v>30</v>
      </c>
      <c r="N969" s="418" t="s">
        <v>2310</v>
      </c>
      <c r="O969" s="418" t="s">
        <v>3407</v>
      </c>
      <c r="P969" s="415">
        <v>4</v>
      </c>
      <c r="Q969" s="415">
        <v>30</v>
      </c>
      <c r="R969" s="415">
        <v>5</v>
      </c>
      <c r="S969" s="415">
        <f t="shared" si="45"/>
        <v>5</v>
      </c>
      <c r="T969" s="419">
        <f t="shared" si="46"/>
        <v>0.83333333333333337</v>
      </c>
      <c r="U969" s="419">
        <f t="shared" si="47"/>
        <v>5.833333333333333</v>
      </c>
      <c r="V969" s="415" t="s">
        <v>662</v>
      </c>
      <c r="W969" s="415" t="s">
        <v>608</v>
      </c>
      <c r="X969" s="415" t="s">
        <v>663</v>
      </c>
      <c r="Y969" s="415"/>
    </row>
    <row r="970" spans="1:25" hidden="1" x14ac:dyDescent="0.25">
      <c r="A970" s="415">
        <v>969</v>
      </c>
      <c r="B970" s="415">
        <v>562</v>
      </c>
      <c r="C970" s="415">
        <v>663966</v>
      </c>
      <c r="D970" s="416" t="s">
        <v>3560</v>
      </c>
      <c r="E970" s="416" t="s">
        <v>521</v>
      </c>
      <c r="F970" s="416" t="s">
        <v>525</v>
      </c>
      <c r="G970" s="416" t="s">
        <v>1447</v>
      </c>
      <c r="H970" s="416" t="s">
        <v>3560</v>
      </c>
      <c r="I970" s="416" t="s">
        <v>3561</v>
      </c>
      <c r="J970" s="415" t="s">
        <v>661</v>
      </c>
      <c r="K970" s="417">
        <v>-7.2528699999999997</v>
      </c>
      <c r="L970" s="417">
        <v>-79.498902999999999</v>
      </c>
      <c r="M970" s="418">
        <v>30</v>
      </c>
      <c r="N970" s="418" t="s">
        <v>2310</v>
      </c>
      <c r="O970" s="418" t="s">
        <v>3407</v>
      </c>
      <c r="P970" s="415">
        <v>4</v>
      </c>
      <c r="Q970" s="415">
        <v>30</v>
      </c>
      <c r="R970" s="415">
        <v>5</v>
      </c>
      <c r="S970" s="415">
        <f t="shared" si="45"/>
        <v>5</v>
      </c>
      <c r="T970" s="419">
        <f t="shared" si="46"/>
        <v>0.83333333333333337</v>
      </c>
      <c r="U970" s="419">
        <f t="shared" si="47"/>
        <v>5.833333333333333</v>
      </c>
      <c r="V970" s="415" t="s">
        <v>662</v>
      </c>
      <c r="W970" s="415" t="s">
        <v>608</v>
      </c>
      <c r="X970" s="415" t="s">
        <v>663</v>
      </c>
      <c r="Y970" s="415"/>
    </row>
    <row r="971" spans="1:25" hidden="1" x14ac:dyDescent="0.25">
      <c r="A971" s="415">
        <v>970</v>
      </c>
      <c r="B971" s="415">
        <v>563</v>
      </c>
      <c r="C971" s="415">
        <v>260639</v>
      </c>
      <c r="D971" s="416" t="s">
        <v>3562</v>
      </c>
      <c r="E971" s="416" t="s">
        <v>521</v>
      </c>
      <c r="F971" s="416" t="s">
        <v>526</v>
      </c>
      <c r="G971" s="416" t="s">
        <v>1641</v>
      </c>
      <c r="H971" s="416" t="s">
        <v>3563</v>
      </c>
      <c r="I971" s="416" t="s">
        <v>3564</v>
      </c>
      <c r="J971" s="415" t="s">
        <v>661</v>
      </c>
      <c r="K971" s="417">
        <v>-8.1177050000000008</v>
      </c>
      <c r="L971" s="417">
        <v>-78.635339000000002</v>
      </c>
      <c r="M971" s="418">
        <v>30</v>
      </c>
      <c r="N971" s="418" t="s">
        <v>2310</v>
      </c>
      <c r="O971" s="418" t="s">
        <v>3407</v>
      </c>
      <c r="P971" s="415">
        <v>4</v>
      </c>
      <c r="Q971" s="415">
        <v>30</v>
      </c>
      <c r="R971" s="415">
        <v>5</v>
      </c>
      <c r="S971" s="415">
        <f t="shared" si="45"/>
        <v>5</v>
      </c>
      <c r="T971" s="419">
        <f t="shared" si="46"/>
        <v>0.83333333333333337</v>
      </c>
      <c r="U971" s="419">
        <f t="shared" si="47"/>
        <v>5.833333333333333</v>
      </c>
      <c r="V971" s="415" t="s">
        <v>662</v>
      </c>
      <c r="W971" s="415" t="s">
        <v>616</v>
      </c>
      <c r="X971" s="415" t="s">
        <v>666</v>
      </c>
      <c r="Y971" s="415"/>
    </row>
    <row r="972" spans="1:25" hidden="1" x14ac:dyDescent="0.25">
      <c r="A972" s="415">
        <v>971</v>
      </c>
      <c r="B972" s="415">
        <v>564</v>
      </c>
      <c r="C972" s="415">
        <v>262134</v>
      </c>
      <c r="D972" s="416" t="s">
        <v>3565</v>
      </c>
      <c r="E972" s="416" t="s">
        <v>521</v>
      </c>
      <c r="F972" s="416" t="s">
        <v>527</v>
      </c>
      <c r="G972" s="416" t="s">
        <v>1645</v>
      </c>
      <c r="H972" s="416" t="s">
        <v>3566</v>
      </c>
      <c r="I972" s="416" t="s">
        <v>3567</v>
      </c>
      <c r="J972" s="415" t="s">
        <v>661</v>
      </c>
      <c r="K972" s="417">
        <v>-7.9307999999999996</v>
      </c>
      <c r="L972" s="417">
        <v>-78.502700000000004</v>
      </c>
      <c r="M972" s="418">
        <v>30</v>
      </c>
      <c r="N972" s="418" t="s">
        <v>2310</v>
      </c>
      <c r="O972" s="418" t="s">
        <v>3407</v>
      </c>
      <c r="P972" s="415">
        <v>4</v>
      </c>
      <c r="Q972" s="415">
        <v>30</v>
      </c>
      <c r="R972" s="415">
        <v>5</v>
      </c>
      <c r="S972" s="415">
        <f t="shared" si="45"/>
        <v>5</v>
      </c>
      <c r="T972" s="419">
        <f t="shared" si="46"/>
        <v>0.83333333333333337</v>
      </c>
      <c r="U972" s="419">
        <f t="shared" si="47"/>
        <v>5.833333333333333</v>
      </c>
      <c r="V972" s="415" t="s">
        <v>662</v>
      </c>
      <c r="W972" s="415" t="s">
        <v>616</v>
      </c>
      <c r="X972" s="415" t="s">
        <v>666</v>
      </c>
      <c r="Y972" s="415"/>
    </row>
    <row r="973" spans="1:25" hidden="1" x14ac:dyDescent="0.25">
      <c r="A973" s="415">
        <v>972</v>
      </c>
      <c r="B973" s="415">
        <v>565</v>
      </c>
      <c r="C973" s="415">
        <v>262761</v>
      </c>
      <c r="D973" s="416" t="s">
        <v>1647</v>
      </c>
      <c r="E973" s="416" t="s">
        <v>521</v>
      </c>
      <c r="F973" s="416" t="s">
        <v>527</v>
      </c>
      <c r="G973" s="416" t="s">
        <v>1648</v>
      </c>
      <c r="H973" s="416" t="s">
        <v>1648</v>
      </c>
      <c r="I973" s="416" t="s">
        <v>1649</v>
      </c>
      <c r="J973" s="415" t="s">
        <v>661</v>
      </c>
      <c r="K973" s="417">
        <v>-8.0318780000000007</v>
      </c>
      <c r="L973" s="417">
        <v>-78.536181999999997</v>
      </c>
      <c r="M973" s="418">
        <v>30</v>
      </c>
      <c r="N973" s="418" t="s">
        <v>2310</v>
      </c>
      <c r="O973" s="418" t="s">
        <v>3407</v>
      </c>
      <c r="P973" s="415">
        <v>4</v>
      </c>
      <c r="Q973" s="415">
        <v>30</v>
      </c>
      <c r="R973" s="415">
        <v>5</v>
      </c>
      <c r="S973" s="415">
        <f t="shared" si="45"/>
        <v>5</v>
      </c>
      <c r="T973" s="419">
        <f t="shared" si="46"/>
        <v>0.83333333333333337</v>
      </c>
      <c r="U973" s="419">
        <f t="shared" si="47"/>
        <v>5.833333333333333</v>
      </c>
      <c r="V973" s="415" t="s">
        <v>662</v>
      </c>
      <c r="W973" s="415" t="s">
        <v>616</v>
      </c>
      <c r="X973" s="415" t="s">
        <v>666</v>
      </c>
      <c r="Y973" s="415"/>
    </row>
    <row r="974" spans="1:25" hidden="1" x14ac:dyDescent="0.25">
      <c r="A974" s="415">
        <v>973</v>
      </c>
      <c r="B974" s="415">
        <v>566</v>
      </c>
      <c r="C974" s="415">
        <v>261257</v>
      </c>
      <c r="D974" s="416" t="s">
        <v>1642</v>
      </c>
      <c r="E974" s="416" t="s">
        <v>521</v>
      </c>
      <c r="F974" s="416" t="s">
        <v>527</v>
      </c>
      <c r="G974" s="416" t="s">
        <v>527</v>
      </c>
      <c r="H974" s="416" t="s">
        <v>1643</v>
      </c>
      <c r="I974" s="416" t="s">
        <v>1644</v>
      </c>
      <c r="J974" s="415" t="s">
        <v>661</v>
      </c>
      <c r="K974" s="417">
        <v>-7.9293420000000001</v>
      </c>
      <c r="L974" s="417">
        <v>-78.528319999999994</v>
      </c>
      <c r="M974" s="418">
        <v>30</v>
      </c>
      <c r="N974" s="418" t="s">
        <v>2310</v>
      </c>
      <c r="O974" s="418" t="s">
        <v>3407</v>
      </c>
      <c r="P974" s="415">
        <v>4</v>
      </c>
      <c r="Q974" s="415">
        <v>30</v>
      </c>
      <c r="R974" s="415">
        <v>5</v>
      </c>
      <c r="S974" s="415">
        <f t="shared" si="45"/>
        <v>5</v>
      </c>
      <c r="T974" s="419">
        <f t="shared" si="46"/>
        <v>0.83333333333333337</v>
      </c>
      <c r="U974" s="419">
        <f t="shared" si="47"/>
        <v>5.833333333333333</v>
      </c>
      <c r="V974" s="415" t="s">
        <v>662</v>
      </c>
      <c r="W974" s="415" t="s">
        <v>616</v>
      </c>
      <c r="X974" s="415" t="s">
        <v>666</v>
      </c>
      <c r="Y974" s="415"/>
    </row>
    <row r="975" spans="1:25" hidden="1" x14ac:dyDescent="0.25">
      <c r="A975" s="415">
        <v>974</v>
      </c>
      <c r="B975" s="415">
        <v>567</v>
      </c>
      <c r="C975" s="415">
        <v>261064</v>
      </c>
      <c r="D975" s="416" t="s">
        <v>3568</v>
      </c>
      <c r="E975" s="416" t="s">
        <v>521</v>
      </c>
      <c r="F975" s="416" t="s">
        <v>527</v>
      </c>
      <c r="G975" s="416" t="s">
        <v>527</v>
      </c>
      <c r="H975" s="416" t="s">
        <v>3569</v>
      </c>
      <c r="I975" s="416" t="s">
        <v>3570</v>
      </c>
      <c r="J975" s="415" t="s">
        <v>661</v>
      </c>
      <c r="K975" s="417">
        <v>-7.9914199999999997</v>
      </c>
      <c r="L975" s="417">
        <v>-78.681683000000007</v>
      </c>
      <c r="M975" s="418">
        <v>30</v>
      </c>
      <c r="N975" s="418" t="s">
        <v>2310</v>
      </c>
      <c r="O975" s="418" t="s">
        <v>3407</v>
      </c>
      <c r="P975" s="415">
        <v>4</v>
      </c>
      <c r="Q975" s="415">
        <v>30</v>
      </c>
      <c r="R975" s="415">
        <v>5</v>
      </c>
      <c r="S975" s="415">
        <f t="shared" si="45"/>
        <v>5</v>
      </c>
      <c r="T975" s="419">
        <f t="shared" si="46"/>
        <v>0.83333333333333337</v>
      </c>
      <c r="U975" s="419">
        <f t="shared" si="47"/>
        <v>5.833333333333333</v>
      </c>
      <c r="V975" s="415" t="s">
        <v>662</v>
      </c>
      <c r="W975" s="415" t="s">
        <v>616</v>
      </c>
      <c r="X975" s="415" t="s">
        <v>666</v>
      </c>
      <c r="Y975" s="415"/>
    </row>
    <row r="976" spans="1:25" hidden="1" x14ac:dyDescent="0.25">
      <c r="A976" s="415">
        <v>975</v>
      </c>
      <c r="B976" s="415">
        <v>568</v>
      </c>
      <c r="C976" s="415">
        <v>263082</v>
      </c>
      <c r="D976" s="416" t="s">
        <v>3571</v>
      </c>
      <c r="E976" s="416" t="s">
        <v>521</v>
      </c>
      <c r="F976" s="416" t="s">
        <v>527</v>
      </c>
      <c r="G976" s="416" t="s">
        <v>1650</v>
      </c>
      <c r="H976" s="416" t="s">
        <v>3572</v>
      </c>
      <c r="I976" s="416" t="s">
        <v>3573</v>
      </c>
      <c r="J976" s="415" t="s">
        <v>661</v>
      </c>
      <c r="K976" s="417">
        <v>-8.0125200000000003</v>
      </c>
      <c r="L976" s="417">
        <v>-78.608655999999996</v>
      </c>
      <c r="M976" s="418">
        <v>30</v>
      </c>
      <c r="N976" s="418" t="s">
        <v>2310</v>
      </c>
      <c r="O976" s="418" t="s">
        <v>3407</v>
      </c>
      <c r="P976" s="415">
        <v>4</v>
      </c>
      <c r="Q976" s="415">
        <v>30</v>
      </c>
      <c r="R976" s="415">
        <v>5</v>
      </c>
      <c r="S976" s="415">
        <f t="shared" si="45"/>
        <v>5</v>
      </c>
      <c r="T976" s="419">
        <f t="shared" si="46"/>
        <v>0.83333333333333337</v>
      </c>
      <c r="U976" s="419">
        <f t="shared" si="47"/>
        <v>5.833333333333333</v>
      </c>
      <c r="V976" s="415" t="s">
        <v>662</v>
      </c>
      <c r="W976" s="415" t="s">
        <v>616</v>
      </c>
      <c r="X976" s="415" t="s">
        <v>666</v>
      </c>
      <c r="Y976" s="415"/>
    </row>
    <row r="977" spans="1:25" hidden="1" x14ac:dyDescent="0.25">
      <c r="A977" s="415">
        <v>976</v>
      </c>
      <c r="B977" s="415">
        <v>569</v>
      </c>
      <c r="C977" s="415">
        <v>263510</v>
      </c>
      <c r="D977" s="416" t="s">
        <v>1659</v>
      </c>
      <c r="E977" s="416" t="s">
        <v>521</v>
      </c>
      <c r="F977" s="416" t="s">
        <v>527</v>
      </c>
      <c r="G977" s="416" t="s">
        <v>1651</v>
      </c>
      <c r="H977" s="416" t="s">
        <v>1660</v>
      </c>
      <c r="I977" s="416" t="s">
        <v>1660</v>
      </c>
      <c r="J977" s="415" t="s">
        <v>661</v>
      </c>
      <c r="K977" s="417">
        <v>-7.8038999999999996</v>
      </c>
      <c r="L977" s="417">
        <v>-78.714699999999993</v>
      </c>
      <c r="M977" s="418">
        <v>30</v>
      </c>
      <c r="N977" s="418" t="s">
        <v>2310</v>
      </c>
      <c r="O977" s="418" t="s">
        <v>3407</v>
      </c>
      <c r="P977" s="415">
        <v>4</v>
      </c>
      <c r="Q977" s="415">
        <v>30</v>
      </c>
      <c r="R977" s="415">
        <v>5</v>
      </c>
      <c r="S977" s="415">
        <f t="shared" si="45"/>
        <v>5</v>
      </c>
      <c r="T977" s="419">
        <f t="shared" si="46"/>
        <v>0.83333333333333337</v>
      </c>
      <c r="U977" s="419">
        <f t="shared" si="47"/>
        <v>5.833333333333333</v>
      </c>
      <c r="V977" s="415" t="s">
        <v>662</v>
      </c>
      <c r="W977" s="415" t="s">
        <v>616</v>
      </c>
      <c r="X977" s="415" t="s">
        <v>666</v>
      </c>
      <c r="Y977" s="415"/>
    </row>
    <row r="978" spans="1:25" hidden="1" x14ac:dyDescent="0.25">
      <c r="A978" s="415">
        <v>977</v>
      </c>
      <c r="B978" s="415">
        <v>570</v>
      </c>
      <c r="C978" s="415">
        <v>263464</v>
      </c>
      <c r="D978" s="416" t="s">
        <v>1656</v>
      </c>
      <c r="E978" s="416" t="s">
        <v>521</v>
      </c>
      <c r="F978" s="416" t="s">
        <v>527</v>
      </c>
      <c r="G978" s="416" t="s">
        <v>1651</v>
      </c>
      <c r="H978" s="416" t="s">
        <v>1657</v>
      </c>
      <c r="I978" s="416" t="s">
        <v>1658</v>
      </c>
      <c r="J978" s="415" t="s">
        <v>661</v>
      </c>
      <c r="K978" s="417">
        <v>-7.8232999999999997</v>
      </c>
      <c r="L978" s="417">
        <v>-78.707999999999998</v>
      </c>
      <c r="M978" s="418">
        <v>30</v>
      </c>
      <c r="N978" s="418" t="s">
        <v>2310</v>
      </c>
      <c r="O978" s="418" t="s">
        <v>3407</v>
      </c>
      <c r="P978" s="415">
        <v>4</v>
      </c>
      <c r="Q978" s="415">
        <v>30</v>
      </c>
      <c r="R978" s="415">
        <v>5</v>
      </c>
      <c r="S978" s="415">
        <f t="shared" si="45"/>
        <v>5</v>
      </c>
      <c r="T978" s="419">
        <f t="shared" si="46"/>
        <v>0.83333333333333337</v>
      </c>
      <c r="U978" s="419">
        <f t="shared" si="47"/>
        <v>5.833333333333333</v>
      </c>
      <c r="V978" s="415" t="s">
        <v>662</v>
      </c>
      <c r="W978" s="415" t="s">
        <v>616</v>
      </c>
      <c r="X978" s="415" t="s">
        <v>666</v>
      </c>
      <c r="Y978" s="415"/>
    </row>
    <row r="979" spans="1:25" hidden="1" x14ac:dyDescent="0.25">
      <c r="A979" s="415">
        <v>978</v>
      </c>
      <c r="B979" s="415">
        <v>571</v>
      </c>
      <c r="C979" s="415">
        <v>263459</v>
      </c>
      <c r="D979" s="416" t="s">
        <v>1654</v>
      </c>
      <c r="E979" s="416" t="s">
        <v>521</v>
      </c>
      <c r="F979" s="416" t="s">
        <v>527</v>
      </c>
      <c r="G979" s="416" t="s">
        <v>1651</v>
      </c>
      <c r="H979" s="416" t="s">
        <v>1655</v>
      </c>
      <c r="I979" s="416" t="s">
        <v>1655</v>
      </c>
      <c r="J979" s="415" t="s">
        <v>661</v>
      </c>
      <c r="K979" s="417">
        <v>-7.8116000000000003</v>
      </c>
      <c r="L979" s="417">
        <v>-78.728399999999993</v>
      </c>
      <c r="M979" s="418">
        <v>30</v>
      </c>
      <c r="N979" s="418" t="s">
        <v>2310</v>
      </c>
      <c r="O979" s="418" t="s">
        <v>3407</v>
      </c>
      <c r="P979" s="415">
        <v>4</v>
      </c>
      <c r="Q979" s="415">
        <v>30</v>
      </c>
      <c r="R979" s="415">
        <v>5</v>
      </c>
      <c r="S979" s="415">
        <f t="shared" si="45"/>
        <v>5</v>
      </c>
      <c r="T979" s="419">
        <f t="shared" si="46"/>
        <v>0.83333333333333337</v>
      </c>
      <c r="U979" s="419">
        <f t="shared" si="47"/>
        <v>5.833333333333333</v>
      </c>
      <c r="V979" s="415" t="s">
        <v>662</v>
      </c>
      <c r="W979" s="415" t="s">
        <v>616</v>
      </c>
      <c r="X979" s="415" t="s">
        <v>666</v>
      </c>
      <c r="Y979" s="415"/>
    </row>
    <row r="980" spans="1:25" hidden="1" x14ac:dyDescent="0.25">
      <c r="A980" s="415">
        <v>979</v>
      </c>
      <c r="B980" s="415">
        <v>572</v>
      </c>
      <c r="C980" s="415">
        <v>263402</v>
      </c>
      <c r="D980" s="416" t="s">
        <v>1652</v>
      </c>
      <c r="E980" s="416" t="s">
        <v>521</v>
      </c>
      <c r="F980" s="416" t="s">
        <v>527</v>
      </c>
      <c r="G980" s="416" t="s">
        <v>1651</v>
      </c>
      <c r="H980" s="416" t="s">
        <v>1651</v>
      </c>
      <c r="I980" s="416" t="s">
        <v>1653</v>
      </c>
      <c r="J980" s="415" t="s">
        <v>661</v>
      </c>
      <c r="K980" s="417">
        <v>-7.8514999999999997</v>
      </c>
      <c r="L980" s="417">
        <v>-78.754900000000006</v>
      </c>
      <c r="M980" s="418">
        <v>30</v>
      </c>
      <c r="N980" s="418" t="s">
        <v>2310</v>
      </c>
      <c r="O980" s="418" t="s">
        <v>3407</v>
      </c>
      <c r="P980" s="415">
        <v>4</v>
      </c>
      <c r="Q980" s="415">
        <v>30</v>
      </c>
      <c r="R980" s="415">
        <v>5</v>
      </c>
      <c r="S980" s="415">
        <f t="shared" si="45"/>
        <v>5</v>
      </c>
      <c r="T980" s="419">
        <f t="shared" si="46"/>
        <v>0.83333333333333337</v>
      </c>
      <c r="U980" s="419">
        <f t="shared" si="47"/>
        <v>5.833333333333333</v>
      </c>
      <c r="V980" s="415" t="s">
        <v>662</v>
      </c>
      <c r="W980" s="415" t="s">
        <v>616</v>
      </c>
      <c r="X980" s="415" t="s">
        <v>666</v>
      </c>
      <c r="Y980" s="415"/>
    </row>
    <row r="981" spans="1:25" hidden="1" x14ac:dyDescent="0.25">
      <c r="A981" s="415">
        <v>980</v>
      </c>
      <c r="B981" s="415">
        <v>573</v>
      </c>
      <c r="C981" s="415">
        <v>659040</v>
      </c>
      <c r="D981" s="416" t="s">
        <v>2258</v>
      </c>
      <c r="E981" s="416" t="s">
        <v>521</v>
      </c>
      <c r="F981" s="416" t="s">
        <v>527</v>
      </c>
      <c r="G981" s="416" t="s">
        <v>1651</v>
      </c>
      <c r="H981" s="416" t="s">
        <v>1651</v>
      </c>
      <c r="I981" s="416" t="s">
        <v>2259</v>
      </c>
      <c r="J981" s="415" t="s">
        <v>661</v>
      </c>
      <c r="K981" s="417">
        <v>-7.8552400000000002</v>
      </c>
      <c r="L981" s="417">
        <v>-78.724220000000003</v>
      </c>
      <c r="M981" s="418">
        <v>30</v>
      </c>
      <c r="N981" s="418" t="s">
        <v>2310</v>
      </c>
      <c r="O981" s="418" t="s">
        <v>3407</v>
      </c>
      <c r="P981" s="415">
        <v>4</v>
      </c>
      <c r="Q981" s="415">
        <v>30</v>
      </c>
      <c r="R981" s="415">
        <v>5</v>
      </c>
      <c r="S981" s="415">
        <f t="shared" si="45"/>
        <v>5</v>
      </c>
      <c r="T981" s="419">
        <f t="shared" si="46"/>
        <v>0.83333333333333337</v>
      </c>
      <c r="U981" s="419">
        <f t="shared" si="47"/>
        <v>5.833333333333333</v>
      </c>
      <c r="V981" s="415" t="s">
        <v>662</v>
      </c>
      <c r="W981" s="415" t="s">
        <v>616</v>
      </c>
      <c r="X981" s="415" t="s">
        <v>666</v>
      </c>
      <c r="Y981" s="415"/>
    </row>
    <row r="982" spans="1:25" hidden="1" x14ac:dyDescent="0.25">
      <c r="A982" s="415">
        <v>981</v>
      </c>
      <c r="B982" s="415">
        <v>574</v>
      </c>
      <c r="C982" s="415">
        <v>264312</v>
      </c>
      <c r="D982" s="416" t="s">
        <v>1675</v>
      </c>
      <c r="E982" s="416" t="s">
        <v>521</v>
      </c>
      <c r="F982" s="416" t="s">
        <v>527</v>
      </c>
      <c r="G982" s="416" t="s">
        <v>1662</v>
      </c>
      <c r="H982" s="416" t="s">
        <v>1676</v>
      </c>
      <c r="I982" s="416" t="s">
        <v>1677</v>
      </c>
      <c r="J982" s="415" t="s">
        <v>661</v>
      </c>
      <c r="K982" s="417">
        <v>-7.8783599999999998</v>
      </c>
      <c r="L982" s="417">
        <v>-78.400694000000001</v>
      </c>
      <c r="M982" s="418">
        <v>30</v>
      </c>
      <c r="N982" s="418" t="s">
        <v>2310</v>
      </c>
      <c r="O982" s="418" t="s">
        <v>3407</v>
      </c>
      <c r="P982" s="415">
        <v>4</v>
      </c>
      <c r="Q982" s="415">
        <v>30</v>
      </c>
      <c r="R982" s="415">
        <v>5</v>
      </c>
      <c r="S982" s="415">
        <f t="shared" si="45"/>
        <v>5</v>
      </c>
      <c r="T982" s="419">
        <f t="shared" si="46"/>
        <v>0.83333333333333337</v>
      </c>
      <c r="U982" s="419">
        <f t="shared" si="47"/>
        <v>5.833333333333333</v>
      </c>
      <c r="V982" s="415" t="s">
        <v>662</v>
      </c>
      <c r="W982" s="415" t="s">
        <v>616</v>
      </c>
      <c r="X982" s="415" t="s">
        <v>666</v>
      </c>
      <c r="Y982" s="415"/>
    </row>
    <row r="983" spans="1:25" hidden="1" x14ac:dyDescent="0.25">
      <c r="A983" s="415">
        <v>982</v>
      </c>
      <c r="B983" s="415">
        <v>575</v>
      </c>
      <c r="C983" s="415">
        <v>665357</v>
      </c>
      <c r="D983" s="416" t="s">
        <v>2260</v>
      </c>
      <c r="E983" s="416" t="s">
        <v>521</v>
      </c>
      <c r="F983" s="416" t="s">
        <v>527</v>
      </c>
      <c r="G983" s="416" t="s">
        <v>1662</v>
      </c>
      <c r="H983" s="416" t="s">
        <v>997</v>
      </c>
      <c r="I983" s="416" t="s">
        <v>2261</v>
      </c>
      <c r="J983" s="415" t="s">
        <v>661</v>
      </c>
      <c r="K983" s="417">
        <v>-7.8611899999999997</v>
      </c>
      <c r="L983" s="417">
        <v>-78.437468999999993</v>
      </c>
      <c r="M983" s="418">
        <v>30</v>
      </c>
      <c r="N983" s="418" t="s">
        <v>2310</v>
      </c>
      <c r="O983" s="418" t="s">
        <v>3407</v>
      </c>
      <c r="P983" s="415">
        <v>4</v>
      </c>
      <c r="Q983" s="415">
        <v>30</v>
      </c>
      <c r="R983" s="415">
        <v>5</v>
      </c>
      <c r="S983" s="415">
        <f t="shared" si="45"/>
        <v>5</v>
      </c>
      <c r="T983" s="419">
        <f t="shared" si="46"/>
        <v>0.83333333333333337</v>
      </c>
      <c r="U983" s="419">
        <f t="shared" si="47"/>
        <v>5.833333333333333</v>
      </c>
      <c r="V983" s="415" t="s">
        <v>662</v>
      </c>
      <c r="W983" s="415" t="s">
        <v>616</v>
      </c>
      <c r="X983" s="415" t="s">
        <v>666</v>
      </c>
      <c r="Y983" s="415"/>
    </row>
    <row r="984" spans="1:25" hidden="1" x14ac:dyDescent="0.25">
      <c r="A984" s="415">
        <v>983</v>
      </c>
      <c r="B984" s="415">
        <v>576</v>
      </c>
      <c r="C984" s="415">
        <v>264147</v>
      </c>
      <c r="D984" s="416" t="s">
        <v>1671</v>
      </c>
      <c r="E984" s="416" t="s">
        <v>521</v>
      </c>
      <c r="F984" s="416" t="s">
        <v>527</v>
      </c>
      <c r="G984" s="416" t="s">
        <v>1662</v>
      </c>
      <c r="H984" s="416" t="s">
        <v>1672</v>
      </c>
      <c r="I984" s="416" t="s">
        <v>1673</v>
      </c>
      <c r="J984" s="415" t="s">
        <v>661</v>
      </c>
      <c r="K984" s="417">
        <v>-7.9267200000000004</v>
      </c>
      <c r="L984" s="417">
        <v>-78.372774000000007</v>
      </c>
      <c r="M984" s="418">
        <v>30</v>
      </c>
      <c r="N984" s="418" t="s">
        <v>2310</v>
      </c>
      <c r="O984" s="418" t="s">
        <v>3407</v>
      </c>
      <c r="P984" s="415">
        <v>4</v>
      </c>
      <c r="Q984" s="415">
        <v>30</v>
      </c>
      <c r="R984" s="415">
        <v>5</v>
      </c>
      <c r="S984" s="415">
        <f t="shared" si="45"/>
        <v>5</v>
      </c>
      <c r="T984" s="419">
        <f t="shared" si="46"/>
        <v>0.83333333333333337</v>
      </c>
      <c r="U984" s="419">
        <f t="shared" si="47"/>
        <v>5.833333333333333</v>
      </c>
      <c r="V984" s="415" t="s">
        <v>662</v>
      </c>
      <c r="W984" s="415" t="s">
        <v>616</v>
      </c>
      <c r="X984" s="415" t="s">
        <v>666</v>
      </c>
      <c r="Y984" s="415"/>
    </row>
    <row r="985" spans="1:25" hidden="1" x14ac:dyDescent="0.25">
      <c r="A985" s="415">
        <v>984</v>
      </c>
      <c r="B985" s="415">
        <v>577</v>
      </c>
      <c r="C985" s="415">
        <v>263930</v>
      </c>
      <c r="D985" s="416" t="s">
        <v>1666</v>
      </c>
      <c r="E985" s="416" t="s">
        <v>521</v>
      </c>
      <c r="F985" s="416" t="s">
        <v>527</v>
      </c>
      <c r="G985" s="416" t="s">
        <v>1662</v>
      </c>
      <c r="H985" s="416" t="s">
        <v>1667</v>
      </c>
      <c r="I985" s="416" t="s">
        <v>1668</v>
      </c>
      <c r="J985" s="415" t="s">
        <v>661</v>
      </c>
      <c r="K985" s="417">
        <v>-7.8547630000000002</v>
      </c>
      <c r="L985" s="417">
        <v>-78.449279000000004</v>
      </c>
      <c r="M985" s="418">
        <v>30</v>
      </c>
      <c r="N985" s="418" t="s">
        <v>2310</v>
      </c>
      <c r="O985" s="418" t="s">
        <v>3407</v>
      </c>
      <c r="P985" s="415">
        <v>4</v>
      </c>
      <c r="Q985" s="415">
        <v>30</v>
      </c>
      <c r="R985" s="415">
        <v>5</v>
      </c>
      <c r="S985" s="415">
        <f t="shared" si="45"/>
        <v>5</v>
      </c>
      <c r="T985" s="419">
        <f t="shared" si="46"/>
        <v>0.83333333333333337</v>
      </c>
      <c r="U985" s="419">
        <f t="shared" si="47"/>
        <v>5.833333333333333</v>
      </c>
      <c r="V985" s="415" t="s">
        <v>662</v>
      </c>
      <c r="W985" s="415" t="s">
        <v>616</v>
      </c>
      <c r="X985" s="415" t="s">
        <v>666</v>
      </c>
      <c r="Y985" s="415"/>
    </row>
    <row r="986" spans="1:25" hidden="1" x14ac:dyDescent="0.25">
      <c r="A986" s="415">
        <v>985</v>
      </c>
      <c r="B986" s="415">
        <v>578</v>
      </c>
      <c r="C986" s="415">
        <v>263949</v>
      </c>
      <c r="D986" s="416" t="s">
        <v>1669</v>
      </c>
      <c r="E986" s="416" t="s">
        <v>521</v>
      </c>
      <c r="F986" s="416" t="s">
        <v>527</v>
      </c>
      <c r="G986" s="416" t="s">
        <v>1662</v>
      </c>
      <c r="H986" s="416" t="s">
        <v>1670</v>
      </c>
      <c r="I986" s="416" t="s">
        <v>1670</v>
      </c>
      <c r="J986" s="415" t="s">
        <v>661</v>
      </c>
      <c r="K986" s="417">
        <v>-7.8691459999999998</v>
      </c>
      <c r="L986" s="417">
        <v>-78.469773000000004</v>
      </c>
      <c r="M986" s="418">
        <v>30</v>
      </c>
      <c r="N986" s="418" t="s">
        <v>2310</v>
      </c>
      <c r="O986" s="418" t="s">
        <v>3407</v>
      </c>
      <c r="P986" s="415">
        <v>4</v>
      </c>
      <c r="Q986" s="415">
        <v>30</v>
      </c>
      <c r="R986" s="415">
        <v>5</v>
      </c>
      <c r="S986" s="415">
        <f t="shared" si="45"/>
        <v>5</v>
      </c>
      <c r="T986" s="419">
        <f t="shared" si="46"/>
        <v>0.83333333333333337</v>
      </c>
      <c r="U986" s="419">
        <f t="shared" si="47"/>
        <v>5.833333333333333</v>
      </c>
      <c r="V986" s="415" t="s">
        <v>662</v>
      </c>
      <c r="W986" s="415" t="s">
        <v>616</v>
      </c>
      <c r="X986" s="415" t="s">
        <v>666</v>
      </c>
      <c r="Y986" s="415"/>
    </row>
    <row r="987" spans="1:25" hidden="1" x14ac:dyDescent="0.25">
      <c r="A987" s="415">
        <v>986</v>
      </c>
      <c r="B987" s="415">
        <v>579</v>
      </c>
      <c r="C987" s="415">
        <v>263831</v>
      </c>
      <c r="D987" s="416" t="s">
        <v>3574</v>
      </c>
      <c r="E987" s="416" t="s">
        <v>521</v>
      </c>
      <c r="F987" s="416" t="s">
        <v>527</v>
      </c>
      <c r="G987" s="416" t="s">
        <v>1662</v>
      </c>
      <c r="H987" s="416" t="s">
        <v>3575</v>
      </c>
      <c r="I987" s="416" t="s">
        <v>3576</v>
      </c>
      <c r="J987" s="415" t="s">
        <v>661</v>
      </c>
      <c r="K987" s="417">
        <v>-7.878978</v>
      </c>
      <c r="L987" s="417">
        <v>-78.340868</v>
      </c>
      <c r="M987" s="418">
        <v>30</v>
      </c>
      <c r="N987" s="418" t="s">
        <v>2310</v>
      </c>
      <c r="O987" s="418" t="s">
        <v>3407</v>
      </c>
      <c r="P987" s="415">
        <v>4</v>
      </c>
      <c r="Q987" s="415">
        <v>30</v>
      </c>
      <c r="R987" s="415">
        <v>5</v>
      </c>
      <c r="S987" s="415">
        <f t="shared" si="45"/>
        <v>5</v>
      </c>
      <c r="T987" s="419">
        <f t="shared" si="46"/>
        <v>0.83333333333333337</v>
      </c>
      <c r="U987" s="419">
        <f t="shared" si="47"/>
        <v>5.833333333333333</v>
      </c>
      <c r="V987" s="415" t="s">
        <v>662</v>
      </c>
      <c r="W987" s="415" t="s">
        <v>616</v>
      </c>
      <c r="X987" s="415" t="s">
        <v>666</v>
      </c>
      <c r="Y987" s="415"/>
    </row>
    <row r="988" spans="1:25" hidden="1" x14ac:dyDescent="0.25">
      <c r="A988" s="415">
        <v>987</v>
      </c>
      <c r="B988" s="415">
        <v>580</v>
      </c>
      <c r="C988" s="415">
        <v>263727</v>
      </c>
      <c r="D988" s="416" t="s">
        <v>1664</v>
      </c>
      <c r="E988" s="416" t="s">
        <v>521</v>
      </c>
      <c r="F988" s="416" t="s">
        <v>527</v>
      </c>
      <c r="G988" s="416" t="s">
        <v>1662</v>
      </c>
      <c r="H988" s="416" t="s">
        <v>1665</v>
      </c>
      <c r="I988" s="416" t="s">
        <v>1665</v>
      </c>
      <c r="J988" s="415" t="s">
        <v>661</v>
      </c>
      <c r="K988" s="417">
        <v>-7.8481389999999998</v>
      </c>
      <c r="L988" s="417">
        <v>-78.440021999999999</v>
      </c>
      <c r="M988" s="418">
        <v>30</v>
      </c>
      <c r="N988" s="418" t="s">
        <v>2310</v>
      </c>
      <c r="O988" s="418" t="s">
        <v>3407</v>
      </c>
      <c r="P988" s="415">
        <v>4</v>
      </c>
      <c r="Q988" s="415">
        <v>30</v>
      </c>
      <c r="R988" s="415">
        <v>5</v>
      </c>
      <c r="S988" s="415">
        <f t="shared" si="45"/>
        <v>5</v>
      </c>
      <c r="T988" s="419">
        <f t="shared" si="46"/>
        <v>0.83333333333333337</v>
      </c>
      <c r="U988" s="419">
        <f t="shared" si="47"/>
        <v>5.833333333333333</v>
      </c>
      <c r="V988" s="415" t="s">
        <v>662</v>
      </c>
      <c r="W988" s="415" t="s">
        <v>616</v>
      </c>
      <c r="X988" s="415" t="s">
        <v>666</v>
      </c>
      <c r="Y988" s="415"/>
    </row>
    <row r="989" spans="1:25" hidden="1" x14ac:dyDescent="0.25">
      <c r="A989" s="415">
        <v>988</v>
      </c>
      <c r="B989" s="415">
        <v>581</v>
      </c>
      <c r="C989" s="415">
        <v>264307</v>
      </c>
      <c r="D989" s="416" t="s">
        <v>1674</v>
      </c>
      <c r="E989" s="416" t="s">
        <v>521</v>
      </c>
      <c r="F989" s="416" t="s">
        <v>527</v>
      </c>
      <c r="G989" s="416" t="s">
        <v>1662</v>
      </c>
      <c r="H989" s="416" t="s">
        <v>1092</v>
      </c>
      <c r="I989" s="416" t="s">
        <v>1092</v>
      </c>
      <c r="J989" s="415" t="s">
        <v>661</v>
      </c>
      <c r="K989" s="417">
        <v>-7.8649199999999997</v>
      </c>
      <c r="L989" s="417">
        <v>-78.455420000000004</v>
      </c>
      <c r="M989" s="418">
        <v>30</v>
      </c>
      <c r="N989" s="418" t="s">
        <v>2310</v>
      </c>
      <c r="O989" s="418" t="s">
        <v>3407</v>
      </c>
      <c r="P989" s="415">
        <v>4</v>
      </c>
      <c r="Q989" s="415">
        <v>30</v>
      </c>
      <c r="R989" s="415">
        <v>5</v>
      </c>
      <c r="S989" s="415">
        <f t="shared" si="45"/>
        <v>5</v>
      </c>
      <c r="T989" s="419">
        <f t="shared" si="46"/>
        <v>0.83333333333333337</v>
      </c>
      <c r="U989" s="419">
        <f t="shared" si="47"/>
        <v>5.833333333333333</v>
      </c>
      <c r="V989" s="415" t="s">
        <v>662</v>
      </c>
      <c r="W989" s="415" t="s">
        <v>616</v>
      </c>
      <c r="X989" s="415" t="s">
        <v>666</v>
      </c>
      <c r="Y989" s="415"/>
    </row>
    <row r="990" spans="1:25" hidden="1" x14ac:dyDescent="0.25">
      <c r="A990" s="415">
        <v>989</v>
      </c>
      <c r="B990" s="415">
        <v>582</v>
      </c>
      <c r="C990" s="415">
        <v>263652</v>
      </c>
      <c r="D990" s="416" t="s">
        <v>3577</v>
      </c>
      <c r="E990" s="416" t="s">
        <v>521</v>
      </c>
      <c r="F990" s="416" t="s">
        <v>527</v>
      </c>
      <c r="G990" s="416" t="s">
        <v>1662</v>
      </c>
      <c r="H990" s="416" t="s">
        <v>1662</v>
      </c>
      <c r="I990" s="416" t="s">
        <v>3578</v>
      </c>
      <c r="J990" s="415" t="s">
        <v>661</v>
      </c>
      <c r="K990" s="417">
        <v>-7.8172920000000001</v>
      </c>
      <c r="L990" s="417">
        <v>-78.419245000000004</v>
      </c>
      <c r="M990" s="418">
        <v>30</v>
      </c>
      <c r="N990" s="418" t="s">
        <v>2310</v>
      </c>
      <c r="O990" s="418" t="s">
        <v>3407</v>
      </c>
      <c r="P990" s="415">
        <v>4</v>
      </c>
      <c r="Q990" s="415">
        <v>30</v>
      </c>
      <c r="R990" s="415">
        <v>5</v>
      </c>
      <c r="S990" s="415">
        <f t="shared" si="45"/>
        <v>5</v>
      </c>
      <c r="T990" s="419">
        <f t="shared" si="46"/>
        <v>0.83333333333333337</v>
      </c>
      <c r="U990" s="419">
        <f t="shared" si="47"/>
        <v>5.833333333333333</v>
      </c>
      <c r="V990" s="415" t="s">
        <v>662</v>
      </c>
      <c r="W990" s="415" t="s">
        <v>616</v>
      </c>
      <c r="X990" s="415" t="s">
        <v>666</v>
      </c>
      <c r="Y990" s="415"/>
    </row>
    <row r="991" spans="1:25" hidden="1" x14ac:dyDescent="0.25">
      <c r="A991" s="415">
        <v>990</v>
      </c>
      <c r="B991" s="415">
        <v>583</v>
      </c>
      <c r="C991" s="415">
        <v>263591</v>
      </c>
      <c r="D991" s="416" t="s">
        <v>1661</v>
      </c>
      <c r="E991" s="416" t="s">
        <v>521</v>
      </c>
      <c r="F991" s="416" t="s">
        <v>527</v>
      </c>
      <c r="G991" s="416" t="s">
        <v>1662</v>
      </c>
      <c r="H991" s="416" t="s">
        <v>1663</v>
      </c>
      <c r="I991" s="416" t="s">
        <v>1663</v>
      </c>
      <c r="J991" s="415" t="s">
        <v>661</v>
      </c>
      <c r="K991" s="417">
        <v>-7.8999649999999999</v>
      </c>
      <c r="L991" s="417">
        <v>-78.361532999999994</v>
      </c>
      <c r="M991" s="418">
        <v>30</v>
      </c>
      <c r="N991" s="418" t="s">
        <v>2310</v>
      </c>
      <c r="O991" s="418" t="s">
        <v>3407</v>
      </c>
      <c r="P991" s="415">
        <v>4</v>
      </c>
      <c r="Q991" s="415">
        <v>30</v>
      </c>
      <c r="R991" s="415">
        <v>5</v>
      </c>
      <c r="S991" s="415">
        <f t="shared" si="45"/>
        <v>5</v>
      </c>
      <c r="T991" s="419">
        <f t="shared" si="46"/>
        <v>0.83333333333333337</v>
      </c>
      <c r="U991" s="419">
        <f t="shared" si="47"/>
        <v>5.833333333333333</v>
      </c>
      <c r="V991" s="415" t="s">
        <v>662</v>
      </c>
      <c r="W991" s="415" t="s">
        <v>616</v>
      </c>
      <c r="X991" s="415" t="s">
        <v>666</v>
      </c>
      <c r="Y991" s="415"/>
    </row>
    <row r="992" spans="1:25" hidden="1" x14ac:dyDescent="0.25">
      <c r="A992" s="415">
        <v>991</v>
      </c>
      <c r="B992" s="415">
        <v>584</v>
      </c>
      <c r="C992" s="415">
        <v>264977</v>
      </c>
      <c r="D992" s="416" t="s">
        <v>3579</v>
      </c>
      <c r="E992" s="416" t="s">
        <v>521</v>
      </c>
      <c r="F992" s="416" t="s">
        <v>528</v>
      </c>
      <c r="G992" s="416" t="s">
        <v>1682</v>
      </c>
      <c r="H992" s="416" t="s">
        <v>3580</v>
      </c>
      <c r="I992" s="416" t="s">
        <v>3581</v>
      </c>
      <c r="J992" s="415" t="s">
        <v>661</v>
      </c>
      <c r="K992" s="417">
        <v>-7.3140999999999998</v>
      </c>
      <c r="L992" s="417">
        <v>-79.379400000000004</v>
      </c>
      <c r="M992" s="418">
        <v>30</v>
      </c>
      <c r="N992" s="418" t="s">
        <v>2310</v>
      </c>
      <c r="O992" s="418" t="s">
        <v>3407</v>
      </c>
      <c r="P992" s="415">
        <v>4</v>
      </c>
      <c r="Q992" s="415">
        <v>30</v>
      </c>
      <c r="R992" s="415">
        <v>5</v>
      </c>
      <c r="S992" s="415">
        <f t="shared" si="45"/>
        <v>5</v>
      </c>
      <c r="T992" s="419">
        <f t="shared" si="46"/>
        <v>0.83333333333333337</v>
      </c>
      <c r="U992" s="419">
        <f t="shared" si="47"/>
        <v>5.833333333333333</v>
      </c>
      <c r="V992" s="415" t="s">
        <v>662</v>
      </c>
      <c r="W992" s="415" t="s">
        <v>608</v>
      </c>
      <c r="X992" s="415" t="s">
        <v>663</v>
      </c>
      <c r="Y992" s="415"/>
    </row>
    <row r="993" spans="1:25" hidden="1" x14ac:dyDescent="0.25">
      <c r="A993" s="415">
        <v>992</v>
      </c>
      <c r="B993" s="415">
        <v>585</v>
      </c>
      <c r="C993" s="415">
        <v>264901</v>
      </c>
      <c r="D993" s="416" t="s">
        <v>1681</v>
      </c>
      <c r="E993" s="416" t="s">
        <v>521</v>
      </c>
      <c r="F993" s="416" t="s">
        <v>528</v>
      </c>
      <c r="G993" s="416" t="s">
        <v>1682</v>
      </c>
      <c r="H993" s="416" t="s">
        <v>1683</v>
      </c>
      <c r="I993" s="416" t="s">
        <v>1684</v>
      </c>
      <c r="J993" s="415" t="s">
        <v>661</v>
      </c>
      <c r="K993" s="417">
        <v>-7.3131000000000004</v>
      </c>
      <c r="L993" s="417">
        <v>-79.512500000000003</v>
      </c>
      <c r="M993" s="418">
        <v>30</v>
      </c>
      <c r="N993" s="418" t="s">
        <v>2310</v>
      </c>
      <c r="O993" s="418" t="s">
        <v>3407</v>
      </c>
      <c r="P993" s="415">
        <v>4</v>
      </c>
      <c r="Q993" s="415">
        <v>30</v>
      </c>
      <c r="R993" s="415">
        <v>5</v>
      </c>
      <c r="S993" s="415">
        <f t="shared" si="45"/>
        <v>5</v>
      </c>
      <c r="T993" s="419">
        <f t="shared" si="46"/>
        <v>0.83333333333333337</v>
      </c>
      <c r="U993" s="419">
        <f t="shared" si="47"/>
        <v>5.833333333333333</v>
      </c>
      <c r="V993" s="415" t="s">
        <v>662</v>
      </c>
      <c r="W993" s="415" t="s">
        <v>608</v>
      </c>
      <c r="X993" s="415" t="s">
        <v>663</v>
      </c>
      <c r="Y993" s="415"/>
    </row>
    <row r="994" spans="1:25" hidden="1" x14ac:dyDescent="0.25">
      <c r="A994" s="415">
        <v>993</v>
      </c>
      <c r="B994" s="415">
        <v>586</v>
      </c>
      <c r="C994" s="415">
        <v>548622</v>
      </c>
      <c r="D994" s="416" t="s">
        <v>3582</v>
      </c>
      <c r="E994" s="416" t="s">
        <v>521</v>
      </c>
      <c r="F994" s="416" t="s">
        <v>528</v>
      </c>
      <c r="G994" s="416" t="s">
        <v>1682</v>
      </c>
      <c r="H994" s="416" t="s">
        <v>1682</v>
      </c>
      <c r="I994" s="416" t="s">
        <v>3583</v>
      </c>
      <c r="J994" s="415" t="s">
        <v>747</v>
      </c>
      <c r="K994" s="417">
        <v>-7.23874</v>
      </c>
      <c r="L994" s="417">
        <v>-79.471260000000001</v>
      </c>
      <c r="M994" s="418">
        <v>30</v>
      </c>
      <c r="N994" s="418" t="s">
        <v>2310</v>
      </c>
      <c r="O994" s="418" t="s">
        <v>3407</v>
      </c>
      <c r="P994" s="415">
        <v>4</v>
      </c>
      <c r="Q994" s="415">
        <v>30</v>
      </c>
      <c r="R994" s="415">
        <v>5</v>
      </c>
      <c r="S994" s="415">
        <f t="shared" si="45"/>
        <v>5</v>
      </c>
      <c r="T994" s="419">
        <f t="shared" si="46"/>
        <v>0.83333333333333337</v>
      </c>
      <c r="U994" s="419">
        <f t="shared" si="47"/>
        <v>5.833333333333333</v>
      </c>
      <c r="V994" s="415" t="s">
        <v>662</v>
      </c>
      <c r="W994" s="415" t="s">
        <v>608</v>
      </c>
      <c r="X994" s="415" t="s">
        <v>663</v>
      </c>
      <c r="Y994" s="415"/>
    </row>
    <row r="995" spans="1:25" hidden="1" x14ac:dyDescent="0.25">
      <c r="A995" s="415">
        <v>994</v>
      </c>
      <c r="B995" s="415">
        <v>587</v>
      </c>
      <c r="C995" s="415">
        <v>264915</v>
      </c>
      <c r="D995" s="416" t="s">
        <v>3584</v>
      </c>
      <c r="E995" s="416" t="s">
        <v>521</v>
      </c>
      <c r="F995" s="416" t="s">
        <v>528</v>
      </c>
      <c r="G995" s="416" t="s">
        <v>1682</v>
      </c>
      <c r="H995" s="416" t="s">
        <v>3585</v>
      </c>
      <c r="I995" s="416" t="s">
        <v>3586</v>
      </c>
      <c r="J995" s="415" t="s">
        <v>661</v>
      </c>
      <c r="K995" s="417">
        <v>-7.2767799999999996</v>
      </c>
      <c r="L995" s="417">
        <v>-79.453829999999996</v>
      </c>
      <c r="M995" s="418">
        <v>30</v>
      </c>
      <c r="N995" s="418" t="s">
        <v>2310</v>
      </c>
      <c r="O995" s="418" t="s">
        <v>3407</v>
      </c>
      <c r="P995" s="415">
        <v>4</v>
      </c>
      <c r="Q995" s="415">
        <v>30</v>
      </c>
      <c r="R995" s="415">
        <v>5</v>
      </c>
      <c r="S995" s="415">
        <f t="shared" si="45"/>
        <v>5</v>
      </c>
      <c r="T995" s="419">
        <f t="shared" si="46"/>
        <v>0.83333333333333337</v>
      </c>
      <c r="U995" s="419">
        <f t="shared" si="47"/>
        <v>5.833333333333333</v>
      </c>
      <c r="V995" s="415" t="s">
        <v>662</v>
      </c>
      <c r="W995" s="415" t="s">
        <v>608</v>
      </c>
      <c r="X995" s="415" t="s">
        <v>663</v>
      </c>
      <c r="Y995" s="415"/>
    </row>
    <row r="996" spans="1:25" hidden="1" x14ac:dyDescent="0.25">
      <c r="A996" s="415">
        <v>995</v>
      </c>
      <c r="B996" s="415">
        <v>588</v>
      </c>
      <c r="C996" s="415">
        <v>264821</v>
      </c>
      <c r="D996" s="416" t="s">
        <v>3587</v>
      </c>
      <c r="E996" s="416" t="s">
        <v>521</v>
      </c>
      <c r="F996" s="416" t="s">
        <v>528</v>
      </c>
      <c r="G996" s="416" t="s">
        <v>1682</v>
      </c>
      <c r="H996" s="416" t="s">
        <v>1070</v>
      </c>
      <c r="I996" s="416" t="s">
        <v>3588</v>
      </c>
      <c r="J996" s="415" t="s">
        <v>747</v>
      </c>
      <c r="K996" s="417">
        <v>-7.2386100000000004</v>
      </c>
      <c r="L996" s="417">
        <v>-79.469189999999998</v>
      </c>
      <c r="M996" s="418">
        <v>30</v>
      </c>
      <c r="N996" s="418" t="s">
        <v>2310</v>
      </c>
      <c r="O996" s="418" t="s">
        <v>3407</v>
      </c>
      <c r="P996" s="415">
        <v>4</v>
      </c>
      <c r="Q996" s="415">
        <v>30</v>
      </c>
      <c r="R996" s="415">
        <v>5</v>
      </c>
      <c r="S996" s="415">
        <f t="shared" si="45"/>
        <v>5</v>
      </c>
      <c r="T996" s="419">
        <f t="shared" si="46"/>
        <v>0.83333333333333337</v>
      </c>
      <c r="U996" s="419">
        <f t="shared" si="47"/>
        <v>5.833333333333333</v>
      </c>
      <c r="V996" s="415" t="s">
        <v>662</v>
      </c>
      <c r="W996" s="415" t="s">
        <v>608</v>
      </c>
      <c r="X996" s="415" t="s">
        <v>663</v>
      </c>
      <c r="Y996" s="415"/>
    </row>
    <row r="997" spans="1:25" hidden="1" x14ac:dyDescent="0.25">
      <c r="A997" s="415">
        <v>996</v>
      </c>
      <c r="B997" s="415">
        <v>589</v>
      </c>
      <c r="C997" s="415">
        <v>265038</v>
      </c>
      <c r="D997" s="416" t="s">
        <v>3589</v>
      </c>
      <c r="E997" s="416" t="s">
        <v>521</v>
      </c>
      <c r="F997" s="416" t="s">
        <v>528</v>
      </c>
      <c r="G997" s="416" t="s">
        <v>1682</v>
      </c>
      <c r="H997" s="416" t="s">
        <v>1070</v>
      </c>
      <c r="I997" s="416" t="s">
        <v>3590</v>
      </c>
      <c r="J997" s="415" t="s">
        <v>747</v>
      </c>
      <c r="K997" s="417">
        <v>-7.2370000000000001</v>
      </c>
      <c r="L997" s="417">
        <v>-79.471999999999994</v>
      </c>
      <c r="M997" s="418">
        <v>30</v>
      </c>
      <c r="N997" s="418" t="s">
        <v>2310</v>
      </c>
      <c r="O997" s="418" t="s">
        <v>3407</v>
      </c>
      <c r="P997" s="415">
        <v>4</v>
      </c>
      <c r="Q997" s="415">
        <v>30</v>
      </c>
      <c r="R997" s="415">
        <v>5</v>
      </c>
      <c r="S997" s="415">
        <f t="shared" si="45"/>
        <v>5</v>
      </c>
      <c r="T997" s="419">
        <f t="shared" si="46"/>
        <v>0.83333333333333337</v>
      </c>
      <c r="U997" s="419">
        <f t="shared" si="47"/>
        <v>5.833333333333333</v>
      </c>
      <c r="V997" s="415" t="s">
        <v>662</v>
      </c>
      <c r="W997" s="415" t="s">
        <v>608</v>
      </c>
      <c r="X997" s="415" t="s">
        <v>663</v>
      </c>
      <c r="Y997" s="415"/>
    </row>
    <row r="998" spans="1:25" hidden="1" x14ac:dyDescent="0.25">
      <c r="A998" s="415">
        <v>997</v>
      </c>
      <c r="B998" s="415">
        <v>590</v>
      </c>
      <c r="C998" s="415">
        <v>264944</v>
      </c>
      <c r="D998" s="416" t="s">
        <v>1685</v>
      </c>
      <c r="E998" s="416" t="s">
        <v>521</v>
      </c>
      <c r="F998" s="416" t="s">
        <v>528</v>
      </c>
      <c r="G998" s="416" t="s">
        <v>1682</v>
      </c>
      <c r="H998" s="416" t="s">
        <v>1686</v>
      </c>
      <c r="I998" s="416" t="s">
        <v>1687</v>
      </c>
      <c r="J998" s="415" t="s">
        <v>661</v>
      </c>
      <c r="K998" s="417">
        <v>-7.2145149999999996</v>
      </c>
      <c r="L998" s="417">
        <v>-79.469556999999995</v>
      </c>
      <c r="M998" s="418">
        <v>30</v>
      </c>
      <c r="N998" s="418" t="s">
        <v>2310</v>
      </c>
      <c r="O998" s="418" t="s">
        <v>3407</v>
      </c>
      <c r="P998" s="415">
        <v>4</v>
      </c>
      <c r="Q998" s="415">
        <v>30</v>
      </c>
      <c r="R998" s="415">
        <v>5</v>
      </c>
      <c r="S998" s="415">
        <f t="shared" si="45"/>
        <v>5</v>
      </c>
      <c r="T998" s="419">
        <f t="shared" si="46"/>
        <v>0.83333333333333337</v>
      </c>
      <c r="U998" s="419">
        <f t="shared" si="47"/>
        <v>5.833333333333333</v>
      </c>
      <c r="V998" s="415" t="s">
        <v>662</v>
      </c>
      <c r="W998" s="415" t="s">
        <v>608</v>
      </c>
      <c r="X998" s="415" t="s">
        <v>663</v>
      </c>
      <c r="Y998" s="415"/>
    </row>
    <row r="999" spans="1:25" hidden="1" x14ac:dyDescent="0.25">
      <c r="A999" s="415">
        <v>998</v>
      </c>
      <c r="B999" s="415">
        <v>591</v>
      </c>
      <c r="C999" s="415">
        <v>265222</v>
      </c>
      <c r="D999" s="416" t="s">
        <v>3591</v>
      </c>
      <c r="E999" s="416" t="s">
        <v>521</v>
      </c>
      <c r="F999" s="416" t="s">
        <v>528</v>
      </c>
      <c r="G999" s="416" t="s">
        <v>3592</v>
      </c>
      <c r="H999" s="416" t="s">
        <v>1130</v>
      </c>
      <c r="I999" s="416" t="s">
        <v>3593</v>
      </c>
      <c r="J999" s="415" t="s">
        <v>661</v>
      </c>
      <c r="K999" s="417">
        <v>-7.3409269999999998</v>
      </c>
      <c r="L999" s="417">
        <v>-79.516442999999995</v>
      </c>
      <c r="M999" s="418">
        <v>30</v>
      </c>
      <c r="N999" s="418" t="s">
        <v>2310</v>
      </c>
      <c r="O999" s="418" t="s">
        <v>3407</v>
      </c>
      <c r="P999" s="415">
        <v>4</v>
      </c>
      <c r="Q999" s="415">
        <v>30</v>
      </c>
      <c r="R999" s="415">
        <v>5</v>
      </c>
      <c r="S999" s="415">
        <f t="shared" si="45"/>
        <v>5</v>
      </c>
      <c r="T999" s="419">
        <f t="shared" si="46"/>
        <v>0.83333333333333337</v>
      </c>
      <c r="U999" s="419">
        <f t="shared" si="47"/>
        <v>5.833333333333333</v>
      </c>
      <c r="V999" s="415" t="s">
        <v>662</v>
      </c>
      <c r="W999" s="415" t="s">
        <v>608</v>
      </c>
      <c r="X999" s="415" t="s">
        <v>663</v>
      </c>
      <c r="Y999" s="415"/>
    </row>
    <row r="1000" spans="1:25" hidden="1" x14ac:dyDescent="0.25">
      <c r="A1000" s="415">
        <v>999</v>
      </c>
      <c r="B1000" s="415">
        <v>592</v>
      </c>
      <c r="C1000" s="415">
        <v>265887</v>
      </c>
      <c r="D1000" s="416" t="s">
        <v>1688</v>
      </c>
      <c r="E1000" s="416" t="s">
        <v>521</v>
      </c>
      <c r="F1000" s="416" t="s">
        <v>528</v>
      </c>
      <c r="G1000" s="416" t="s">
        <v>866</v>
      </c>
      <c r="H1000" s="416" t="s">
        <v>1689</v>
      </c>
      <c r="I1000" s="416" t="s">
        <v>1690</v>
      </c>
      <c r="J1000" s="415" t="s">
        <v>661</v>
      </c>
      <c r="K1000" s="417">
        <v>-7.3326000000000002</v>
      </c>
      <c r="L1000" s="417">
        <v>-79.429100000000005</v>
      </c>
      <c r="M1000" s="418">
        <v>30</v>
      </c>
      <c r="N1000" s="418" t="s">
        <v>2310</v>
      </c>
      <c r="O1000" s="418" t="s">
        <v>3407</v>
      </c>
      <c r="P1000" s="415">
        <v>4</v>
      </c>
      <c r="Q1000" s="415">
        <v>30</v>
      </c>
      <c r="R1000" s="415">
        <v>5</v>
      </c>
      <c r="S1000" s="415">
        <f t="shared" si="45"/>
        <v>5</v>
      </c>
      <c r="T1000" s="419">
        <f t="shared" si="46"/>
        <v>0.83333333333333337</v>
      </c>
      <c r="U1000" s="419">
        <f t="shared" si="47"/>
        <v>5.833333333333333</v>
      </c>
      <c r="V1000" s="415" t="s">
        <v>662</v>
      </c>
      <c r="W1000" s="415" t="s">
        <v>608</v>
      </c>
      <c r="X1000" s="415" t="s">
        <v>663</v>
      </c>
      <c r="Y1000" s="415"/>
    </row>
    <row r="1001" spans="1:25" hidden="1" x14ac:dyDescent="0.25">
      <c r="A1001" s="415">
        <v>1000</v>
      </c>
      <c r="B1001" s="415">
        <v>593</v>
      </c>
      <c r="C1001" s="415">
        <v>265948</v>
      </c>
      <c r="D1001" s="416" t="s">
        <v>1695</v>
      </c>
      <c r="E1001" s="416" t="s">
        <v>521</v>
      </c>
      <c r="F1001" s="416" t="s">
        <v>528</v>
      </c>
      <c r="G1001" s="416" t="s">
        <v>866</v>
      </c>
      <c r="H1001" s="416" t="s">
        <v>1689</v>
      </c>
      <c r="I1001" s="416" t="s">
        <v>1696</v>
      </c>
      <c r="J1001" s="415" t="s">
        <v>661</v>
      </c>
      <c r="K1001" s="417">
        <v>-7.3327900000000001</v>
      </c>
      <c r="L1001" s="417">
        <v>-79.429742000000005</v>
      </c>
      <c r="M1001" s="418">
        <v>30</v>
      </c>
      <c r="N1001" s="418" t="s">
        <v>2310</v>
      </c>
      <c r="O1001" s="418" t="s">
        <v>3407</v>
      </c>
      <c r="P1001" s="415">
        <v>4</v>
      </c>
      <c r="Q1001" s="415">
        <v>30</v>
      </c>
      <c r="R1001" s="415">
        <v>5</v>
      </c>
      <c r="S1001" s="415">
        <f t="shared" si="45"/>
        <v>5</v>
      </c>
      <c r="T1001" s="419">
        <f t="shared" si="46"/>
        <v>0.83333333333333337</v>
      </c>
      <c r="U1001" s="419">
        <f t="shared" si="47"/>
        <v>5.833333333333333</v>
      </c>
      <c r="V1001" s="415" t="s">
        <v>662</v>
      </c>
      <c r="W1001" s="415" t="s">
        <v>608</v>
      </c>
      <c r="X1001" s="415" t="s">
        <v>663</v>
      </c>
      <c r="Y1001" s="415"/>
    </row>
    <row r="1002" spans="1:25" hidden="1" x14ac:dyDescent="0.25">
      <c r="A1002" s="415">
        <v>1001</v>
      </c>
      <c r="B1002" s="415">
        <v>594</v>
      </c>
      <c r="C1002" s="415">
        <v>265905</v>
      </c>
      <c r="D1002" s="416" t="s">
        <v>1694</v>
      </c>
      <c r="E1002" s="416" t="s">
        <v>521</v>
      </c>
      <c r="F1002" s="416" t="s">
        <v>528</v>
      </c>
      <c r="G1002" s="416" t="s">
        <v>866</v>
      </c>
      <c r="H1002" s="416" t="s">
        <v>667</v>
      </c>
      <c r="I1002" s="416" t="s">
        <v>1450</v>
      </c>
      <c r="J1002" s="415" t="s">
        <v>661</v>
      </c>
      <c r="K1002" s="417">
        <v>-7.3370620000000004</v>
      </c>
      <c r="L1002" s="417">
        <v>-79.399552</v>
      </c>
      <c r="M1002" s="418">
        <v>30</v>
      </c>
      <c r="N1002" s="418" t="s">
        <v>2310</v>
      </c>
      <c r="O1002" s="418" t="s">
        <v>3407</v>
      </c>
      <c r="P1002" s="415">
        <v>4</v>
      </c>
      <c r="Q1002" s="415">
        <v>30</v>
      </c>
      <c r="R1002" s="415">
        <v>5</v>
      </c>
      <c r="S1002" s="415">
        <f t="shared" si="45"/>
        <v>5</v>
      </c>
      <c r="T1002" s="419">
        <f t="shared" si="46"/>
        <v>0.83333333333333337</v>
      </c>
      <c r="U1002" s="419">
        <f t="shared" si="47"/>
        <v>5.833333333333333</v>
      </c>
      <c r="V1002" s="415" t="s">
        <v>662</v>
      </c>
      <c r="W1002" s="415" t="s">
        <v>608</v>
      </c>
      <c r="X1002" s="415" t="s">
        <v>663</v>
      </c>
      <c r="Y1002" s="415"/>
    </row>
    <row r="1003" spans="1:25" hidden="1" x14ac:dyDescent="0.25">
      <c r="A1003" s="415">
        <v>1002</v>
      </c>
      <c r="B1003" s="415">
        <v>595</v>
      </c>
      <c r="C1003" s="415">
        <v>265953</v>
      </c>
      <c r="D1003" s="416" t="s">
        <v>1697</v>
      </c>
      <c r="E1003" s="416" t="s">
        <v>521</v>
      </c>
      <c r="F1003" s="416" t="s">
        <v>528</v>
      </c>
      <c r="G1003" s="416" t="s">
        <v>866</v>
      </c>
      <c r="H1003" s="416" t="s">
        <v>1698</v>
      </c>
      <c r="I1003" s="416" t="s">
        <v>1699</v>
      </c>
      <c r="J1003" s="415" t="s">
        <v>661</v>
      </c>
      <c r="K1003" s="417">
        <v>-7.3385999999999996</v>
      </c>
      <c r="L1003" s="417">
        <v>-79.386300000000006</v>
      </c>
      <c r="M1003" s="418">
        <v>30</v>
      </c>
      <c r="N1003" s="418" t="s">
        <v>2310</v>
      </c>
      <c r="O1003" s="418" t="s">
        <v>3407</v>
      </c>
      <c r="P1003" s="415">
        <v>4</v>
      </c>
      <c r="Q1003" s="415">
        <v>30</v>
      </c>
      <c r="R1003" s="415">
        <v>5</v>
      </c>
      <c r="S1003" s="415">
        <f t="shared" si="45"/>
        <v>5</v>
      </c>
      <c r="T1003" s="419">
        <f t="shared" si="46"/>
        <v>0.83333333333333337</v>
      </c>
      <c r="U1003" s="419">
        <f t="shared" si="47"/>
        <v>5.833333333333333</v>
      </c>
      <c r="V1003" s="415" t="s">
        <v>662</v>
      </c>
      <c r="W1003" s="415" t="s">
        <v>608</v>
      </c>
      <c r="X1003" s="415" t="s">
        <v>663</v>
      </c>
      <c r="Y1003" s="415"/>
    </row>
    <row r="1004" spans="1:25" hidden="1" x14ac:dyDescent="0.25">
      <c r="A1004" s="415">
        <v>1003</v>
      </c>
      <c r="B1004" s="415">
        <v>596</v>
      </c>
      <c r="C1004" s="415">
        <v>265830</v>
      </c>
      <c r="D1004" s="416" t="s">
        <v>3594</v>
      </c>
      <c r="E1004" s="416" t="s">
        <v>521</v>
      </c>
      <c r="F1004" s="416" t="s">
        <v>528</v>
      </c>
      <c r="G1004" s="416" t="s">
        <v>866</v>
      </c>
      <c r="H1004" s="416" t="s">
        <v>866</v>
      </c>
      <c r="I1004" s="416" t="s">
        <v>3595</v>
      </c>
      <c r="J1004" s="415" t="s">
        <v>747</v>
      </c>
      <c r="K1004" s="417">
        <v>-7.3491</v>
      </c>
      <c r="L1004" s="417">
        <v>-79.446899999999999</v>
      </c>
      <c r="M1004" s="418">
        <v>30</v>
      </c>
      <c r="N1004" s="418" t="s">
        <v>2310</v>
      </c>
      <c r="O1004" s="418" t="s">
        <v>3407</v>
      </c>
      <c r="P1004" s="415">
        <v>4</v>
      </c>
      <c r="Q1004" s="415">
        <v>30</v>
      </c>
      <c r="R1004" s="415">
        <v>5</v>
      </c>
      <c r="S1004" s="415">
        <f t="shared" si="45"/>
        <v>5</v>
      </c>
      <c r="T1004" s="419">
        <f t="shared" si="46"/>
        <v>0.83333333333333337</v>
      </c>
      <c r="U1004" s="419">
        <f t="shared" si="47"/>
        <v>5.833333333333333</v>
      </c>
      <c r="V1004" s="415" t="s">
        <v>662</v>
      </c>
      <c r="W1004" s="415" t="s">
        <v>608</v>
      </c>
      <c r="X1004" s="415" t="s">
        <v>663</v>
      </c>
      <c r="Y1004" s="415"/>
    </row>
    <row r="1005" spans="1:25" hidden="1" x14ac:dyDescent="0.25">
      <c r="A1005" s="415">
        <v>1004</v>
      </c>
      <c r="B1005" s="415">
        <v>597</v>
      </c>
      <c r="C1005" s="415">
        <v>264449</v>
      </c>
      <c r="D1005" s="416" t="s">
        <v>1678</v>
      </c>
      <c r="E1005" s="416" t="s">
        <v>521</v>
      </c>
      <c r="F1005" s="416" t="s">
        <v>528</v>
      </c>
      <c r="G1005" s="416" t="s">
        <v>866</v>
      </c>
      <c r="H1005" s="416" t="s">
        <v>1679</v>
      </c>
      <c r="I1005" s="416" t="s">
        <v>1680</v>
      </c>
      <c r="J1005" s="415" t="s">
        <v>661</v>
      </c>
      <c r="K1005" s="417">
        <v>-7.3785999999999996</v>
      </c>
      <c r="L1005" s="417">
        <v>-79.435400000000001</v>
      </c>
      <c r="M1005" s="418">
        <v>30</v>
      </c>
      <c r="N1005" s="418" t="s">
        <v>2310</v>
      </c>
      <c r="O1005" s="418" t="s">
        <v>3407</v>
      </c>
      <c r="P1005" s="415">
        <v>4</v>
      </c>
      <c r="Q1005" s="415">
        <v>30</v>
      </c>
      <c r="R1005" s="415">
        <v>5</v>
      </c>
      <c r="S1005" s="415">
        <f t="shared" si="45"/>
        <v>5</v>
      </c>
      <c r="T1005" s="419">
        <f t="shared" si="46"/>
        <v>0.83333333333333337</v>
      </c>
      <c r="U1005" s="419">
        <f t="shared" si="47"/>
        <v>5.833333333333333</v>
      </c>
      <c r="V1005" s="415" t="s">
        <v>662</v>
      </c>
      <c r="W1005" s="415" t="s">
        <v>608</v>
      </c>
      <c r="X1005" s="415" t="s">
        <v>663</v>
      </c>
      <c r="Y1005" s="415"/>
    </row>
    <row r="1006" spans="1:25" hidden="1" x14ac:dyDescent="0.25">
      <c r="A1006" s="415">
        <v>1005</v>
      </c>
      <c r="B1006" s="415">
        <v>598</v>
      </c>
      <c r="C1006" s="415">
        <v>265892</v>
      </c>
      <c r="D1006" s="416" t="s">
        <v>1691</v>
      </c>
      <c r="E1006" s="416" t="s">
        <v>521</v>
      </c>
      <c r="F1006" s="416" t="s">
        <v>528</v>
      </c>
      <c r="G1006" s="416" t="s">
        <v>866</v>
      </c>
      <c r="H1006" s="416" t="s">
        <v>1692</v>
      </c>
      <c r="I1006" s="416" t="s">
        <v>1693</v>
      </c>
      <c r="J1006" s="415" t="s">
        <v>661</v>
      </c>
      <c r="K1006" s="417">
        <v>-7.3583999999999996</v>
      </c>
      <c r="L1006" s="417">
        <v>-79.421300000000002</v>
      </c>
      <c r="M1006" s="418">
        <v>30</v>
      </c>
      <c r="N1006" s="418" t="s">
        <v>2310</v>
      </c>
      <c r="O1006" s="418" t="s">
        <v>3407</v>
      </c>
      <c r="P1006" s="415">
        <v>4</v>
      </c>
      <c r="Q1006" s="415">
        <v>30</v>
      </c>
      <c r="R1006" s="415">
        <v>5</v>
      </c>
      <c r="S1006" s="415">
        <f t="shared" si="45"/>
        <v>5</v>
      </c>
      <c r="T1006" s="419">
        <f t="shared" si="46"/>
        <v>0.83333333333333337</v>
      </c>
      <c r="U1006" s="419">
        <f t="shared" si="47"/>
        <v>5.833333333333333</v>
      </c>
      <c r="V1006" s="415" t="s">
        <v>662</v>
      </c>
      <c r="W1006" s="415" t="s">
        <v>608</v>
      </c>
      <c r="X1006" s="415" t="s">
        <v>663</v>
      </c>
      <c r="Y1006" s="415"/>
    </row>
    <row r="1007" spans="1:25" hidden="1" x14ac:dyDescent="0.25">
      <c r="A1007" s="415">
        <v>1006</v>
      </c>
      <c r="B1007" s="415">
        <v>599</v>
      </c>
      <c r="C1007" s="415">
        <v>667484</v>
      </c>
      <c r="D1007" s="416" t="s">
        <v>1692</v>
      </c>
      <c r="E1007" s="416" t="s">
        <v>521</v>
      </c>
      <c r="F1007" s="416" t="s">
        <v>528</v>
      </c>
      <c r="G1007" s="416" t="s">
        <v>866</v>
      </c>
      <c r="H1007" s="416" t="s">
        <v>1692</v>
      </c>
      <c r="I1007" s="416" t="s">
        <v>2262</v>
      </c>
      <c r="J1007" s="415" t="s">
        <v>661</v>
      </c>
      <c r="K1007" s="417">
        <v>-7.3586999999999998</v>
      </c>
      <c r="L1007" s="417">
        <v>-79.4221</v>
      </c>
      <c r="M1007" s="418">
        <v>30</v>
      </c>
      <c r="N1007" s="418" t="s">
        <v>2310</v>
      </c>
      <c r="O1007" s="418" t="s">
        <v>3407</v>
      </c>
      <c r="P1007" s="415">
        <v>4</v>
      </c>
      <c r="Q1007" s="415">
        <v>30</v>
      </c>
      <c r="R1007" s="415">
        <v>5</v>
      </c>
      <c r="S1007" s="415">
        <f t="shared" si="45"/>
        <v>5</v>
      </c>
      <c r="T1007" s="419">
        <f t="shared" si="46"/>
        <v>0.83333333333333337</v>
      </c>
      <c r="U1007" s="419">
        <f t="shared" si="47"/>
        <v>5.833333333333333</v>
      </c>
      <c r="V1007" s="415" t="s">
        <v>662</v>
      </c>
      <c r="W1007" s="415" t="s">
        <v>608</v>
      </c>
      <c r="X1007" s="415" t="s">
        <v>663</v>
      </c>
      <c r="Y1007" s="415"/>
    </row>
    <row r="1008" spans="1:25" hidden="1" x14ac:dyDescent="0.25">
      <c r="A1008" s="415">
        <v>1007</v>
      </c>
      <c r="B1008" s="415">
        <v>600</v>
      </c>
      <c r="C1008" s="415">
        <v>266740</v>
      </c>
      <c r="D1008" s="416" t="s">
        <v>3596</v>
      </c>
      <c r="E1008" s="416" t="s">
        <v>521</v>
      </c>
      <c r="F1008" s="416" t="s">
        <v>529</v>
      </c>
      <c r="G1008" s="416" t="s">
        <v>1700</v>
      </c>
      <c r="H1008" s="416" t="s">
        <v>1010</v>
      </c>
      <c r="I1008" s="416" t="s">
        <v>3597</v>
      </c>
      <c r="J1008" s="415" t="s">
        <v>661</v>
      </c>
      <c r="K1008" s="417">
        <v>-8.1318560000000009</v>
      </c>
      <c r="L1008" s="417">
        <v>-77.579014000000001</v>
      </c>
      <c r="M1008" s="418">
        <v>30</v>
      </c>
      <c r="N1008" s="418" t="s">
        <v>2310</v>
      </c>
      <c r="O1008" s="418" t="s">
        <v>3407</v>
      </c>
      <c r="P1008" s="415">
        <v>4</v>
      </c>
      <c r="Q1008" s="415">
        <v>30</v>
      </c>
      <c r="R1008" s="415">
        <v>5</v>
      </c>
      <c r="S1008" s="415">
        <f t="shared" si="45"/>
        <v>5</v>
      </c>
      <c r="T1008" s="419">
        <f t="shared" si="46"/>
        <v>0.83333333333333337</v>
      </c>
      <c r="U1008" s="419">
        <f t="shared" si="47"/>
        <v>5.833333333333333</v>
      </c>
      <c r="V1008" s="415" t="s">
        <v>662</v>
      </c>
      <c r="W1008" s="415" t="s">
        <v>616</v>
      </c>
      <c r="X1008" s="415" t="s">
        <v>666</v>
      </c>
      <c r="Y1008" s="415"/>
    </row>
    <row r="1009" spans="1:25" hidden="1" x14ac:dyDescent="0.25">
      <c r="A1009" s="415">
        <v>1008</v>
      </c>
      <c r="B1009" s="415">
        <v>601</v>
      </c>
      <c r="C1009" s="415">
        <v>266919</v>
      </c>
      <c r="D1009" s="416" t="s">
        <v>1701</v>
      </c>
      <c r="E1009" s="416" t="s">
        <v>521</v>
      </c>
      <c r="F1009" s="416" t="s">
        <v>529</v>
      </c>
      <c r="G1009" s="416" t="s">
        <v>1702</v>
      </c>
      <c r="H1009" s="416" t="s">
        <v>1703</v>
      </c>
      <c r="I1009" s="416" t="s">
        <v>1704</v>
      </c>
      <c r="J1009" s="415" t="s">
        <v>661</v>
      </c>
      <c r="K1009" s="417">
        <v>-8.4876000000000005</v>
      </c>
      <c r="L1009" s="417">
        <v>-77.317099999999996</v>
      </c>
      <c r="M1009" s="418">
        <v>30</v>
      </c>
      <c r="N1009" s="418" t="s">
        <v>2310</v>
      </c>
      <c r="O1009" s="418" t="s">
        <v>3407</v>
      </c>
      <c r="P1009" s="415">
        <v>4</v>
      </c>
      <c r="Q1009" s="415">
        <v>30</v>
      </c>
      <c r="R1009" s="415">
        <v>5</v>
      </c>
      <c r="S1009" s="415">
        <f t="shared" si="45"/>
        <v>5</v>
      </c>
      <c r="T1009" s="419">
        <f t="shared" si="46"/>
        <v>0.83333333333333337</v>
      </c>
      <c r="U1009" s="419">
        <f t="shared" si="47"/>
        <v>5.833333333333333</v>
      </c>
      <c r="V1009" s="415" t="s">
        <v>662</v>
      </c>
      <c r="W1009" s="415" t="s">
        <v>616</v>
      </c>
      <c r="X1009" s="415" t="s">
        <v>666</v>
      </c>
      <c r="Y1009" s="415"/>
    </row>
    <row r="1010" spans="1:25" hidden="1" x14ac:dyDescent="0.25">
      <c r="A1010" s="415">
        <v>1009</v>
      </c>
      <c r="B1010" s="415">
        <v>602</v>
      </c>
      <c r="C1010" s="415">
        <v>266108</v>
      </c>
      <c r="D1010" s="416" t="s">
        <v>3598</v>
      </c>
      <c r="E1010" s="416" t="s">
        <v>521</v>
      </c>
      <c r="F1010" s="416" t="s">
        <v>529</v>
      </c>
      <c r="G1010" s="416" t="s">
        <v>942</v>
      </c>
      <c r="H1010" s="416" t="s">
        <v>3599</v>
      </c>
      <c r="I1010" s="416" t="s">
        <v>3600</v>
      </c>
      <c r="J1010" s="415" t="s">
        <v>661</v>
      </c>
      <c r="K1010" s="417">
        <v>-8.3260369999999995</v>
      </c>
      <c r="L1010" s="417">
        <v>-77.225853000000001</v>
      </c>
      <c r="M1010" s="418">
        <v>30</v>
      </c>
      <c r="N1010" s="418" t="s">
        <v>2310</v>
      </c>
      <c r="O1010" s="418" t="s">
        <v>3407</v>
      </c>
      <c r="P1010" s="415">
        <v>4</v>
      </c>
      <c r="Q1010" s="415">
        <v>30</v>
      </c>
      <c r="R1010" s="415">
        <v>5</v>
      </c>
      <c r="S1010" s="415">
        <f t="shared" si="45"/>
        <v>5</v>
      </c>
      <c r="T1010" s="419">
        <f t="shared" si="46"/>
        <v>0.83333333333333337</v>
      </c>
      <c r="U1010" s="419">
        <f t="shared" si="47"/>
        <v>5.833333333333333</v>
      </c>
      <c r="V1010" s="415" t="s">
        <v>662</v>
      </c>
      <c r="W1010" s="415" t="s">
        <v>616</v>
      </c>
      <c r="X1010" s="415" t="s">
        <v>666</v>
      </c>
      <c r="Y1010" s="415"/>
    </row>
    <row r="1011" spans="1:25" hidden="1" x14ac:dyDescent="0.25">
      <c r="A1011" s="415">
        <v>1010</v>
      </c>
      <c r="B1011" s="415">
        <v>603</v>
      </c>
      <c r="C1011" s="415">
        <v>268386</v>
      </c>
      <c r="D1011" s="416" t="s">
        <v>3601</v>
      </c>
      <c r="E1011" s="416" t="s">
        <v>521</v>
      </c>
      <c r="F1011" s="416" t="s">
        <v>529</v>
      </c>
      <c r="G1011" s="416" t="s">
        <v>1708</v>
      </c>
      <c r="H1011" s="416" t="s">
        <v>3602</v>
      </c>
      <c r="I1011" s="416" t="s">
        <v>3603</v>
      </c>
      <c r="J1011" s="415" t="s">
        <v>661</v>
      </c>
      <c r="K1011" s="417">
        <v>-8.3432999999999993</v>
      </c>
      <c r="L1011" s="417">
        <v>-77.401200000000003</v>
      </c>
      <c r="M1011" s="418">
        <v>30</v>
      </c>
      <c r="N1011" s="418" t="s">
        <v>2310</v>
      </c>
      <c r="O1011" s="418" t="s">
        <v>3407</v>
      </c>
      <c r="P1011" s="415">
        <v>4</v>
      </c>
      <c r="Q1011" s="415">
        <v>30</v>
      </c>
      <c r="R1011" s="415">
        <v>5</v>
      </c>
      <c r="S1011" s="415">
        <f t="shared" si="45"/>
        <v>5</v>
      </c>
      <c r="T1011" s="419">
        <f t="shared" si="46"/>
        <v>0.83333333333333337</v>
      </c>
      <c r="U1011" s="419">
        <f t="shared" si="47"/>
        <v>5.833333333333333</v>
      </c>
      <c r="V1011" s="415" t="s">
        <v>662</v>
      </c>
      <c r="W1011" s="415" t="s">
        <v>616</v>
      </c>
      <c r="X1011" s="415" t="s">
        <v>666</v>
      </c>
      <c r="Y1011" s="415"/>
    </row>
    <row r="1012" spans="1:25" hidden="1" x14ac:dyDescent="0.25">
      <c r="A1012" s="415">
        <v>1011</v>
      </c>
      <c r="B1012" s="415">
        <v>604</v>
      </c>
      <c r="C1012" s="415">
        <v>270087</v>
      </c>
      <c r="D1012" s="416" t="s">
        <v>1714</v>
      </c>
      <c r="E1012" s="416" t="s">
        <v>521</v>
      </c>
      <c r="F1012" s="416" t="s">
        <v>530</v>
      </c>
      <c r="G1012" s="416" t="s">
        <v>1711</v>
      </c>
      <c r="H1012" s="416" t="s">
        <v>1715</v>
      </c>
      <c r="I1012" s="416" t="s">
        <v>1715</v>
      </c>
      <c r="J1012" s="415" t="s">
        <v>661</v>
      </c>
      <c r="K1012" s="417">
        <v>-7.8433780000000004</v>
      </c>
      <c r="L1012" s="417">
        <v>-77.939908000000003</v>
      </c>
      <c r="M1012" s="418">
        <v>30</v>
      </c>
      <c r="N1012" s="418" t="s">
        <v>2310</v>
      </c>
      <c r="O1012" s="418" t="s">
        <v>3407</v>
      </c>
      <c r="P1012" s="415">
        <v>4</v>
      </c>
      <c r="Q1012" s="415">
        <v>30</v>
      </c>
      <c r="R1012" s="415">
        <v>5</v>
      </c>
      <c r="S1012" s="415">
        <f t="shared" si="45"/>
        <v>5</v>
      </c>
      <c r="T1012" s="419">
        <f t="shared" si="46"/>
        <v>0.83333333333333337</v>
      </c>
      <c r="U1012" s="419">
        <f t="shared" si="47"/>
        <v>5.833333333333333</v>
      </c>
      <c r="V1012" s="415" t="s">
        <v>662</v>
      </c>
      <c r="W1012" s="415" t="s">
        <v>616</v>
      </c>
      <c r="X1012" s="415" t="s">
        <v>666</v>
      </c>
      <c r="Y1012" s="415"/>
    </row>
    <row r="1013" spans="1:25" hidden="1" x14ac:dyDescent="0.25">
      <c r="A1013" s="415">
        <v>1012</v>
      </c>
      <c r="B1013" s="415">
        <v>605</v>
      </c>
      <c r="C1013" s="415">
        <v>270068</v>
      </c>
      <c r="D1013" s="416" t="s">
        <v>1712</v>
      </c>
      <c r="E1013" s="416" t="s">
        <v>521</v>
      </c>
      <c r="F1013" s="416" t="s">
        <v>530</v>
      </c>
      <c r="G1013" s="416" t="s">
        <v>1711</v>
      </c>
      <c r="H1013" s="416" t="s">
        <v>1713</v>
      </c>
      <c r="I1013" s="416" t="s">
        <v>1713</v>
      </c>
      <c r="J1013" s="415" t="s">
        <v>661</v>
      </c>
      <c r="K1013" s="417">
        <v>-7.8362800000000004</v>
      </c>
      <c r="L1013" s="417">
        <v>-77.937927999999999</v>
      </c>
      <c r="M1013" s="418">
        <v>30</v>
      </c>
      <c r="N1013" s="418" t="s">
        <v>2310</v>
      </c>
      <c r="O1013" s="418" t="s">
        <v>3407</v>
      </c>
      <c r="P1013" s="415">
        <v>4</v>
      </c>
      <c r="Q1013" s="415">
        <v>30</v>
      </c>
      <c r="R1013" s="415">
        <v>5</v>
      </c>
      <c r="S1013" s="415">
        <f t="shared" si="45"/>
        <v>5</v>
      </c>
      <c r="T1013" s="419">
        <f t="shared" si="46"/>
        <v>0.83333333333333337</v>
      </c>
      <c r="U1013" s="419">
        <f t="shared" si="47"/>
        <v>5.833333333333333</v>
      </c>
      <c r="V1013" s="415" t="s">
        <v>662</v>
      </c>
      <c r="W1013" s="415" t="s">
        <v>616</v>
      </c>
      <c r="X1013" s="415" t="s">
        <v>666</v>
      </c>
      <c r="Y1013" s="415"/>
    </row>
    <row r="1014" spans="1:25" hidden="1" x14ac:dyDescent="0.25">
      <c r="A1014" s="415">
        <v>1013</v>
      </c>
      <c r="B1014" s="415">
        <v>606</v>
      </c>
      <c r="C1014" s="415">
        <v>268683</v>
      </c>
      <c r="D1014" s="416" t="s">
        <v>3604</v>
      </c>
      <c r="E1014" s="416" t="s">
        <v>521</v>
      </c>
      <c r="F1014" s="416" t="s">
        <v>530</v>
      </c>
      <c r="G1014" s="416" t="s">
        <v>1707</v>
      </c>
      <c r="H1014" s="416" t="s">
        <v>3605</v>
      </c>
      <c r="I1014" s="416" t="s">
        <v>3606</v>
      </c>
      <c r="J1014" s="415" t="s">
        <v>661</v>
      </c>
      <c r="K1014" s="417">
        <v>-7.8373999999999997</v>
      </c>
      <c r="L1014" s="417">
        <v>-78.090100000000007</v>
      </c>
      <c r="M1014" s="418">
        <v>30</v>
      </c>
      <c r="N1014" s="418" t="s">
        <v>2310</v>
      </c>
      <c r="O1014" s="418" t="s">
        <v>3407</v>
      </c>
      <c r="P1014" s="415">
        <v>4</v>
      </c>
      <c r="Q1014" s="415">
        <v>30</v>
      </c>
      <c r="R1014" s="415">
        <v>5</v>
      </c>
      <c r="S1014" s="415">
        <f t="shared" si="45"/>
        <v>5</v>
      </c>
      <c r="T1014" s="419">
        <f t="shared" si="46"/>
        <v>0.83333333333333337</v>
      </c>
      <c r="U1014" s="419">
        <f t="shared" si="47"/>
        <v>5.833333333333333</v>
      </c>
      <c r="V1014" s="415" t="s">
        <v>662</v>
      </c>
      <c r="W1014" s="415" t="s">
        <v>616</v>
      </c>
      <c r="X1014" s="415" t="s">
        <v>666</v>
      </c>
      <c r="Y1014" s="415"/>
    </row>
    <row r="1015" spans="1:25" hidden="1" x14ac:dyDescent="0.25">
      <c r="A1015" s="415">
        <v>1014</v>
      </c>
      <c r="B1015" s="415">
        <v>607</v>
      </c>
      <c r="C1015" s="415">
        <v>268961</v>
      </c>
      <c r="D1015" s="416" t="s">
        <v>3607</v>
      </c>
      <c r="E1015" s="416" t="s">
        <v>521</v>
      </c>
      <c r="F1015" s="416" t="s">
        <v>530</v>
      </c>
      <c r="G1015" s="416" t="s">
        <v>1707</v>
      </c>
      <c r="H1015" s="416" t="s">
        <v>3608</v>
      </c>
      <c r="I1015" s="416" t="s">
        <v>3608</v>
      </c>
      <c r="J1015" s="415" t="s">
        <v>661</v>
      </c>
      <c r="K1015" s="417">
        <v>-7.758286</v>
      </c>
      <c r="L1015" s="417">
        <v>-78.005779000000004</v>
      </c>
      <c r="M1015" s="418">
        <v>30</v>
      </c>
      <c r="N1015" s="418" t="s">
        <v>2310</v>
      </c>
      <c r="O1015" s="418" t="s">
        <v>3407</v>
      </c>
      <c r="P1015" s="415">
        <v>4</v>
      </c>
      <c r="Q1015" s="415">
        <v>30</v>
      </c>
      <c r="R1015" s="415">
        <v>5</v>
      </c>
      <c r="S1015" s="415">
        <f t="shared" si="45"/>
        <v>5</v>
      </c>
      <c r="T1015" s="419">
        <f t="shared" si="46"/>
        <v>0.83333333333333337</v>
      </c>
      <c r="U1015" s="419">
        <f t="shared" si="47"/>
        <v>5.833333333333333</v>
      </c>
      <c r="V1015" s="415" t="s">
        <v>662</v>
      </c>
      <c r="W1015" s="415" t="s">
        <v>616</v>
      </c>
      <c r="X1015" s="415" t="s">
        <v>666</v>
      </c>
      <c r="Y1015" s="415"/>
    </row>
    <row r="1016" spans="1:25" hidden="1" x14ac:dyDescent="0.25">
      <c r="A1016" s="415">
        <v>1015</v>
      </c>
      <c r="B1016" s="415">
        <v>608</v>
      </c>
      <c r="C1016" s="415">
        <v>268843</v>
      </c>
      <c r="D1016" s="416" t="s">
        <v>3609</v>
      </c>
      <c r="E1016" s="416" t="s">
        <v>521</v>
      </c>
      <c r="F1016" s="416" t="s">
        <v>530</v>
      </c>
      <c r="G1016" s="416" t="s">
        <v>1707</v>
      </c>
      <c r="H1016" s="416" t="s">
        <v>3610</v>
      </c>
      <c r="I1016" s="416" t="s">
        <v>3610</v>
      </c>
      <c r="J1016" s="415" t="s">
        <v>661</v>
      </c>
      <c r="K1016" s="417">
        <v>-7.8884420000000004</v>
      </c>
      <c r="L1016" s="417">
        <v>-78.118668</v>
      </c>
      <c r="M1016" s="418">
        <v>30</v>
      </c>
      <c r="N1016" s="418" t="s">
        <v>2310</v>
      </c>
      <c r="O1016" s="418" t="s">
        <v>3407</v>
      </c>
      <c r="P1016" s="415">
        <v>4</v>
      </c>
      <c r="Q1016" s="415">
        <v>30</v>
      </c>
      <c r="R1016" s="415">
        <v>5</v>
      </c>
      <c r="S1016" s="415">
        <f t="shared" si="45"/>
        <v>5</v>
      </c>
      <c r="T1016" s="419">
        <f t="shared" si="46"/>
        <v>0.83333333333333337</v>
      </c>
      <c r="U1016" s="419">
        <f t="shared" si="47"/>
        <v>5.833333333333333</v>
      </c>
      <c r="V1016" s="415" t="s">
        <v>662</v>
      </c>
      <c r="W1016" s="415" t="s">
        <v>616</v>
      </c>
      <c r="X1016" s="415" t="s">
        <v>666</v>
      </c>
      <c r="Y1016" s="415"/>
    </row>
    <row r="1017" spans="1:25" hidden="1" x14ac:dyDescent="0.25">
      <c r="A1017" s="415">
        <v>1016</v>
      </c>
      <c r="B1017" s="415">
        <v>609</v>
      </c>
      <c r="C1017" s="415">
        <v>268782</v>
      </c>
      <c r="D1017" s="416" t="s">
        <v>3611</v>
      </c>
      <c r="E1017" s="416" t="s">
        <v>521</v>
      </c>
      <c r="F1017" s="416" t="s">
        <v>530</v>
      </c>
      <c r="G1017" s="416" t="s">
        <v>1707</v>
      </c>
      <c r="H1017" s="416" t="s">
        <v>3612</v>
      </c>
      <c r="I1017" s="416" t="s">
        <v>3612</v>
      </c>
      <c r="J1017" s="415" t="s">
        <v>661</v>
      </c>
      <c r="K1017" s="417">
        <v>-7.7444829999999998</v>
      </c>
      <c r="L1017" s="417">
        <v>-77.992286000000007</v>
      </c>
      <c r="M1017" s="418">
        <v>30</v>
      </c>
      <c r="N1017" s="418" t="s">
        <v>2310</v>
      </c>
      <c r="O1017" s="418" t="s">
        <v>3407</v>
      </c>
      <c r="P1017" s="415">
        <v>4</v>
      </c>
      <c r="Q1017" s="415">
        <v>30</v>
      </c>
      <c r="R1017" s="415">
        <v>5</v>
      </c>
      <c r="S1017" s="415">
        <f t="shared" si="45"/>
        <v>5</v>
      </c>
      <c r="T1017" s="419">
        <f t="shared" si="46"/>
        <v>0.83333333333333337</v>
      </c>
      <c r="U1017" s="419">
        <f t="shared" si="47"/>
        <v>5.833333333333333</v>
      </c>
      <c r="V1017" s="415" t="s">
        <v>662</v>
      </c>
      <c r="W1017" s="415" t="s">
        <v>616</v>
      </c>
      <c r="X1017" s="415" t="s">
        <v>666</v>
      </c>
      <c r="Y1017" s="415"/>
    </row>
    <row r="1018" spans="1:25" hidden="1" x14ac:dyDescent="0.25">
      <c r="A1018" s="415">
        <v>1017</v>
      </c>
      <c r="B1018" s="415">
        <v>610</v>
      </c>
      <c r="C1018" s="415">
        <v>363977</v>
      </c>
      <c r="D1018" s="416" t="s">
        <v>1710</v>
      </c>
      <c r="E1018" s="416" t="s">
        <v>521</v>
      </c>
      <c r="F1018" s="416" t="s">
        <v>530</v>
      </c>
      <c r="G1018" s="416" t="s">
        <v>1707</v>
      </c>
      <c r="H1018" s="416" t="s">
        <v>3613</v>
      </c>
      <c r="I1018" s="416" t="s">
        <v>3613</v>
      </c>
      <c r="J1018" s="415" t="s">
        <v>661</v>
      </c>
      <c r="K1018" s="417">
        <v>-7.7575000000000003</v>
      </c>
      <c r="L1018" s="417">
        <v>-78.016109999999998</v>
      </c>
      <c r="M1018" s="418">
        <v>30</v>
      </c>
      <c r="N1018" s="418" t="s">
        <v>2310</v>
      </c>
      <c r="O1018" s="418" t="s">
        <v>3407</v>
      </c>
      <c r="P1018" s="415">
        <v>4</v>
      </c>
      <c r="Q1018" s="415">
        <v>30</v>
      </c>
      <c r="R1018" s="415">
        <v>5</v>
      </c>
      <c r="S1018" s="415">
        <f t="shared" si="45"/>
        <v>5</v>
      </c>
      <c r="T1018" s="419">
        <f t="shared" si="46"/>
        <v>0.83333333333333337</v>
      </c>
      <c r="U1018" s="419">
        <f t="shared" si="47"/>
        <v>5.833333333333333</v>
      </c>
      <c r="V1018" s="415" t="s">
        <v>662</v>
      </c>
      <c r="W1018" s="415" t="s">
        <v>616</v>
      </c>
      <c r="X1018" s="415" t="s">
        <v>666</v>
      </c>
      <c r="Y1018" s="415"/>
    </row>
    <row r="1019" spans="1:25" hidden="1" x14ac:dyDescent="0.25">
      <c r="A1019" s="415">
        <v>1018</v>
      </c>
      <c r="B1019" s="415">
        <v>611</v>
      </c>
      <c r="C1019" s="415">
        <v>268800</v>
      </c>
      <c r="D1019" s="416" t="s">
        <v>3614</v>
      </c>
      <c r="E1019" s="416" t="s">
        <v>521</v>
      </c>
      <c r="F1019" s="416" t="s">
        <v>530</v>
      </c>
      <c r="G1019" s="416" t="s">
        <v>1707</v>
      </c>
      <c r="H1019" s="416" t="s">
        <v>3615</v>
      </c>
      <c r="I1019" s="416" t="s">
        <v>3615</v>
      </c>
      <c r="J1019" s="415" t="s">
        <v>661</v>
      </c>
      <c r="K1019" s="417">
        <v>-7.803267</v>
      </c>
      <c r="L1019" s="417">
        <v>-77.984993000000003</v>
      </c>
      <c r="M1019" s="418">
        <v>30</v>
      </c>
      <c r="N1019" s="418" t="s">
        <v>2310</v>
      </c>
      <c r="O1019" s="418" t="s">
        <v>3407</v>
      </c>
      <c r="P1019" s="415">
        <v>4</v>
      </c>
      <c r="Q1019" s="415">
        <v>30</v>
      </c>
      <c r="R1019" s="415">
        <v>5</v>
      </c>
      <c r="S1019" s="415">
        <f t="shared" si="45"/>
        <v>5</v>
      </c>
      <c r="T1019" s="419">
        <f t="shared" si="46"/>
        <v>0.83333333333333337</v>
      </c>
      <c r="U1019" s="419">
        <f t="shared" si="47"/>
        <v>5.833333333333333</v>
      </c>
      <c r="V1019" s="415" t="s">
        <v>662</v>
      </c>
      <c r="W1019" s="415" t="s">
        <v>616</v>
      </c>
      <c r="X1019" s="415" t="s">
        <v>666</v>
      </c>
      <c r="Y1019" s="415"/>
    </row>
    <row r="1020" spans="1:25" hidden="1" x14ac:dyDescent="0.25">
      <c r="A1020" s="415">
        <v>1019</v>
      </c>
      <c r="B1020" s="415">
        <v>612</v>
      </c>
      <c r="C1020" s="415">
        <v>268701</v>
      </c>
      <c r="D1020" s="416" t="s">
        <v>1706</v>
      </c>
      <c r="E1020" s="416" t="s">
        <v>521</v>
      </c>
      <c r="F1020" s="416" t="s">
        <v>530</v>
      </c>
      <c r="G1020" s="416" t="s">
        <v>1707</v>
      </c>
      <c r="H1020" s="416" t="s">
        <v>1708</v>
      </c>
      <c r="I1020" s="416" t="s">
        <v>1709</v>
      </c>
      <c r="J1020" s="415" t="s">
        <v>661</v>
      </c>
      <c r="K1020" s="417">
        <v>-7.7901939999999996</v>
      </c>
      <c r="L1020" s="417">
        <v>-78.095438000000001</v>
      </c>
      <c r="M1020" s="418">
        <v>30</v>
      </c>
      <c r="N1020" s="418" t="s">
        <v>2310</v>
      </c>
      <c r="O1020" s="418" t="s">
        <v>3407</v>
      </c>
      <c r="P1020" s="415">
        <v>4</v>
      </c>
      <c r="Q1020" s="415">
        <v>30</v>
      </c>
      <c r="R1020" s="415">
        <v>5</v>
      </c>
      <c r="S1020" s="415">
        <f t="shared" si="45"/>
        <v>5</v>
      </c>
      <c r="T1020" s="419">
        <f t="shared" si="46"/>
        <v>0.83333333333333337</v>
      </c>
      <c r="U1020" s="419">
        <f t="shared" si="47"/>
        <v>5.833333333333333</v>
      </c>
      <c r="V1020" s="415" t="s">
        <v>662</v>
      </c>
      <c r="W1020" s="415" t="s">
        <v>616</v>
      </c>
      <c r="X1020" s="415" t="s">
        <v>666</v>
      </c>
      <c r="Y1020" s="415"/>
    </row>
    <row r="1021" spans="1:25" hidden="1" x14ac:dyDescent="0.25">
      <c r="A1021" s="415">
        <v>1020</v>
      </c>
      <c r="B1021" s="415">
        <v>613</v>
      </c>
      <c r="C1021" s="415">
        <v>270346</v>
      </c>
      <c r="D1021" s="416" t="s">
        <v>1724</v>
      </c>
      <c r="E1021" s="416" t="s">
        <v>521</v>
      </c>
      <c r="F1021" s="416" t="s">
        <v>530</v>
      </c>
      <c r="G1021" s="416" t="s">
        <v>1717</v>
      </c>
      <c r="H1021" s="416" t="s">
        <v>1725</v>
      </c>
      <c r="I1021" s="416" t="s">
        <v>1725</v>
      </c>
      <c r="J1021" s="415" t="s">
        <v>661</v>
      </c>
      <c r="K1021" s="417">
        <v>-7.7320599999999997</v>
      </c>
      <c r="L1021" s="417">
        <v>-78.043660000000003</v>
      </c>
      <c r="M1021" s="418">
        <v>30</v>
      </c>
      <c r="N1021" s="418" t="s">
        <v>2310</v>
      </c>
      <c r="O1021" s="418" t="s">
        <v>3407</v>
      </c>
      <c r="P1021" s="415">
        <v>4</v>
      </c>
      <c r="Q1021" s="415">
        <v>30</v>
      </c>
      <c r="R1021" s="415">
        <v>5</v>
      </c>
      <c r="S1021" s="415">
        <f t="shared" si="45"/>
        <v>5</v>
      </c>
      <c r="T1021" s="419">
        <f t="shared" si="46"/>
        <v>0.83333333333333337</v>
      </c>
      <c r="U1021" s="419">
        <f t="shared" si="47"/>
        <v>5.833333333333333</v>
      </c>
      <c r="V1021" s="415" t="s">
        <v>662</v>
      </c>
      <c r="W1021" s="415" t="s">
        <v>616</v>
      </c>
      <c r="X1021" s="415" t="s">
        <v>666</v>
      </c>
      <c r="Y1021" s="415"/>
    </row>
    <row r="1022" spans="1:25" hidden="1" x14ac:dyDescent="0.25">
      <c r="A1022" s="415">
        <v>1021</v>
      </c>
      <c r="B1022" s="415">
        <v>614</v>
      </c>
      <c r="C1022" s="415">
        <v>270228</v>
      </c>
      <c r="D1022" s="416" t="s">
        <v>1720</v>
      </c>
      <c r="E1022" s="416" t="s">
        <v>521</v>
      </c>
      <c r="F1022" s="416" t="s">
        <v>530</v>
      </c>
      <c r="G1022" s="416" t="s">
        <v>1717</v>
      </c>
      <c r="H1022" s="416" t="s">
        <v>1721</v>
      </c>
      <c r="I1022" s="416" t="s">
        <v>1721</v>
      </c>
      <c r="J1022" s="415" t="s">
        <v>661</v>
      </c>
      <c r="K1022" s="417">
        <v>-7.7140620000000002</v>
      </c>
      <c r="L1022" s="417">
        <v>-78.016784999999999</v>
      </c>
      <c r="M1022" s="418">
        <v>30</v>
      </c>
      <c r="N1022" s="418" t="s">
        <v>2310</v>
      </c>
      <c r="O1022" s="418" t="s">
        <v>3407</v>
      </c>
      <c r="P1022" s="415">
        <v>4</v>
      </c>
      <c r="Q1022" s="415">
        <v>30</v>
      </c>
      <c r="R1022" s="415">
        <v>5</v>
      </c>
      <c r="S1022" s="415">
        <f t="shared" si="45"/>
        <v>5</v>
      </c>
      <c r="T1022" s="419">
        <f t="shared" si="46"/>
        <v>0.83333333333333337</v>
      </c>
      <c r="U1022" s="419">
        <f t="shared" si="47"/>
        <v>5.833333333333333</v>
      </c>
      <c r="V1022" s="415" t="s">
        <v>662</v>
      </c>
      <c r="W1022" s="415" t="s">
        <v>616</v>
      </c>
      <c r="X1022" s="415" t="s">
        <v>666</v>
      </c>
      <c r="Y1022" s="415"/>
    </row>
    <row r="1023" spans="1:25" hidden="1" x14ac:dyDescent="0.25">
      <c r="A1023" s="415">
        <v>1022</v>
      </c>
      <c r="B1023" s="415">
        <v>615</v>
      </c>
      <c r="C1023" s="415">
        <v>270167</v>
      </c>
      <c r="D1023" s="416" t="s">
        <v>1716</v>
      </c>
      <c r="E1023" s="416" t="s">
        <v>521</v>
      </c>
      <c r="F1023" s="416" t="s">
        <v>530</v>
      </c>
      <c r="G1023" s="416" t="s">
        <v>1717</v>
      </c>
      <c r="H1023" s="416" t="s">
        <v>1717</v>
      </c>
      <c r="I1023" s="416" t="s">
        <v>1718</v>
      </c>
      <c r="J1023" s="415" t="s">
        <v>661</v>
      </c>
      <c r="K1023" s="417">
        <v>-7.7060370000000002</v>
      </c>
      <c r="L1023" s="417">
        <v>-78.033371000000002</v>
      </c>
      <c r="M1023" s="418">
        <v>30</v>
      </c>
      <c r="N1023" s="418" t="s">
        <v>2310</v>
      </c>
      <c r="O1023" s="418" t="s">
        <v>3407</v>
      </c>
      <c r="P1023" s="415">
        <v>4</v>
      </c>
      <c r="Q1023" s="415">
        <v>30</v>
      </c>
      <c r="R1023" s="415">
        <v>5</v>
      </c>
      <c r="S1023" s="415">
        <f t="shared" si="45"/>
        <v>5</v>
      </c>
      <c r="T1023" s="419">
        <f t="shared" si="46"/>
        <v>0.83333333333333337</v>
      </c>
      <c r="U1023" s="419">
        <f t="shared" si="47"/>
        <v>5.833333333333333</v>
      </c>
      <c r="V1023" s="415" t="s">
        <v>662</v>
      </c>
      <c r="W1023" s="415" t="s">
        <v>616</v>
      </c>
      <c r="X1023" s="415" t="s">
        <v>666</v>
      </c>
      <c r="Y1023" s="415"/>
    </row>
    <row r="1024" spans="1:25" hidden="1" x14ac:dyDescent="0.25">
      <c r="A1024" s="415">
        <v>1023</v>
      </c>
      <c r="B1024" s="415">
        <v>616</v>
      </c>
      <c r="C1024" s="415">
        <v>270214</v>
      </c>
      <c r="D1024" s="416" t="s">
        <v>1719</v>
      </c>
      <c r="E1024" s="416" t="s">
        <v>521</v>
      </c>
      <c r="F1024" s="416" t="s">
        <v>530</v>
      </c>
      <c r="G1024" s="416" t="s">
        <v>1717</v>
      </c>
      <c r="H1024" s="416" t="s">
        <v>472</v>
      </c>
      <c r="I1024" s="416" t="s">
        <v>472</v>
      </c>
      <c r="J1024" s="415" t="s">
        <v>661</v>
      </c>
      <c r="K1024" s="417">
        <v>-7.6983990000000002</v>
      </c>
      <c r="L1024" s="417">
        <v>-78.019704000000004</v>
      </c>
      <c r="M1024" s="418">
        <v>30</v>
      </c>
      <c r="N1024" s="418" t="s">
        <v>2310</v>
      </c>
      <c r="O1024" s="418" t="s">
        <v>3407</v>
      </c>
      <c r="P1024" s="415">
        <v>4</v>
      </c>
      <c r="Q1024" s="415">
        <v>30</v>
      </c>
      <c r="R1024" s="415">
        <v>5</v>
      </c>
      <c r="S1024" s="415">
        <f t="shared" si="45"/>
        <v>5</v>
      </c>
      <c r="T1024" s="419">
        <f t="shared" si="46"/>
        <v>0.83333333333333337</v>
      </c>
      <c r="U1024" s="419">
        <f t="shared" si="47"/>
        <v>5.833333333333333</v>
      </c>
      <c r="V1024" s="415" t="s">
        <v>662</v>
      </c>
      <c r="W1024" s="415" t="s">
        <v>616</v>
      </c>
      <c r="X1024" s="415" t="s">
        <v>666</v>
      </c>
      <c r="Y1024" s="415"/>
    </row>
    <row r="1025" spans="1:25" hidden="1" x14ac:dyDescent="0.25">
      <c r="A1025" s="415">
        <v>1024</v>
      </c>
      <c r="B1025" s="415">
        <v>617</v>
      </c>
      <c r="C1025" s="415">
        <v>270394</v>
      </c>
      <c r="D1025" s="416" t="s">
        <v>1726</v>
      </c>
      <c r="E1025" s="416" t="s">
        <v>521</v>
      </c>
      <c r="F1025" s="416" t="s">
        <v>530</v>
      </c>
      <c r="G1025" s="416" t="s">
        <v>1717</v>
      </c>
      <c r="H1025" s="416" t="s">
        <v>1727</v>
      </c>
      <c r="I1025" s="416" t="s">
        <v>1728</v>
      </c>
      <c r="J1025" s="415" t="s">
        <v>661</v>
      </c>
      <c r="K1025" s="417">
        <v>-7.7318220000000002</v>
      </c>
      <c r="L1025" s="417">
        <v>-77.968664000000004</v>
      </c>
      <c r="M1025" s="418">
        <v>30</v>
      </c>
      <c r="N1025" s="418" t="s">
        <v>2310</v>
      </c>
      <c r="O1025" s="418" t="s">
        <v>3407</v>
      </c>
      <c r="P1025" s="415">
        <v>4</v>
      </c>
      <c r="Q1025" s="415">
        <v>30</v>
      </c>
      <c r="R1025" s="415">
        <v>5</v>
      </c>
      <c r="S1025" s="415">
        <f t="shared" si="45"/>
        <v>5</v>
      </c>
      <c r="T1025" s="419">
        <f t="shared" si="46"/>
        <v>0.83333333333333337</v>
      </c>
      <c r="U1025" s="419">
        <f t="shared" si="47"/>
        <v>5.833333333333333</v>
      </c>
      <c r="V1025" s="415" t="s">
        <v>662</v>
      </c>
      <c r="W1025" s="415" t="s">
        <v>616</v>
      </c>
      <c r="X1025" s="415" t="s">
        <v>666</v>
      </c>
      <c r="Y1025" s="415"/>
    </row>
    <row r="1026" spans="1:25" hidden="1" x14ac:dyDescent="0.25">
      <c r="A1026" s="415">
        <v>1025</v>
      </c>
      <c r="B1026" s="415">
        <v>618</v>
      </c>
      <c r="C1026" s="415">
        <v>270327</v>
      </c>
      <c r="D1026" s="416" t="s">
        <v>1722</v>
      </c>
      <c r="E1026" s="416" t="s">
        <v>521</v>
      </c>
      <c r="F1026" s="416" t="s">
        <v>530</v>
      </c>
      <c r="G1026" s="416" t="s">
        <v>1717</v>
      </c>
      <c r="H1026" s="416" t="s">
        <v>1723</v>
      </c>
      <c r="I1026" s="416" t="s">
        <v>1723</v>
      </c>
      <c r="J1026" s="415" t="s">
        <v>661</v>
      </c>
      <c r="K1026" s="417">
        <v>-7.7123290000000004</v>
      </c>
      <c r="L1026" s="417">
        <v>-77.987641999999994</v>
      </c>
      <c r="M1026" s="418">
        <v>30</v>
      </c>
      <c r="N1026" s="418" t="s">
        <v>2310</v>
      </c>
      <c r="O1026" s="418" t="s">
        <v>3407</v>
      </c>
      <c r="P1026" s="415">
        <v>4</v>
      </c>
      <c r="Q1026" s="415">
        <v>30</v>
      </c>
      <c r="R1026" s="415">
        <v>5</v>
      </c>
      <c r="S1026" s="415">
        <f t="shared" si="45"/>
        <v>5</v>
      </c>
      <c r="T1026" s="419">
        <f t="shared" si="46"/>
        <v>0.83333333333333337</v>
      </c>
      <c r="U1026" s="419">
        <f t="shared" si="47"/>
        <v>5.833333333333333</v>
      </c>
      <c r="V1026" s="415" t="s">
        <v>662</v>
      </c>
      <c r="W1026" s="415" t="s">
        <v>616</v>
      </c>
      <c r="X1026" s="415" t="s">
        <v>666</v>
      </c>
      <c r="Y1026" s="415"/>
    </row>
    <row r="1027" spans="1:25" hidden="1" x14ac:dyDescent="0.25">
      <c r="A1027" s="415">
        <v>1026</v>
      </c>
      <c r="B1027" s="415">
        <v>619</v>
      </c>
      <c r="C1027" s="415">
        <v>270520</v>
      </c>
      <c r="D1027" s="416" t="s">
        <v>3616</v>
      </c>
      <c r="E1027" s="416" t="s">
        <v>521</v>
      </c>
      <c r="F1027" s="416" t="s">
        <v>530</v>
      </c>
      <c r="G1027" s="416" t="s">
        <v>1729</v>
      </c>
      <c r="H1027" s="416" t="s">
        <v>3617</v>
      </c>
      <c r="I1027" s="416" t="s">
        <v>3617</v>
      </c>
      <c r="J1027" s="415" t="s">
        <v>661</v>
      </c>
      <c r="K1027" s="417">
        <v>-7.8185659999999997</v>
      </c>
      <c r="L1027" s="417">
        <v>-78.159715000000006</v>
      </c>
      <c r="M1027" s="418">
        <v>30</v>
      </c>
      <c r="N1027" s="418" t="s">
        <v>2310</v>
      </c>
      <c r="O1027" s="418" t="s">
        <v>3407</v>
      </c>
      <c r="P1027" s="415">
        <v>4</v>
      </c>
      <c r="Q1027" s="415">
        <v>30</v>
      </c>
      <c r="R1027" s="415">
        <v>5</v>
      </c>
      <c r="S1027" s="415">
        <f t="shared" ref="S1027:S1090" si="48">Q1027/$AB$1</f>
        <v>5</v>
      </c>
      <c r="T1027" s="419">
        <f t="shared" ref="T1027:T1090" si="49">R1027/$AB$1</f>
        <v>0.83333333333333337</v>
      </c>
      <c r="U1027" s="419">
        <f t="shared" ref="U1027:U1090" si="50">S1027+T1027</f>
        <v>5.833333333333333</v>
      </c>
      <c r="V1027" s="415" t="s">
        <v>662</v>
      </c>
      <c r="W1027" s="415" t="s">
        <v>616</v>
      </c>
      <c r="X1027" s="415" t="s">
        <v>666</v>
      </c>
      <c r="Y1027" s="415"/>
    </row>
    <row r="1028" spans="1:25" hidden="1" x14ac:dyDescent="0.25">
      <c r="A1028" s="415">
        <v>1027</v>
      </c>
      <c r="B1028" s="415">
        <v>620</v>
      </c>
      <c r="C1028" s="415">
        <v>272411</v>
      </c>
      <c r="D1028" s="416" t="s">
        <v>3618</v>
      </c>
      <c r="E1028" s="416" t="s">
        <v>521</v>
      </c>
      <c r="F1028" s="416" t="s">
        <v>531</v>
      </c>
      <c r="G1028" s="416" t="s">
        <v>1733</v>
      </c>
      <c r="H1028" s="416" t="s">
        <v>1733</v>
      </c>
      <c r="I1028" s="416" t="s">
        <v>3619</v>
      </c>
      <c r="J1028" s="415" t="s">
        <v>747</v>
      </c>
      <c r="K1028" s="417">
        <v>-8.0954979999999992</v>
      </c>
      <c r="L1028" s="417">
        <v>-78.152550000000005</v>
      </c>
      <c r="M1028" s="418">
        <v>30</v>
      </c>
      <c r="N1028" s="418" t="s">
        <v>2310</v>
      </c>
      <c r="O1028" s="418" t="s">
        <v>3407</v>
      </c>
      <c r="P1028" s="415">
        <v>4</v>
      </c>
      <c r="Q1028" s="415">
        <v>30</v>
      </c>
      <c r="R1028" s="415">
        <v>5</v>
      </c>
      <c r="S1028" s="415">
        <f t="shared" si="48"/>
        <v>5</v>
      </c>
      <c r="T1028" s="419">
        <f t="shared" si="49"/>
        <v>0.83333333333333337</v>
      </c>
      <c r="U1028" s="419">
        <f t="shared" si="50"/>
        <v>5.833333333333333</v>
      </c>
      <c r="V1028" s="415" t="s">
        <v>662</v>
      </c>
      <c r="W1028" s="415" t="s">
        <v>616</v>
      </c>
      <c r="X1028" s="415" t="s">
        <v>666</v>
      </c>
      <c r="Y1028" s="415"/>
    </row>
    <row r="1029" spans="1:25" hidden="1" x14ac:dyDescent="0.25">
      <c r="A1029" s="415">
        <v>1028</v>
      </c>
      <c r="B1029" s="415">
        <v>621</v>
      </c>
      <c r="C1029" s="415">
        <v>272519</v>
      </c>
      <c r="D1029" s="416" t="s">
        <v>1007</v>
      </c>
      <c r="E1029" s="416" t="s">
        <v>521</v>
      </c>
      <c r="F1029" s="416" t="s">
        <v>531</v>
      </c>
      <c r="G1029" s="416" t="s">
        <v>1733</v>
      </c>
      <c r="H1029" s="416" t="s">
        <v>1733</v>
      </c>
      <c r="I1029" s="416" t="s">
        <v>3620</v>
      </c>
      <c r="J1029" s="415" t="s">
        <v>747</v>
      </c>
      <c r="K1029" s="417">
        <v>-8.0953029999999995</v>
      </c>
      <c r="L1029" s="417">
        <v>-78.152038000000005</v>
      </c>
      <c r="M1029" s="418">
        <v>30</v>
      </c>
      <c r="N1029" s="418" t="s">
        <v>2310</v>
      </c>
      <c r="O1029" s="418" t="s">
        <v>3407</v>
      </c>
      <c r="P1029" s="415">
        <v>4</v>
      </c>
      <c r="Q1029" s="415">
        <v>30</v>
      </c>
      <c r="R1029" s="415">
        <v>5</v>
      </c>
      <c r="S1029" s="415">
        <f t="shared" si="48"/>
        <v>5</v>
      </c>
      <c r="T1029" s="419">
        <f t="shared" si="49"/>
        <v>0.83333333333333337</v>
      </c>
      <c r="U1029" s="419">
        <f t="shared" si="50"/>
        <v>5.833333333333333</v>
      </c>
      <c r="V1029" s="415" t="s">
        <v>662</v>
      </c>
      <c r="W1029" s="415" t="s">
        <v>616</v>
      </c>
      <c r="X1029" s="415" t="s">
        <v>666</v>
      </c>
      <c r="Y1029" s="415"/>
    </row>
    <row r="1030" spans="1:25" hidden="1" x14ac:dyDescent="0.25">
      <c r="A1030" s="415">
        <v>1029</v>
      </c>
      <c r="B1030" s="415">
        <v>622</v>
      </c>
      <c r="C1030" s="415">
        <v>272661</v>
      </c>
      <c r="D1030" s="416" t="s">
        <v>3621</v>
      </c>
      <c r="E1030" s="416" t="s">
        <v>521</v>
      </c>
      <c r="F1030" s="416" t="s">
        <v>531</v>
      </c>
      <c r="G1030" s="416" t="s">
        <v>3622</v>
      </c>
      <c r="H1030" s="416" t="s">
        <v>3623</v>
      </c>
      <c r="I1030" s="416" t="s">
        <v>3624</v>
      </c>
      <c r="J1030" s="415" t="s">
        <v>661</v>
      </c>
      <c r="K1030" s="417">
        <v>-8.1727670000000003</v>
      </c>
      <c r="L1030" s="417">
        <v>-77.956532999999993</v>
      </c>
      <c r="M1030" s="418">
        <v>30</v>
      </c>
      <c r="N1030" s="418" t="s">
        <v>2310</v>
      </c>
      <c r="O1030" s="418" t="s">
        <v>3407</v>
      </c>
      <c r="P1030" s="415">
        <v>4</v>
      </c>
      <c r="Q1030" s="415">
        <v>30</v>
      </c>
      <c r="R1030" s="415">
        <v>5</v>
      </c>
      <c r="S1030" s="415">
        <f t="shared" si="48"/>
        <v>5</v>
      </c>
      <c r="T1030" s="419">
        <f t="shared" si="49"/>
        <v>0.83333333333333337</v>
      </c>
      <c r="U1030" s="419">
        <f t="shared" si="50"/>
        <v>5.833333333333333</v>
      </c>
      <c r="V1030" s="415" t="s">
        <v>662</v>
      </c>
      <c r="W1030" s="415" t="s">
        <v>616</v>
      </c>
      <c r="X1030" s="415" t="s">
        <v>666</v>
      </c>
      <c r="Y1030" s="415"/>
    </row>
    <row r="1031" spans="1:25" hidden="1" x14ac:dyDescent="0.25">
      <c r="A1031" s="415">
        <v>1030</v>
      </c>
      <c r="B1031" s="415">
        <v>623</v>
      </c>
      <c r="C1031" s="415">
        <v>273000</v>
      </c>
      <c r="D1031" s="416" t="s">
        <v>3625</v>
      </c>
      <c r="E1031" s="416" t="s">
        <v>521</v>
      </c>
      <c r="F1031" s="416" t="s">
        <v>531</v>
      </c>
      <c r="G1031" s="416" t="s">
        <v>3626</v>
      </c>
      <c r="H1031" s="416" t="s">
        <v>3627</v>
      </c>
      <c r="I1031" s="416" t="s">
        <v>3627</v>
      </c>
      <c r="J1031" s="415" t="s">
        <v>661</v>
      </c>
      <c r="K1031" s="417">
        <v>-8.0127330000000008</v>
      </c>
      <c r="L1031" s="417">
        <v>-78.331881999999993</v>
      </c>
      <c r="M1031" s="418">
        <v>30</v>
      </c>
      <c r="N1031" s="418" t="s">
        <v>2310</v>
      </c>
      <c r="O1031" s="418" t="s">
        <v>3407</v>
      </c>
      <c r="P1031" s="415">
        <v>4</v>
      </c>
      <c r="Q1031" s="415">
        <v>30</v>
      </c>
      <c r="R1031" s="415">
        <v>5</v>
      </c>
      <c r="S1031" s="415">
        <f t="shared" si="48"/>
        <v>5</v>
      </c>
      <c r="T1031" s="419">
        <f t="shared" si="49"/>
        <v>0.83333333333333337</v>
      </c>
      <c r="U1031" s="419">
        <f t="shared" si="50"/>
        <v>5.833333333333333</v>
      </c>
      <c r="V1031" s="415" t="s">
        <v>662</v>
      </c>
      <c r="W1031" s="415" t="s">
        <v>616</v>
      </c>
      <c r="X1031" s="415" t="s">
        <v>666</v>
      </c>
      <c r="Y1031" s="415"/>
    </row>
    <row r="1032" spans="1:25" hidden="1" x14ac:dyDescent="0.25">
      <c r="A1032" s="415">
        <v>1031</v>
      </c>
      <c r="B1032" s="415">
        <v>624</v>
      </c>
      <c r="C1032" s="415">
        <v>272915</v>
      </c>
      <c r="D1032" s="416" t="s">
        <v>3628</v>
      </c>
      <c r="E1032" s="416" t="s">
        <v>521</v>
      </c>
      <c r="F1032" s="416" t="s">
        <v>531</v>
      </c>
      <c r="G1032" s="416" t="s">
        <v>3626</v>
      </c>
      <c r="H1032" s="416" t="s">
        <v>3629</v>
      </c>
      <c r="I1032" s="416" t="s">
        <v>3629</v>
      </c>
      <c r="J1032" s="415" t="s">
        <v>661</v>
      </c>
      <c r="K1032" s="417">
        <v>-8.0165400000000009</v>
      </c>
      <c r="L1032" s="417">
        <v>-78.335696999999996</v>
      </c>
      <c r="M1032" s="418">
        <v>30</v>
      </c>
      <c r="N1032" s="418" t="s">
        <v>2310</v>
      </c>
      <c r="O1032" s="418" t="s">
        <v>3407</v>
      </c>
      <c r="P1032" s="415">
        <v>4</v>
      </c>
      <c r="Q1032" s="415">
        <v>30</v>
      </c>
      <c r="R1032" s="415">
        <v>5</v>
      </c>
      <c r="S1032" s="415">
        <f t="shared" si="48"/>
        <v>5</v>
      </c>
      <c r="T1032" s="419">
        <f t="shared" si="49"/>
        <v>0.83333333333333337</v>
      </c>
      <c r="U1032" s="419">
        <f t="shared" si="50"/>
        <v>5.833333333333333</v>
      </c>
      <c r="V1032" s="415" t="s">
        <v>662</v>
      </c>
      <c r="W1032" s="415" t="s">
        <v>616</v>
      </c>
      <c r="X1032" s="415" t="s">
        <v>666</v>
      </c>
      <c r="Y1032" s="415"/>
    </row>
    <row r="1033" spans="1:25" hidden="1" x14ac:dyDescent="0.25">
      <c r="A1033" s="415">
        <v>1032</v>
      </c>
      <c r="B1033" s="415">
        <v>625</v>
      </c>
      <c r="C1033" s="415">
        <v>271483</v>
      </c>
      <c r="D1033" s="416" t="s">
        <v>1731</v>
      </c>
      <c r="E1033" s="416" t="s">
        <v>521</v>
      </c>
      <c r="F1033" s="416" t="s">
        <v>531</v>
      </c>
      <c r="G1033" s="416" t="s">
        <v>531</v>
      </c>
      <c r="H1033" s="416" t="s">
        <v>1732</v>
      </c>
      <c r="I1033" s="416" t="s">
        <v>1732</v>
      </c>
      <c r="J1033" s="415" t="s">
        <v>661</v>
      </c>
      <c r="K1033" s="417">
        <v>-8.1651000000000007</v>
      </c>
      <c r="L1033" s="417">
        <v>-78.195272000000003</v>
      </c>
      <c r="M1033" s="418">
        <v>30</v>
      </c>
      <c r="N1033" s="418" t="s">
        <v>2310</v>
      </c>
      <c r="O1033" s="418" t="s">
        <v>3407</v>
      </c>
      <c r="P1033" s="415">
        <v>4</v>
      </c>
      <c r="Q1033" s="415">
        <v>30</v>
      </c>
      <c r="R1033" s="415">
        <v>5</v>
      </c>
      <c r="S1033" s="415">
        <f t="shared" si="48"/>
        <v>5</v>
      </c>
      <c r="T1033" s="419">
        <f t="shared" si="49"/>
        <v>0.83333333333333337</v>
      </c>
      <c r="U1033" s="419">
        <f t="shared" si="50"/>
        <v>5.833333333333333</v>
      </c>
      <c r="V1033" s="415" t="s">
        <v>662</v>
      </c>
      <c r="W1033" s="415" t="s">
        <v>616</v>
      </c>
      <c r="X1033" s="415" t="s">
        <v>666</v>
      </c>
      <c r="Y1033" s="415"/>
    </row>
    <row r="1034" spans="1:25" hidden="1" x14ac:dyDescent="0.25">
      <c r="A1034" s="415">
        <v>1033</v>
      </c>
      <c r="B1034" s="415">
        <v>626</v>
      </c>
      <c r="C1034" s="415">
        <v>253460</v>
      </c>
      <c r="D1034" s="416" t="s">
        <v>3630</v>
      </c>
      <c r="E1034" s="416" t="s">
        <v>521</v>
      </c>
      <c r="F1034" s="416" t="s">
        <v>522</v>
      </c>
      <c r="G1034" s="416" t="s">
        <v>3631</v>
      </c>
      <c r="H1034" s="416" t="s">
        <v>3631</v>
      </c>
      <c r="I1034" s="416" t="s">
        <v>3632</v>
      </c>
      <c r="J1034" s="415" t="s">
        <v>747</v>
      </c>
      <c r="K1034" s="417">
        <v>-8.1054999999999993</v>
      </c>
      <c r="L1034" s="417">
        <v>-79.099500000000006</v>
      </c>
      <c r="M1034" s="418">
        <v>30</v>
      </c>
      <c r="N1034" s="418" t="s">
        <v>2310</v>
      </c>
      <c r="O1034" s="418" t="s">
        <v>3407</v>
      </c>
      <c r="P1034" s="415">
        <v>4</v>
      </c>
      <c r="Q1034" s="415">
        <v>30</v>
      </c>
      <c r="R1034" s="415">
        <v>5</v>
      </c>
      <c r="S1034" s="415">
        <f t="shared" si="48"/>
        <v>5</v>
      </c>
      <c r="T1034" s="419">
        <f t="shared" si="49"/>
        <v>0.83333333333333337</v>
      </c>
      <c r="U1034" s="419">
        <f t="shared" si="50"/>
        <v>5.833333333333333</v>
      </c>
      <c r="V1034" s="415" t="s">
        <v>662</v>
      </c>
      <c r="W1034" s="415" t="s">
        <v>616</v>
      </c>
      <c r="X1034" s="415" t="s">
        <v>666</v>
      </c>
      <c r="Y1034" s="415"/>
    </row>
    <row r="1035" spans="1:25" hidden="1" x14ac:dyDescent="0.25">
      <c r="A1035" s="415">
        <v>1034</v>
      </c>
      <c r="B1035" s="415">
        <v>627</v>
      </c>
      <c r="C1035" s="415">
        <v>253511</v>
      </c>
      <c r="D1035" s="416" t="s">
        <v>3633</v>
      </c>
      <c r="E1035" s="416" t="s">
        <v>521</v>
      </c>
      <c r="F1035" s="416" t="s">
        <v>522</v>
      </c>
      <c r="G1035" s="416" t="s">
        <v>3631</v>
      </c>
      <c r="H1035" s="416" t="s">
        <v>3631</v>
      </c>
      <c r="I1035" s="416" t="s">
        <v>3634</v>
      </c>
      <c r="J1035" s="415" t="s">
        <v>747</v>
      </c>
      <c r="K1035" s="417">
        <v>-8.0684000000000005</v>
      </c>
      <c r="L1035" s="417">
        <v>-79.075950000000006</v>
      </c>
      <c r="M1035" s="418">
        <v>30</v>
      </c>
      <c r="N1035" s="418" t="s">
        <v>2310</v>
      </c>
      <c r="O1035" s="418" t="s">
        <v>3407</v>
      </c>
      <c r="P1035" s="415">
        <v>4</v>
      </c>
      <c r="Q1035" s="415">
        <v>30</v>
      </c>
      <c r="R1035" s="415">
        <v>5</v>
      </c>
      <c r="S1035" s="415">
        <f t="shared" si="48"/>
        <v>5</v>
      </c>
      <c r="T1035" s="419">
        <f t="shared" si="49"/>
        <v>0.83333333333333337</v>
      </c>
      <c r="U1035" s="419">
        <f t="shared" si="50"/>
        <v>5.833333333333333</v>
      </c>
      <c r="V1035" s="415" t="s">
        <v>662</v>
      </c>
      <c r="W1035" s="415" t="s">
        <v>616</v>
      </c>
      <c r="X1035" s="415" t="s">
        <v>666</v>
      </c>
      <c r="Y1035" s="415"/>
    </row>
    <row r="1036" spans="1:25" hidden="1" x14ac:dyDescent="0.25">
      <c r="A1036" s="415">
        <v>1035</v>
      </c>
      <c r="B1036" s="415">
        <v>628</v>
      </c>
      <c r="C1036" s="415">
        <v>253525</v>
      </c>
      <c r="D1036" s="416" t="s">
        <v>3635</v>
      </c>
      <c r="E1036" s="416" t="s">
        <v>521</v>
      </c>
      <c r="F1036" s="416" t="s">
        <v>522</v>
      </c>
      <c r="G1036" s="416" t="s">
        <v>3631</v>
      </c>
      <c r="H1036" s="416" t="s">
        <v>3631</v>
      </c>
      <c r="I1036" s="416" t="s">
        <v>3636</v>
      </c>
      <c r="J1036" s="415" t="s">
        <v>747</v>
      </c>
      <c r="K1036" s="417">
        <v>-8.0526400000000002</v>
      </c>
      <c r="L1036" s="417">
        <v>-79.074510000000004</v>
      </c>
      <c r="M1036" s="418">
        <v>30</v>
      </c>
      <c r="N1036" s="418" t="s">
        <v>2310</v>
      </c>
      <c r="O1036" s="418" t="s">
        <v>3407</v>
      </c>
      <c r="P1036" s="415">
        <v>4</v>
      </c>
      <c r="Q1036" s="415">
        <v>30</v>
      </c>
      <c r="R1036" s="415">
        <v>5</v>
      </c>
      <c r="S1036" s="415">
        <f t="shared" si="48"/>
        <v>5</v>
      </c>
      <c r="T1036" s="419">
        <f t="shared" si="49"/>
        <v>0.83333333333333337</v>
      </c>
      <c r="U1036" s="419">
        <f t="shared" si="50"/>
        <v>5.833333333333333</v>
      </c>
      <c r="V1036" s="415" t="s">
        <v>662</v>
      </c>
      <c r="W1036" s="415" t="s">
        <v>616</v>
      </c>
      <c r="X1036" s="415" t="s">
        <v>666</v>
      </c>
      <c r="Y1036" s="415"/>
    </row>
    <row r="1037" spans="1:25" hidden="1" x14ac:dyDescent="0.25">
      <c r="A1037" s="415">
        <v>1036</v>
      </c>
      <c r="B1037" s="415">
        <v>629</v>
      </c>
      <c r="C1037" s="415">
        <v>254676</v>
      </c>
      <c r="D1037" s="416" t="s">
        <v>1633</v>
      </c>
      <c r="E1037" s="416" t="s">
        <v>521</v>
      </c>
      <c r="F1037" s="416" t="s">
        <v>522</v>
      </c>
      <c r="G1037" s="416" t="s">
        <v>1630</v>
      </c>
      <c r="H1037" s="416" t="s">
        <v>1634</v>
      </c>
      <c r="I1037" s="416" t="s">
        <v>1635</v>
      </c>
      <c r="J1037" s="415" t="s">
        <v>661</v>
      </c>
      <c r="K1037" s="417">
        <v>-8.04115</v>
      </c>
      <c r="L1037" s="417">
        <v>-78.838931000000002</v>
      </c>
      <c r="M1037" s="418">
        <v>30</v>
      </c>
      <c r="N1037" s="418" t="s">
        <v>2310</v>
      </c>
      <c r="O1037" s="418" t="s">
        <v>3407</v>
      </c>
      <c r="P1037" s="415">
        <v>4</v>
      </c>
      <c r="Q1037" s="415">
        <v>30</v>
      </c>
      <c r="R1037" s="415">
        <v>5</v>
      </c>
      <c r="S1037" s="415">
        <f t="shared" si="48"/>
        <v>5</v>
      </c>
      <c r="T1037" s="419">
        <f t="shared" si="49"/>
        <v>0.83333333333333337</v>
      </c>
      <c r="U1037" s="419">
        <f t="shared" si="50"/>
        <v>5.833333333333333</v>
      </c>
      <c r="V1037" s="415" t="s">
        <v>662</v>
      </c>
      <c r="W1037" s="415" t="s">
        <v>616</v>
      </c>
      <c r="X1037" s="415" t="s">
        <v>666</v>
      </c>
      <c r="Y1037" s="415"/>
    </row>
    <row r="1038" spans="1:25" hidden="1" x14ac:dyDescent="0.25">
      <c r="A1038" s="415">
        <v>1037</v>
      </c>
      <c r="B1038" s="415">
        <v>630</v>
      </c>
      <c r="C1038" s="415">
        <v>254619</v>
      </c>
      <c r="D1038" s="416" t="s">
        <v>1629</v>
      </c>
      <c r="E1038" s="416" t="s">
        <v>521</v>
      </c>
      <c r="F1038" s="416" t="s">
        <v>522</v>
      </c>
      <c r="G1038" s="416" t="s">
        <v>1630</v>
      </c>
      <c r="H1038" s="416" t="s">
        <v>1631</v>
      </c>
      <c r="I1038" s="416" t="s">
        <v>1632</v>
      </c>
      <c r="J1038" s="415" t="s">
        <v>661</v>
      </c>
      <c r="K1038" s="417">
        <v>-8.0230999999999995</v>
      </c>
      <c r="L1038" s="417">
        <v>-78.838200000000001</v>
      </c>
      <c r="M1038" s="418">
        <v>30</v>
      </c>
      <c r="N1038" s="418" t="s">
        <v>2310</v>
      </c>
      <c r="O1038" s="418" t="s">
        <v>3407</v>
      </c>
      <c r="P1038" s="415">
        <v>4</v>
      </c>
      <c r="Q1038" s="415">
        <v>30</v>
      </c>
      <c r="R1038" s="415">
        <v>5</v>
      </c>
      <c r="S1038" s="415">
        <f t="shared" si="48"/>
        <v>5</v>
      </c>
      <c r="T1038" s="419">
        <f t="shared" si="49"/>
        <v>0.83333333333333337</v>
      </c>
      <c r="U1038" s="419">
        <f t="shared" si="50"/>
        <v>5.833333333333333</v>
      </c>
      <c r="V1038" s="415" t="s">
        <v>662</v>
      </c>
      <c r="W1038" s="415" t="s">
        <v>616</v>
      </c>
      <c r="X1038" s="415" t="s">
        <v>666</v>
      </c>
      <c r="Y1038" s="415"/>
    </row>
    <row r="1039" spans="1:25" hidden="1" x14ac:dyDescent="0.25">
      <c r="A1039" s="415">
        <v>1038</v>
      </c>
      <c r="B1039" s="415">
        <v>631</v>
      </c>
      <c r="C1039" s="415">
        <v>275283</v>
      </c>
      <c r="D1039" s="416" t="s">
        <v>1745</v>
      </c>
      <c r="E1039" s="416" t="s">
        <v>521</v>
      </c>
      <c r="F1039" s="416" t="s">
        <v>533</v>
      </c>
      <c r="G1039" s="416" t="s">
        <v>1744</v>
      </c>
      <c r="H1039" s="416" t="s">
        <v>677</v>
      </c>
      <c r="I1039" s="416" t="s">
        <v>677</v>
      </c>
      <c r="J1039" s="415" t="s">
        <v>661</v>
      </c>
      <c r="K1039" s="417">
        <v>-8.4893999999999998</v>
      </c>
      <c r="L1039" s="417">
        <v>-78.610600000000005</v>
      </c>
      <c r="M1039" s="418">
        <v>30</v>
      </c>
      <c r="N1039" s="418" t="s">
        <v>2310</v>
      </c>
      <c r="O1039" s="418" t="s">
        <v>3407</v>
      </c>
      <c r="P1039" s="415">
        <v>4</v>
      </c>
      <c r="Q1039" s="415">
        <v>30</v>
      </c>
      <c r="R1039" s="415">
        <v>5</v>
      </c>
      <c r="S1039" s="415">
        <f t="shared" si="48"/>
        <v>5</v>
      </c>
      <c r="T1039" s="419">
        <f t="shared" si="49"/>
        <v>0.83333333333333337</v>
      </c>
      <c r="U1039" s="419">
        <f t="shared" si="50"/>
        <v>5.833333333333333</v>
      </c>
      <c r="V1039" s="415" t="s">
        <v>662</v>
      </c>
      <c r="W1039" s="415" t="s">
        <v>616</v>
      </c>
      <c r="X1039" s="415" t="s">
        <v>666</v>
      </c>
      <c r="Y1039" s="415"/>
    </row>
    <row r="1040" spans="1:25" hidden="1" x14ac:dyDescent="0.25">
      <c r="A1040" s="415">
        <v>1039</v>
      </c>
      <c r="B1040" s="415">
        <v>632</v>
      </c>
      <c r="C1040" s="415">
        <v>275344</v>
      </c>
      <c r="D1040" s="416" t="s">
        <v>1747</v>
      </c>
      <c r="E1040" s="416" t="s">
        <v>521</v>
      </c>
      <c r="F1040" s="416" t="s">
        <v>533</v>
      </c>
      <c r="G1040" s="416" t="s">
        <v>1744</v>
      </c>
      <c r="H1040" s="416" t="s">
        <v>1748</v>
      </c>
      <c r="I1040" s="416" t="s">
        <v>1749</v>
      </c>
      <c r="J1040" s="415" t="s">
        <v>661</v>
      </c>
      <c r="K1040" s="417">
        <v>-8.5790000000000006</v>
      </c>
      <c r="L1040" s="417">
        <v>-78.699399999999997</v>
      </c>
      <c r="M1040" s="418">
        <v>30</v>
      </c>
      <c r="N1040" s="418" t="s">
        <v>2310</v>
      </c>
      <c r="O1040" s="418" t="s">
        <v>3407</v>
      </c>
      <c r="P1040" s="415">
        <v>4</v>
      </c>
      <c r="Q1040" s="415">
        <v>30</v>
      </c>
      <c r="R1040" s="415">
        <v>5</v>
      </c>
      <c r="S1040" s="415">
        <f t="shared" si="48"/>
        <v>5</v>
      </c>
      <c r="T1040" s="419">
        <f t="shared" si="49"/>
        <v>0.83333333333333337</v>
      </c>
      <c r="U1040" s="419">
        <f t="shared" si="50"/>
        <v>5.833333333333333</v>
      </c>
      <c r="V1040" s="415" t="s">
        <v>662</v>
      </c>
      <c r="W1040" s="415" t="s">
        <v>616</v>
      </c>
      <c r="X1040" s="415" t="s">
        <v>666</v>
      </c>
      <c r="Y1040" s="415"/>
    </row>
    <row r="1041" spans="1:25" hidden="1" x14ac:dyDescent="0.25">
      <c r="A1041" s="415">
        <v>1040</v>
      </c>
      <c r="B1041" s="415">
        <v>633</v>
      </c>
      <c r="C1041" s="415">
        <v>223784</v>
      </c>
      <c r="D1041" s="416" t="s">
        <v>3637</v>
      </c>
      <c r="E1041" s="416" t="s">
        <v>521</v>
      </c>
      <c r="F1041" s="416" t="s">
        <v>533</v>
      </c>
      <c r="G1041" s="416" t="s">
        <v>1744</v>
      </c>
      <c r="H1041" s="416" t="s">
        <v>3638</v>
      </c>
      <c r="I1041" s="416" t="s">
        <v>3639</v>
      </c>
      <c r="J1041" s="415" t="s">
        <v>661</v>
      </c>
      <c r="K1041" s="417">
        <v>-8.6021999999999998</v>
      </c>
      <c r="L1041" s="417">
        <v>-78.721599999999995</v>
      </c>
      <c r="M1041" s="418">
        <v>30</v>
      </c>
      <c r="N1041" s="418" t="s">
        <v>2310</v>
      </c>
      <c r="O1041" s="418" t="s">
        <v>3407</v>
      </c>
      <c r="P1041" s="415">
        <v>4</v>
      </c>
      <c r="Q1041" s="415">
        <v>30</v>
      </c>
      <c r="R1041" s="415">
        <v>5</v>
      </c>
      <c r="S1041" s="415">
        <f t="shared" si="48"/>
        <v>5</v>
      </c>
      <c r="T1041" s="419">
        <f t="shared" si="49"/>
        <v>0.83333333333333337</v>
      </c>
      <c r="U1041" s="419">
        <f t="shared" si="50"/>
        <v>5.833333333333333</v>
      </c>
      <c r="V1041" s="415" t="s">
        <v>662</v>
      </c>
      <c r="W1041" s="415" t="s">
        <v>616</v>
      </c>
      <c r="X1041" s="415" t="s">
        <v>666</v>
      </c>
      <c r="Y1041" s="415"/>
    </row>
    <row r="1042" spans="1:25" hidden="1" x14ac:dyDescent="0.25">
      <c r="A1042" s="415">
        <v>1041</v>
      </c>
      <c r="B1042" s="415">
        <v>634</v>
      </c>
      <c r="C1042" s="415">
        <v>275320</v>
      </c>
      <c r="D1042" s="416" t="s">
        <v>1746</v>
      </c>
      <c r="E1042" s="416" t="s">
        <v>521</v>
      </c>
      <c r="F1042" s="416" t="s">
        <v>533</v>
      </c>
      <c r="G1042" s="416" t="s">
        <v>1744</v>
      </c>
      <c r="H1042" s="416" t="s">
        <v>777</v>
      </c>
      <c r="I1042" s="416" t="s">
        <v>777</v>
      </c>
      <c r="J1042" s="415" t="s">
        <v>661</v>
      </c>
      <c r="K1042" s="417">
        <v>-8.4778000000000002</v>
      </c>
      <c r="L1042" s="417">
        <v>-78.584400000000002</v>
      </c>
      <c r="M1042" s="418">
        <v>30</v>
      </c>
      <c r="N1042" s="418" t="s">
        <v>2310</v>
      </c>
      <c r="O1042" s="418" t="s">
        <v>3407</v>
      </c>
      <c r="P1042" s="415">
        <v>4</v>
      </c>
      <c r="Q1042" s="415">
        <v>30</v>
      </c>
      <c r="R1042" s="415">
        <v>5</v>
      </c>
      <c r="S1042" s="415">
        <f t="shared" si="48"/>
        <v>5</v>
      </c>
      <c r="T1042" s="419">
        <f t="shared" si="49"/>
        <v>0.83333333333333337</v>
      </c>
      <c r="U1042" s="419">
        <f t="shared" si="50"/>
        <v>5.833333333333333</v>
      </c>
      <c r="V1042" s="415" t="s">
        <v>662</v>
      </c>
      <c r="W1042" s="415" t="s">
        <v>616</v>
      </c>
      <c r="X1042" s="415" t="s">
        <v>666</v>
      </c>
      <c r="Y1042" s="415"/>
    </row>
    <row r="1043" spans="1:25" hidden="1" x14ac:dyDescent="0.25">
      <c r="A1043" s="415">
        <v>1042</v>
      </c>
      <c r="B1043" s="415">
        <v>635</v>
      </c>
      <c r="C1043" s="415">
        <v>275377</v>
      </c>
      <c r="D1043" s="416" t="s">
        <v>1750</v>
      </c>
      <c r="E1043" s="416" t="s">
        <v>521</v>
      </c>
      <c r="F1043" s="416" t="s">
        <v>533</v>
      </c>
      <c r="G1043" s="416" t="s">
        <v>1744</v>
      </c>
      <c r="H1043" s="416" t="s">
        <v>678</v>
      </c>
      <c r="I1043" s="416" t="s">
        <v>678</v>
      </c>
      <c r="J1043" s="415" t="s">
        <v>661</v>
      </c>
      <c r="K1043" s="417">
        <v>-8.5096000000000007</v>
      </c>
      <c r="L1043" s="417">
        <v>-78.631500000000003</v>
      </c>
      <c r="M1043" s="418">
        <v>30</v>
      </c>
      <c r="N1043" s="418" t="s">
        <v>2310</v>
      </c>
      <c r="O1043" s="418" t="s">
        <v>3407</v>
      </c>
      <c r="P1043" s="415">
        <v>4</v>
      </c>
      <c r="Q1043" s="415">
        <v>30</v>
      </c>
      <c r="R1043" s="415">
        <v>5</v>
      </c>
      <c r="S1043" s="415">
        <f t="shared" si="48"/>
        <v>5</v>
      </c>
      <c r="T1043" s="419">
        <f t="shared" si="49"/>
        <v>0.83333333333333337</v>
      </c>
      <c r="U1043" s="419">
        <f t="shared" si="50"/>
        <v>5.833333333333333</v>
      </c>
      <c r="V1043" s="415" t="s">
        <v>662</v>
      </c>
      <c r="W1043" s="415" t="s">
        <v>616</v>
      </c>
      <c r="X1043" s="415" t="s">
        <v>666</v>
      </c>
      <c r="Y1043" s="415"/>
    </row>
    <row r="1044" spans="1:25" hidden="1" x14ac:dyDescent="0.25">
      <c r="A1044" s="415">
        <v>1043</v>
      </c>
      <c r="B1044" s="415">
        <v>636</v>
      </c>
      <c r="C1044" s="415">
        <v>274981</v>
      </c>
      <c r="D1044" s="416" t="s">
        <v>1739</v>
      </c>
      <c r="E1044" s="416" t="s">
        <v>521</v>
      </c>
      <c r="F1044" s="416" t="s">
        <v>533</v>
      </c>
      <c r="G1044" s="416" t="s">
        <v>533</v>
      </c>
      <c r="H1044" s="416" t="s">
        <v>1740</v>
      </c>
      <c r="I1044" s="416" t="s">
        <v>1740</v>
      </c>
      <c r="J1044" s="415" t="s">
        <v>661</v>
      </c>
      <c r="K1044" s="417">
        <v>-8.2771340000000002</v>
      </c>
      <c r="L1044" s="417">
        <v>-78.733182999999997</v>
      </c>
      <c r="M1044" s="418">
        <v>30</v>
      </c>
      <c r="N1044" s="418" t="s">
        <v>2310</v>
      </c>
      <c r="O1044" s="418" t="s">
        <v>3407</v>
      </c>
      <c r="P1044" s="415">
        <v>4</v>
      </c>
      <c r="Q1044" s="415">
        <v>30</v>
      </c>
      <c r="R1044" s="415">
        <v>5</v>
      </c>
      <c r="S1044" s="415">
        <f t="shared" si="48"/>
        <v>5</v>
      </c>
      <c r="T1044" s="419">
        <f t="shared" si="49"/>
        <v>0.83333333333333337</v>
      </c>
      <c r="U1044" s="419">
        <f t="shared" si="50"/>
        <v>5.833333333333333</v>
      </c>
      <c r="V1044" s="415" t="s">
        <v>662</v>
      </c>
      <c r="W1044" s="415" t="s">
        <v>616</v>
      </c>
      <c r="X1044" s="415" t="s">
        <v>666</v>
      </c>
      <c r="Y1044" s="415"/>
    </row>
    <row r="1045" spans="1:25" hidden="1" x14ac:dyDescent="0.25">
      <c r="A1045" s="415">
        <v>1044</v>
      </c>
      <c r="B1045" s="415">
        <v>637</v>
      </c>
      <c r="C1045" s="415">
        <v>275018</v>
      </c>
      <c r="D1045" s="416" t="s">
        <v>1741</v>
      </c>
      <c r="E1045" s="416" t="s">
        <v>521</v>
      </c>
      <c r="F1045" s="416" t="s">
        <v>533</v>
      </c>
      <c r="G1045" s="416" t="s">
        <v>533</v>
      </c>
      <c r="H1045" s="416" t="s">
        <v>1742</v>
      </c>
      <c r="I1045" s="416" t="s">
        <v>1743</v>
      </c>
      <c r="J1045" s="415" t="s">
        <v>661</v>
      </c>
      <c r="K1045" s="417">
        <v>-8.4013000000000009</v>
      </c>
      <c r="L1045" s="417">
        <v>-78.779899999999998</v>
      </c>
      <c r="M1045" s="418">
        <v>30</v>
      </c>
      <c r="N1045" s="418" t="s">
        <v>2310</v>
      </c>
      <c r="O1045" s="418" t="s">
        <v>3407</v>
      </c>
      <c r="P1045" s="415">
        <v>4</v>
      </c>
      <c r="Q1045" s="415">
        <v>30</v>
      </c>
      <c r="R1045" s="415">
        <v>5</v>
      </c>
      <c r="S1045" s="415">
        <f t="shared" si="48"/>
        <v>5</v>
      </c>
      <c r="T1045" s="419">
        <f t="shared" si="49"/>
        <v>0.83333333333333337</v>
      </c>
      <c r="U1045" s="419">
        <f t="shared" si="50"/>
        <v>5.833333333333333</v>
      </c>
      <c r="V1045" s="415" t="s">
        <v>662</v>
      </c>
      <c r="W1045" s="415" t="s">
        <v>616</v>
      </c>
      <c r="X1045" s="415" t="s">
        <v>666</v>
      </c>
      <c r="Y1045" s="415"/>
    </row>
    <row r="1046" spans="1:25" hidden="1" x14ac:dyDescent="0.25">
      <c r="A1046" s="415">
        <v>1045</v>
      </c>
      <c r="B1046" s="415">
        <v>638</v>
      </c>
      <c r="C1046" s="415">
        <v>274877</v>
      </c>
      <c r="D1046" s="416" t="s">
        <v>1735</v>
      </c>
      <c r="E1046" s="416" t="s">
        <v>521</v>
      </c>
      <c r="F1046" s="416" t="s">
        <v>533</v>
      </c>
      <c r="G1046" s="416" t="s">
        <v>533</v>
      </c>
      <c r="H1046" s="416" t="s">
        <v>1219</v>
      </c>
      <c r="I1046" s="416" t="s">
        <v>1736</v>
      </c>
      <c r="J1046" s="415" t="s">
        <v>661</v>
      </c>
      <c r="K1046" s="417">
        <v>-8.4275369999999992</v>
      </c>
      <c r="L1046" s="417">
        <v>-78.835759999999993</v>
      </c>
      <c r="M1046" s="418">
        <v>30</v>
      </c>
      <c r="N1046" s="418" t="s">
        <v>2310</v>
      </c>
      <c r="O1046" s="418" t="s">
        <v>3407</v>
      </c>
      <c r="P1046" s="415">
        <v>4</v>
      </c>
      <c r="Q1046" s="415">
        <v>30</v>
      </c>
      <c r="R1046" s="415">
        <v>5</v>
      </c>
      <c r="S1046" s="415">
        <f t="shared" si="48"/>
        <v>5</v>
      </c>
      <c r="T1046" s="419">
        <f t="shared" si="49"/>
        <v>0.83333333333333337</v>
      </c>
      <c r="U1046" s="419">
        <f t="shared" si="50"/>
        <v>5.833333333333333</v>
      </c>
      <c r="V1046" s="415" t="s">
        <v>662</v>
      </c>
      <c r="W1046" s="415" t="s">
        <v>616</v>
      </c>
      <c r="X1046" s="415" t="s">
        <v>666</v>
      </c>
      <c r="Y1046" s="415"/>
    </row>
    <row r="1047" spans="1:25" hidden="1" x14ac:dyDescent="0.25">
      <c r="A1047" s="415">
        <v>1046</v>
      </c>
      <c r="B1047" s="415">
        <v>639</v>
      </c>
      <c r="C1047" s="415">
        <v>274924</v>
      </c>
      <c r="D1047" s="416" t="s">
        <v>1737</v>
      </c>
      <c r="E1047" s="416" t="s">
        <v>521</v>
      </c>
      <c r="F1047" s="416" t="s">
        <v>533</v>
      </c>
      <c r="G1047" s="416" t="s">
        <v>533</v>
      </c>
      <c r="H1047" s="416" t="s">
        <v>1738</v>
      </c>
      <c r="I1047" s="416" t="s">
        <v>1738</v>
      </c>
      <c r="J1047" s="415" t="s">
        <v>661</v>
      </c>
      <c r="K1047" s="417">
        <v>-8.3877000000000006</v>
      </c>
      <c r="L1047" s="417">
        <v>-78.725099999999998</v>
      </c>
      <c r="M1047" s="418">
        <v>30</v>
      </c>
      <c r="N1047" s="418" t="s">
        <v>2310</v>
      </c>
      <c r="O1047" s="418" t="s">
        <v>3407</v>
      </c>
      <c r="P1047" s="415">
        <v>4</v>
      </c>
      <c r="Q1047" s="415">
        <v>30</v>
      </c>
      <c r="R1047" s="415">
        <v>5</v>
      </c>
      <c r="S1047" s="415">
        <f t="shared" si="48"/>
        <v>5</v>
      </c>
      <c r="T1047" s="419">
        <f t="shared" si="49"/>
        <v>0.83333333333333337</v>
      </c>
      <c r="U1047" s="419">
        <f t="shared" si="50"/>
        <v>5.833333333333333</v>
      </c>
      <c r="V1047" s="415" t="s">
        <v>662</v>
      </c>
      <c r="W1047" s="415" t="s">
        <v>616</v>
      </c>
      <c r="X1047" s="415" t="s">
        <v>666</v>
      </c>
      <c r="Y1047" s="415"/>
    </row>
    <row r="1048" spans="1:25" hidden="1" x14ac:dyDescent="0.25">
      <c r="A1048" s="415">
        <v>1047</v>
      </c>
      <c r="B1048" s="415">
        <v>640</v>
      </c>
      <c r="C1048" s="415">
        <v>281934</v>
      </c>
      <c r="D1048" s="416" t="s">
        <v>3640</v>
      </c>
      <c r="E1048" s="416" t="s">
        <v>534</v>
      </c>
      <c r="F1048" s="416" t="s">
        <v>536</v>
      </c>
      <c r="G1048" s="416" t="s">
        <v>1751</v>
      </c>
      <c r="H1048" s="416" t="s">
        <v>3641</v>
      </c>
      <c r="I1048" s="416" t="s">
        <v>3641</v>
      </c>
      <c r="J1048" s="415" t="s">
        <v>661</v>
      </c>
      <c r="K1048" s="417">
        <v>-6.1036700000000002</v>
      </c>
      <c r="L1048" s="417">
        <v>-79.179091</v>
      </c>
      <c r="M1048" s="418">
        <v>30</v>
      </c>
      <c r="N1048" s="418" t="s">
        <v>2310</v>
      </c>
      <c r="O1048" s="418" t="s">
        <v>3407</v>
      </c>
      <c r="P1048" s="415">
        <v>4</v>
      </c>
      <c r="Q1048" s="415">
        <v>30</v>
      </c>
      <c r="R1048" s="415">
        <v>5</v>
      </c>
      <c r="S1048" s="415">
        <f t="shared" si="48"/>
        <v>5</v>
      </c>
      <c r="T1048" s="419">
        <f t="shared" si="49"/>
        <v>0.83333333333333337</v>
      </c>
      <c r="U1048" s="419">
        <f t="shared" si="50"/>
        <v>5.833333333333333</v>
      </c>
      <c r="V1048" s="415" t="s">
        <v>662</v>
      </c>
      <c r="W1048" s="415" t="s">
        <v>608</v>
      </c>
      <c r="X1048" s="415" t="s">
        <v>663</v>
      </c>
      <c r="Y1048" s="415"/>
    </row>
    <row r="1049" spans="1:25" hidden="1" x14ac:dyDescent="0.25">
      <c r="A1049" s="415">
        <v>1048</v>
      </c>
      <c r="B1049" s="415">
        <v>641</v>
      </c>
      <c r="C1049" s="415">
        <v>282212</v>
      </c>
      <c r="D1049" s="416" t="s">
        <v>1753</v>
      </c>
      <c r="E1049" s="416" t="s">
        <v>534</v>
      </c>
      <c r="F1049" s="416" t="s">
        <v>536</v>
      </c>
      <c r="G1049" s="416" t="s">
        <v>1751</v>
      </c>
      <c r="H1049" s="416" t="s">
        <v>1754</v>
      </c>
      <c r="I1049" s="416" t="s">
        <v>1755</v>
      </c>
      <c r="J1049" s="415" t="s">
        <v>661</v>
      </c>
      <c r="K1049" s="417">
        <v>-6.0550449999999998</v>
      </c>
      <c r="L1049" s="417">
        <v>-79.399919999999995</v>
      </c>
      <c r="M1049" s="418">
        <v>30</v>
      </c>
      <c r="N1049" s="418" t="s">
        <v>2310</v>
      </c>
      <c r="O1049" s="418" t="s">
        <v>3407</v>
      </c>
      <c r="P1049" s="415">
        <v>4</v>
      </c>
      <c r="Q1049" s="415">
        <v>30</v>
      </c>
      <c r="R1049" s="415">
        <v>5</v>
      </c>
      <c r="S1049" s="415">
        <f t="shared" si="48"/>
        <v>5</v>
      </c>
      <c r="T1049" s="419">
        <f t="shared" si="49"/>
        <v>0.83333333333333337</v>
      </c>
      <c r="U1049" s="419">
        <f t="shared" si="50"/>
        <v>5.833333333333333</v>
      </c>
      <c r="V1049" s="415" t="s">
        <v>662</v>
      </c>
      <c r="W1049" s="415" t="s">
        <v>608</v>
      </c>
      <c r="X1049" s="415" t="s">
        <v>663</v>
      </c>
      <c r="Y1049" s="415"/>
    </row>
    <row r="1050" spans="1:25" hidden="1" x14ac:dyDescent="0.25">
      <c r="A1050" s="415">
        <v>1049</v>
      </c>
      <c r="B1050" s="415">
        <v>642</v>
      </c>
      <c r="C1050" s="415">
        <v>282250</v>
      </c>
      <c r="D1050" s="416" t="s">
        <v>3642</v>
      </c>
      <c r="E1050" s="416" t="s">
        <v>534</v>
      </c>
      <c r="F1050" s="416" t="s">
        <v>536</v>
      </c>
      <c r="G1050" s="416" t="s">
        <v>1751</v>
      </c>
      <c r="H1050" s="416" t="s">
        <v>3643</v>
      </c>
      <c r="I1050" s="416" t="s">
        <v>3644</v>
      </c>
      <c r="J1050" s="415" t="s">
        <v>661</v>
      </c>
      <c r="K1050" s="417">
        <v>-6.0934419999999996</v>
      </c>
      <c r="L1050" s="417">
        <v>-79.396315999999999</v>
      </c>
      <c r="M1050" s="418">
        <v>30</v>
      </c>
      <c r="N1050" s="418" t="s">
        <v>2310</v>
      </c>
      <c r="O1050" s="418" t="s">
        <v>3407</v>
      </c>
      <c r="P1050" s="415">
        <v>4</v>
      </c>
      <c r="Q1050" s="415">
        <v>30</v>
      </c>
      <c r="R1050" s="415">
        <v>5</v>
      </c>
      <c r="S1050" s="415">
        <f t="shared" si="48"/>
        <v>5</v>
      </c>
      <c r="T1050" s="419">
        <f t="shared" si="49"/>
        <v>0.83333333333333337</v>
      </c>
      <c r="U1050" s="419">
        <f t="shared" si="50"/>
        <v>5.833333333333333</v>
      </c>
      <c r="V1050" s="415" t="s">
        <v>662</v>
      </c>
      <c r="W1050" s="415" t="s">
        <v>608</v>
      </c>
      <c r="X1050" s="415" t="s">
        <v>663</v>
      </c>
      <c r="Y1050" s="415"/>
    </row>
    <row r="1051" spans="1:25" hidden="1" x14ac:dyDescent="0.25">
      <c r="A1051" s="415">
        <v>1050</v>
      </c>
      <c r="B1051" s="415">
        <v>643</v>
      </c>
      <c r="C1051" s="415">
        <v>284372</v>
      </c>
      <c r="D1051" s="416" t="s">
        <v>3645</v>
      </c>
      <c r="E1051" s="416" t="s">
        <v>534</v>
      </c>
      <c r="F1051" s="416" t="s">
        <v>534</v>
      </c>
      <c r="G1051" s="416" t="s">
        <v>3646</v>
      </c>
      <c r="H1051" s="416" t="s">
        <v>3647</v>
      </c>
      <c r="I1051" s="416" t="s">
        <v>3648</v>
      </c>
      <c r="J1051" s="415" t="s">
        <v>661</v>
      </c>
      <c r="K1051" s="417">
        <v>-6.3724119999999997</v>
      </c>
      <c r="L1051" s="417">
        <v>-79.765007999999995</v>
      </c>
      <c r="M1051" s="418">
        <v>30</v>
      </c>
      <c r="N1051" s="418" t="s">
        <v>2310</v>
      </c>
      <c r="O1051" s="418" t="s">
        <v>3407</v>
      </c>
      <c r="P1051" s="415">
        <v>4</v>
      </c>
      <c r="Q1051" s="415">
        <v>30</v>
      </c>
      <c r="R1051" s="415">
        <v>5</v>
      </c>
      <c r="S1051" s="415">
        <f t="shared" si="48"/>
        <v>5</v>
      </c>
      <c r="T1051" s="419">
        <f t="shared" si="49"/>
        <v>0.83333333333333337</v>
      </c>
      <c r="U1051" s="419">
        <f t="shared" si="50"/>
        <v>5.833333333333333</v>
      </c>
      <c r="V1051" s="415" t="s">
        <v>662</v>
      </c>
      <c r="W1051" s="415" t="s">
        <v>608</v>
      </c>
      <c r="X1051" s="415" t="s">
        <v>663</v>
      </c>
      <c r="Y1051" s="415"/>
    </row>
    <row r="1052" spans="1:25" hidden="1" x14ac:dyDescent="0.25">
      <c r="A1052" s="415">
        <v>1051</v>
      </c>
      <c r="B1052" s="415">
        <v>644</v>
      </c>
      <c r="C1052" s="415">
        <v>284452</v>
      </c>
      <c r="D1052" s="416" t="s">
        <v>3649</v>
      </c>
      <c r="E1052" s="416" t="s">
        <v>534</v>
      </c>
      <c r="F1052" s="416" t="s">
        <v>534</v>
      </c>
      <c r="G1052" s="416" t="s">
        <v>1758</v>
      </c>
      <c r="H1052" s="416" t="s">
        <v>1758</v>
      </c>
      <c r="I1052" s="416" t="s">
        <v>3650</v>
      </c>
      <c r="J1052" s="415" t="s">
        <v>747</v>
      </c>
      <c r="K1052" s="417">
        <v>-6.5487000000000002</v>
      </c>
      <c r="L1052" s="417">
        <v>-79.864000000000004</v>
      </c>
      <c r="M1052" s="418">
        <v>30</v>
      </c>
      <c r="N1052" s="418" t="s">
        <v>2310</v>
      </c>
      <c r="O1052" s="418" t="s">
        <v>3407</v>
      </c>
      <c r="P1052" s="415">
        <v>4</v>
      </c>
      <c r="Q1052" s="415">
        <v>30</v>
      </c>
      <c r="R1052" s="415">
        <v>5</v>
      </c>
      <c r="S1052" s="415">
        <f t="shared" si="48"/>
        <v>5</v>
      </c>
      <c r="T1052" s="419">
        <f t="shared" si="49"/>
        <v>0.83333333333333337</v>
      </c>
      <c r="U1052" s="419">
        <f t="shared" si="50"/>
        <v>5.833333333333333</v>
      </c>
      <c r="V1052" s="415" t="s">
        <v>662</v>
      </c>
      <c r="W1052" s="415" t="s">
        <v>608</v>
      </c>
      <c r="X1052" s="415" t="s">
        <v>663</v>
      </c>
      <c r="Y1052" s="415"/>
    </row>
    <row r="1053" spans="1:25" hidden="1" x14ac:dyDescent="0.25">
      <c r="A1053" s="415">
        <v>1052</v>
      </c>
      <c r="B1053" s="415">
        <v>645</v>
      </c>
      <c r="C1053" s="415">
        <v>284678</v>
      </c>
      <c r="D1053" s="416" t="s">
        <v>1757</v>
      </c>
      <c r="E1053" s="416" t="s">
        <v>534</v>
      </c>
      <c r="F1053" s="416" t="s">
        <v>534</v>
      </c>
      <c r="G1053" s="416" t="s">
        <v>1758</v>
      </c>
      <c r="H1053" s="416" t="s">
        <v>1759</v>
      </c>
      <c r="I1053" s="416" t="s">
        <v>1759</v>
      </c>
      <c r="J1053" s="415" t="s">
        <v>661</v>
      </c>
      <c r="K1053" s="417">
        <v>-6.5719820000000002</v>
      </c>
      <c r="L1053" s="417">
        <v>-79.871504000000002</v>
      </c>
      <c r="M1053" s="418">
        <v>30</v>
      </c>
      <c r="N1053" s="418" t="s">
        <v>2310</v>
      </c>
      <c r="O1053" s="418" t="s">
        <v>3407</v>
      </c>
      <c r="P1053" s="415">
        <v>4</v>
      </c>
      <c r="Q1053" s="415">
        <v>30</v>
      </c>
      <c r="R1053" s="415">
        <v>5</v>
      </c>
      <c r="S1053" s="415">
        <f t="shared" si="48"/>
        <v>5</v>
      </c>
      <c r="T1053" s="419">
        <f t="shared" si="49"/>
        <v>0.83333333333333337</v>
      </c>
      <c r="U1053" s="419">
        <f t="shared" si="50"/>
        <v>5.833333333333333</v>
      </c>
      <c r="V1053" s="415" t="s">
        <v>662</v>
      </c>
      <c r="W1053" s="415" t="s">
        <v>608</v>
      </c>
      <c r="X1053" s="415" t="s">
        <v>663</v>
      </c>
      <c r="Y1053" s="415"/>
    </row>
    <row r="1054" spans="1:25" hidden="1" x14ac:dyDescent="0.25">
      <c r="A1054" s="415">
        <v>1053</v>
      </c>
      <c r="B1054" s="415">
        <v>646</v>
      </c>
      <c r="C1054" s="415">
        <v>284777</v>
      </c>
      <c r="D1054" s="416" t="s">
        <v>3651</v>
      </c>
      <c r="E1054" s="416" t="s">
        <v>534</v>
      </c>
      <c r="F1054" s="416" t="s">
        <v>534</v>
      </c>
      <c r="G1054" s="416" t="s">
        <v>3652</v>
      </c>
      <c r="H1054" s="416" t="s">
        <v>1927</v>
      </c>
      <c r="I1054" s="416" t="s">
        <v>1927</v>
      </c>
      <c r="J1054" s="415" t="s">
        <v>747</v>
      </c>
      <c r="K1054" s="417">
        <v>-6.5223000000000004</v>
      </c>
      <c r="L1054" s="417">
        <v>-79.945300000000003</v>
      </c>
      <c r="M1054" s="418">
        <v>30</v>
      </c>
      <c r="N1054" s="418" t="s">
        <v>2310</v>
      </c>
      <c r="O1054" s="418" t="s">
        <v>3407</v>
      </c>
      <c r="P1054" s="415">
        <v>4</v>
      </c>
      <c r="Q1054" s="415">
        <v>30</v>
      </c>
      <c r="R1054" s="415">
        <v>5</v>
      </c>
      <c r="S1054" s="415">
        <f t="shared" si="48"/>
        <v>5</v>
      </c>
      <c r="T1054" s="419">
        <f t="shared" si="49"/>
        <v>0.83333333333333337</v>
      </c>
      <c r="U1054" s="419">
        <f t="shared" si="50"/>
        <v>5.833333333333333</v>
      </c>
      <c r="V1054" s="415" t="s">
        <v>662</v>
      </c>
      <c r="W1054" s="415" t="s">
        <v>608</v>
      </c>
      <c r="X1054" s="415" t="s">
        <v>663</v>
      </c>
      <c r="Y1054" s="415"/>
    </row>
    <row r="1055" spans="1:25" hidden="1" x14ac:dyDescent="0.25">
      <c r="A1055" s="415">
        <v>1054</v>
      </c>
      <c r="B1055" s="415">
        <v>647</v>
      </c>
      <c r="C1055" s="415">
        <v>285263</v>
      </c>
      <c r="D1055" s="416" t="s">
        <v>3653</v>
      </c>
      <c r="E1055" s="416" t="s">
        <v>534</v>
      </c>
      <c r="F1055" s="416" t="s">
        <v>534</v>
      </c>
      <c r="G1055" s="416" t="s">
        <v>1760</v>
      </c>
      <c r="H1055" s="416" t="s">
        <v>1760</v>
      </c>
      <c r="I1055" s="416" t="s">
        <v>3654</v>
      </c>
      <c r="J1055" s="415" t="s">
        <v>747</v>
      </c>
      <c r="K1055" s="417">
        <v>-6.1494989999999996</v>
      </c>
      <c r="L1055" s="417">
        <v>-79.713273999999998</v>
      </c>
      <c r="M1055" s="418">
        <v>30</v>
      </c>
      <c r="N1055" s="418" t="s">
        <v>2310</v>
      </c>
      <c r="O1055" s="418" t="s">
        <v>3407</v>
      </c>
      <c r="P1055" s="415">
        <v>4</v>
      </c>
      <c r="Q1055" s="415">
        <v>30</v>
      </c>
      <c r="R1055" s="415">
        <v>5</v>
      </c>
      <c r="S1055" s="415">
        <f t="shared" si="48"/>
        <v>5</v>
      </c>
      <c r="T1055" s="419">
        <f t="shared" si="49"/>
        <v>0.83333333333333337</v>
      </c>
      <c r="U1055" s="419">
        <f t="shared" si="50"/>
        <v>5.833333333333333</v>
      </c>
      <c r="V1055" s="415" t="s">
        <v>662</v>
      </c>
      <c r="W1055" s="415" t="s">
        <v>608</v>
      </c>
      <c r="X1055" s="415" t="s">
        <v>663</v>
      </c>
      <c r="Y1055" s="415"/>
    </row>
    <row r="1056" spans="1:25" hidden="1" x14ac:dyDescent="0.25">
      <c r="A1056" s="415">
        <v>1055</v>
      </c>
      <c r="B1056" s="415">
        <v>648</v>
      </c>
      <c r="C1056" s="415">
        <v>285885</v>
      </c>
      <c r="D1056" s="416" t="s">
        <v>3655</v>
      </c>
      <c r="E1056" s="416" t="s">
        <v>534</v>
      </c>
      <c r="F1056" s="416" t="s">
        <v>534</v>
      </c>
      <c r="G1056" s="416" t="s">
        <v>537</v>
      </c>
      <c r="H1056" s="416" t="s">
        <v>3656</v>
      </c>
      <c r="I1056" s="416" t="s">
        <v>3657</v>
      </c>
      <c r="J1056" s="415" t="s">
        <v>661</v>
      </c>
      <c r="K1056" s="417">
        <v>-5.9489999999999998</v>
      </c>
      <c r="L1056" s="417">
        <v>-79.761799999999994</v>
      </c>
      <c r="M1056" s="418">
        <v>30</v>
      </c>
      <c r="N1056" s="418" t="s">
        <v>2310</v>
      </c>
      <c r="O1056" s="418" t="s">
        <v>3407</v>
      </c>
      <c r="P1056" s="415">
        <v>4</v>
      </c>
      <c r="Q1056" s="415">
        <v>30</v>
      </c>
      <c r="R1056" s="415">
        <v>5</v>
      </c>
      <c r="S1056" s="415">
        <f t="shared" si="48"/>
        <v>5</v>
      </c>
      <c r="T1056" s="419">
        <f t="shared" si="49"/>
        <v>0.83333333333333337</v>
      </c>
      <c r="U1056" s="419">
        <f t="shared" si="50"/>
        <v>5.833333333333333</v>
      </c>
      <c r="V1056" s="415" t="s">
        <v>662</v>
      </c>
      <c r="W1056" s="415" t="s">
        <v>608</v>
      </c>
      <c r="X1056" s="415" t="s">
        <v>663</v>
      </c>
      <c r="Y1056" s="415"/>
    </row>
    <row r="1057" spans="1:25" hidden="1" x14ac:dyDescent="0.25">
      <c r="A1057" s="415">
        <v>1056</v>
      </c>
      <c r="B1057" s="415">
        <v>649</v>
      </c>
      <c r="C1057" s="415">
        <v>706273</v>
      </c>
      <c r="D1057" s="416" t="s">
        <v>2263</v>
      </c>
      <c r="E1057" s="416" t="s">
        <v>534</v>
      </c>
      <c r="F1057" s="416" t="s">
        <v>534</v>
      </c>
      <c r="G1057" s="416" t="s">
        <v>537</v>
      </c>
      <c r="H1057" s="416" t="s">
        <v>2264</v>
      </c>
      <c r="I1057" s="416" t="s">
        <v>2265</v>
      </c>
      <c r="J1057" s="415" t="s">
        <v>661</v>
      </c>
      <c r="K1057" s="417">
        <v>-5.9619949999999999</v>
      </c>
      <c r="L1057" s="417">
        <v>-80.278118000000006</v>
      </c>
      <c r="M1057" s="418">
        <v>30</v>
      </c>
      <c r="N1057" s="418" t="s">
        <v>2310</v>
      </c>
      <c r="O1057" s="418" t="s">
        <v>3407</v>
      </c>
      <c r="P1057" s="415">
        <v>4</v>
      </c>
      <c r="Q1057" s="415">
        <v>30</v>
      </c>
      <c r="R1057" s="415">
        <v>5</v>
      </c>
      <c r="S1057" s="415">
        <f t="shared" si="48"/>
        <v>5</v>
      </c>
      <c r="T1057" s="419">
        <f t="shared" si="49"/>
        <v>0.83333333333333337</v>
      </c>
      <c r="U1057" s="419">
        <f t="shared" si="50"/>
        <v>5.833333333333333</v>
      </c>
      <c r="V1057" s="415" t="s">
        <v>662</v>
      </c>
      <c r="W1057" s="415" t="s">
        <v>608</v>
      </c>
      <c r="X1057" s="415" t="s">
        <v>663</v>
      </c>
      <c r="Y1057" s="415"/>
    </row>
    <row r="1058" spans="1:25" hidden="1" x14ac:dyDescent="0.25">
      <c r="A1058" s="415">
        <v>1057</v>
      </c>
      <c r="B1058" s="415">
        <v>650</v>
      </c>
      <c r="C1058" s="415">
        <v>9468</v>
      </c>
      <c r="D1058" s="416" t="s">
        <v>3658</v>
      </c>
      <c r="E1058" s="416" t="s">
        <v>534</v>
      </c>
      <c r="F1058" s="416" t="s">
        <v>534</v>
      </c>
      <c r="G1058" s="416" t="s">
        <v>537</v>
      </c>
      <c r="H1058" s="416" t="s">
        <v>3659</v>
      </c>
      <c r="I1058" s="416" t="s">
        <v>3660</v>
      </c>
      <c r="J1058" s="415" t="s">
        <v>661</v>
      </c>
      <c r="K1058" s="417">
        <v>-5.9184580000000002</v>
      </c>
      <c r="L1058" s="417">
        <v>-80.185233999999994</v>
      </c>
      <c r="M1058" s="418">
        <v>30</v>
      </c>
      <c r="N1058" s="418" t="s">
        <v>2310</v>
      </c>
      <c r="O1058" s="418" t="s">
        <v>3407</v>
      </c>
      <c r="P1058" s="415">
        <v>4</v>
      </c>
      <c r="Q1058" s="415">
        <v>30</v>
      </c>
      <c r="R1058" s="415">
        <v>5</v>
      </c>
      <c r="S1058" s="415">
        <f t="shared" si="48"/>
        <v>5</v>
      </c>
      <c r="T1058" s="419">
        <f t="shared" si="49"/>
        <v>0.83333333333333337</v>
      </c>
      <c r="U1058" s="419">
        <f t="shared" si="50"/>
        <v>5.833333333333333</v>
      </c>
      <c r="V1058" s="415" t="s">
        <v>662</v>
      </c>
      <c r="W1058" s="415" t="s">
        <v>608</v>
      </c>
      <c r="X1058" s="415" t="s">
        <v>663</v>
      </c>
      <c r="Y1058" s="415"/>
    </row>
    <row r="1059" spans="1:25" hidden="1" x14ac:dyDescent="0.25">
      <c r="A1059" s="415">
        <v>1058</v>
      </c>
      <c r="B1059" s="415">
        <v>651</v>
      </c>
      <c r="C1059" s="415">
        <v>286762</v>
      </c>
      <c r="D1059" s="416" t="s">
        <v>3661</v>
      </c>
      <c r="E1059" s="416" t="s">
        <v>534</v>
      </c>
      <c r="F1059" s="416" t="s">
        <v>534</v>
      </c>
      <c r="G1059" s="416" t="s">
        <v>1767</v>
      </c>
      <c r="H1059" s="416" t="s">
        <v>3662</v>
      </c>
      <c r="I1059" s="416" t="s">
        <v>3662</v>
      </c>
      <c r="J1059" s="415" t="s">
        <v>661</v>
      </c>
      <c r="K1059" s="417">
        <v>-6.4502059999999997</v>
      </c>
      <c r="L1059" s="417">
        <v>-79.825348000000005</v>
      </c>
      <c r="M1059" s="418">
        <v>30</v>
      </c>
      <c r="N1059" s="418" t="s">
        <v>2310</v>
      </c>
      <c r="O1059" s="418" t="s">
        <v>3407</v>
      </c>
      <c r="P1059" s="415">
        <v>4</v>
      </c>
      <c r="Q1059" s="415">
        <v>30</v>
      </c>
      <c r="R1059" s="415">
        <v>5</v>
      </c>
      <c r="S1059" s="415">
        <f t="shared" si="48"/>
        <v>5</v>
      </c>
      <c r="T1059" s="419">
        <f t="shared" si="49"/>
        <v>0.83333333333333337</v>
      </c>
      <c r="U1059" s="419">
        <f t="shared" si="50"/>
        <v>5.833333333333333</v>
      </c>
      <c r="V1059" s="415" t="s">
        <v>662</v>
      </c>
      <c r="W1059" s="415" t="s">
        <v>608</v>
      </c>
      <c r="X1059" s="415" t="s">
        <v>663</v>
      </c>
      <c r="Y1059" s="415"/>
    </row>
    <row r="1060" spans="1:25" hidden="1" x14ac:dyDescent="0.25">
      <c r="A1060" s="415">
        <v>1059</v>
      </c>
      <c r="B1060" s="415">
        <v>652</v>
      </c>
      <c r="C1060" s="415">
        <v>286875</v>
      </c>
      <c r="D1060" s="416" t="s">
        <v>1766</v>
      </c>
      <c r="E1060" s="416" t="s">
        <v>534</v>
      </c>
      <c r="F1060" s="416" t="s">
        <v>534</v>
      </c>
      <c r="G1060" s="416" t="s">
        <v>1767</v>
      </c>
      <c r="H1060" s="416" t="s">
        <v>1768</v>
      </c>
      <c r="I1060" s="416" t="s">
        <v>1769</v>
      </c>
      <c r="J1060" s="415" t="s">
        <v>661</v>
      </c>
      <c r="K1060" s="417">
        <v>-6.4325539999999997</v>
      </c>
      <c r="L1060" s="417">
        <v>-79.871837999999997</v>
      </c>
      <c r="M1060" s="418">
        <v>30</v>
      </c>
      <c r="N1060" s="418" t="s">
        <v>2310</v>
      </c>
      <c r="O1060" s="418" t="s">
        <v>3407</v>
      </c>
      <c r="P1060" s="415">
        <v>4</v>
      </c>
      <c r="Q1060" s="415">
        <v>30</v>
      </c>
      <c r="R1060" s="415">
        <v>5</v>
      </c>
      <c r="S1060" s="415">
        <f t="shared" si="48"/>
        <v>5</v>
      </c>
      <c r="T1060" s="419">
        <f t="shared" si="49"/>
        <v>0.83333333333333337</v>
      </c>
      <c r="U1060" s="419">
        <f t="shared" si="50"/>
        <v>5.833333333333333</v>
      </c>
      <c r="V1060" s="415" t="s">
        <v>662</v>
      </c>
      <c r="W1060" s="415" t="s">
        <v>608</v>
      </c>
      <c r="X1060" s="415" t="s">
        <v>663</v>
      </c>
      <c r="Y1060" s="415"/>
    </row>
    <row r="1061" spans="1:25" hidden="1" x14ac:dyDescent="0.25">
      <c r="A1061" s="415">
        <v>1060</v>
      </c>
      <c r="B1061" s="415">
        <v>653</v>
      </c>
      <c r="C1061" s="415">
        <v>285475</v>
      </c>
      <c r="D1061" s="416" t="s">
        <v>1761</v>
      </c>
      <c r="E1061" s="416" t="s">
        <v>534</v>
      </c>
      <c r="F1061" s="416" t="s">
        <v>534</v>
      </c>
      <c r="G1061" s="416" t="s">
        <v>1762</v>
      </c>
      <c r="H1061" s="416" t="s">
        <v>1763</v>
      </c>
      <c r="I1061" s="416" t="s">
        <v>1764</v>
      </c>
      <c r="J1061" s="415" t="s">
        <v>661</v>
      </c>
      <c r="K1061" s="417">
        <v>-6.0352329999999998</v>
      </c>
      <c r="L1061" s="417">
        <v>-79.480823000000001</v>
      </c>
      <c r="M1061" s="418">
        <v>30</v>
      </c>
      <c r="N1061" s="418" t="s">
        <v>2310</v>
      </c>
      <c r="O1061" s="418" t="s">
        <v>3407</v>
      </c>
      <c r="P1061" s="415">
        <v>4</v>
      </c>
      <c r="Q1061" s="415">
        <v>30</v>
      </c>
      <c r="R1061" s="415">
        <v>5</v>
      </c>
      <c r="S1061" s="415">
        <f t="shared" si="48"/>
        <v>5</v>
      </c>
      <c r="T1061" s="419">
        <f t="shared" si="49"/>
        <v>0.83333333333333337</v>
      </c>
      <c r="U1061" s="419">
        <f t="shared" si="50"/>
        <v>5.833333333333333</v>
      </c>
      <c r="V1061" s="415" t="s">
        <v>662</v>
      </c>
      <c r="W1061" s="415" t="s">
        <v>608</v>
      </c>
      <c r="X1061" s="415" t="s">
        <v>663</v>
      </c>
      <c r="Y1061" s="415"/>
    </row>
    <row r="1062" spans="1:25" hidden="1" x14ac:dyDescent="0.25">
      <c r="A1062" s="415">
        <v>1061</v>
      </c>
      <c r="B1062" s="415">
        <v>654</v>
      </c>
      <c r="C1062" s="415">
        <v>287101</v>
      </c>
      <c r="D1062" s="416" t="s">
        <v>1770</v>
      </c>
      <c r="E1062" s="416" t="s">
        <v>534</v>
      </c>
      <c r="F1062" s="416" t="s">
        <v>534</v>
      </c>
      <c r="G1062" s="416" t="s">
        <v>1762</v>
      </c>
      <c r="H1062" s="416" t="s">
        <v>707</v>
      </c>
      <c r="I1062" s="416" t="s">
        <v>707</v>
      </c>
      <c r="J1062" s="415" t="s">
        <v>661</v>
      </c>
      <c r="K1062" s="417">
        <v>-6.1763950000000003</v>
      </c>
      <c r="L1062" s="417">
        <v>-79.515225999999998</v>
      </c>
      <c r="M1062" s="418">
        <v>30</v>
      </c>
      <c r="N1062" s="418" t="s">
        <v>2310</v>
      </c>
      <c r="O1062" s="418" t="s">
        <v>3407</v>
      </c>
      <c r="P1062" s="415">
        <v>4</v>
      </c>
      <c r="Q1062" s="415">
        <v>30</v>
      </c>
      <c r="R1062" s="415">
        <v>5</v>
      </c>
      <c r="S1062" s="415">
        <f t="shared" si="48"/>
        <v>5</v>
      </c>
      <c r="T1062" s="419">
        <f t="shared" si="49"/>
        <v>0.83333333333333337</v>
      </c>
      <c r="U1062" s="419">
        <f t="shared" si="50"/>
        <v>5.833333333333333</v>
      </c>
      <c r="V1062" s="415" t="s">
        <v>662</v>
      </c>
      <c r="W1062" s="415" t="s">
        <v>608</v>
      </c>
      <c r="X1062" s="415" t="s">
        <v>663</v>
      </c>
      <c r="Y1062" s="415"/>
    </row>
    <row r="1063" spans="1:25" hidden="1" x14ac:dyDescent="0.25">
      <c r="A1063" s="415">
        <v>1062</v>
      </c>
      <c r="B1063" s="415">
        <v>655</v>
      </c>
      <c r="C1063" s="415">
        <v>518564</v>
      </c>
      <c r="D1063" s="416" t="s">
        <v>672</v>
      </c>
      <c r="E1063" s="416" t="s">
        <v>534</v>
      </c>
      <c r="F1063" s="416" t="s">
        <v>534</v>
      </c>
      <c r="G1063" s="416" t="s">
        <v>866</v>
      </c>
      <c r="H1063" s="416" t="s">
        <v>866</v>
      </c>
      <c r="I1063" s="416" t="s">
        <v>3663</v>
      </c>
      <c r="J1063" s="415" t="s">
        <v>747</v>
      </c>
      <c r="K1063" s="417">
        <v>-6.7672720000000002</v>
      </c>
      <c r="L1063" s="417">
        <v>-79.961374000000006</v>
      </c>
      <c r="M1063" s="418">
        <v>30</v>
      </c>
      <c r="N1063" s="418" t="s">
        <v>2310</v>
      </c>
      <c r="O1063" s="418" t="s">
        <v>3407</v>
      </c>
      <c r="P1063" s="415">
        <v>4</v>
      </c>
      <c r="Q1063" s="415">
        <v>30</v>
      </c>
      <c r="R1063" s="415">
        <v>5</v>
      </c>
      <c r="S1063" s="415">
        <f t="shared" si="48"/>
        <v>5</v>
      </c>
      <c r="T1063" s="419">
        <f t="shared" si="49"/>
        <v>0.83333333333333337</v>
      </c>
      <c r="U1063" s="419">
        <f t="shared" si="50"/>
        <v>5.833333333333333</v>
      </c>
      <c r="V1063" s="415" t="s">
        <v>662</v>
      </c>
      <c r="W1063" s="415" t="s">
        <v>608</v>
      </c>
      <c r="X1063" s="415" t="s">
        <v>663</v>
      </c>
      <c r="Y1063" s="415"/>
    </row>
    <row r="1064" spans="1:25" hidden="1" x14ac:dyDescent="0.25">
      <c r="A1064" s="415">
        <v>1063</v>
      </c>
      <c r="B1064" s="415">
        <v>656</v>
      </c>
      <c r="C1064" s="415">
        <v>417485</v>
      </c>
      <c r="D1064" s="416" t="s">
        <v>3664</v>
      </c>
      <c r="E1064" s="416" t="s">
        <v>560</v>
      </c>
      <c r="F1064" s="416" t="s">
        <v>561</v>
      </c>
      <c r="G1064" s="416" t="s">
        <v>561</v>
      </c>
      <c r="H1064" s="416" t="s">
        <v>561</v>
      </c>
      <c r="I1064" s="416" t="s">
        <v>3665</v>
      </c>
      <c r="J1064" s="415" t="s">
        <v>747</v>
      </c>
      <c r="K1064" s="417">
        <v>-4.6352039999999999</v>
      </c>
      <c r="L1064" s="417">
        <v>-79.715185000000005</v>
      </c>
      <c r="M1064" s="418">
        <v>30</v>
      </c>
      <c r="N1064" s="418" t="s">
        <v>2310</v>
      </c>
      <c r="O1064" s="418" t="s">
        <v>3407</v>
      </c>
      <c r="P1064" s="415">
        <v>4</v>
      </c>
      <c r="Q1064" s="415">
        <v>30</v>
      </c>
      <c r="R1064" s="415">
        <v>5</v>
      </c>
      <c r="S1064" s="415">
        <f t="shared" si="48"/>
        <v>5</v>
      </c>
      <c r="T1064" s="419">
        <f t="shared" si="49"/>
        <v>0.83333333333333337</v>
      </c>
      <c r="U1064" s="419">
        <f t="shared" si="50"/>
        <v>5.833333333333333</v>
      </c>
      <c r="V1064" s="415" t="s">
        <v>662</v>
      </c>
      <c r="W1064" s="415" t="s">
        <v>606</v>
      </c>
      <c r="X1064" s="415" t="s">
        <v>671</v>
      </c>
      <c r="Y1064" s="415"/>
    </row>
    <row r="1065" spans="1:25" hidden="1" x14ac:dyDescent="0.25">
      <c r="A1065" s="415">
        <v>1064</v>
      </c>
      <c r="B1065" s="415">
        <v>657</v>
      </c>
      <c r="C1065" s="415">
        <v>417683</v>
      </c>
      <c r="D1065" s="416" t="s">
        <v>561</v>
      </c>
      <c r="E1065" s="416" t="s">
        <v>560</v>
      </c>
      <c r="F1065" s="416" t="s">
        <v>561</v>
      </c>
      <c r="G1065" s="416" t="s">
        <v>561</v>
      </c>
      <c r="H1065" s="416" t="s">
        <v>561</v>
      </c>
      <c r="I1065" s="416" t="s">
        <v>3666</v>
      </c>
      <c r="J1065" s="415" t="s">
        <v>747</v>
      </c>
      <c r="K1065" s="417">
        <v>-4.6434829999999998</v>
      </c>
      <c r="L1065" s="417">
        <v>-79.714718000000005</v>
      </c>
      <c r="M1065" s="418">
        <v>30</v>
      </c>
      <c r="N1065" s="418" t="s">
        <v>2310</v>
      </c>
      <c r="O1065" s="418" t="s">
        <v>3407</v>
      </c>
      <c r="P1065" s="415">
        <v>4</v>
      </c>
      <c r="Q1065" s="415">
        <v>30</v>
      </c>
      <c r="R1065" s="415">
        <v>5</v>
      </c>
      <c r="S1065" s="415">
        <f t="shared" si="48"/>
        <v>5</v>
      </c>
      <c r="T1065" s="419">
        <f t="shared" si="49"/>
        <v>0.83333333333333337</v>
      </c>
      <c r="U1065" s="419">
        <f t="shared" si="50"/>
        <v>5.833333333333333</v>
      </c>
      <c r="V1065" s="415" t="s">
        <v>662</v>
      </c>
      <c r="W1065" s="415" t="s">
        <v>606</v>
      </c>
      <c r="X1065" s="415" t="s">
        <v>671</v>
      </c>
      <c r="Y1065" s="415"/>
    </row>
    <row r="1066" spans="1:25" hidden="1" x14ac:dyDescent="0.25">
      <c r="A1066" s="415">
        <v>1065</v>
      </c>
      <c r="B1066" s="415">
        <v>658</v>
      </c>
      <c r="C1066" s="415">
        <v>418277</v>
      </c>
      <c r="D1066" s="416" t="s">
        <v>3667</v>
      </c>
      <c r="E1066" s="416" t="s">
        <v>560</v>
      </c>
      <c r="F1066" s="416" t="s">
        <v>561</v>
      </c>
      <c r="G1066" s="416" t="s">
        <v>561</v>
      </c>
      <c r="H1066" s="416" t="s">
        <v>561</v>
      </c>
      <c r="I1066" s="416" t="s">
        <v>3668</v>
      </c>
      <c r="J1066" s="415" t="s">
        <v>747</v>
      </c>
      <c r="K1066" s="417">
        <v>-4.6362050000000004</v>
      </c>
      <c r="L1066" s="417">
        <v>-79.715320000000006</v>
      </c>
      <c r="M1066" s="418">
        <v>30</v>
      </c>
      <c r="N1066" s="418" t="s">
        <v>2310</v>
      </c>
      <c r="O1066" s="418" t="s">
        <v>3407</v>
      </c>
      <c r="P1066" s="415">
        <v>4</v>
      </c>
      <c r="Q1066" s="415">
        <v>30</v>
      </c>
      <c r="R1066" s="415">
        <v>5</v>
      </c>
      <c r="S1066" s="415">
        <f t="shared" si="48"/>
        <v>5</v>
      </c>
      <c r="T1066" s="419">
        <f t="shared" si="49"/>
        <v>0.83333333333333337</v>
      </c>
      <c r="U1066" s="419">
        <f t="shared" si="50"/>
        <v>5.833333333333333</v>
      </c>
      <c r="V1066" s="415" t="s">
        <v>662</v>
      </c>
      <c r="W1066" s="415" t="s">
        <v>606</v>
      </c>
      <c r="X1066" s="415" t="s">
        <v>671</v>
      </c>
      <c r="Y1066" s="415"/>
    </row>
    <row r="1067" spans="1:25" hidden="1" x14ac:dyDescent="0.25">
      <c r="A1067" s="415">
        <v>1066</v>
      </c>
      <c r="B1067" s="415">
        <v>659</v>
      </c>
      <c r="C1067" s="415">
        <v>418970</v>
      </c>
      <c r="D1067" s="416" t="s">
        <v>1949</v>
      </c>
      <c r="E1067" s="416" t="s">
        <v>560</v>
      </c>
      <c r="F1067" s="416" t="s">
        <v>561</v>
      </c>
      <c r="G1067" s="416" t="s">
        <v>561</v>
      </c>
      <c r="H1067" s="416" t="s">
        <v>561</v>
      </c>
      <c r="I1067" s="416" t="s">
        <v>3669</v>
      </c>
      <c r="J1067" s="415" t="s">
        <v>747</v>
      </c>
      <c r="K1067" s="417">
        <v>-4.6374779999999998</v>
      </c>
      <c r="L1067" s="417">
        <v>-79.714460000000003</v>
      </c>
      <c r="M1067" s="418">
        <v>30</v>
      </c>
      <c r="N1067" s="418" t="s">
        <v>2310</v>
      </c>
      <c r="O1067" s="418" t="s">
        <v>3407</v>
      </c>
      <c r="P1067" s="415">
        <v>4</v>
      </c>
      <c r="Q1067" s="415">
        <v>30</v>
      </c>
      <c r="R1067" s="415">
        <v>5</v>
      </c>
      <c r="S1067" s="415">
        <f t="shared" si="48"/>
        <v>5</v>
      </c>
      <c r="T1067" s="419">
        <f t="shared" si="49"/>
        <v>0.83333333333333337</v>
      </c>
      <c r="U1067" s="419">
        <f t="shared" si="50"/>
        <v>5.833333333333333</v>
      </c>
      <c r="V1067" s="415" t="s">
        <v>662</v>
      </c>
      <c r="W1067" s="415" t="s">
        <v>606</v>
      </c>
      <c r="X1067" s="415" t="s">
        <v>671</v>
      </c>
      <c r="Y1067" s="415"/>
    </row>
    <row r="1068" spans="1:25" hidden="1" x14ac:dyDescent="0.25">
      <c r="A1068" s="415">
        <v>1067</v>
      </c>
      <c r="B1068" s="415">
        <v>660</v>
      </c>
      <c r="C1068" s="415">
        <v>780362</v>
      </c>
      <c r="D1068" s="416" t="s">
        <v>1914</v>
      </c>
      <c r="E1068" s="416" t="s">
        <v>560</v>
      </c>
      <c r="F1068" s="416" t="s">
        <v>561</v>
      </c>
      <c r="G1068" s="416" t="s">
        <v>561</v>
      </c>
      <c r="H1068" s="416" t="s">
        <v>1914</v>
      </c>
      <c r="I1068" s="416" t="s">
        <v>1914</v>
      </c>
      <c r="J1068" s="415" t="s">
        <v>661</v>
      </c>
      <c r="K1068" s="417">
        <v>-4.5541140000000002</v>
      </c>
      <c r="L1068" s="417">
        <v>-79.523846000000006</v>
      </c>
      <c r="M1068" s="418">
        <v>30</v>
      </c>
      <c r="N1068" s="418" t="s">
        <v>2310</v>
      </c>
      <c r="O1068" s="418" t="s">
        <v>3407</v>
      </c>
      <c r="P1068" s="415">
        <v>4</v>
      </c>
      <c r="Q1068" s="415">
        <v>30</v>
      </c>
      <c r="R1068" s="415">
        <v>5</v>
      </c>
      <c r="S1068" s="415">
        <f t="shared" si="48"/>
        <v>5</v>
      </c>
      <c r="T1068" s="419">
        <f t="shared" si="49"/>
        <v>0.83333333333333337</v>
      </c>
      <c r="U1068" s="419">
        <f t="shared" si="50"/>
        <v>5.833333333333333</v>
      </c>
      <c r="V1068" s="415" t="s">
        <v>662</v>
      </c>
      <c r="W1068" s="415" t="s">
        <v>606</v>
      </c>
      <c r="X1068" s="415" t="s">
        <v>671</v>
      </c>
      <c r="Y1068" s="415"/>
    </row>
    <row r="1069" spans="1:25" hidden="1" x14ac:dyDescent="0.25">
      <c r="A1069" s="415">
        <v>1068</v>
      </c>
      <c r="B1069" s="415">
        <v>661</v>
      </c>
      <c r="C1069" s="415">
        <v>418550</v>
      </c>
      <c r="D1069" s="416" t="s">
        <v>3670</v>
      </c>
      <c r="E1069" s="416" t="s">
        <v>560</v>
      </c>
      <c r="F1069" s="416" t="s">
        <v>561</v>
      </c>
      <c r="G1069" s="416" t="s">
        <v>561</v>
      </c>
      <c r="H1069" s="416" t="s">
        <v>1915</v>
      </c>
      <c r="I1069" s="416" t="s">
        <v>1915</v>
      </c>
      <c r="J1069" s="415" t="s">
        <v>661</v>
      </c>
      <c r="K1069" s="417">
        <v>-4.6491400000000001</v>
      </c>
      <c r="L1069" s="417">
        <v>-79.47784</v>
      </c>
      <c r="M1069" s="418">
        <v>30</v>
      </c>
      <c r="N1069" s="418" t="s">
        <v>2310</v>
      </c>
      <c r="O1069" s="418" t="s">
        <v>3407</v>
      </c>
      <c r="P1069" s="415">
        <v>4</v>
      </c>
      <c r="Q1069" s="415">
        <v>30</v>
      </c>
      <c r="R1069" s="415">
        <v>5</v>
      </c>
      <c r="S1069" s="415">
        <f t="shared" si="48"/>
        <v>5</v>
      </c>
      <c r="T1069" s="419">
        <f t="shared" si="49"/>
        <v>0.83333333333333337</v>
      </c>
      <c r="U1069" s="419">
        <f t="shared" si="50"/>
        <v>5.833333333333333</v>
      </c>
      <c r="V1069" s="415" t="s">
        <v>662</v>
      </c>
      <c r="W1069" s="415" t="s">
        <v>606</v>
      </c>
      <c r="X1069" s="415" t="s">
        <v>671</v>
      </c>
      <c r="Y1069" s="415"/>
    </row>
    <row r="1070" spans="1:25" hidden="1" x14ac:dyDescent="0.25">
      <c r="A1070" s="415">
        <v>1069</v>
      </c>
      <c r="B1070" s="415">
        <v>662</v>
      </c>
      <c r="C1070" s="415">
        <v>418866</v>
      </c>
      <c r="D1070" s="416" t="s">
        <v>3671</v>
      </c>
      <c r="E1070" s="416" t="s">
        <v>560</v>
      </c>
      <c r="F1070" s="416" t="s">
        <v>561</v>
      </c>
      <c r="G1070" s="416" t="s">
        <v>561</v>
      </c>
      <c r="H1070" s="416" t="s">
        <v>3672</v>
      </c>
      <c r="I1070" s="416" t="s">
        <v>3672</v>
      </c>
      <c r="J1070" s="415" t="s">
        <v>661</v>
      </c>
      <c r="K1070" s="417">
        <v>-4.5779949999999996</v>
      </c>
      <c r="L1070" s="417">
        <v>-79.635203000000004</v>
      </c>
      <c r="M1070" s="418">
        <v>30</v>
      </c>
      <c r="N1070" s="418" t="s">
        <v>2310</v>
      </c>
      <c r="O1070" s="418" t="s">
        <v>3407</v>
      </c>
      <c r="P1070" s="415">
        <v>4</v>
      </c>
      <c r="Q1070" s="415">
        <v>30</v>
      </c>
      <c r="R1070" s="415">
        <v>5</v>
      </c>
      <c r="S1070" s="415">
        <f t="shared" si="48"/>
        <v>5</v>
      </c>
      <c r="T1070" s="419">
        <f t="shared" si="49"/>
        <v>0.83333333333333337</v>
      </c>
      <c r="U1070" s="419">
        <f t="shared" si="50"/>
        <v>5.833333333333333</v>
      </c>
      <c r="V1070" s="415" t="s">
        <v>662</v>
      </c>
      <c r="W1070" s="415" t="s">
        <v>606</v>
      </c>
      <c r="X1070" s="415" t="s">
        <v>671</v>
      </c>
      <c r="Y1070" s="415"/>
    </row>
    <row r="1071" spans="1:25" hidden="1" x14ac:dyDescent="0.25">
      <c r="A1071" s="415">
        <v>1070</v>
      </c>
      <c r="B1071" s="415">
        <v>663</v>
      </c>
      <c r="C1071" s="415">
        <v>418994</v>
      </c>
      <c r="D1071" s="416" t="s">
        <v>830</v>
      </c>
      <c r="E1071" s="416" t="s">
        <v>560</v>
      </c>
      <c r="F1071" s="416" t="s">
        <v>561</v>
      </c>
      <c r="G1071" s="416" t="s">
        <v>561</v>
      </c>
      <c r="H1071" s="416" t="s">
        <v>3673</v>
      </c>
      <c r="I1071" s="416" t="s">
        <v>3674</v>
      </c>
      <c r="J1071" s="415" t="s">
        <v>661</v>
      </c>
      <c r="K1071" s="417">
        <v>-4.6036729999999997</v>
      </c>
      <c r="L1071" s="417">
        <v>-79.665906000000007</v>
      </c>
      <c r="M1071" s="418">
        <v>30</v>
      </c>
      <c r="N1071" s="418" t="s">
        <v>2310</v>
      </c>
      <c r="O1071" s="418" t="s">
        <v>3407</v>
      </c>
      <c r="P1071" s="415">
        <v>4</v>
      </c>
      <c r="Q1071" s="415">
        <v>30</v>
      </c>
      <c r="R1071" s="415">
        <v>5</v>
      </c>
      <c r="S1071" s="415">
        <f t="shared" si="48"/>
        <v>5</v>
      </c>
      <c r="T1071" s="419">
        <f t="shared" si="49"/>
        <v>0.83333333333333337</v>
      </c>
      <c r="U1071" s="419">
        <f t="shared" si="50"/>
        <v>5.833333333333333</v>
      </c>
      <c r="V1071" s="415" t="s">
        <v>662</v>
      </c>
      <c r="W1071" s="415" t="s">
        <v>606</v>
      </c>
      <c r="X1071" s="415" t="s">
        <v>671</v>
      </c>
      <c r="Y1071" s="415"/>
    </row>
    <row r="1072" spans="1:25" hidden="1" x14ac:dyDescent="0.25">
      <c r="A1072" s="415">
        <v>1071</v>
      </c>
      <c r="B1072" s="415">
        <v>664</v>
      </c>
      <c r="C1072" s="415">
        <v>417466</v>
      </c>
      <c r="D1072" s="416" t="s">
        <v>1908</v>
      </c>
      <c r="E1072" s="416" t="s">
        <v>560</v>
      </c>
      <c r="F1072" s="416" t="s">
        <v>561</v>
      </c>
      <c r="G1072" s="416" t="s">
        <v>561</v>
      </c>
      <c r="H1072" s="416" t="s">
        <v>1909</v>
      </c>
      <c r="I1072" s="416" t="s">
        <v>1909</v>
      </c>
      <c r="J1072" s="415" t="s">
        <v>661</v>
      </c>
      <c r="K1072" s="417">
        <v>-4.6262439999999998</v>
      </c>
      <c r="L1072" s="417">
        <v>-79.529910000000001</v>
      </c>
      <c r="M1072" s="418">
        <v>30</v>
      </c>
      <c r="N1072" s="418" t="s">
        <v>2310</v>
      </c>
      <c r="O1072" s="418" t="s">
        <v>3407</v>
      </c>
      <c r="P1072" s="415">
        <v>4</v>
      </c>
      <c r="Q1072" s="415">
        <v>30</v>
      </c>
      <c r="R1072" s="415">
        <v>5</v>
      </c>
      <c r="S1072" s="415">
        <f t="shared" si="48"/>
        <v>5</v>
      </c>
      <c r="T1072" s="419">
        <f t="shared" si="49"/>
        <v>0.83333333333333337</v>
      </c>
      <c r="U1072" s="419">
        <f t="shared" si="50"/>
        <v>5.833333333333333</v>
      </c>
      <c r="V1072" s="415" t="s">
        <v>662</v>
      </c>
      <c r="W1072" s="415" t="s">
        <v>606</v>
      </c>
      <c r="X1072" s="415" t="s">
        <v>671</v>
      </c>
      <c r="Y1072" s="415"/>
    </row>
    <row r="1073" spans="1:25" hidden="1" x14ac:dyDescent="0.25">
      <c r="A1073" s="415">
        <v>1072</v>
      </c>
      <c r="B1073" s="415">
        <v>665</v>
      </c>
      <c r="C1073" s="415">
        <v>417584</v>
      </c>
      <c r="D1073" s="416" t="s">
        <v>1910</v>
      </c>
      <c r="E1073" s="416" t="s">
        <v>560</v>
      </c>
      <c r="F1073" s="416" t="s">
        <v>561</v>
      </c>
      <c r="G1073" s="416" t="s">
        <v>561</v>
      </c>
      <c r="H1073" s="416" t="s">
        <v>1911</v>
      </c>
      <c r="I1073" s="416" t="s">
        <v>1911</v>
      </c>
      <c r="J1073" s="415" t="s">
        <v>661</v>
      </c>
      <c r="K1073" s="417">
        <v>-4.6544499999999998</v>
      </c>
      <c r="L1073" s="417">
        <v>-79.606080000000006</v>
      </c>
      <c r="M1073" s="418">
        <v>30</v>
      </c>
      <c r="N1073" s="418" t="s">
        <v>2310</v>
      </c>
      <c r="O1073" s="418" t="s">
        <v>3407</v>
      </c>
      <c r="P1073" s="415">
        <v>4</v>
      </c>
      <c r="Q1073" s="415">
        <v>30</v>
      </c>
      <c r="R1073" s="415">
        <v>5</v>
      </c>
      <c r="S1073" s="415">
        <f t="shared" si="48"/>
        <v>5</v>
      </c>
      <c r="T1073" s="419">
        <f t="shared" si="49"/>
        <v>0.83333333333333337</v>
      </c>
      <c r="U1073" s="419">
        <f t="shared" si="50"/>
        <v>5.833333333333333</v>
      </c>
      <c r="V1073" s="415" t="s">
        <v>662</v>
      </c>
      <c r="W1073" s="415" t="s">
        <v>606</v>
      </c>
      <c r="X1073" s="415" t="s">
        <v>671</v>
      </c>
      <c r="Y1073" s="415"/>
    </row>
    <row r="1074" spans="1:25" hidden="1" x14ac:dyDescent="0.25">
      <c r="A1074" s="415">
        <v>1073</v>
      </c>
      <c r="B1074" s="415">
        <v>666</v>
      </c>
      <c r="C1074" s="415">
        <v>417857</v>
      </c>
      <c r="D1074" s="416" t="s">
        <v>1912</v>
      </c>
      <c r="E1074" s="416" t="s">
        <v>560</v>
      </c>
      <c r="F1074" s="416" t="s">
        <v>561</v>
      </c>
      <c r="G1074" s="416" t="s">
        <v>561</v>
      </c>
      <c r="H1074" s="416" t="s">
        <v>1913</v>
      </c>
      <c r="I1074" s="416" t="s">
        <v>1913</v>
      </c>
      <c r="J1074" s="415" t="s">
        <v>661</v>
      </c>
      <c r="K1074" s="417">
        <v>-4.6485640000000004</v>
      </c>
      <c r="L1074" s="417">
        <v>-79.594117999999995</v>
      </c>
      <c r="M1074" s="418">
        <v>30</v>
      </c>
      <c r="N1074" s="418" t="s">
        <v>2310</v>
      </c>
      <c r="O1074" s="418" t="s">
        <v>3407</v>
      </c>
      <c r="P1074" s="415">
        <v>4</v>
      </c>
      <c r="Q1074" s="415">
        <v>30</v>
      </c>
      <c r="R1074" s="415">
        <v>5</v>
      </c>
      <c r="S1074" s="415">
        <f t="shared" si="48"/>
        <v>5</v>
      </c>
      <c r="T1074" s="419">
        <f t="shared" si="49"/>
        <v>0.83333333333333337</v>
      </c>
      <c r="U1074" s="419">
        <f t="shared" si="50"/>
        <v>5.833333333333333</v>
      </c>
      <c r="V1074" s="415" t="s">
        <v>662</v>
      </c>
      <c r="W1074" s="415" t="s">
        <v>606</v>
      </c>
      <c r="X1074" s="415" t="s">
        <v>671</v>
      </c>
      <c r="Y1074" s="415"/>
    </row>
    <row r="1075" spans="1:25" hidden="1" x14ac:dyDescent="0.25">
      <c r="A1075" s="415">
        <v>1074</v>
      </c>
      <c r="B1075" s="415">
        <v>667</v>
      </c>
      <c r="C1075" s="415">
        <v>419413</v>
      </c>
      <c r="D1075" s="416" t="s">
        <v>1918</v>
      </c>
      <c r="E1075" s="416" t="s">
        <v>560</v>
      </c>
      <c r="F1075" s="416" t="s">
        <v>561</v>
      </c>
      <c r="G1075" s="416" t="s">
        <v>1919</v>
      </c>
      <c r="H1075" s="416" t="s">
        <v>1920</v>
      </c>
      <c r="I1075" s="416" t="s">
        <v>1921</v>
      </c>
      <c r="J1075" s="415" t="s">
        <v>661</v>
      </c>
      <c r="K1075" s="417">
        <v>-4.9772999999999996</v>
      </c>
      <c r="L1075" s="417">
        <v>-79.821899999999999</v>
      </c>
      <c r="M1075" s="418">
        <v>30</v>
      </c>
      <c r="N1075" s="418" t="s">
        <v>2310</v>
      </c>
      <c r="O1075" s="418" t="s">
        <v>3407</v>
      </c>
      <c r="P1075" s="415">
        <v>4</v>
      </c>
      <c r="Q1075" s="415">
        <v>30</v>
      </c>
      <c r="R1075" s="415">
        <v>5</v>
      </c>
      <c r="S1075" s="415">
        <f t="shared" si="48"/>
        <v>5</v>
      </c>
      <c r="T1075" s="419">
        <f t="shared" si="49"/>
        <v>0.83333333333333337</v>
      </c>
      <c r="U1075" s="419">
        <f t="shared" si="50"/>
        <v>5.833333333333333</v>
      </c>
      <c r="V1075" s="415" t="s">
        <v>662</v>
      </c>
      <c r="W1075" s="415" t="s">
        <v>608</v>
      </c>
      <c r="X1075" s="415" t="s">
        <v>663</v>
      </c>
      <c r="Y1075" s="415"/>
    </row>
    <row r="1076" spans="1:25" hidden="1" x14ac:dyDescent="0.25">
      <c r="A1076" s="415">
        <v>1075</v>
      </c>
      <c r="B1076" s="415">
        <v>668</v>
      </c>
      <c r="C1076" s="415">
        <v>773427</v>
      </c>
      <c r="D1076" s="416" t="s">
        <v>3675</v>
      </c>
      <c r="E1076" s="416" t="s">
        <v>560</v>
      </c>
      <c r="F1076" s="416" t="s">
        <v>561</v>
      </c>
      <c r="G1076" s="416" t="s">
        <v>1919</v>
      </c>
      <c r="H1076" s="416" t="s">
        <v>3675</v>
      </c>
      <c r="I1076" s="416" t="s">
        <v>3675</v>
      </c>
      <c r="J1076" s="415" t="s">
        <v>661</v>
      </c>
      <c r="K1076" s="417">
        <v>-4.9870000000000001</v>
      </c>
      <c r="L1076" s="417">
        <v>-79.994200000000006</v>
      </c>
      <c r="M1076" s="418">
        <v>30</v>
      </c>
      <c r="N1076" s="418" t="s">
        <v>2310</v>
      </c>
      <c r="O1076" s="418" t="s">
        <v>3407</v>
      </c>
      <c r="P1076" s="415">
        <v>4</v>
      </c>
      <c r="Q1076" s="415">
        <v>30</v>
      </c>
      <c r="R1076" s="415">
        <v>5</v>
      </c>
      <c r="S1076" s="415">
        <f t="shared" si="48"/>
        <v>5</v>
      </c>
      <c r="T1076" s="419">
        <f t="shared" si="49"/>
        <v>0.83333333333333337</v>
      </c>
      <c r="U1076" s="419">
        <f t="shared" si="50"/>
        <v>5.833333333333333</v>
      </c>
      <c r="V1076" s="415" t="s">
        <v>662</v>
      </c>
      <c r="W1076" s="415" t="s">
        <v>606</v>
      </c>
      <c r="X1076" s="415" t="s">
        <v>671</v>
      </c>
      <c r="Y1076" s="415"/>
    </row>
    <row r="1077" spans="1:25" hidden="1" x14ac:dyDescent="0.25">
      <c r="A1077" s="415">
        <v>1076</v>
      </c>
      <c r="B1077" s="415">
        <v>669</v>
      </c>
      <c r="C1077" s="415">
        <v>419762</v>
      </c>
      <c r="D1077" s="416" t="s">
        <v>1923</v>
      </c>
      <c r="E1077" s="416" t="s">
        <v>560</v>
      </c>
      <c r="F1077" s="416" t="s">
        <v>561</v>
      </c>
      <c r="G1077" s="416" t="s">
        <v>1919</v>
      </c>
      <c r="H1077" s="416" t="s">
        <v>1924</v>
      </c>
      <c r="I1077" s="416" t="s">
        <v>1924</v>
      </c>
      <c r="J1077" s="415" t="s">
        <v>661</v>
      </c>
      <c r="K1077" s="417">
        <v>-4.9283000000000001</v>
      </c>
      <c r="L1077" s="417">
        <v>-79.818899999999999</v>
      </c>
      <c r="M1077" s="418">
        <v>30</v>
      </c>
      <c r="N1077" s="418" t="s">
        <v>2310</v>
      </c>
      <c r="O1077" s="418" t="s">
        <v>3407</v>
      </c>
      <c r="P1077" s="415">
        <v>4</v>
      </c>
      <c r="Q1077" s="415">
        <v>30</v>
      </c>
      <c r="R1077" s="415">
        <v>5</v>
      </c>
      <c r="S1077" s="415">
        <f t="shared" si="48"/>
        <v>5</v>
      </c>
      <c r="T1077" s="419">
        <f t="shared" si="49"/>
        <v>0.83333333333333337</v>
      </c>
      <c r="U1077" s="419">
        <f t="shared" si="50"/>
        <v>5.833333333333333</v>
      </c>
      <c r="V1077" s="415" t="s">
        <v>662</v>
      </c>
      <c r="W1077" s="415" t="s">
        <v>606</v>
      </c>
      <c r="X1077" s="415" t="s">
        <v>671</v>
      </c>
      <c r="Y1077" s="415"/>
    </row>
    <row r="1078" spans="1:25" hidden="1" x14ac:dyDescent="0.25">
      <c r="A1078" s="415">
        <v>1077</v>
      </c>
      <c r="B1078" s="415">
        <v>670</v>
      </c>
      <c r="C1078" s="415">
        <v>420143</v>
      </c>
      <c r="D1078" s="416" t="s">
        <v>3676</v>
      </c>
      <c r="E1078" s="416" t="s">
        <v>560</v>
      </c>
      <c r="F1078" s="416" t="s">
        <v>561</v>
      </c>
      <c r="G1078" s="416" t="s">
        <v>1919</v>
      </c>
      <c r="H1078" s="416" t="s">
        <v>3677</v>
      </c>
      <c r="I1078" s="416" t="s">
        <v>3677</v>
      </c>
      <c r="J1078" s="415" t="s">
        <v>661</v>
      </c>
      <c r="K1078" s="417">
        <v>-4.9972060000000003</v>
      </c>
      <c r="L1078" s="417">
        <v>-80.126255999999998</v>
      </c>
      <c r="M1078" s="418">
        <v>30</v>
      </c>
      <c r="N1078" s="418" t="s">
        <v>2310</v>
      </c>
      <c r="O1078" s="418" t="s">
        <v>3407</v>
      </c>
      <c r="P1078" s="415">
        <v>4</v>
      </c>
      <c r="Q1078" s="415">
        <v>30</v>
      </c>
      <c r="R1078" s="415">
        <v>5</v>
      </c>
      <c r="S1078" s="415">
        <f t="shared" si="48"/>
        <v>5</v>
      </c>
      <c r="T1078" s="419">
        <f t="shared" si="49"/>
        <v>0.83333333333333337</v>
      </c>
      <c r="U1078" s="419">
        <f t="shared" si="50"/>
        <v>5.833333333333333</v>
      </c>
      <c r="V1078" s="415" t="s">
        <v>662</v>
      </c>
      <c r="W1078" s="415" t="s">
        <v>606</v>
      </c>
      <c r="X1078" s="415" t="s">
        <v>671</v>
      </c>
      <c r="Y1078" s="415"/>
    </row>
    <row r="1079" spans="1:25" hidden="1" x14ac:dyDescent="0.25">
      <c r="A1079" s="415">
        <v>1078</v>
      </c>
      <c r="B1079" s="415">
        <v>671</v>
      </c>
      <c r="C1079" s="415">
        <v>420044</v>
      </c>
      <c r="D1079" s="416" t="s">
        <v>1925</v>
      </c>
      <c r="E1079" s="416" t="s">
        <v>560</v>
      </c>
      <c r="F1079" s="416" t="s">
        <v>561</v>
      </c>
      <c r="G1079" s="416" t="s">
        <v>1919</v>
      </c>
      <c r="H1079" s="416" t="s">
        <v>1926</v>
      </c>
      <c r="I1079" s="416" t="s">
        <v>1926</v>
      </c>
      <c r="J1079" s="415" t="s">
        <v>661</v>
      </c>
      <c r="K1079" s="417">
        <v>-4.9977999999999998</v>
      </c>
      <c r="L1079" s="417">
        <v>-79.959699999999998</v>
      </c>
      <c r="M1079" s="418">
        <v>30</v>
      </c>
      <c r="N1079" s="418" t="s">
        <v>2310</v>
      </c>
      <c r="O1079" s="418" t="s">
        <v>3407</v>
      </c>
      <c r="P1079" s="415">
        <v>4</v>
      </c>
      <c r="Q1079" s="415">
        <v>30</v>
      </c>
      <c r="R1079" s="415">
        <v>5</v>
      </c>
      <c r="S1079" s="415">
        <f t="shared" si="48"/>
        <v>5</v>
      </c>
      <c r="T1079" s="419">
        <f t="shared" si="49"/>
        <v>0.83333333333333337</v>
      </c>
      <c r="U1079" s="419">
        <f t="shared" si="50"/>
        <v>5.833333333333333</v>
      </c>
      <c r="V1079" s="415" t="s">
        <v>662</v>
      </c>
      <c r="W1079" s="415" t="s">
        <v>606</v>
      </c>
      <c r="X1079" s="415" t="s">
        <v>671</v>
      </c>
      <c r="Y1079" s="415"/>
    </row>
    <row r="1080" spans="1:25" hidden="1" x14ac:dyDescent="0.25">
      <c r="A1080" s="415">
        <v>1079</v>
      </c>
      <c r="B1080" s="415">
        <v>672</v>
      </c>
      <c r="C1080" s="415">
        <v>419516</v>
      </c>
      <c r="D1080" s="416" t="s">
        <v>3678</v>
      </c>
      <c r="E1080" s="416" t="s">
        <v>560</v>
      </c>
      <c r="F1080" s="416" t="s">
        <v>561</v>
      </c>
      <c r="G1080" s="416" t="s">
        <v>1919</v>
      </c>
      <c r="H1080" s="416" t="s">
        <v>1974</v>
      </c>
      <c r="I1080" s="416" t="s">
        <v>3679</v>
      </c>
      <c r="J1080" s="415" t="s">
        <v>661</v>
      </c>
      <c r="K1080" s="417">
        <v>-4.9294000000000002</v>
      </c>
      <c r="L1080" s="417">
        <v>-80.022000000000006</v>
      </c>
      <c r="M1080" s="418">
        <v>30</v>
      </c>
      <c r="N1080" s="418" t="s">
        <v>2310</v>
      </c>
      <c r="O1080" s="418" t="s">
        <v>3407</v>
      </c>
      <c r="P1080" s="415">
        <v>4</v>
      </c>
      <c r="Q1080" s="415">
        <v>30</v>
      </c>
      <c r="R1080" s="415">
        <v>5</v>
      </c>
      <c r="S1080" s="415">
        <f t="shared" si="48"/>
        <v>5</v>
      </c>
      <c r="T1080" s="419">
        <f t="shared" si="49"/>
        <v>0.83333333333333337</v>
      </c>
      <c r="U1080" s="419">
        <f t="shared" si="50"/>
        <v>5.833333333333333</v>
      </c>
      <c r="V1080" s="415" t="s">
        <v>662</v>
      </c>
      <c r="W1080" s="415" t="s">
        <v>606</v>
      </c>
      <c r="X1080" s="415" t="s">
        <v>671</v>
      </c>
      <c r="Y1080" s="415"/>
    </row>
    <row r="1081" spans="1:25" hidden="1" x14ac:dyDescent="0.25">
      <c r="A1081" s="415">
        <v>1080</v>
      </c>
      <c r="B1081" s="415">
        <v>673</v>
      </c>
      <c r="C1081" s="415">
        <v>420529</v>
      </c>
      <c r="D1081" s="416" t="s">
        <v>1928</v>
      </c>
      <c r="E1081" s="416" t="s">
        <v>560</v>
      </c>
      <c r="F1081" s="416" t="s">
        <v>561</v>
      </c>
      <c r="G1081" s="416" t="s">
        <v>1927</v>
      </c>
      <c r="H1081" s="416" t="s">
        <v>1929</v>
      </c>
      <c r="I1081" s="416" t="s">
        <v>1929</v>
      </c>
      <c r="J1081" s="415" t="s">
        <v>661</v>
      </c>
      <c r="K1081" s="417">
        <v>-4.8003</v>
      </c>
      <c r="L1081" s="417">
        <v>-79.816800000000001</v>
      </c>
      <c r="M1081" s="418">
        <v>30</v>
      </c>
      <c r="N1081" s="418" t="s">
        <v>2310</v>
      </c>
      <c r="O1081" s="418" t="s">
        <v>3407</v>
      </c>
      <c r="P1081" s="415">
        <v>4</v>
      </c>
      <c r="Q1081" s="415">
        <v>30</v>
      </c>
      <c r="R1081" s="415">
        <v>5</v>
      </c>
      <c r="S1081" s="415">
        <f t="shared" si="48"/>
        <v>5</v>
      </c>
      <c r="T1081" s="419">
        <f t="shared" si="49"/>
        <v>0.83333333333333337</v>
      </c>
      <c r="U1081" s="419">
        <f t="shared" si="50"/>
        <v>5.833333333333333</v>
      </c>
      <c r="V1081" s="415" t="s">
        <v>662</v>
      </c>
      <c r="W1081" s="415" t="s">
        <v>606</v>
      </c>
      <c r="X1081" s="415" t="s">
        <v>671</v>
      </c>
      <c r="Y1081" s="415"/>
    </row>
    <row r="1082" spans="1:25" hidden="1" x14ac:dyDescent="0.25">
      <c r="A1082" s="415">
        <v>1081</v>
      </c>
      <c r="B1082" s="415">
        <v>674</v>
      </c>
      <c r="C1082" s="415">
        <v>420954</v>
      </c>
      <c r="D1082" s="416" t="s">
        <v>3680</v>
      </c>
      <c r="E1082" s="416" t="s">
        <v>560</v>
      </c>
      <c r="F1082" s="416" t="s">
        <v>561</v>
      </c>
      <c r="G1082" s="416" t="s">
        <v>1930</v>
      </c>
      <c r="H1082" s="416" t="s">
        <v>3681</v>
      </c>
      <c r="I1082" s="416" t="s">
        <v>3682</v>
      </c>
      <c r="J1082" s="415" t="s">
        <v>661</v>
      </c>
      <c r="K1082" s="417">
        <v>-4.6477040000000001</v>
      </c>
      <c r="L1082" s="417">
        <v>-79.816722999999996</v>
      </c>
      <c r="M1082" s="418">
        <v>30</v>
      </c>
      <c r="N1082" s="418" t="s">
        <v>2310</v>
      </c>
      <c r="O1082" s="418" t="s">
        <v>3407</v>
      </c>
      <c r="P1082" s="415">
        <v>4</v>
      </c>
      <c r="Q1082" s="415">
        <v>30</v>
      </c>
      <c r="R1082" s="415">
        <v>5</v>
      </c>
      <c r="S1082" s="415">
        <f t="shared" si="48"/>
        <v>5</v>
      </c>
      <c r="T1082" s="419">
        <f t="shared" si="49"/>
        <v>0.83333333333333337</v>
      </c>
      <c r="U1082" s="419">
        <f t="shared" si="50"/>
        <v>5.833333333333333</v>
      </c>
      <c r="V1082" s="415" t="s">
        <v>662</v>
      </c>
      <c r="W1082" s="415" t="s">
        <v>606</v>
      </c>
      <c r="X1082" s="415" t="s">
        <v>671</v>
      </c>
      <c r="Y1082" s="415"/>
    </row>
    <row r="1083" spans="1:25" hidden="1" x14ac:dyDescent="0.25">
      <c r="A1083" s="415">
        <v>1082</v>
      </c>
      <c r="B1083" s="415">
        <v>675</v>
      </c>
      <c r="C1083" s="415">
        <v>421185</v>
      </c>
      <c r="D1083" s="416" t="s">
        <v>3683</v>
      </c>
      <c r="E1083" s="416" t="s">
        <v>560</v>
      </c>
      <c r="F1083" s="416" t="s">
        <v>561</v>
      </c>
      <c r="G1083" s="416" t="s">
        <v>1930</v>
      </c>
      <c r="H1083" s="416" t="s">
        <v>1930</v>
      </c>
      <c r="I1083" s="416" t="s">
        <v>1930</v>
      </c>
      <c r="J1083" s="415" t="s">
        <v>661</v>
      </c>
      <c r="K1083" s="417">
        <v>-4.6327999999999996</v>
      </c>
      <c r="L1083" s="417">
        <v>-79.826599999999999</v>
      </c>
      <c r="M1083" s="418">
        <v>30</v>
      </c>
      <c r="N1083" s="418" t="s">
        <v>2310</v>
      </c>
      <c r="O1083" s="418" t="s">
        <v>3407</v>
      </c>
      <c r="P1083" s="415">
        <v>4</v>
      </c>
      <c r="Q1083" s="415">
        <v>30</v>
      </c>
      <c r="R1083" s="415">
        <v>5</v>
      </c>
      <c r="S1083" s="415">
        <f t="shared" si="48"/>
        <v>5</v>
      </c>
      <c r="T1083" s="419">
        <f t="shared" si="49"/>
        <v>0.83333333333333337</v>
      </c>
      <c r="U1083" s="419">
        <f t="shared" si="50"/>
        <v>5.833333333333333</v>
      </c>
      <c r="V1083" s="415" t="s">
        <v>662</v>
      </c>
      <c r="W1083" s="415" t="s">
        <v>606</v>
      </c>
      <c r="X1083" s="415" t="s">
        <v>671</v>
      </c>
      <c r="Y1083" s="415"/>
    </row>
    <row r="1084" spans="1:25" hidden="1" x14ac:dyDescent="0.25">
      <c r="A1084" s="415">
        <v>1083</v>
      </c>
      <c r="B1084" s="415">
        <v>676</v>
      </c>
      <c r="C1084" s="415">
        <v>421345</v>
      </c>
      <c r="D1084" s="416" t="s">
        <v>1933</v>
      </c>
      <c r="E1084" s="416" t="s">
        <v>560</v>
      </c>
      <c r="F1084" s="416" t="s">
        <v>561</v>
      </c>
      <c r="G1084" s="416" t="s">
        <v>1932</v>
      </c>
      <c r="H1084" s="416" t="s">
        <v>1934</v>
      </c>
      <c r="I1084" s="416" t="s">
        <v>1934</v>
      </c>
      <c r="J1084" s="415" t="s">
        <v>661</v>
      </c>
      <c r="K1084" s="417">
        <v>-5.0161769999999999</v>
      </c>
      <c r="L1084" s="417">
        <v>-79.626908999999998</v>
      </c>
      <c r="M1084" s="418">
        <v>30</v>
      </c>
      <c r="N1084" s="418" t="s">
        <v>2310</v>
      </c>
      <c r="O1084" s="418" t="s">
        <v>3407</v>
      </c>
      <c r="P1084" s="415">
        <v>4</v>
      </c>
      <c r="Q1084" s="415">
        <v>30</v>
      </c>
      <c r="R1084" s="415">
        <v>5</v>
      </c>
      <c r="S1084" s="415">
        <f t="shared" si="48"/>
        <v>5</v>
      </c>
      <c r="T1084" s="419">
        <f t="shared" si="49"/>
        <v>0.83333333333333337</v>
      </c>
      <c r="U1084" s="419">
        <f t="shared" si="50"/>
        <v>5.833333333333333</v>
      </c>
      <c r="V1084" s="415" t="s">
        <v>662</v>
      </c>
      <c r="W1084" s="415" t="s">
        <v>608</v>
      </c>
      <c r="X1084" s="415" t="s">
        <v>663</v>
      </c>
      <c r="Y1084" s="415"/>
    </row>
    <row r="1085" spans="1:25" hidden="1" x14ac:dyDescent="0.25">
      <c r="A1085" s="415">
        <v>1084</v>
      </c>
      <c r="B1085" s="415">
        <v>677</v>
      </c>
      <c r="C1085" s="415">
        <v>422175</v>
      </c>
      <c r="D1085" s="416" t="s">
        <v>1917</v>
      </c>
      <c r="E1085" s="416" t="s">
        <v>560</v>
      </c>
      <c r="F1085" s="416" t="s">
        <v>561</v>
      </c>
      <c r="G1085" s="416" t="s">
        <v>1932</v>
      </c>
      <c r="H1085" s="416" t="s">
        <v>1935</v>
      </c>
      <c r="I1085" s="416" t="s">
        <v>1936</v>
      </c>
      <c r="J1085" s="415" t="s">
        <v>661</v>
      </c>
      <c r="K1085" s="417">
        <v>-4.9332539999999998</v>
      </c>
      <c r="L1085" s="417">
        <v>-79.584018</v>
      </c>
      <c r="M1085" s="418">
        <v>30</v>
      </c>
      <c r="N1085" s="418" t="s">
        <v>2310</v>
      </c>
      <c r="O1085" s="418" t="s">
        <v>3407</v>
      </c>
      <c r="P1085" s="415">
        <v>4</v>
      </c>
      <c r="Q1085" s="415">
        <v>30</v>
      </c>
      <c r="R1085" s="415">
        <v>5</v>
      </c>
      <c r="S1085" s="415">
        <f t="shared" si="48"/>
        <v>5</v>
      </c>
      <c r="T1085" s="419">
        <f t="shared" si="49"/>
        <v>0.83333333333333337</v>
      </c>
      <c r="U1085" s="419">
        <f t="shared" si="50"/>
        <v>5.833333333333333</v>
      </c>
      <c r="V1085" s="415" t="s">
        <v>662</v>
      </c>
      <c r="W1085" s="415" t="s">
        <v>608</v>
      </c>
      <c r="X1085" s="415" t="s">
        <v>663</v>
      </c>
      <c r="Y1085" s="415"/>
    </row>
    <row r="1086" spans="1:25" hidden="1" x14ac:dyDescent="0.25">
      <c r="A1086" s="415">
        <v>1085</v>
      </c>
      <c r="B1086" s="415">
        <v>678</v>
      </c>
      <c r="C1086" s="415">
        <v>422180</v>
      </c>
      <c r="D1086" s="416" t="s">
        <v>1941</v>
      </c>
      <c r="E1086" s="416" t="s">
        <v>560</v>
      </c>
      <c r="F1086" s="416" t="s">
        <v>561</v>
      </c>
      <c r="G1086" s="416" t="s">
        <v>1932</v>
      </c>
      <c r="H1086" s="416" t="s">
        <v>1937</v>
      </c>
      <c r="I1086" s="416" t="s">
        <v>1937</v>
      </c>
      <c r="J1086" s="415" t="s">
        <v>661</v>
      </c>
      <c r="K1086" s="417">
        <v>-4.8714829999999996</v>
      </c>
      <c r="L1086" s="417">
        <v>-79.760329999999996</v>
      </c>
      <c r="M1086" s="418">
        <v>30</v>
      </c>
      <c r="N1086" s="418" t="s">
        <v>2310</v>
      </c>
      <c r="O1086" s="418" t="s">
        <v>3407</v>
      </c>
      <c r="P1086" s="415">
        <v>4</v>
      </c>
      <c r="Q1086" s="415">
        <v>30</v>
      </c>
      <c r="R1086" s="415">
        <v>5</v>
      </c>
      <c r="S1086" s="415">
        <f t="shared" si="48"/>
        <v>5</v>
      </c>
      <c r="T1086" s="419">
        <f t="shared" si="49"/>
        <v>0.83333333333333337</v>
      </c>
      <c r="U1086" s="419">
        <f t="shared" si="50"/>
        <v>5.833333333333333</v>
      </c>
      <c r="V1086" s="415" t="s">
        <v>662</v>
      </c>
      <c r="W1086" s="415" t="s">
        <v>606</v>
      </c>
      <c r="X1086" s="415" t="s">
        <v>671</v>
      </c>
      <c r="Y1086" s="415"/>
    </row>
    <row r="1087" spans="1:25" hidden="1" x14ac:dyDescent="0.25">
      <c r="A1087" s="415">
        <v>1086</v>
      </c>
      <c r="B1087" s="415">
        <v>679</v>
      </c>
      <c r="C1087" s="415">
        <v>422199</v>
      </c>
      <c r="D1087" s="416" t="s">
        <v>592</v>
      </c>
      <c r="E1087" s="416" t="s">
        <v>560</v>
      </c>
      <c r="F1087" s="416" t="s">
        <v>561</v>
      </c>
      <c r="G1087" s="416" t="s">
        <v>1932</v>
      </c>
      <c r="H1087" s="416" t="s">
        <v>1932</v>
      </c>
      <c r="I1087" s="416" t="s">
        <v>1398</v>
      </c>
      <c r="J1087" s="415" t="s">
        <v>661</v>
      </c>
      <c r="K1087" s="417">
        <v>-4.9949050000000002</v>
      </c>
      <c r="L1087" s="417">
        <v>-79.667648999999997</v>
      </c>
      <c r="M1087" s="418">
        <v>30</v>
      </c>
      <c r="N1087" s="418" t="s">
        <v>2310</v>
      </c>
      <c r="O1087" s="418" t="s">
        <v>3407</v>
      </c>
      <c r="P1087" s="415">
        <v>4</v>
      </c>
      <c r="Q1087" s="415">
        <v>30</v>
      </c>
      <c r="R1087" s="415">
        <v>5</v>
      </c>
      <c r="S1087" s="415">
        <f t="shared" si="48"/>
        <v>5</v>
      </c>
      <c r="T1087" s="419">
        <f t="shared" si="49"/>
        <v>0.83333333333333337</v>
      </c>
      <c r="U1087" s="419">
        <f t="shared" si="50"/>
        <v>5.833333333333333</v>
      </c>
      <c r="V1087" s="415" t="s">
        <v>662</v>
      </c>
      <c r="W1087" s="415" t="s">
        <v>608</v>
      </c>
      <c r="X1087" s="415" t="s">
        <v>663</v>
      </c>
      <c r="Y1087" s="415"/>
    </row>
    <row r="1088" spans="1:25" hidden="1" x14ac:dyDescent="0.25">
      <c r="A1088" s="415">
        <v>1087</v>
      </c>
      <c r="B1088" s="415">
        <v>680</v>
      </c>
      <c r="C1088" s="415">
        <v>421741</v>
      </c>
      <c r="D1088" s="416" t="s">
        <v>3684</v>
      </c>
      <c r="E1088" s="416" t="s">
        <v>560</v>
      </c>
      <c r="F1088" s="416" t="s">
        <v>561</v>
      </c>
      <c r="G1088" s="416" t="s">
        <v>1932</v>
      </c>
      <c r="H1088" s="416" t="s">
        <v>3685</v>
      </c>
      <c r="I1088" s="416" t="s">
        <v>3685</v>
      </c>
      <c r="J1088" s="415" t="s">
        <v>661</v>
      </c>
      <c r="K1088" s="417">
        <v>-4.9740060000000001</v>
      </c>
      <c r="L1088" s="417">
        <v>-79.706255999999996</v>
      </c>
      <c r="M1088" s="418">
        <v>30</v>
      </c>
      <c r="N1088" s="418" t="s">
        <v>2310</v>
      </c>
      <c r="O1088" s="418" t="s">
        <v>3407</v>
      </c>
      <c r="P1088" s="415">
        <v>4</v>
      </c>
      <c r="Q1088" s="415">
        <v>30</v>
      </c>
      <c r="R1088" s="415">
        <v>5</v>
      </c>
      <c r="S1088" s="415">
        <f t="shared" si="48"/>
        <v>5</v>
      </c>
      <c r="T1088" s="419">
        <f t="shared" si="49"/>
        <v>0.83333333333333337</v>
      </c>
      <c r="U1088" s="419">
        <f t="shared" si="50"/>
        <v>5.833333333333333</v>
      </c>
      <c r="V1088" s="415" t="s">
        <v>662</v>
      </c>
      <c r="W1088" s="415" t="s">
        <v>608</v>
      </c>
      <c r="X1088" s="415" t="s">
        <v>663</v>
      </c>
      <c r="Y1088" s="415"/>
    </row>
    <row r="1089" spans="1:25" hidden="1" x14ac:dyDescent="0.25">
      <c r="A1089" s="415">
        <v>1088</v>
      </c>
      <c r="B1089" s="415">
        <v>681</v>
      </c>
      <c r="C1089" s="415">
        <v>421717</v>
      </c>
      <c r="D1089" s="416" t="s">
        <v>1939</v>
      </c>
      <c r="E1089" s="416" t="s">
        <v>560</v>
      </c>
      <c r="F1089" s="416" t="s">
        <v>561</v>
      </c>
      <c r="G1089" s="416" t="s">
        <v>1932</v>
      </c>
      <c r="H1089" s="416" t="s">
        <v>1940</v>
      </c>
      <c r="I1089" s="416" t="s">
        <v>1940</v>
      </c>
      <c r="J1089" s="415" t="s">
        <v>661</v>
      </c>
      <c r="K1089" s="417">
        <v>-4.9479649999999999</v>
      </c>
      <c r="L1089" s="417">
        <v>-79.611063999999999</v>
      </c>
      <c r="M1089" s="418">
        <v>30</v>
      </c>
      <c r="N1089" s="418" t="s">
        <v>2310</v>
      </c>
      <c r="O1089" s="418" t="s">
        <v>3407</v>
      </c>
      <c r="P1089" s="415">
        <v>4</v>
      </c>
      <c r="Q1089" s="415">
        <v>30</v>
      </c>
      <c r="R1089" s="415">
        <v>5</v>
      </c>
      <c r="S1089" s="415">
        <f t="shared" si="48"/>
        <v>5</v>
      </c>
      <c r="T1089" s="419">
        <f t="shared" si="49"/>
        <v>0.83333333333333337</v>
      </c>
      <c r="U1089" s="419">
        <f t="shared" si="50"/>
        <v>5.833333333333333</v>
      </c>
      <c r="V1089" s="415" t="s">
        <v>662</v>
      </c>
      <c r="W1089" s="415" t="s">
        <v>608</v>
      </c>
      <c r="X1089" s="415" t="s">
        <v>663</v>
      </c>
      <c r="Y1089" s="415"/>
    </row>
    <row r="1090" spans="1:25" hidden="1" x14ac:dyDescent="0.25">
      <c r="A1090" s="415">
        <v>1089</v>
      </c>
      <c r="B1090" s="415">
        <v>682</v>
      </c>
      <c r="C1090" s="415">
        <v>422627</v>
      </c>
      <c r="D1090" s="416" t="s">
        <v>2238</v>
      </c>
      <c r="E1090" s="416" t="s">
        <v>560</v>
      </c>
      <c r="F1090" s="416" t="s">
        <v>561</v>
      </c>
      <c r="G1090" s="416" t="s">
        <v>1942</v>
      </c>
      <c r="H1090" s="416" t="s">
        <v>3686</v>
      </c>
      <c r="I1090" s="416" t="s">
        <v>3686</v>
      </c>
      <c r="J1090" s="415" t="s">
        <v>661</v>
      </c>
      <c r="K1090" s="417">
        <v>-4.7363569999999999</v>
      </c>
      <c r="L1090" s="417">
        <v>-79.912321000000006</v>
      </c>
      <c r="M1090" s="418">
        <v>30</v>
      </c>
      <c r="N1090" s="418" t="s">
        <v>2310</v>
      </c>
      <c r="O1090" s="418" t="s">
        <v>3407</v>
      </c>
      <c r="P1090" s="415">
        <v>4</v>
      </c>
      <c r="Q1090" s="415">
        <v>30</v>
      </c>
      <c r="R1090" s="415">
        <v>5</v>
      </c>
      <c r="S1090" s="415">
        <f t="shared" si="48"/>
        <v>5</v>
      </c>
      <c r="T1090" s="419">
        <f t="shared" si="49"/>
        <v>0.83333333333333337</v>
      </c>
      <c r="U1090" s="419">
        <f t="shared" si="50"/>
        <v>5.833333333333333</v>
      </c>
      <c r="V1090" s="415" t="s">
        <v>662</v>
      </c>
      <c r="W1090" s="415" t="s">
        <v>606</v>
      </c>
      <c r="X1090" s="415" t="s">
        <v>671</v>
      </c>
      <c r="Y1090" s="415"/>
    </row>
    <row r="1091" spans="1:25" hidden="1" x14ac:dyDescent="0.25">
      <c r="A1091" s="415">
        <v>1090</v>
      </c>
      <c r="B1091" s="415">
        <v>683</v>
      </c>
      <c r="C1091" s="415">
        <v>422986</v>
      </c>
      <c r="D1091" s="416" t="s">
        <v>1942</v>
      </c>
      <c r="E1091" s="416" t="s">
        <v>560</v>
      </c>
      <c r="F1091" s="416" t="s">
        <v>561</v>
      </c>
      <c r="G1091" s="416" t="s">
        <v>1942</v>
      </c>
      <c r="H1091" s="416" t="s">
        <v>1942</v>
      </c>
      <c r="I1091" s="416" t="s">
        <v>1942</v>
      </c>
      <c r="J1091" s="415" t="s">
        <v>661</v>
      </c>
      <c r="K1091" s="417">
        <v>-4.7777000000000003</v>
      </c>
      <c r="L1091" s="417">
        <v>-79.982900000000001</v>
      </c>
      <c r="M1091" s="418">
        <v>30</v>
      </c>
      <c r="N1091" s="418" t="s">
        <v>2310</v>
      </c>
      <c r="O1091" s="418" t="s">
        <v>3407</v>
      </c>
      <c r="P1091" s="415">
        <v>4</v>
      </c>
      <c r="Q1091" s="415">
        <v>30</v>
      </c>
      <c r="R1091" s="415">
        <v>5</v>
      </c>
      <c r="S1091" s="415">
        <f t="shared" ref="S1091:S1154" si="51">Q1091/$AB$1</f>
        <v>5</v>
      </c>
      <c r="T1091" s="419">
        <f t="shared" ref="T1091:T1154" si="52">R1091/$AB$1</f>
        <v>0.83333333333333337</v>
      </c>
      <c r="U1091" s="419">
        <f t="shared" ref="U1091:U1154" si="53">S1091+T1091</f>
        <v>5.833333333333333</v>
      </c>
      <c r="V1091" s="415" t="s">
        <v>662</v>
      </c>
      <c r="W1091" s="415" t="s">
        <v>606</v>
      </c>
      <c r="X1091" s="415" t="s">
        <v>671</v>
      </c>
      <c r="Y1091" s="415"/>
    </row>
    <row r="1092" spans="1:25" hidden="1" x14ac:dyDescent="0.25">
      <c r="A1092" s="415">
        <v>1091</v>
      </c>
      <c r="B1092" s="415">
        <v>684</v>
      </c>
      <c r="C1092" s="415">
        <v>422712</v>
      </c>
      <c r="D1092" s="416" t="s">
        <v>3687</v>
      </c>
      <c r="E1092" s="416" t="s">
        <v>560</v>
      </c>
      <c r="F1092" s="416" t="s">
        <v>561</v>
      </c>
      <c r="G1092" s="416" t="s">
        <v>1942</v>
      </c>
      <c r="H1092" s="416" t="s">
        <v>3688</v>
      </c>
      <c r="I1092" s="416" t="s">
        <v>3688</v>
      </c>
      <c r="J1092" s="415" t="s">
        <v>661</v>
      </c>
      <c r="K1092" s="417">
        <v>-4.7721010000000001</v>
      </c>
      <c r="L1092" s="417">
        <v>-80.007750000000001</v>
      </c>
      <c r="M1092" s="418">
        <v>30</v>
      </c>
      <c r="N1092" s="418" t="s">
        <v>2310</v>
      </c>
      <c r="O1092" s="418" t="s">
        <v>3407</v>
      </c>
      <c r="P1092" s="415">
        <v>4</v>
      </c>
      <c r="Q1092" s="415">
        <v>30</v>
      </c>
      <c r="R1092" s="415">
        <v>5</v>
      </c>
      <c r="S1092" s="415">
        <f t="shared" si="51"/>
        <v>5</v>
      </c>
      <c r="T1092" s="419">
        <f t="shared" si="52"/>
        <v>0.83333333333333337</v>
      </c>
      <c r="U1092" s="419">
        <f t="shared" si="53"/>
        <v>5.833333333333333</v>
      </c>
      <c r="V1092" s="415" t="s">
        <v>662</v>
      </c>
      <c r="W1092" s="415" t="s">
        <v>606</v>
      </c>
      <c r="X1092" s="415" t="s">
        <v>671</v>
      </c>
      <c r="Y1092" s="415"/>
    </row>
    <row r="1093" spans="1:25" hidden="1" x14ac:dyDescent="0.25">
      <c r="A1093" s="415">
        <v>1092</v>
      </c>
      <c r="B1093" s="415">
        <v>685</v>
      </c>
      <c r="C1093" s="415">
        <v>425471</v>
      </c>
      <c r="D1093" s="416" t="s">
        <v>1945</v>
      </c>
      <c r="E1093" s="416" t="s">
        <v>560</v>
      </c>
      <c r="F1093" s="416" t="s">
        <v>562</v>
      </c>
      <c r="G1093" s="416" t="s">
        <v>1944</v>
      </c>
      <c r="H1093" s="416" t="s">
        <v>1946</v>
      </c>
      <c r="I1093" s="416" t="s">
        <v>1947</v>
      </c>
      <c r="J1093" s="415" t="s">
        <v>661</v>
      </c>
      <c r="K1093" s="417">
        <v>-4.9611000000000001</v>
      </c>
      <c r="L1093" s="417">
        <v>-79.326099999999997</v>
      </c>
      <c r="M1093" s="418">
        <v>30</v>
      </c>
      <c r="N1093" s="418" t="s">
        <v>2310</v>
      </c>
      <c r="O1093" s="418" t="s">
        <v>3407</v>
      </c>
      <c r="P1093" s="415">
        <v>4</v>
      </c>
      <c r="Q1093" s="415">
        <v>30</v>
      </c>
      <c r="R1093" s="415">
        <v>5</v>
      </c>
      <c r="S1093" s="415">
        <f t="shared" si="51"/>
        <v>5</v>
      </c>
      <c r="T1093" s="419">
        <f t="shared" si="52"/>
        <v>0.83333333333333337</v>
      </c>
      <c r="U1093" s="419">
        <f t="shared" si="53"/>
        <v>5.833333333333333</v>
      </c>
      <c r="V1093" s="415" t="s">
        <v>662</v>
      </c>
      <c r="W1093" s="415" t="s">
        <v>608</v>
      </c>
      <c r="X1093" s="415" t="s">
        <v>663</v>
      </c>
      <c r="Y1093" s="415"/>
    </row>
    <row r="1094" spans="1:25" hidden="1" x14ac:dyDescent="0.25">
      <c r="A1094" s="415">
        <v>1093</v>
      </c>
      <c r="B1094" s="415">
        <v>686</v>
      </c>
      <c r="C1094" s="415">
        <v>426437</v>
      </c>
      <c r="D1094" s="416" t="s">
        <v>1951</v>
      </c>
      <c r="E1094" s="416" t="s">
        <v>560</v>
      </c>
      <c r="F1094" s="416" t="s">
        <v>562</v>
      </c>
      <c r="G1094" s="416" t="s">
        <v>1948</v>
      </c>
      <c r="H1094" s="416" t="s">
        <v>1952</v>
      </c>
      <c r="I1094" s="416" t="s">
        <v>1952</v>
      </c>
      <c r="J1094" s="415" t="s">
        <v>661</v>
      </c>
      <c r="K1094" s="417">
        <v>-5.7133989999999999</v>
      </c>
      <c r="L1094" s="417">
        <v>-79.575806999999998</v>
      </c>
      <c r="M1094" s="418">
        <v>30</v>
      </c>
      <c r="N1094" s="418" t="s">
        <v>2310</v>
      </c>
      <c r="O1094" s="418" t="s">
        <v>3407</v>
      </c>
      <c r="P1094" s="415">
        <v>4</v>
      </c>
      <c r="Q1094" s="415">
        <v>30</v>
      </c>
      <c r="R1094" s="415">
        <v>5</v>
      </c>
      <c r="S1094" s="415">
        <f t="shared" si="51"/>
        <v>5</v>
      </c>
      <c r="T1094" s="419">
        <f t="shared" si="52"/>
        <v>0.83333333333333337</v>
      </c>
      <c r="U1094" s="419">
        <f t="shared" si="53"/>
        <v>5.833333333333333</v>
      </c>
      <c r="V1094" s="415" t="s">
        <v>662</v>
      </c>
      <c r="W1094" s="415" t="s">
        <v>608</v>
      </c>
      <c r="X1094" s="415" t="s">
        <v>663</v>
      </c>
      <c r="Y1094" s="415"/>
    </row>
    <row r="1095" spans="1:25" hidden="1" x14ac:dyDescent="0.25">
      <c r="A1095" s="415">
        <v>1094</v>
      </c>
      <c r="B1095" s="415">
        <v>687</v>
      </c>
      <c r="C1095" s="415">
        <v>427597</v>
      </c>
      <c r="D1095" s="416" t="s">
        <v>1959</v>
      </c>
      <c r="E1095" s="416" t="s">
        <v>560</v>
      </c>
      <c r="F1095" s="416" t="s">
        <v>562</v>
      </c>
      <c r="G1095" s="416" t="s">
        <v>1948</v>
      </c>
      <c r="H1095" s="416" t="s">
        <v>1960</v>
      </c>
      <c r="I1095" s="416" t="s">
        <v>1960</v>
      </c>
      <c r="J1095" s="415" t="s">
        <v>661</v>
      </c>
      <c r="K1095" s="417">
        <v>-5.6817039999999999</v>
      </c>
      <c r="L1095" s="417">
        <v>-79.553085999999993</v>
      </c>
      <c r="M1095" s="418">
        <v>30</v>
      </c>
      <c r="N1095" s="418" t="s">
        <v>2310</v>
      </c>
      <c r="O1095" s="418" t="s">
        <v>3407</v>
      </c>
      <c r="P1095" s="415">
        <v>4</v>
      </c>
      <c r="Q1095" s="415">
        <v>30</v>
      </c>
      <c r="R1095" s="415">
        <v>5</v>
      </c>
      <c r="S1095" s="415">
        <f t="shared" si="51"/>
        <v>5</v>
      </c>
      <c r="T1095" s="419">
        <f t="shared" si="52"/>
        <v>0.83333333333333337</v>
      </c>
      <c r="U1095" s="419">
        <f t="shared" si="53"/>
        <v>5.833333333333333</v>
      </c>
      <c r="V1095" s="415" t="s">
        <v>662</v>
      </c>
      <c r="W1095" s="415" t="s">
        <v>608</v>
      </c>
      <c r="X1095" s="415" t="s">
        <v>663</v>
      </c>
      <c r="Y1095" s="415"/>
    </row>
    <row r="1096" spans="1:25" hidden="1" x14ac:dyDescent="0.25">
      <c r="A1096" s="415">
        <v>1095</v>
      </c>
      <c r="B1096" s="415">
        <v>688</v>
      </c>
      <c r="C1096" s="415">
        <v>426692</v>
      </c>
      <c r="D1096" s="416" t="s">
        <v>1955</v>
      </c>
      <c r="E1096" s="416" t="s">
        <v>560</v>
      </c>
      <c r="F1096" s="416" t="s">
        <v>562</v>
      </c>
      <c r="G1096" s="416" t="s">
        <v>1948</v>
      </c>
      <c r="H1096" s="416" t="s">
        <v>1956</v>
      </c>
      <c r="I1096" s="416" t="s">
        <v>1956</v>
      </c>
      <c r="J1096" s="415" t="s">
        <v>661</v>
      </c>
      <c r="K1096" s="417">
        <v>-5.6936660000000003</v>
      </c>
      <c r="L1096" s="417">
        <v>-79.542872000000003</v>
      </c>
      <c r="M1096" s="418">
        <v>30</v>
      </c>
      <c r="N1096" s="418" t="s">
        <v>2310</v>
      </c>
      <c r="O1096" s="418" t="s">
        <v>3407</v>
      </c>
      <c r="P1096" s="415">
        <v>4</v>
      </c>
      <c r="Q1096" s="415">
        <v>30</v>
      </c>
      <c r="R1096" s="415">
        <v>5</v>
      </c>
      <c r="S1096" s="415">
        <f t="shared" si="51"/>
        <v>5</v>
      </c>
      <c r="T1096" s="419">
        <f t="shared" si="52"/>
        <v>0.83333333333333337</v>
      </c>
      <c r="U1096" s="419">
        <f t="shared" si="53"/>
        <v>5.833333333333333</v>
      </c>
      <c r="V1096" s="415" t="s">
        <v>662</v>
      </c>
      <c r="W1096" s="415" t="s">
        <v>608</v>
      </c>
      <c r="X1096" s="415" t="s">
        <v>663</v>
      </c>
      <c r="Y1096" s="415"/>
    </row>
    <row r="1097" spans="1:25" hidden="1" x14ac:dyDescent="0.25">
      <c r="A1097" s="415">
        <v>1096</v>
      </c>
      <c r="B1097" s="415">
        <v>689</v>
      </c>
      <c r="C1097" s="415">
        <v>426593</v>
      </c>
      <c r="D1097" s="416" t="s">
        <v>1953</v>
      </c>
      <c r="E1097" s="416" t="s">
        <v>560</v>
      </c>
      <c r="F1097" s="416" t="s">
        <v>562</v>
      </c>
      <c r="G1097" s="416" t="s">
        <v>1948</v>
      </c>
      <c r="H1097" s="416" t="s">
        <v>1954</v>
      </c>
      <c r="I1097" s="416" t="s">
        <v>1954</v>
      </c>
      <c r="J1097" s="415" t="s">
        <v>661</v>
      </c>
      <c r="K1097" s="417">
        <v>-5.7630359999999996</v>
      </c>
      <c r="L1097" s="417">
        <v>-79.464247</v>
      </c>
      <c r="M1097" s="418">
        <v>30</v>
      </c>
      <c r="N1097" s="418" t="s">
        <v>2310</v>
      </c>
      <c r="O1097" s="418" t="s">
        <v>3407</v>
      </c>
      <c r="P1097" s="415">
        <v>4</v>
      </c>
      <c r="Q1097" s="415">
        <v>30</v>
      </c>
      <c r="R1097" s="415">
        <v>5</v>
      </c>
      <c r="S1097" s="415">
        <f t="shared" si="51"/>
        <v>5</v>
      </c>
      <c r="T1097" s="419">
        <f t="shared" si="52"/>
        <v>0.83333333333333337</v>
      </c>
      <c r="U1097" s="419">
        <f t="shared" si="53"/>
        <v>5.833333333333333</v>
      </c>
      <c r="V1097" s="415" t="s">
        <v>662</v>
      </c>
      <c r="W1097" s="415" t="s">
        <v>608</v>
      </c>
      <c r="X1097" s="415" t="s">
        <v>663</v>
      </c>
      <c r="Y1097" s="415"/>
    </row>
    <row r="1098" spans="1:25" hidden="1" x14ac:dyDescent="0.25">
      <c r="A1098" s="415">
        <v>1097</v>
      </c>
      <c r="B1098" s="415">
        <v>690</v>
      </c>
      <c r="C1098" s="415">
        <v>427644</v>
      </c>
      <c r="D1098" s="416" t="s">
        <v>1910</v>
      </c>
      <c r="E1098" s="416" t="s">
        <v>560</v>
      </c>
      <c r="F1098" s="416" t="s">
        <v>562</v>
      </c>
      <c r="G1098" s="416" t="s">
        <v>1948</v>
      </c>
      <c r="H1098" s="416" t="s">
        <v>1756</v>
      </c>
      <c r="I1098" s="416" t="s">
        <v>1756</v>
      </c>
      <c r="J1098" s="415" t="s">
        <v>661</v>
      </c>
      <c r="K1098" s="417">
        <v>-5.5675860000000004</v>
      </c>
      <c r="L1098" s="417">
        <v>-79.433269999999993</v>
      </c>
      <c r="M1098" s="418">
        <v>30</v>
      </c>
      <c r="N1098" s="418" t="s">
        <v>2310</v>
      </c>
      <c r="O1098" s="418" t="s">
        <v>3407</v>
      </c>
      <c r="P1098" s="415">
        <v>4</v>
      </c>
      <c r="Q1098" s="415">
        <v>30</v>
      </c>
      <c r="R1098" s="415">
        <v>5</v>
      </c>
      <c r="S1098" s="415">
        <f t="shared" si="51"/>
        <v>5</v>
      </c>
      <c r="T1098" s="419">
        <f t="shared" si="52"/>
        <v>0.83333333333333337</v>
      </c>
      <c r="U1098" s="419">
        <f t="shared" si="53"/>
        <v>5.833333333333333</v>
      </c>
      <c r="V1098" s="415" t="s">
        <v>662</v>
      </c>
      <c r="W1098" s="415" t="s">
        <v>608</v>
      </c>
      <c r="X1098" s="415" t="s">
        <v>663</v>
      </c>
      <c r="Y1098" s="415"/>
    </row>
    <row r="1099" spans="1:25" hidden="1" x14ac:dyDescent="0.25">
      <c r="A1099" s="415">
        <v>1098</v>
      </c>
      <c r="B1099" s="415">
        <v>691</v>
      </c>
      <c r="C1099" s="415">
        <v>426319</v>
      </c>
      <c r="D1099" s="416" t="s">
        <v>2149</v>
      </c>
      <c r="E1099" s="416" t="s">
        <v>560</v>
      </c>
      <c r="F1099" s="416" t="s">
        <v>562</v>
      </c>
      <c r="G1099" s="416" t="s">
        <v>1948</v>
      </c>
      <c r="H1099" s="416" t="s">
        <v>3689</v>
      </c>
      <c r="I1099" s="416" t="s">
        <v>3689</v>
      </c>
      <c r="J1099" s="415" t="s">
        <v>661</v>
      </c>
      <c r="K1099" s="417">
        <v>-5.5395430000000001</v>
      </c>
      <c r="L1099" s="417">
        <v>-79.506651000000005</v>
      </c>
      <c r="M1099" s="418">
        <v>30</v>
      </c>
      <c r="N1099" s="418" t="s">
        <v>2310</v>
      </c>
      <c r="O1099" s="418" t="s">
        <v>3407</v>
      </c>
      <c r="P1099" s="415">
        <v>4</v>
      </c>
      <c r="Q1099" s="415">
        <v>30</v>
      </c>
      <c r="R1099" s="415">
        <v>5</v>
      </c>
      <c r="S1099" s="415">
        <f t="shared" si="51"/>
        <v>5</v>
      </c>
      <c r="T1099" s="419">
        <f t="shared" si="52"/>
        <v>0.83333333333333337</v>
      </c>
      <c r="U1099" s="419">
        <f t="shared" si="53"/>
        <v>5.833333333333333</v>
      </c>
      <c r="V1099" s="415" t="s">
        <v>662</v>
      </c>
      <c r="W1099" s="415" t="s">
        <v>608</v>
      </c>
      <c r="X1099" s="415" t="s">
        <v>663</v>
      </c>
      <c r="Y1099" s="415"/>
    </row>
    <row r="1100" spans="1:25" hidden="1" x14ac:dyDescent="0.25">
      <c r="A1100" s="415">
        <v>1099</v>
      </c>
      <c r="B1100" s="415">
        <v>692</v>
      </c>
      <c r="C1100" s="415">
        <v>426300</v>
      </c>
      <c r="D1100" s="416" t="s">
        <v>3690</v>
      </c>
      <c r="E1100" s="416" t="s">
        <v>560</v>
      </c>
      <c r="F1100" s="416" t="s">
        <v>562</v>
      </c>
      <c r="G1100" s="416" t="s">
        <v>1948</v>
      </c>
      <c r="H1100" s="416" t="s">
        <v>2487</v>
      </c>
      <c r="I1100" s="416" t="s">
        <v>2487</v>
      </c>
      <c r="J1100" s="415" t="s">
        <v>661</v>
      </c>
      <c r="K1100" s="417">
        <v>-5.5986130000000003</v>
      </c>
      <c r="L1100" s="417">
        <v>-79.531385</v>
      </c>
      <c r="M1100" s="418">
        <v>30</v>
      </c>
      <c r="N1100" s="418" t="s">
        <v>2310</v>
      </c>
      <c r="O1100" s="418" t="s">
        <v>3407</v>
      </c>
      <c r="P1100" s="415">
        <v>4</v>
      </c>
      <c r="Q1100" s="415">
        <v>30</v>
      </c>
      <c r="R1100" s="415">
        <v>5</v>
      </c>
      <c r="S1100" s="415">
        <f t="shared" si="51"/>
        <v>5</v>
      </c>
      <c r="T1100" s="419">
        <f t="shared" si="52"/>
        <v>0.83333333333333337</v>
      </c>
      <c r="U1100" s="419">
        <f t="shared" si="53"/>
        <v>5.833333333333333</v>
      </c>
      <c r="V1100" s="415" t="s">
        <v>662</v>
      </c>
      <c r="W1100" s="415" t="s">
        <v>608</v>
      </c>
      <c r="X1100" s="415" t="s">
        <v>663</v>
      </c>
      <c r="Y1100" s="415"/>
    </row>
    <row r="1101" spans="1:25" hidden="1" x14ac:dyDescent="0.25">
      <c r="A1101" s="415">
        <v>1100</v>
      </c>
      <c r="B1101" s="415">
        <v>693</v>
      </c>
      <c r="C1101" s="415">
        <v>427639</v>
      </c>
      <c r="D1101" s="416" t="s">
        <v>1407</v>
      </c>
      <c r="E1101" s="416" t="s">
        <v>560</v>
      </c>
      <c r="F1101" s="416" t="s">
        <v>562</v>
      </c>
      <c r="G1101" s="416" t="s">
        <v>1948</v>
      </c>
      <c r="H1101" s="416" t="s">
        <v>1407</v>
      </c>
      <c r="I1101" s="416" t="s">
        <v>1407</v>
      </c>
      <c r="J1101" s="415" t="s">
        <v>661</v>
      </c>
      <c r="K1101" s="417">
        <v>-5.7020299999999997</v>
      </c>
      <c r="L1101" s="417">
        <v>-79.457076000000001</v>
      </c>
      <c r="M1101" s="418">
        <v>30</v>
      </c>
      <c r="N1101" s="418" t="s">
        <v>2310</v>
      </c>
      <c r="O1101" s="418" t="s">
        <v>3407</v>
      </c>
      <c r="P1101" s="415">
        <v>4</v>
      </c>
      <c r="Q1101" s="415">
        <v>30</v>
      </c>
      <c r="R1101" s="415">
        <v>5</v>
      </c>
      <c r="S1101" s="415">
        <f t="shared" si="51"/>
        <v>5</v>
      </c>
      <c r="T1101" s="419">
        <f t="shared" si="52"/>
        <v>0.83333333333333337</v>
      </c>
      <c r="U1101" s="419">
        <f t="shared" si="53"/>
        <v>5.833333333333333</v>
      </c>
      <c r="V1101" s="415" t="s">
        <v>662</v>
      </c>
      <c r="W1101" s="415" t="s">
        <v>608</v>
      </c>
      <c r="X1101" s="415" t="s">
        <v>663</v>
      </c>
      <c r="Y1101" s="415"/>
    </row>
    <row r="1102" spans="1:25" hidden="1" x14ac:dyDescent="0.25">
      <c r="A1102" s="415">
        <v>1101</v>
      </c>
      <c r="B1102" s="415">
        <v>694</v>
      </c>
      <c r="C1102" s="415">
        <v>426362</v>
      </c>
      <c r="D1102" s="416" t="s">
        <v>3691</v>
      </c>
      <c r="E1102" s="416" t="s">
        <v>560</v>
      </c>
      <c r="F1102" s="416" t="s">
        <v>562</v>
      </c>
      <c r="G1102" s="416" t="s">
        <v>1948</v>
      </c>
      <c r="H1102" s="416" t="s">
        <v>811</v>
      </c>
      <c r="I1102" s="416" t="s">
        <v>811</v>
      </c>
      <c r="J1102" s="415" t="s">
        <v>661</v>
      </c>
      <c r="K1102" s="417">
        <v>-5.6654429999999998</v>
      </c>
      <c r="L1102" s="417">
        <v>-79.524669000000003</v>
      </c>
      <c r="M1102" s="418">
        <v>30</v>
      </c>
      <c r="N1102" s="418" t="s">
        <v>2310</v>
      </c>
      <c r="O1102" s="418" t="s">
        <v>3407</v>
      </c>
      <c r="P1102" s="415">
        <v>4</v>
      </c>
      <c r="Q1102" s="415">
        <v>30</v>
      </c>
      <c r="R1102" s="415">
        <v>5</v>
      </c>
      <c r="S1102" s="415">
        <f t="shared" si="51"/>
        <v>5</v>
      </c>
      <c r="T1102" s="419">
        <f t="shared" si="52"/>
        <v>0.83333333333333337</v>
      </c>
      <c r="U1102" s="419">
        <f t="shared" si="53"/>
        <v>5.833333333333333</v>
      </c>
      <c r="V1102" s="415" t="s">
        <v>662</v>
      </c>
      <c r="W1102" s="415" t="s">
        <v>608</v>
      </c>
      <c r="X1102" s="415" t="s">
        <v>663</v>
      </c>
      <c r="Y1102" s="415"/>
    </row>
    <row r="1103" spans="1:25" hidden="1" x14ac:dyDescent="0.25">
      <c r="A1103" s="415">
        <v>1102</v>
      </c>
      <c r="B1103" s="415">
        <v>695</v>
      </c>
      <c r="C1103" s="415">
        <v>426343</v>
      </c>
      <c r="D1103" s="416" t="s">
        <v>3692</v>
      </c>
      <c r="E1103" s="416" t="s">
        <v>560</v>
      </c>
      <c r="F1103" s="416" t="s">
        <v>562</v>
      </c>
      <c r="G1103" s="416" t="s">
        <v>1948</v>
      </c>
      <c r="H1103" s="416" t="s">
        <v>3693</v>
      </c>
      <c r="I1103" s="416" t="s">
        <v>3693</v>
      </c>
      <c r="J1103" s="415" t="s">
        <v>661</v>
      </c>
      <c r="K1103" s="417">
        <v>-5.5867490000000002</v>
      </c>
      <c r="L1103" s="417">
        <v>-79.416768000000005</v>
      </c>
      <c r="M1103" s="418">
        <v>30</v>
      </c>
      <c r="N1103" s="418" t="s">
        <v>2310</v>
      </c>
      <c r="O1103" s="418" t="s">
        <v>3407</v>
      </c>
      <c r="P1103" s="415">
        <v>4</v>
      </c>
      <c r="Q1103" s="415">
        <v>30</v>
      </c>
      <c r="R1103" s="415">
        <v>5</v>
      </c>
      <c r="S1103" s="415">
        <f t="shared" si="51"/>
        <v>5</v>
      </c>
      <c r="T1103" s="419">
        <f t="shared" si="52"/>
        <v>0.83333333333333337</v>
      </c>
      <c r="U1103" s="419">
        <f t="shared" si="53"/>
        <v>5.833333333333333</v>
      </c>
      <c r="V1103" s="415" t="s">
        <v>662</v>
      </c>
      <c r="W1103" s="415" t="s">
        <v>608</v>
      </c>
      <c r="X1103" s="415" t="s">
        <v>663</v>
      </c>
      <c r="Y1103" s="415"/>
    </row>
    <row r="1104" spans="1:25" hidden="1" x14ac:dyDescent="0.25">
      <c r="A1104" s="415">
        <v>1103</v>
      </c>
      <c r="B1104" s="415">
        <v>696</v>
      </c>
      <c r="C1104" s="415">
        <v>766667</v>
      </c>
      <c r="D1104" s="416" t="s">
        <v>1957</v>
      </c>
      <c r="E1104" s="416" t="s">
        <v>560</v>
      </c>
      <c r="F1104" s="416" t="s">
        <v>562</v>
      </c>
      <c r="G1104" s="416" t="s">
        <v>1948</v>
      </c>
      <c r="H1104" s="416" t="s">
        <v>2274</v>
      </c>
      <c r="I1104" s="416" t="s">
        <v>2275</v>
      </c>
      <c r="J1104" s="415" t="s">
        <v>661</v>
      </c>
      <c r="K1104" s="417">
        <v>-5.7955310000000004</v>
      </c>
      <c r="L1104" s="417">
        <v>-79.696545999999998</v>
      </c>
      <c r="M1104" s="418">
        <v>30</v>
      </c>
      <c r="N1104" s="418" t="s">
        <v>2310</v>
      </c>
      <c r="O1104" s="418" t="s">
        <v>3407</v>
      </c>
      <c r="P1104" s="415">
        <v>4</v>
      </c>
      <c r="Q1104" s="415">
        <v>30</v>
      </c>
      <c r="R1104" s="415">
        <v>5</v>
      </c>
      <c r="S1104" s="415">
        <f t="shared" si="51"/>
        <v>5</v>
      </c>
      <c r="T1104" s="419">
        <f t="shared" si="52"/>
        <v>0.83333333333333337</v>
      </c>
      <c r="U1104" s="419">
        <f t="shared" si="53"/>
        <v>5.833333333333333</v>
      </c>
      <c r="V1104" s="415" t="s">
        <v>662</v>
      </c>
      <c r="W1104" s="415" t="s">
        <v>608</v>
      </c>
      <c r="X1104" s="415" t="s">
        <v>663</v>
      </c>
      <c r="Y1104" s="415"/>
    </row>
    <row r="1105" spans="1:25" hidden="1" x14ac:dyDescent="0.25">
      <c r="A1105" s="415">
        <v>1104</v>
      </c>
      <c r="B1105" s="415">
        <v>697</v>
      </c>
      <c r="C1105" s="415">
        <v>426215</v>
      </c>
      <c r="D1105" s="416" t="s">
        <v>3694</v>
      </c>
      <c r="E1105" s="416" t="s">
        <v>560</v>
      </c>
      <c r="F1105" s="416" t="s">
        <v>562</v>
      </c>
      <c r="G1105" s="416" t="s">
        <v>1948</v>
      </c>
      <c r="H1105" s="416" t="s">
        <v>3695</v>
      </c>
      <c r="I1105" s="416" t="s">
        <v>3695</v>
      </c>
      <c r="J1105" s="415" t="s">
        <v>661</v>
      </c>
      <c r="K1105" s="417">
        <v>-5.531161</v>
      </c>
      <c r="L1105" s="417">
        <v>-79.535331999999997</v>
      </c>
      <c r="M1105" s="418">
        <v>30</v>
      </c>
      <c r="N1105" s="418" t="s">
        <v>2310</v>
      </c>
      <c r="O1105" s="418" t="s">
        <v>3407</v>
      </c>
      <c r="P1105" s="415">
        <v>4</v>
      </c>
      <c r="Q1105" s="415">
        <v>30</v>
      </c>
      <c r="R1105" s="415">
        <v>5</v>
      </c>
      <c r="S1105" s="415">
        <f t="shared" si="51"/>
        <v>5</v>
      </c>
      <c r="T1105" s="419">
        <f t="shared" si="52"/>
        <v>0.83333333333333337</v>
      </c>
      <c r="U1105" s="419">
        <f t="shared" si="53"/>
        <v>5.833333333333333</v>
      </c>
      <c r="V1105" s="415" t="s">
        <v>662</v>
      </c>
      <c r="W1105" s="415" t="s">
        <v>608</v>
      </c>
      <c r="X1105" s="415" t="s">
        <v>663</v>
      </c>
      <c r="Y1105" s="415"/>
    </row>
    <row r="1106" spans="1:25" hidden="1" x14ac:dyDescent="0.25">
      <c r="A1106" s="415">
        <v>1105</v>
      </c>
      <c r="B1106" s="415">
        <v>698</v>
      </c>
      <c r="C1106" s="415">
        <v>426178</v>
      </c>
      <c r="D1106" s="416" t="s">
        <v>1949</v>
      </c>
      <c r="E1106" s="416" t="s">
        <v>560</v>
      </c>
      <c r="F1106" s="416" t="s">
        <v>562</v>
      </c>
      <c r="G1106" s="416" t="s">
        <v>1948</v>
      </c>
      <c r="H1106" s="416" t="s">
        <v>1950</v>
      </c>
      <c r="I1106" s="416" t="s">
        <v>1950</v>
      </c>
      <c r="J1106" s="415" t="s">
        <v>661</v>
      </c>
      <c r="K1106" s="417">
        <v>-5.4976909999999997</v>
      </c>
      <c r="L1106" s="417">
        <v>-79.546293000000006</v>
      </c>
      <c r="M1106" s="418">
        <v>30</v>
      </c>
      <c r="N1106" s="418" t="s">
        <v>2310</v>
      </c>
      <c r="O1106" s="418" t="s">
        <v>3407</v>
      </c>
      <c r="P1106" s="415">
        <v>4</v>
      </c>
      <c r="Q1106" s="415">
        <v>30</v>
      </c>
      <c r="R1106" s="415">
        <v>5</v>
      </c>
      <c r="S1106" s="415">
        <f t="shared" si="51"/>
        <v>5</v>
      </c>
      <c r="T1106" s="419">
        <f t="shared" si="52"/>
        <v>0.83333333333333337</v>
      </c>
      <c r="U1106" s="419">
        <f t="shared" si="53"/>
        <v>5.833333333333333</v>
      </c>
      <c r="V1106" s="415" t="s">
        <v>662</v>
      </c>
      <c r="W1106" s="415" t="s">
        <v>608</v>
      </c>
      <c r="X1106" s="415" t="s">
        <v>663</v>
      </c>
      <c r="Y1106" s="415"/>
    </row>
    <row r="1107" spans="1:25" hidden="1" x14ac:dyDescent="0.25">
      <c r="A1107" s="415">
        <v>1106</v>
      </c>
      <c r="B1107" s="415">
        <v>699</v>
      </c>
      <c r="C1107" s="415">
        <v>428083</v>
      </c>
      <c r="D1107" s="416" t="s">
        <v>1962</v>
      </c>
      <c r="E1107" s="416" t="s">
        <v>560</v>
      </c>
      <c r="F1107" s="416" t="s">
        <v>562</v>
      </c>
      <c r="G1107" s="416" t="s">
        <v>1961</v>
      </c>
      <c r="H1107" s="416" t="s">
        <v>1904</v>
      </c>
      <c r="I1107" s="416" t="s">
        <v>1904</v>
      </c>
      <c r="J1107" s="415" t="s">
        <v>661</v>
      </c>
      <c r="K1107" s="417">
        <v>-5.2045260000000004</v>
      </c>
      <c r="L1107" s="417">
        <v>-79.651217000000003</v>
      </c>
      <c r="M1107" s="418">
        <v>30</v>
      </c>
      <c r="N1107" s="418" t="s">
        <v>2310</v>
      </c>
      <c r="O1107" s="418" t="s">
        <v>3407</v>
      </c>
      <c r="P1107" s="415">
        <v>4</v>
      </c>
      <c r="Q1107" s="415">
        <v>30</v>
      </c>
      <c r="R1107" s="415">
        <v>5</v>
      </c>
      <c r="S1107" s="415">
        <f t="shared" si="51"/>
        <v>5</v>
      </c>
      <c r="T1107" s="419">
        <f t="shared" si="52"/>
        <v>0.83333333333333337</v>
      </c>
      <c r="U1107" s="419">
        <f t="shared" si="53"/>
        <v>5.833333333333333</v>
      </c>
      <c r="V1107" s="415" t="s">
        <v>662</v>
      </c>
      <c r="W1107" s="415" t="s">
        <v>608</v>
      </c>
      <c r="X1107" s="415" t="s">
        <v>663</v>
      </c>
      <c r="Y1107" s="415"/>
    </row>
    <row r="1108" spans="1:25" hidden="1" x14ac:dyDescent="0.25">
      <c r="A1108" s="415">
        <v>1107</v>
      </c>
      <c r="B1108" s="415">
        <v>700</v>
      </c>
      <c r="C1108" s="415">
        <v>774926</v>
      </c>
      <c r="D1108" s="416" t="s">
        <v>1044</v>
      </c>
      <c r="E1108" s="416" t="s">
        <v>560</v>
      </c>
      <c r="F1108" s="416" t="s">
        <v>562</v>
      </c>
      <c r="G1108" s="416" t="s">
        <v>1961</v>
      </c>
      <c r="H1108" s="416" t="s">
        <v>1752</v>
      </c>
      <c r="I1108" s="416" t="s">
        <v>3696</v>
      </c>
      <c r="J1108" s="415" t="s">
        <v>661</v>
      </c>
      <c r="K1108" s="417">
        <v>-5.1961719999999998</v>
      </c>
      <c r="L1108" s="417">
        <v>-79.648274000000001</v>
      </c>
      <c r="M1108" s="418">
        <v>30</v>
      </c>
      <c r="N1108" s="418" t="s">
        <v>2310</v>
      </c>
      <c r="O1108" s="418" t="s">
        <v>3407</v>
      </c>
      <c r="P1108" s="415">
        <v>4</v>
      </c>
      <c r="Q1108" s="415">
        <v>30</v>
      </c>
      <c r="R1108" s="415">
        <v>5</v>
      </c>
      <c r="S1108" s="415">
        <f t="shared" si="51"/>
        <v>5</v>
      </c>
      <c r="T1108" s="419">
        <f t="shared" si="52"/>
        <v>0.83333333333333337</v>
      </c>
      <c r="U1108" s="419">
        <f t="shared" si="53"/>
        <v>5.833333333333333</v>
      </c>
      <c r="V1108" s="415" t="s">
        <v>662</v>
      </c>
      <c r="W1108" s="415" t="s">
        <v>608</v>
      </c>
      <c r="X1108" s="415" t="s">
        <v>663</v>
      </c>
      <c r="Y1108" s="415"/>
    </row>
    <row r="1109" spans="1:25" hidden="1" x14ac:dyDescent="0.25">
      <c r="A1109" s="415">
        <v>1108</v>
      </c>
      <c r="B1109" s="415">
        <v>701</v>
      </c>
      <c r="C1109" s="415">
        <v>428554</v>
      </c>
      <c r="D1109" s="416" t="s">
        <v>1030</v>
      </c>
      <c r="E1109" s="416" t="s">
        <v>560</v>
      </c>
      <c r="F1109" s="416" t="s">
        <v>562</v>
      </c>
      <c r="G1109" s="416" t="s">
        <v>3697</v>
      </c>
      <c r="H1109" s="416" t="s">
        <v>3698</v>
      </c>
      <c r="I1109" s="416" t="s">
        <v>3699</v>
      </c>
      <c r="J1109" s="415" t="s">
        <v>661</v>
      </c>
      <c r="K1109" s="417">
        <v>-5.4561999999999999</v>
      </c>
      <c r="L1109" s="417">
        <v>-79.603589999999997</v>
      </c>
      <c r="M1109" s="418">
        <v>30</v>
      </c>
      <c r="N1109" s="418" t="s">
        <v>2310</v>
      </c>
      <c r="O1109" s="418" t="s">
        <v>3407</v>
      </c>
      <c r="P1109" s="415">
        <v>4</v>
      </c>
      <c r="Q1109" s="415">
        <v>30</v>
      </c>
      <c r="R1109" s="415">
        <v>5</v>
      </c>
      <c r="S1109" s="415">
        <f t="shared" si="51"/>
        <v>5</v>
      </c>
      <c r="T1109" s="419">
        <f t="shared" si="52"/>
        <v>0.83333333333333337</v>
      </c>
      <c r="U1109" s="419">
        <f t="shared" si="53"/>
        <v>5.833333333333333</v>
      </c>
      <c r="V1109" s="415" t="s">
        <v>662</v>
      </c>
      <c r="W1109" s="415" t="s">
        <v>608</v>
      </c>
      <c r="X1109" s="415" t="s">
        <v>663</v>
      </c>
      <c r="Y1109" s="415"/>
    </row>
    <row r="1110" spans="1:25" hidden="1" x14ac:dyDescent="0.25">
      <c r="A1110" s="415">
        <v>1109</v>
      </c>
      <c r="B1110" s="415">
        <v>702</v>
      </c>
      <c r="C1110" s="415">
        <v>428200</v>
      </c>
      <c r="D1110" s="416" t="s">
        <v>2238</v>
      </c>
      <c r="E1110" s="416" t="s">
        <v>560</v>
      </c>
      <c r="F1110" s="416" t="s">
        <v>562</v>
      </c>
      <c r="G1110" s="416" t="s">
        <v>3697</v>
      </c>
      <c r="H1110" s="416" t="s">
        <v>3700</v>
      </c>
      <c r="I1110" s="416" t="s">
        <v>3700</v>
      </c>
      <c r="J1110" s="415" t="s">
        <v>661</v>
      </c>
      <c r="K1110" s="417">
        <v>-5.4431900000000004</v>
      </c>
      <c r="L1110" s="417">
        <v>-79.600520000000003</v>
      </c>
      <c r="M1110" s="418">
        <v>30</v>
      </c>
      <c r="N1110" s="418" t="s">
        <v>2310</v>
      </c>
      <c r="O1110" s="418" t="s">
        <v>3407</v>
      </c>
      <c r="P1110" s="415">
        <v>4</v>
      </c>
      <c r="Q1110" s="415">
        <v>30</v>
      </c>
      <c r="R1110" s="415">
        <v>5</v>
      </c>
      <c r="S1110" s="415">
        <f t="shared" si="51"/>
        <v>5</v>
      </c>
      <c r="T1110" s="419">
        <f t="shared" si="52"/>
        <v>0.83333333333333337</v>
      </c>
      <c r="U1110" s="419">
        <f t="shared" si="53"/>
        <v>5.833333333333333</v>
      </c>
      <c r="V1110" s="415" t="s">
        <v>662</v>
      </c>
      <c r="W1110" s="415" t="s">
        <v>608</v>
      </c>
      <c r="X1110" s="415" t="s">
        <v>663</v>
      </c>
      <c r="Y1110" s="415"/>
    </row>
    <row r="1111" spans="1:25" hidden="1" x14ac:dyDescent="0.25">
      <c r="A1111" s="415">
        <v>1110</v>
      </c>
      <c r="B1111" s="415">
        <v>703</v>
      </c>
      <c r="C1111" s="415">
        <v>430731</v>
      </c>
      <c r="D1111" s="416" t="s">
        <v>3701</v>
      </c>
      <c r="E1111" s="416" t="s">
        <v>560</v>
      </c>
      <c r="F1111" s="416" t="s">
        <v>563</v>
      </c>
      <c r="G1111" s="416" t="s">
        <v>793</v>
      </c>
      <c r="H1111" s="416" t="s">
        <v>793</v>
      </c>
      <c r="I1111" s="416" t="s">
        <v>3702</v>
      </c>
      <c r="J1111" s="415" t="s">
        <v>747</v>
      </c>
      <c r="K1111" s="417">
        <v>-5.2650180000000004</v>
      </c>
      <c r="L1111" s="417">
        <v>-79.963800000000006</v>
      </c>
      <c r="M1111" s="418">
        <v>30</v>
      </c>
      <c r="N1111" s="418" t="s">
        <v>2310</v>
      </c>
      <c r="O1111" s="418" t="s">
        <v>3407</v>
      </c>
      <c r="P1111" s="415">
        <v>4</v>
      </c>
      <c r="Q1111" s="415">
        <v>30</v>
      </c>
      <c r="R1111" s="415">
        <v>5</v>
      </c>
      <c r="S1111" s="415">
        <f t="shared" si="51"/>
        <v>5</v>
      </c>
      <c r="T1111" s="419">
        <f t="shared" si="52"/>
        <v>0.83333333333333337</v>
      </c>
      <c r="U1111" s="419">
        <f t="shared" si="53"/>
        <v>5.833333333333333</v>
      </c>
      <c r="V1111" s="415" t="s">
        <v>662</v>
      </c>
      <c r="W1111" s="415" t="s">
        <v>608</v>
      </c>
      <c r="X1111" s="415" t="s">
        <v>663</v>
      </c>
      <c r="Y1111" s="415"/>
    </row>
    <row r="1112" spans="1:25" hidden="1" x14ac:dyDescent="0.25">
      <c r="A1112" s="415">
        <v>1111</v>
      </c>
      <c r="B1112" s="415">
        <v>704</v>
      </c>
      <c r="C1112" s="415">
        <v>430788</v>
      </c>
      <c r="D1112" s="416" t="s">
        <v>1108</v>
      </c>
      <c r="E1112" s="416" t="s">
        <v>560</v>
      </c>
      <c r="F1112" s="416" t="s">
        <v>563</v>
      </c>
      <c r="G1112" s="416" t="s">
        <v>793</v>
      </c>
      <c r="H1112" s="416" t="s">
        <v>793</v>
      </c>
      <c r="I1112" s="416" t="s">
        <v>3703</v>
      </c>
      <c r="J1112" s="415" t="s">
        <v>747</v>
      </c>
      <c r="K1112" s="417">
        <v>-5.266019</v>
      </c>
      <c r="L1112" s="417">
        <v>-79.969763</v>
      </c>
      <c r="M1112" s="418">
        <v>30</v>
      </c>
      <c r="N1112" s="418" t="s">
        <v>2310</v>
      </c>
      <c r="O1112" s="418" t="s">
        <v>3407</v>
      </c>
      <c r="P1112" s="415">
        <v>4</v>
      </c>
      <c r="Q1112" s="415">
        <v>30</v>
      </c>
      <c r="R1112" s="415">
        <v>5</v>
      </c>
      <c r="S1112" s="415">
        <f t="shared" si="51"/>
        <v>5</v>
      </c>
      <c r="T1112" s="419">
        <f t="shared" si="52"/>
        <v>0.83333333333333337</v>
      </c>
      <c r="U1112" s="419">
        <f t="shared" si="53"/>
        <v>5.833333333333333</v>
      </c>
      <c r="V1112" s="415" t="s">
        <v>662</v>
      </c>
      <c r="W1112" s="415" t="s">
        <v>608</v>
      </c>
      <c r="X1112" s="415" t="s">
        <v>663</v>
      </c>
      <c r="Y1112" s="415"/>
    </row>
    <row r="1113" spans="1:25" hidden="1" x14ac:dyDescent="0.25">
      <c r="A1113" s="415">
        <v>1112</v>
      </c>
      <c r="B1113" s="415">
        <v>705</v>
      </c>
      <c r="C1113" s="415">
        <v>430806</v>
      </c>
      <c r="D1113" s="416" t="s">
        <v>830</v>
      </c>
      <c r="E1113" s="416" t="s">
        <v>560</v>
      </c>
      <c r="F1113" s="416" t="s">
        <v>563</v>
      </c>
      <c r="G1113" s="416" t="s">
        <v>793</v>
      </c>
      <c r="H1113" s="416" t="s">
        <v>1498</v>
      </c>
      <c r="I1113" s="416" t="s">
        <v>1498</v>
      </c>
      <c r="J1113" s="415" t="s">
        <v>661</v>
      </c>
      <c r="K1113" s="417">
        <v>-5.2084900000000003</v>
      </c>
      <c r="L1113" s="417">
        <v>-79.945640999999995</v>
      </c>
      <c r="M1113" s="418">
        <v>30</v>
      </c>
      <c r="N1113" s="418" t="s">
        <v>2310</v>
      </c>
      <c r="O1113" s="418" t="s">
        <v>3407</v>
      </c>
      <c r="P1113" s="415">
        <v>4</v>
      </c>
      <c r="Q1113" s="415">
        <v>30</v>
      </c>
      <c r="R1113" s="415">
        <v>5</v>
      </c>
      <c r="S1113" s="415">
        <f t="shared" si="51"/>
        <v>5</v>
      </c>
      <c r="T1113" s="419">
        <f t="shared" si="52"/>
        <v>0.83333333333333337</v>
      </c>
      <c r="U1113" s="419">
        <f t="shared" si="53"/>
        <v>5.833333333333333</v>
      </c>
      <c r="V1113" s="415" t="s">
        <v>662</v>
      </c>
      <c r="W1113" s="415" t="s">
        <v>608</v>
      </c>
      <c r="X1113" s="415" t="s">
        <v>663</v>
      </c>
      <c r="Y1113" s="415"/>
    </row>
    <row r="1114" spans="1:25" hidden="1" x14ac:dyDescent="0.25">
      <c r="A1114" s="415">
        <v>1113</v>
      </c>
      <c r="B1114" s="415">
        <v>706</v>
      </c>
      <c r="C1114" s="415">
        <v>431311</v>
      </c>
      <c r="D1114" s="416" t="s">
        <v>965</v>
      </c>
      <c r="E1114" s="416" t="s">
        <v>560</v>
      </c>
      <c r="F1114" s="416" t="s">
        <v>563</v>
      </c>
      <c r="G1114" s="416" t="s">
        <v>1970</v>
      </c>
      <c r="H1114" s="416" t="s">
        <v>1035</v>
      </c>
      <c r="I1114" s="416" t="s">
        <v>3704</v>
      </c>
      <c r="J1114" s="415" t="s">
        <v>661</v>
      </c>
      <c r="K1114" s="417">
        <v>-5.0739369999999999</v>
      </c>
      <c r="L1114" s="417">
        <v>-79.781454999999994</v>
      </c>
      <c r="M1114" s="418">
        <v>30</v>
      </c>
      <c r="N1114" s="418" t="s">
        <v>2310</v>
      </c>
      <c r="O1114" s="418" t="s">
        <v>3407</v>
      </c>
      <c r="P1114" s="415">
        <v>4</v>
      </c>
      <c r="Q1114" s="415">
        <v>30</v>
      </c>
      <c r="R1114" s="415">
        <v>5</v>
      </c>
      <c r="S1114" s="415">
        <f t="shared" si="51"/>
        <v>5</v>
      </c>
      <c r="T1114" s="419">
        <f t="shared" si="52"/>
        <v>0.83333333333333337</v>
      </c>
      <c r="U1114" s="419">
        <f t="shared" si="53"/>
        <v>5.833333333333333</v>
      </c>
      <c r="V1114" s="415" t="s">
        <v>662</v>
      </c>
      <c r="W1114" s="415" t="s">
        <v>608</v>
      </c>
      <c r="X1114" s="415" t="s">
        <v>663</v>
      </c>
      <c r="Y1114" s="415"/>
    </row>
    <row r="1115" spans="1:25" hidden="1" x14ac:dyDescent="0.25">
      <c r="A1115" s="415">
        <v>1114</v>
      </c>
      <c r="B1115" s="415">
        <v>707</v>
      </c>
      <c r="C1115" s="415">
        <v>431250</v>
      </c>
      <c r="D1115" s="416" t="s">
        <v>3705</v>
      </c>
      <c r="E1115" s="416" t="s">
        <v>560</v>
      </c>
      <c r="F1115" s="416" t="s">
        <v>563</v>
      </c>
      <c r="G1115" s="416" t="s">
        <v>1970</v>
      </c>
      <c r="H1115" s="416" t="s">
        <v>3706</v>
      </c>
      <c r="I1115" s="416" t="s">
        <v>3706</v>
      </c>
      <c r="J1115" s="415" t="s">
        <v>661</v>
      </c>
      <c r="K1115" s="417">
        <v>-5.0282799999999996</v>
      </c>
      <c r="L1115" s="417">
        <v>-79.754810000000006</v>
      </c>
      <c r="M1115" s="418">
        <v>30</v>
      </c>
      <c r="N1115" s="418" t="s">
        <v>2310</v>
      </c>
      <c r="O1115" s="418" t="s">
        <v>3407</v>
      </c>
      <c r="P1115" s="415">
        <v>4</v>
      </c>
      <c r="Q1115" s="415">
        <v>30</v>
      </c>
      <c r="R1115" s="415">
        <v>5</v>
      </c>
      <c r="S1115" s="415">
        <f t="shared" si="51"/>
        <v>5</v>
      </c>
      <c r="T1115" s="419">
        <f t="shared" si="52"/>
        <v>0.83333333333333337</v>
      </c>
      <c r="U1115" s="419">
        <f t="shared" si="53"/>
        <v>5.833333333333333</v>
      </c>
      <c r="V1115" s="415" t="s">
        <v>662</v>
      </c>
      <c r="W1115" s="415" t="s">
        <v>608</v>
      </c>
      <c r="X1115" s="415" t="s">
        <v>663</v>
      </c>
      <c r="Y1115" s="415"/>
    </row>
    <row r="1116" spans="1:25" hidden="1" x14ac:dyDescent="0.25">
      <c r="A1116" s="415">
        <v>1115</v>
      </c>
      <c r="B1116" s="415">
        <v>708</v>
      </c>
      <c r="C1116" s="415">
        <v>431231</v>
      </c>
      <c r="D1116" s="416" t="s">
        <v>1971</v>
      </c>
      <c r="E1116" s="416" t="s">
        <v>560</v>
      </c>
      <c r="F1116" s="416" t="s">
        <v>563</v>
      </c>
      <c r="G1116" s="416" t="s">
        <v>1970</v>
      </c>
      <c r="H1116" s="416" t="s">
        <v>1972</v>
      </c>
      <c r="I1116" s="416" t="s">
        <v>1973</v>
      </c>
      <c r="J1116" s="415" t="s">
        <v>661</v>
      </c>
      <c r="K1116" s="417">
        <v>-4.9804009999999996</v>
      </c>
      <c r="L1116" s="417">
        <v>-79.772724999999994</v>
      </c>
      <c r="M1116" s="418">
        <v>30</v>
      </c>
      <c r="N1116" s="418" t="s">
        <v>2310</v>
      </c>
      <c r="O1116" s="418" t="s">
        <v>3407</v>
      </c>
      <c r="P1116" s="415">
        <v>4</v>
      </c>
      <c r="Q1116" s="415">
        <v>30</v>
      </c>
      <c r="R1116" s="415">
        <v>5</v>
      </c>
      <c r="S1116" s="415">
        <f t="shared" si="51"/>
        <v>5</v>
      </c>
      <c r="T1116" s="419">
        <f t="shared" si="52"/>
        <v>0.83333333333333337</v>
      </c>
      <c r="U1116" s="419">
        <f t="shared" si="53"/>
        <v>5.833333333333333</v>
      </c>
      <c r="V1116" s="415" t="s">
        <v>662</v>
      </c>
      <c r="W1116" s="415" t="s">
        <v>608</v>
      </c>
      <c r="X1116" s="415" t="s">
        <v>663</v>
      </c>
      <c r="Y1116" s="415"/>
    </row>
    <row r="1117" spans="1:25" hidden="1" x14ac:dyDescent="0.25">
      <c r="A1117" s="415">
        <v>1116</v>
      </c>
      <c r="B1117" s="415">
        <v>709</v>
      </c>
      <c r="C1117" s="415">
        <v>429983</v>
      </c>
      <c r="D1117" s="416" t="s">
        <v>3707</v>
      </c>
      <c r="E1117" s="416" t="s">
        <v>560</v>
      </c>
      <c r="F1117" s="416" t="s">
        <v>563</v>
      </c>
      <c r="G1117" s="416" t="s">
        <v>1964</v>
      </c>
      <c r="H1117" s="416" t="s">
        <v>1824</v>
      </c>
      <c r="I1117" s="416" t="s">
        <v>1824</v>
      </c>
      <c r="J1117" s="415" t="s">
        <v>661</v>
      </c>
      <c r="K1117" s="417">
        <v>-5.0305</v>
      </c>
      <c r="L1117" s="417">
        <v>-80.162400000000005</v>
      </c>
      <c r="M1117" s="418">
        <v>30</v>
      </c>
      <c r="N1117" s="418" t="s">
        <v>2310</v>
      </c>
      <c r="O1117" s="418" t="s">
        <v>3407</v>
      </c>
      <c r="P1117" s="415">
        <v>4</v>
      </c>
      <c r="Q1117" s="415">
        <v>30</v>
      </c>
      <c r="R1117" s="415">
        <v>5</v>
      </c>
      <c r="S1117" s="415">
        <f t="shared" si="51"/>
        <v>5</v>
      </c>
      <c r="T1117" s="419">
        <f t="shared" si="52"/>
        <v>0.83333333333333337</v>
      </c>
      <c r="U1117" s="419">
        <f t="shared" si="53"/>
        <v>5.833333333333333</v>
      </c>
      <c r="V1117" s="415" t="s">
        <v>662</v>
      </c>
      <c r="W1117" s="415" t="s">
        <v>606</v>
      </c>
      <c r="X1117" s="415" t="s">
        <v>671</v>
      </c>
      <c r="Y1117" s="415"/>
    </row>
    <row r="1118" spans="1:25" hidden="1" x14ac:dyDescent="0.25">
      <c r="A1118" s="415">
        <v>1117</v>
      </c>
      <c r="B1118" s="415">
        <v>710</v>
      </c>
      <c r="C1118" s="415">
        <v>430043</v>
      </c>
      <c r="D1118" s="416" t="s">
        <v>1061</v>
      </c>
      <c r="E1118" s="416" t="s">
        <v>560</v>
      </c>
      <c r="F1118" s="416" t="s">
        <v>563</v>
      </c>
      <c r="G1118" s="416" t="s">
        <v>1964</v>
      </c>
      <c r="H1118" s="416" t="s">
        <v>1965</v>
      </c>
      <c r="I1118" s="416" t="s">
        <v>1966</v>
      </c>
      <c r="J1118" s="415" t="s">
        <v>661</v>
      </c>
      <c r="K1118" s="417">
        <v>-5.1497999999999999</v>
      </c>
      <c r="L1118" s="417">
        <v>-80.264300000000006</v>
      </c>
      <c r="M1118" s="418">
        <v>30</v>
      </c>
      <c r="N1118" s="418" t="s">
        <v>2310</v>
      </c>
      <c r="O1118" s="418" t="s">
        <v>3407</v>
      </c>
      <c r="P1118" s="415">
        <v>4</v>
      </c>
      <c r="Q1118" s="415">
        <v>30</v>
      </c>
      <c r="R1118" s="415">
        <v>5</v>
      </c>
      <c r="S1118" s="415">
        <f t="shared" si="51"/>
        <v>5</v>
      </c>
      <c r="T1118" s="419">
        <f t="shared" si="52"/>
        <v>0.83333333333333337</v>
      </c>
      <c r="U1118" s="419">
        <f t="shared" si="53"/>
        <v>5.833333333333333</v>
      </c>
      <c r="V1118" s="415" t="s">
        <v>662</v>
      </c>
      <c r="W1118" s="415" t="s">
        <v>608</v>
      </c>
      <c r="X1118" s="415" t="s">
        <v>663</v>
      </c>
      <c r="Y1118" s="415"/>
    </row>
    <row r="1119" spans="1:25" hidden="1" x14ac:dyDescent="0.25">
      <c r="A1119" s="415">
        <v>1118</v>
      </c>
      <c r="B1119" s="415">
        <v>711</v>
      </c>
      <c r="C1119" s="415">
        <v>430104</v>
      </c>
      <c r="D1119" s="416" t="s">
        <v>3708</v>
      </c>
      <c r="E1119" s="416" t="s">
        <v>560</v>
      </c>
      <c r="F1119" s="416" t="s">
        <v>563</v>
      </c>
      <c r="G1119" s="416" t="s">
        <v>1964</v>
      </c>
      <c r="H1119" s="416" t="s">
        <v>3709</v>
      </c>
      <c r="I1119" s="416" t="s">
        <v>3709</v>
      </c>
      <c r="J1119" s="415" t="s">
        <v>661</v>
      </c>
      <c r="K1119" s="417">
        <v>-5.018338</v>
      </c>
      <c r="L1119" s="417">
        <v>-80.147703000000007</v>
      </c>
      <c r="M1119" s="418">
        <v>30</v>
      </c>
      <c r="N1119" s="418" t="s">
        <v>2310</v>
      </c>
      <c r="O1119" s="418" t="s">
        <v>3407</v>
      </c>
      <c r="P1119" s="415">
        <v>4</v>
      </c>
      <c r="Q1119" s="415">
        <v>30</v>
      </c>
      <c r="R1119" s="415">
        <v>5</v>
      </c>
      <c r="S1119" s="415">
        <f t="shared" si="51"/>
        <v>5</v>
      </c>
      <c r="T1119" s="419">
        <f t="shared" si="52"/>
        <v>0.83333333333333337</v>
      </c>
      <c r="U1119" s="419">
        <f t="shared" si="53"/>
        <v>5.833333333333333</v>
      </c>
      <c r="V1119" s="415" t="s">
        <v>662</v>
      </c>
      <c r="W1119" s="415" t="s">
        <v>606</v>
      </c>
      <c r="X1119" s="415" t="s">
        <v>671</v>
      </c>
      <c r="Y1119" s="415"/>
    </row>
    <row r="1120" spans="1:25" hidden="1" x14ac:dyDescent="0.25">
      <c r="A1120" s="415">
        <v>1119</v>
      </c>
      <c r="B1120" s="415">
        <v>712</v>
      </c>
      <c r="C1120" s="415">
        <v>430199</v>
      </c>
      <c r="D1120" s="416" t="s">
        <v>1967</v>
      </c>
      <c r="E1120" s="416" t="s">
        <v>560</v>
      </c>
      <c r="F1120" s="416" t="s">
        <v>563</v>
      </c>
      <c r="G1120" s="416" t="s">
        <v>1964</v>
      </c>
      <c r="H1120" s="416" t="s">
        <v>1968</v>
      </c>
      <c r="I1120" s="416" t="s">
        <v>1969</v>
      </c>
      <c r="J1120" s="415" t="s">
        <v>661</v>
      </c>
      <c r="K1120" s="417">
        <v>-5.1647999999999996</v>
      </c>
      <c r="L1120" s="417">
        <v>-80.210700000000003</v>
      </c>
      <c r="M1120" s="418">
        <v>30</v>
      </c>
      <c r="N1120" s="418" t="s">
        <v>2310</v>
      </c>
      <c r="O1120" s="418" t="s">
        <v>3407</v>
      </c>
      <c r="P1120" s="415">
        <v>4</v>
      </c>
      <c r="Q1120" s="415">
        <v>30</v>
      </c>
      <c r="R1120" s="415">
        <v>5</v>
      </c>
      <c r="S1120" s="415">
        <f t="shared" si="51"/>
        <v>5</v>
      </c>
      <c r="T1120" s="419">
        <f t="shared" si="52"/>
        <v>0.83333333333333337</v>
      </c>
      <c r="U1120" s="419">
        <f t="shared" si="53"/>
        <v>5.833333333333333</v>
      </c>
      <c r="V1120" s="415" t="s">
        <v>662</v>
      </c>
      <c r="W1120" s="415" t="s">
        <v>608</v>
      </c>
      <c r="X1120" s="415" t="s">
        <v>663</v>
      </c>
      <c r="Y1120" s="415"/>
    </row>
    <row r="1121" spans="1:25" hidden="1" x14ac:dyDescent="0.25">
      <c r="A1121" s="415">
        <v>1120</v>
      </c>
      <c r="B1121" s="415">
        <v>713</v>
      </c>
      <c r="C1121" s="415">
        <v>429817</v>
      </c>
      <c r="D1121" s="416" t="s">
        <v>3710</v>
      </c>
      <c r="E1121" s="416" t="s">
        <v>560</v>
      </c>
      <c r="F1121" s="416" t="s">
        <v>563</v>
      </c>
      <c r="G1121" s="416" t="s">
        <v>1964</v>
      </c>
      <c r="H1121" s="416" t="s">
        <v>3711</v>
      </c>
      <c r="I1121" s="416" t="s">
        <v>867</v>
      </c>
      <c r="J1121" s="415" t="s">
        <v>661</v>
      </c>
      <c r="K1121" s="417">
        <v>-5.1692280000000004</v>
      </c>
      <c r="L1121" s="417">
        <v>-80.143388000000002</v>
      </c>
      <c r="M1121" s="418">
        <v>30</v>
      </c>
      <c r="N1121" s="418" t="s">
        <v>2310</v>
      </c>
      <c r="O1121" s="418" t="s">
        <v>3407</v>
      </c>
      <c r="P1121" s="415">
        <v>4</v>
      </c>
      <c r="Q1121" s="415">
        <v>30</v>
      </c>
      <c r="R1121" s="415">
        <v>5</v>
      </c>
      <c r="S1121" s="415">
        <f t="shared" si="51"/>
        <v>5</v>
      </c>
      <c r="T1121" s="419">
        <f t="shared" si="52"/>
        <v>0.83333333333333337</v>
      </c>
      <c r="U1121" s="419">
        <f t="shared" si="53"/>
        <v>5.833333333333333</v>
      </c>
      <c r="V1121" s="415" t="s">
        <v>662</v>
      </c>
      <c r="W1121" s="415" t="s">
        <v>608</v>
      </c>
      <c r="X1121" s="415" t="s">
        <v>663</v>
      </c>
      <c r="Y1121" s="415"/>
    </row>
    <row r="1122" spans="1:25" hidden="1" x14ac:dyDescent="0.25">
      <c r="A1122" s="415">
        <v>1121</v>
      </c>
      <c r="B1122" s="415">
        <v>714</v>
      </c>
      <c r="C1122" s="415">
        <v>430255</v>
      </c>
      <c r="D1122" s="416" t="s">
        <v>3711</v>
      </c>
      <c r="E1122" s="416" t="s">
        <v>560</v>
      </c>
      <c r="F1122" s="416" t="s">
        <v>563</v>
      </c>
      <c r="G1122" s="416" t="s">
        <v>1964</v>
      </c>
      <c r="H1122" s="416" t="s">
        <v>3711</v>
      </c>
      <c r="I1122" s="416" t="s">
        <v>3711</v>
      </c>
      <c r="J1122" s="415" t="s">
        <v>661</v>
      </c>
      <c r="K1122" s="417">
        <v>-5.1639499999999998</v>
      </c>
      <c r="L1122" s="417">
        <v>-80.140630000000002</v>
      </c>
      <c r="M1122" s="418">
        <v>30</v>
      </c>
      <c r="N1122" s="418" t="s">
        <v>2310</v>
      </c>
      <c r="O1122" s="418" t="s">
        <v>3407</v>
      </c>
      <c r="P1122" s="415">
        <v>4</v>
      </c>
      <c r="Q1122" s="415">
        <v>30</v>
      </c>
      <c r="R1122" s="415">
        <v>5</v>
      </c>
      <c r="S1122" s="415">
        <f t="shared" si="51"/>
        <v>5</v>
      </c>
      <c r="T1122" s="419">
        <f t="shared" si="52"/>
        <v>0.83333333333333337</v>
      </c>
      <c r="U1122" s="419">
        <f t="shared" si="53"/>
        <v>5.833333333333333</v>
      </c>
      <c r="V1122" s="415" t="s">
        <v>662</v>
      </c>
      <c r="W1122" s="415" t="s">
        <v>608</v>
      </c>
      <c r="X1122" s="415" t="s">
        <v>663</v>
      </c>
      <c r="Y1122" s="415"/>
    </row>
    <row r="1123" spans="1:25" hidden="1" x14ac:dyDescent="0.25">
      <c r="A1123" s="415">
        <v>1122</v>
      </c>
      <c r="B1123" s="415">
        <v>715</v>
      </c>
      <c r="C1123" s="415">
        <v>429681</v>
      </c>
      <c r="D1123" s="416" t="s">
        <v>3712</v>
      </c>
      <c r="E1123" s="416" t="s">
        <v>560</v>
      </c>
      <c r="F1123" s="416" t="s">
        <v>563</v>
      </c>
      <c r="G1123" s="416" t="s">
        <v>1964</v>
      </c>
      <c r="H1123" s="416" t="s">
        <v>3713</v>
      </c>
      <c r="I1123" s="416" t="s">
        <v>3714</v>
      </c>
      <c r="J1123" s="415" t="s">
        <v>747</v>
      </c>
      <c r="K1123" s="417">
        <v>-5.0590099999999998</v>
      </c>
      <c r="L1123" s="417">
        <v>-80.136439999999993</v>
      </c>
      <c r="M1123" s="418">
        <v>30</v>
      </c>
      <c r="N1123" s="418" t="s">
        <v>2310</v>
      </c>
      <c r="O1123" s="418" t="s">
        <v>3407</v>
      </c>
      <c r="P1123" s="415">
        <v>4</v>
      </c>
      <c r="Q1123" s="415">
        <v>30</v>
      </c>
      <c r="R1123" s="415">
        <v>5</v>
      </c>
      <c r="S1123" s="415">
        <f t="shared" si="51"/>
        <v>5</v>
      </c>
      <c r="T1123" s="419">
        <f t="shared" si="52"/>
        <v>0.83333333333333337</v>
      </c>
      <c r="U1123" s="419">
        <f t="shared" si="53"/>
        <v>5.833333333333333</v>
      </c>
      <c r="V1123" s="415" t="s">
        <v>662</v>
      </c>
      <c r="W1123" s="415" t="s">
        <v>606</v>
      </c>
      <c r="X1123" s="415" t="s">
        <v>671</v>
      </c>
      <c r="Y1123" s="415"/>
    </row>
    <row r="1124" spans="1:25" hidden="1" x14ac:dyDescent="0.25">
      <c r="A1124" s="415">
        <v>1123</v>
      </c>
      <c r="B1124" s="415">
        <v>716</v>
      </c>
      <c r="C1124" s="415">
        <v>430321</v>
      </c>
      <c r="D1124" s="416" t="s">
        <v>3715</v>
      </c>
      <c r="E1124" s="416" t="s">
        <v>560</v>
      </c>
      <c r="F1124" s="416" t="s">
        <v>563</v>
      </c>
      <c r="G1124" s="416" t="s">
        <v>1964</v>
      </c>
      <c r="H1124" s="416" t="s">
        <v>3713</v>
      </c>
      <c r="I1124" s="416" t="s">
        <v>3713</v>
      </c>
      <c r="J1124" s="415" t="s">
        <v>747</v>
      </c>
      <c r="K1124" s="417">
        <v>-5.0660600000000002</v>
      </c>
      <c r="L1124" s="417">
        <v>-80.140929999999997</v>
      </c>
      <c r="M1124" s="418">
        <v>30</v>
      </c>
      <c r="N1124" s="418" t="s">
        <v>2310</v>
      </c>
      <c r="O1124" s="418" t="s">
        <v>3407</v>
      </c>
      <c r="P1124" s="415">
        <v>4</v>
      </c>
      <c r="Q1124" s="415">
        <v>30</v>
      </c>
      <c r="R1124" s="415">
        <v>5</v>
      </c>
      <c r="S1124" s="415">
        <f t="shared" si="51"/>
        <v>5</v>
      </c>
      <c r="T1124" s="419">
        <f t="shared" si="52"/>
        <v>0.83333333333333337</v>
      </c>
      <c r="U1124" s="419">
        <f t="shared" si="53"/>
        <v>5.833333333333333</v>
      </c>
      <c r="V1124" s="415" t="s">
        <v>662</v>
      </c>
      <c r="W1124" s="415" t="s">
        <v>606</v>
      </c>
      <c r="X1124" s="415" t="s">
        <v>671</v>
      </c>
      <c r="Y1124" s="415"/>
    </row>
    <row r="1125" spans="1:25" hidden="1" x14ac:dyDescent="0.25">
      <c r="A1125" s="415">
        <v>1124</v>
      </c>
      <c r="B1125" s="415">
        <v>717</v>
      </c>
      <c r="C1125" s="415">
        <v>431561</v>
      </c>
      <c r="D1125" s="416" t="s">
        <v>1979</v>
      </c>
      <c r="E1125" s="416" t="s">
        <v>560</v>
      </c>
      <c r="F1125" s="416" t="s">
        <v>563</v>
      </c>
      <c r="G1125" s="416" t="s">
        <v>1975</v>
      </c>
      <c r="H1125" s="416" t="s">
        <v>1980</v>
      </c>
      <c r="I1125" s="416" t="s">
        <v>1980</v>
      </c>
      <c r="J1125" s="415" t="s">
        <v>661</v>
      </c>
      <c r="K1125" s="417">
        <v>-5.1875970000000002</v>
      </c>
      <c r="L1125" s="417">
        <v>-80.098489000000001</v>
      </c>
      <c r="M1125" s="418">
        <v>30</v>
      </c>
      <c r="N1125" s="418" t="s">
        <v>2310</v>
      </c>
      <c r="O1125" s="418" t="s">
        <v>3407</v>
      </c>
      <c r="P1125" s="415">
        <v>4</v>
      </c>
      <c r="Q1125" s="415">
        <v>30</v>
      </c>
      <c r="R1125" s="415">
        <v>5</v>
      </c>
      <c r="S1125" s="415">
        <f t="shared" si="51"/>
        <v>5</v>
      </c>
      <c r="T1125" s="419">
        <f t="shared" si="52"/>
        <v>0.83333333333333337</v>
      </c>
      <c r="U1125" s="419">
        <f t="shared" si="53"/>
        <v>5.833333333333333</v>
      </c>
      <c r="V1125" s="415" t="s">
        <v>662</v>
      </c>
      <c r="W1125" s="415" t="s">
        <v>608</v>
      </c>
      <c r="X1125" s="415" t="s">
        <v>663</v>
      </c>
      <c r="Y1125" s="415"/>
    </row>
    <row r="1126" spans="1:25" hidden="1" x14ac:dyDescent="0.25">
      <c r="A1126" s="415">
        <v>1125</v>
      </c>
      <c r="B1126" s="415">
        <v>718</v>
      </c>
      <c r="C1126" s="415">
        <v>431580</v>
      </c>
      <c r="D1126" s="416" t="s">
        <v>1981</v>
      </c>
      <c r="E1126" s="416" t="s">
        <v>560</v>
      </c>
      <c r="F1126" s="416" t="s">
        <v>563</v>
      </c>
      <c r="G1126" s="416" t="s">
        <v>1975</v>
      </c>
      <c r="H1126" s="416" t="s">
        <v>1982</v>
      </c>
      <c r="I1126" s="416" t="s">
        <v>1983</v>
      </c>
      <c r="J1126" s="415" t="s">
        <v>661</v>
      </c>
      <c r="K1126" s="417">
        <v>-5.2421660000000001</v>
      </c>
      <c r="L1126" s="417">
        <v>-80.113033000000001</v>
      </c>
      <c r="M1126" s="418">
        <v>30</v>
      </c>
      <c r="N1126" s="418" t="s">
        <v>2310</v>
      </c>
      <c r="O1126" s="418" t="s">
        <v>3407</v>
      </c>
      <c r="P1126" s="415">
        <v>4</v>
      </c>
      <c r="Q1126" s="415">
        <v>30</v>
      </c>
      <c r="R1126" s="415">
        <v>5</v>
      </c>
      <c r="S1126" s="415">
        <f t="shared" si="51"/>
        <v>5</v>
      </c>
      <c r="T1126" s="419">
        <f t="shared" si="52"/>
        <v>0.83333333333333337</v>
      </c>
      <c r="U1126" s="419">
        <f t="shared" si="53"/>
        <v>5.833333333333333</v>
      </c>
      <c r="V1126" s="415" t="s">
        <v>662</v>
      </c>
      <c r="W1126" s="415" t="s">
        <v>608</v>
      </c>
      <c r="X1126" s="415" t="s">
        <v>663</v>
      </c>
      <c r="Y1126" s="415"/>
    </row>
    <row r="1127" spans="1:25" hidden="1" x14ac:dyDescent="0.25">
      <c r="A1127" s="415">
        <v>1126</v>
      </c>
      <c r="B1127" s="415">
        <v>719</v>
      </c>
      <c r="C1127" s="415">
        <v>431764</v>
      </c>
      <c r="D1127" s="416" t="s">
        <v>997</v>
      </c>
      <c r="E1127" s="416" t="s">
        <v>560</v>
      </c>
      <c r="F1127" s="416" t="s">
        <v>563</v>
      </c>
      <c r="G1127" s="416" t="s">
        <v>1975</v>
      </c>
      <c r="H1127" s="416" t="s">
        <v>3716</v>
      </c>
      <c r="I1127" s="416" t="s">
        <v>3716</v>
      </c>
      <c r="J1127" s="415" t="s">
        <v>661</v>
      </c>
      <c r="K1127" s="417">
        <v>-5.1638000000000002</v>
      </c>
      <c r="L1127" s="417">
        <v>-80.085102000000006</v>
      </c>
      <c r="M1127" s="418">
        <v>30</v>
      </c>
      <c r="N1127" s="418" t="s">
        <v>2310</v>
      </c>
      <c r="O1127" s="418" t="s">
        <v>3407</v>
      </c>
      <c r="P1127" s="415">
        <v>4</v>
      </c>
      <c r="Q1127" s="415">
        <v>30</v>
      </c>
      <c r="R1127" s="415">
        <v>5</v>
      </c>
      <c r="S1127" s="415">
        <f t="shared" si="51"/>
        <v>5</v>
      </c>
      <c r="T1127" s="419">
        <f t="shared" si="52"/>
        <v>0.83333333333333337</v>
      </c>
      <c r="U1127" s="419">
        <f t="shared" si="53"/>
        <v>5.833333333333333</v>
      </c>
      <c r="V1127" s="415" t="s">
        <v>662</v>
      </c>
      <c r="W1127" s="415" t="s">
        <v>608</v>
      </c>
      <c r="X1127" s="415" t="s">
        <v>663</v>
      </c>
      <c r="Y1127" s="415"/>
    </row>
    <row r="1128" spans="1:25" hidden="1" x14ac:dyDescent="0.25">
      <c r="A1128" s="415">
        <v>1127</v>
      </c>
      <c r="B1128" s="415">
        <v>720</v>
      </c>
      <c r="C1128" s="415">
        <v>431486</v>
      </c>
      <c r="D1128" s="416" t="s">
        <v>3717</v>
      </c>
      <c r="E1128" s="416" t="s">
        <v>560</v>
      </c>
      <c r="F1128" s="416" t="s">
        <v>563</v>
      </c>
      <c r="G1128" s="416" t="s">
        <v>1975</v>
      </c>
      <c r="H1128" s="416" t="s">
        <v>1975</v>
      </c>
      <c r="I1128" s="416" t="s">
        <v>3718</v>
      </c>
      <c r="J1128" s="415" t="s">
        <v>747</v>
      </c>
      <c r="K1128" s="417">
        <v>-5.2154590000000001</v>
      </c>
      <c r="L1128" s="417">
        <v>-80.092997999999994</v>
      </c>
      <c r="M1128" s="418">
        <v>30</v>
      </c>
      <c r="N1128" s="418" t="s">
        <v>2310</v>
      </c>
      <c r="O1128" s="418" t="s">
        <v>3407</v>
      </c>
      <c r="P1128" s="415">
        <v>4</v>
      </c>
      <c r="Q1128" s="415">
        <v>30</v>
      </c>
      <c r="R1128" s="415">
        <v>5</v>
      </c>
      <c r="S1128" s="415">
        <f t="shared" si="51"/>
        <v>5</v>
      </c>
      <c r="T1128" s="419">
        <f t="shared" si="52"/>
        <v>0.83333333333333337</v>
      </c>
      <c r="U1128" s="419">
        <f t="shared" si="53"/>
        <v>5.833333333333333</v>
      </c>
      <c r="V1128" s="415" t="s">
        <v>662</v>
      </c>
      <c r="W1128" s="415" t="s">
        <v>608</v>
      </c>
      <c r="X1128" s="415" t="s">
        <v>663</v>
      </c>
      <c r="Y1128" s="415"/>
    </row>
    <row r="1129" spans="1:25" hidden="1" x14ac:dyDescent="0.25">
      <c r="A1129" s="415">
        <v>1128</v>
      </c>
      <c r="B1129" s="415">
        <v>721</v>
      </c>
      <c r="C1129" s="415">
        <v>431523</v>
      </c>
      <c r="D1129" s="416" t="s">
        <v>3719</v>
      </c>
      <c r="E1129" s="416" t="s">
        <v>560</v>
      </c>
      <c r="F1129" s="416" t="s">
        <v>563</v>
      </c>
      <c r="G1129" s="416" t="s">
        <v>1975</v>
      </c>
      <c r="H1129" s="416" t="s">
        <v>1975</v>
      </c>
      <c r="I1129" s="416" t="s">
        <v>3720</v>
      </c>
      <c r="J1129" s="415" t="s">
        <v>747</v>
      </c>
      <c r="K1129" s="417">
        <v>-5.2118900000000004</v>
      </c>
      <c r="L1129" s="417">
        <v>-80.091999999999999</v>
      </c>
      <c r="M1129" s="418">
        <v>30</v>
      </c>
      <c r="N1129" s="418" t="s">
        <v>2310</v>
      </c>
      <c r="O1129" s="418" t="s">
        <v>3407</v>
      </c>
      <c r="P1129" s="415">
        <v>4</v>
      </c>
      <c r="Q1129" s="415">
        <v>30</v>
      </c>
      <c r="R1129" s="415">
        <v>5</v>
      </c>
      <c r="S1129" s="415">
        <f t="shared" si="51"/>
        <v>5</v>
      </c>
      <c r="T1129" s="419">
        <f t="shared" si="52"/>
        <v>0.83333333333333337</v>
      </c>
      <c r="U1129" s="419">
        <f t="shared" si="53"/>
        <v>5.833333333333333</v>
      </c>
      <c r="V1129" s="415" t="s">
        <v>662</v>
      </c>
      <c r="W1129" s="415" t="s">
        <v>608</v>
      </c>
      <c r="X1129" s="415" t="s">
        <v>663</v>
      </c>
      <c r="Y1129" s="415"/>
    </row>
    <row r="1130" spans="1:25" hidden="1" x14ac:dyDescent="0.25">
      <c r="A1130" s="415">
        <v>1129</v>
      </c>
      <c r="B1130" s="415">
        <v>722</v>
      </c>
      <c r="C1130" s="415">
        <v>431759</v>
      </c>
      <c r="D1130" s="416" t="s">
        <v>1070</v>
      </c>
      <c r="E1130" s="416" t="s">
        <v>560</v>
      </c>
      <c r="F1130" s="416" t="s">
        <v>563</v>
      </c>
      <c r="G1130" s="416" t="s">
        <v>1975</v>
      </c>
      <c r="H1130" s="416" t="s">
        <v>1975</v>
      </c>
      <c r="I1130" s="416" t="s">
        <v>3721</v>
      </c>
      <c r="J1130" s="415" t="s">
        <v>747</v>
      </c>
      <c r="K1130" s="417">
        <v>-5.2159700000000004</v>
      </c>
      <c r="L1130" s="417">
        <v>-80.089699999999993</v>
      </c>
      <c r="M1130" s="418">
        <v>30</v>
      </c>
      <c r="N1130" s="418" t="s">
        <v>2310</v>
      </c>
      <c r="O1130" s="418" t="s">
        <v>3407</v>
      </c>
      <c r="P1130" s="415">
        <v>4</v>
      </c>
      <c r="Q1130" s="415">
        <v>30</v>
      </c>
      <c r="R1130" s="415">
        <v>5</v>
      </c>
      <c r="S1130" s="415">
        <f t="shared" si="51"/>
        <v>5</v>
      </c>
      <c r="T1130" s="419">
        <f t="shared" si="52"/>
        <v>0.83333333333333337</v>
      </c>
      <c r="U1130" s="419">
        <f t="shared" si="53"/>
        <v>5.833333333333333</v>
      </c>
      <c r="V1130" s="415" t="s">
        <v>662</v>
      </c>
      <c r="W1130" s="415" t="s">
        <v>608</v>
      </c>
      <c r="X1130" s="415" t="s">
        <v>663</v>
      </c>
      <c r="Y1130" s="415"/>
    </row>
    <row r="1131" spans="1:25" hidden="1" x14ac:dyDescent="0.25">
      <c r="A1131" s="415">
        <v>1130</v>
      </c>
      <c r="B1131" s="415">
        <v>723</v>
      </c>
      <c r="C1131" s="415">
        <v>431472</v>
      </c>
      <c r="D1131" s="416" t="s">
        <v>3722</v>
      </c>
      <c r="E1131" s="416" t="s">
        <v>560</v>
      </c>
      <c r="F1131" s="416" t="s">
        <v>563</v>
      </c>
      <c r="G1131" s="416" t="s">
        <v>1975</v>
      </c>
      <c r="H1131" s="416" t="s">
        <v>3723</v>
      </c>
      <c r="I1131" s="416" t="s">
        <v>3724</v>
      </c>
      <c r="J1131" s="415" t="s">
        <v>661</v>
      </c>
      <c r="K1131" s="417">
        <v>-5.1522769999999998</v>
      </c>
      <c r="L1131" s="417">
        <v>-80.076291999999995</v>
      </c>
      <c r="M1131" s="418">
        <v>30</v>
      </c>
      <c r="N1131" s="418" t="s">
        <v>2310</v>
      </c>
      <c r="O1131" s="418" t="s">
        <v>3407</v>
      </c>
      <c r="P1131" s="415">
        <v>4</v>
      </c>
      <c r="Q1131" s="415">
        <v>30</v>
      </c>
      <c r="R1131" s="415">
        <v>5</v>
      </c>
      <c r="S1131" s="415">
        <f t="shared" si="51"/>
        <v>5</v>
      </c>
      <c r="T1131" s="419">
        <f t="shared" si="52"/>
        <v>0.83333333333333337</v>
      </c>
      <c r="U1131" s="419">
        <f t="shared" si="53"/>
        <v>5.833333333333333</v>
      </c>
      <c r="V1131" s="415" t="s">
        <v>662</v>
      </c>
      <c r="W1131" s="415" t="s">
        <v>608</v>
      </c>
      <c r="X1131" s="415" t="s">
        <v>663</v>
      </c>
      <c r="Y1131" s="415"/>
    </row>
    <row r="1132" spans="1:25" hidden="1" x14ac:dyDescent="0.25">
      <c r="A1132" s="415">
        <v>1131</v>
      </c>
      <c r="B1132" s="415">
        <v>724</v>
      </c>
      <c r="C1132" s="415">
        <v>431702</v>
      </c>
      <c r="D1132" s="416" t="s">
        <v>1984</v>
      </c>
      <c r="E1132" s="416" t="s">
        <v>560</v>
      </c>
      <c r="F1132" s="416" t="s">
        <v>563</v>
      </c>
      <c r="G1132" s="416" t="s">
        <v>1975</v>
      </c>
      <c r="H1132" s="416" t="s">
        <v>965</v>
      </c>
      <c r="I1132" s="416" t="s">
        <v>1985</v>
      </c>
      <c r="J1132" s="415" t="s">
        <v>661</v>
      </c>
      <c r="K1132" s="417">
        <v>-5.2271080000000003</v>
      </c>
      <c r="L1132" s="417">
        <v>-80.120811000000003</v>
      </c>
      <c r="M1132" s="418">
        <v>30</v>
      </c>
      <c r="N1132" s="418" t="s">
        <v>2310</v>
      </c>
      <c r="O1132" s="418" t="s">
        <v>3407</v>
      </c>
      <c r="P1132" s="415">
        <v>4</v>
      </c>
      <c r="Q1132" s="415">
        <v>30</v>
      </c>
      <c r="R1132" s="415">
        <v>5</v>
      </c>
      <c r="S1132" s="415">
        <f t="shared" si="51"/>
        <v>5</v>
      </c>
      <c r="T1132" s="419">
        <f t="shared" si="52"/>
        <v>0.83333333333333337</v>
      </c>
      <c r="U1132" s="419">
        <f t="shared" si="53"/>
        <v>5.833333333333333</v>
      </c>
      <c r="V1132" s="415" t="s">
        <v>662</v>
      </c>
      <c r="W1132" s="415" t="s">
        <v>608</v>
      </c>
      <c r="X1132" s="415" t="s">
        <v>663</v>
      </c>
      <c r="Y1132" s="415"/>
    </row>
    <row r="1133" spans="1:25" hidden="1" x14ac:dyDescent="0.25">
      <c r="A1133" s="415">
        <v>1132</v>
      </c>
      <c r="B1133" s="415">
        <v>725</v>
      </c>
      <c r="C1133" s="415">
        <v>431797</v>
      </c>
      <c r="D1133" s="416" t="s">
        <v>3725</v>
      </c>
      <c r="E1133" s="416" t="s">
        <v>560</v>
      </c>
      <c r="F1133" s="416" t="s">
        <v>563</v>
      </c>
      <c r="G1133" s="416" t="s">
        <v>1975</v>
      </c>
      <c r="H1133" s="416" t="s">
        <v>3726</v>
      </c>
      <c r="I1133" s="416" t="s">
        <v>3727</v>
      </c>
      <c r="J1133" s="415" t="s">
        <v>661</v>
      </c>
      <c r="K1133" s="417">
        <v>-5.1727990000000004</v>
      </c>
      <c r="L1133" s="417">
        <v>-80.067800000000005</v>
      </c>
      <c r="M1133" s="418">
        <v>30</v>
      </c>
      <c r="N1133" s="418" t="s">
        <v>2310</v>
      </c>
      <c r="O1133" s="418" t="s">
        <v>3407</v>
      </c>
      <c r="P1133" s="415">
        <v>4</v>
      </c>
      <c r="Q1133" s="415">
        <v>30</v>
      </c>
      <c r="R1133" s="415">
        <v>5</v>
      </c>
      <c r="S1133" s="415">
        <f t="shared" si="51"/>
        <v>5</v>
      </c>
      <c r="T1133" s="419">
        <f t="shared" si="52"/>
        <v>0.83333333333333337</v>
      </c>
      <c r="U1133" s="419">
        <f t="shared" si="53"/>
        <v>5.833333333333333</v>
      </c>
      <c r="V1133" s="415" t="s">
        <v>662</v>
      </c>
      <c r="W1133" s="415" t="s">
        <v>608</v>
      </c>
      <c r="X1133" s="415" t="s">
        <v>663</v>
      </c>
      <c r="Y1133" s="415"/>
    </row>
    <row r="1134" spans="1:25" hidden="1" x14ac:dyDescent="0.25">
      <c r="A1134" s="415">
        <v>1133</v>
      </c>
      <c r="B1134" s="415">
        <v>726</v>
      </c>
      <c r="C1134" s="415">
        <v>431716</v>
      </c>
      <c r="D1134" s="416" t="s">
        <v>3728</v>
      </c>
      <c r="E1134" s="416" t="s">
        <v>560</v>
      </c>
      <c r="F1134" s="416" t="s">
        <v>563</v>
      </c>
      <c r="G1134" s="416" t="s">
        <v>1975</v>
      </c>
      <c r="H1134" s="416" t="s">
        <v>3729</v>
      </c>
      <c r="I1134" s="416" t="s">
        <v>3730</v>
      </c>
      <c r="J1134" s="415" t="s">
        <v>661</v>
      </c>
      <c r="K1134" s="417">
        <v>-5.2065999999999999</v>
      </c>
      <c r="L1134" s="417">
        <v>-80.106200000000001</v>
      </c>
      <c r="M1134" s="418">
        <v>30</v>
      </c>
      <c r="N1134" s="418" t="s">
        <v>2310</v>
      </c>
      <c r="O1134" s="418" t="s">
        <v>3407</v>
      </c>
      <c r="P1134" s="415">
        <v>4</v>
      </c>
      <c r="Q1134" s="415">
        <v>30</v>
      </c>
      <c r="R1134" s="415">
        <v>5</v>
      </c>
      <c r="S1134" s="415">
        <f t="shared" si="51"/>
        <v>5</v>
      </c>
      <c r="T1134" s="419">
        <f t="shared" si="52"/>
        <v>0.83333333333333337</v>
      </c>
      <c r="U1134" s="419">
        <f t="shared" si="53"/>
        <v>5.833333333333333</v>
      </c>
      <c r="V1134" s="415" t="s">
        <v>662</v>
      </c>
      <c r="W1134" s="415" t="s">
        <v>608</v>
      </c>
      <c r="X1134" s="415" t="s">
        <v>663</v>
      </c>
      <c r="Y1134" s="415"/>
    </row>
    <row r="1135" spans="1:25" hidden="1" x14ac:dyDescent="0.25">
      <c r="A1135" s="415">
        <v>1134</v>
      </c>
      <c r="B1135" s="415">
        <v>727</v>
      </c>
      <c r="C1135" s="415">
        <v>431504</v>
      </c>
      <c r="D1135" s="416" t="s">
        <v>1976</v>
      </c>
      <c r="E1135" s="416" t="s">
        <v>560</v>
      </c>
      <c r="F1135" s="416" t="s">
        <v>563</v>
      </c>
      <c r="G1135" s="416" t="s">
        <v>1975</v>
      </c>
      <c r="H1135" s="416" t="s">
        <v>1977</v>
      </c>
      <c r="I1135" s="416" t="s">
        <v>1978</v>
      </c>
      <c r="J1135" s="415" t="s">
        <v>661</v>
      </c>
      <c r="K1135" s="417">
        <v>-5.2004999999999999</v>
      </c>
      <c r="L1135" s="417">
        <v>-80.107699999999994</v>
      </c>
      <c r="M1135" s="418">
        <v>30</v>
      </c>
      <c r="N1135" s="418" t="s">
        <v>2310</v>
      </c>
      <c r="O1135" s="418" t="s">
        <v>3407</v>
      </c>
      <c r="P1135" s="415">
        <v>4</v>
      </c>
      <c r="Q1135" s="415">
        <v>30</v>
      </c>
      <c r="R1135" s="415">
        <v>5</v>
      </c>
      <c r="S1135" s="415">
        <f t="shared" si="51"/>
        <v>5</v>
      </c>
      <c r="T1135" s="419">
        <f t="shared" si="52"/>
        <v>0.83333333333333337</v>
      </c>
      <c r="U1135" s="419">
        <f t="shared" si="53"/>
        <v>5.833333333333333</v>
      </c>
      <c r="V1135" s="415" t="s">
        <v>662</v>
      </c>
      <c r="W1135" s="415" t="s">
        <v>608</v>
      </c>
      <c r="X1135" s="415" t="s">
        <v>663</v>
      </c>
      <c r="Y1135" s="415"/>
    </row>
    <row r="1136" spans="1:25" hidden="1" x14ac:dyDescent="0.25">
      <c r="A1136" s="415">
        <v>1135</v>
      </c>
      <c r="B1136" s="415">
        <v>728</v>
      </c>
      <c r="C1136" s="415">
        <v>431575</v>
      </c>
      <c r="D1136" s="416" t="s">
        <v>3731</v>
      </c>
      <c r="E1136" s="416" t="s">
        <v>560</v>
      </c>
      <c r="F1136" s="416" t="s">
        <v>563</v>
      </c>
      <c r="G1136" s="416" t="s">
        <v>1975</v>
      </c>
      <c r="H1136" s="416" t="s">
        <v>3732</v>
      </c>
      <c r="I1136" s="416" t="s">
        <v>3732</v>
      </c>
      <c r="J1136" s="415" t="s">
        <v>661</v>
      </c>
      <c r="K1136" s="417">
        <v>-5.4737020000000003</v>
      </c>
      <c r="L1136" s="417">
        <v>-79.991370000000003</v>
      </c>
      <c r="M1136" s="418">
        <v>30</v>
      </c>
      <c r="N1136" s="418" t="s">
        <v>2310</v>
      </c>
      <c r="O1136" s="418" t="s">
        <v>3407</v>
      </c>
      <c r="P1136" s="415">
        <v>4</v>
      </c>
      <c r="Q1136" s="415">
        <v>30</v>
      </c>
      <c r="R1136" s="415">
        <v>5</v>
      </c>
      <c r="S1136" s="415">
        <f t="shared" si="51"/>
        <v>5</v>
      </c>
      <c r="T1136" s="419">
        <f t="shared" si="52"/>
        <v>0.83333333333333337</v>
      </c>
      <c r="U1136" s="419">
        <f t="shared" si="53"/>
        <v>5.833333333333333</v>
      </c>
      <c r="V1136" s="415" t="s">
        <v>662</v>
      </c>
      <c r="W1136" s="415" t="s">
        <v>608</v>
      </c>
      <c r="X1136" s="415" t="s">
        <v>663</v>
      </c>
      <c r="Y1136" s="415"/>
    </row>
    <row r="1137" spans="1:25" hidden="1" x14ac:dyDescent="0.25">
      <c r="A1137" s="415">
        <v>1136</v>
      </c>
      <c r="B1137" s="415">
        <v>729</v>
      </c>
      <c r="C1137" s="415">
        <v>432056</v>
      </c>
      <c r="D1137" s="416" t="s">
        <v>2235</v>
      </c>
      <c r="E1137" s="416" t="s">
        <v>560</v>
      </c>
      <c r="F1137" s="416" t="s">
        <v>563</v>
      </c>
      <c r="G1137" s="416" t="s">
        <v>563</v>
      </c>
      <c r="H1137" s="416" t="s">
        <v>3733</v>
      </c>
      <c r="I1137" s="416" t="s">
        <v>3734</v>
      </c>
      <c r="J1137" s="415" t="s">
        <v>661</v>
      </c>
      <c r="K1137" s="417">
        <v>-5.2043799999999996</v>
      </c>
      <c r="L1137" s="417">
        <v>-80.0047</v>
      </c>
      <c r="M1137" s="418">
        <v>30</v>
      </c>
      <c r="N1137" s="418" t="s">
        <v>2310</v>
      </c>
      <c r="O1137" s="418" t="s">
        <v>3407</v>
      </c>
      <c r="P1137" s="415">
        <v>4</v>
      </c>
      <c r="Q1137" s="415">
        <v>30</v>
      </c>
      <c r="R1137" s="415">
        <v>5</v>
      </c>
      <c r="S1137" s="415">
        <f t="shared" si="51"/>
        <v>5</v>
      </c>
      <c r="T1137" s="419">
        <f t="shared" si="52"/>
        <v>0.83333333333333337</v>
      </c>
      <c r="U1137" s="419">
        <f t="shared" si="53"/>
        <v>5.833333333333333</v>
      </c>
      <c r="V1137" s="415" t="s">
        <v>662</v>
      </c>
      <c r="W1137" s="415" t="s">
        <v>608</v>
      </c>
      <c r="X1137" s="415" t="s">
        <v>663</v>
      </c>
      <c r="Y1137" s="415"/>
    </row>
    <row r="1138" spans="1:25" hidden="1" x14ac:dyDescent="0.25">
      <c r="A1138" s="415">
        <v>1137</v>
      </c>
      <c r="B1138" s="415">
        <v>730</v>
      </c>
      <c r="C1138" s="415">
        <v>431896</v>
      </c>
      <c r="D1138" s="416" t="s">
        <v>3735</v>
      </c>
      <c r="E1138" s="416" t="s">
        <v>560</v>
      </c>
      <c r="F1138" s="416" t="s">
        <v>563</v>
      </c>
      <c r="G1138" s="416" t="s">
        <v>563</v>
      </c>
      <c r="H1138" s="416" t="s">
        <v>563</v>
      </c>
      <c r="I1138" s="416" t="s">
        <v>3736</v>
      </c>
      <c r="J1138" s="415" t="s">
        <v>747</v>
      </c>
      <c r="K1138" s="417">
        <v>-5.1858529999999998</v>
      </c>
      <c r="L1138" s="417">
        <v>-79.970071000000004</v>
      </c>
      <c r="M1138" s="418">
        <v>30</v>
      </c>
      <c r="N1138" s="418" t="s">
        <v>2310</v>
      </c>
      <c r="O1138" s="418" t="s">
        <v>3407</v>
      </c>
      <c r="P1138" s="415">
        <v>4</v>
      </c>
      <c r="Q1138" s="415">
        <v>30</v>
      </c>
      <c r="R1138" s="415">
        <v>5</v>
      </c>
      <c r="S1138" s="415">
        <f t="shared" si="51"/>
        <v>5</v>
      </c>
      <c r="T1138" s="419">
        <f t="shared" si="52"/>
        <v>0.83333333333333337</v>
      </c>
      <c r="U1138" s="419">
        <f t="shared" si="53"/>
        <v>5.833333333333333</v>
      </c>
      <c r="V1138" s="415" t="s">
        <v>662</v>
      </c>
      <c r="W1138" s="415" t="s">
        <v>608</v>
      </c>
      <c r="X1138" s="415" t="s">
        <v>663</v>
      </c>
      <c r="Y1138" s="415"/>
    </row>
    <row r="1139" spans="1:25" hidden="1" x14ac:dyDescent="0.25">
      <c r="A1139" s="415">
        <v>1138</v>
      </c>
      <c r="B1139" s="415">
        <v>731</v>
      </c>
      <c r="C1139" s="415">
        <v>431900</v>
      </c>
      <c r="D1139" s="416" t="s">
        <v>3737</v>
      </c>
      <c r="E1139" s="416" t="s">
        <v>560</v>
      </c>
      <c r="F1139" s="416" t="s">
        <v>563</v>
      </c>
      <c r="G1139" s="416" t="s">
        <v>563</v>
      </c>
      <c r="H1139" s="416" t="s">
        <v>563</v>
      </c>
      <c r="I1139" s="416" t="s">
        <v>3738</v>
      </c>
      <c r="J1139" s="415" t="s">
        <v>747</v>
      </c>
      <c r="K1139" s="417">
        <v>-5.1869389999999997</v>
      </c>
      <c r="L1139" s="417">
        <v>-79.973498000000006</v>
      </c>
      <c r="M1139" s="418">
        <v>30</v>
      </c>
      <c r="N1139" s="418" t="s">
        <v>2310</v>
      </c>
      <c r="O1139" s="418" t="s">
        <v>3407</v>
      </c>
      <c r="P1139" s="415">
        <v>4</v>
      </c>
      <c r="Q1139" s="415">
        <v>30</v>
      </c>
      <c r="R1139" s="415">
        <v>5</v>
      </c>
      <c r="S1139" s="415">
        <f t="shared" si="51"/>
        <v>5</v>
      </c>
      <c r="T1139" s="419">
        <f t="shared" si="52"/>
        <v>0.83333333333333337</v>
      </c>
      <c r="U1139" s="419">
        <f t="shared" si="53"/>
        <v>5.833333333333333</v>
      </c>
      <c r="V1139" s="415" t="s">
        <v>662</v>
      </c>
      <c r="W1139" s="415" t="s">
        <v>608</v>
      </c>
      <c r="X1139" s="415" t="s">
        <v>663</v>
      </c>
      <c r="Y1139" s="415"/>
    </row>
    <row r="1140" spans="1:25" hidden="1" x14ac:dyDescent="0.25">
      <c r="A1140" s="415">
        <v>1139</v>
      </c>
      <c r="B1140" s="415">
        <v>732</v>
      </c>
      <c r="C1140" s="415">
        <v>431981</v>
      </c>
      <c r="D1140" s="416" t="s">
        <v>3739</v>
      </c>
      <c r="E1140" s="416" t="s">
        <v>560</v>
      </c>
      <c r="F1140" s="416" t="s">
        <v>563</v>
      </c>
      <c r="G1140" s="416" t="s">
        <v>563</v>
      </c>
      <c r="H1140" s="416" t="s">
        <v>3549</v>
      </c>
      <c r="I1140" s="416" t="s">
        <v>3740</v>
      </c>
      <c r="J1140" s="415" t="s">
        <v>661</v>
      </c>
      <c r="K1140" s="417">
        <v>-5.1765169999999996</v>
      </c>
      <c r="L1140" s="417">
        <v>-79.982601000000003</v>
      </c>
      <c r="M1140" s="418">
        <v>30</v>
      </c>
      <c r="N1140" s="418" t="s">
        <v>2310</v>
      </c>
      <c r="O1140" s="418" t="s">
        <v>3407</v>
      </c>
      <c r="P1140" s="415">
        <v>4</v>
      </c>
      <c r="Q1140" s="415">
        <v>30</v>
      </c>
      <c r="R1140" s="415">
        <v>5</v>
      </c>
      <c r="S1140" s="415">
        <f t="shared" si="51"/>
        <v>5</v>
      </c>
      <c r="T1140" s="419">
        <f t="shared" si="52"/>
        <v>0.83333333333333337</v>
      </c>
      <c r="U1140" s="419">
        <f t="shared" si="53"/>
        <v>5.833333333333333</v>
      </c>
      <c r="V1140" s="415" t="s">
        <v>662</v>
      </c>
      <c r="W1140" s="415" t="s">
        <v>608</v>
      </c>
      <c r="X1140" s="415" t="s">
        <v>663</v>
      </c>
      <c r="Y1140" s="415"/>
    </row>
    <row r="1141" spans="1:25" hidden="1" x14ac:dyDescent="0.25">
      <c r="A1141" s="415">
        <v>1140</v>
      </c>
      <c r="B1141" s="415">
        <v>733</v>
      </c>
      <c r="C1141" s="415">
        <v>433273</v>
      </c>
      <c r="D1141" s="416" t="s">
        <v>1030</v>
      </c>
      <c r="E1141" s="416" t="s">
        <v>560</v>
      </c>
      <c r="F1141" s="416" t="s">
        <v>563</v>
      </c>
      <c r="G1141" s="416" t="s">
        <v>1613</v>
      </c>
      <c r="H1141" s="416" t="s">
        <v>1991</v>
      </c>
      <c r="I1141" s="416" t="s">
        <v>1992</v>
      </c>
      <c r="J1141" s="415" t="s">
        <v>661</v>
      </c>
      <c r="K1141" s="417">
        <v>-5.0882440000000004</v>
      </c>
      <c r="L1141" s="417">
        <v>-79.921028000000007</v>
      </c>
      <c r="M1141" s="418">
        <v>30</v>
      </c>
      <c r="N1141" s="418" t="s">
        <v>2310</v>
      </c>
      <c r="O1141" s="418" t="s">
        <v>3407</v>
      </c>
      <c r="P1141" s="415">
        <v>4</v>
      </c>
      <c r="Q1141" s="415">
        <v>30</v>
      </c>
      <c r="R1141" s="415">
        <v>5</v>
      </c>
      <c r="S1141" s="415">
        <f t="shared" si="51"/>
        <v>5</v>
      </c>
      <c r="T1141" s="419">
        <f t="shared" si="52"/>
        <v>0.83333333333333337</v>
      </c>
      <c r="U1141" s="419">
        <f t="shared" si="53"/>
        <v>5.833333333333333</v>
      </c>
      <c r="V1141" s="415" t="s">
        <v>662</v>
      </c>
      <c r="W1141" s="415" t="s">
        <v>608</v>
      </c>
      <c r="X1141" s="415" t="s">
        <v>663</v>
      </c>
      <c r="Y1141" s="415"/>
    </row>
    <row r="1142" spans="1:25" hidden="1" x14ac:dyDescent="0.25">
      <c r="A1142" s="415">
        <v>1141</v>
      </c>
      <c r="B1142" s="415">
        <v>734</v>
      </c>
      <c r="C1142" s="415">
        <v>433150</v>
      </c>
      <c r="D1142" s="416" t="s">
        <v>1988</v>
      </c>
      <c r="E1142" s="416" t="s">
        <v>560</v>
      </c>
      <c r="F1142" s="416" t="s">
        <v>563</v>
      </c>
      <c r="G1142" s="416" t="s">
        <v>1613</v>
      </c>
      <c r="H1142" s="416" t="s">
        <v>1989</v>
      </c>
      <c r="I1142" s="416" t="s">
        <v>1990</v>
      </c>
      <c r="J1142" s="415" t="s">
        <v>661</v>
      </c>
      <c r="K1142" s="417">
        <v>-5.0366369999999998</v>
      </c>
      <c r="L1142" s="417">
        <v>-79.921127999999996</v>
      </c>
      <c r="M1142" s="418">
        <v>30</v>
      </c>
      <c r="N1142" s="418" t="s">
        <v>2310</v>
      </c>
      <c r="O1142" s="418" t="s">
        <v>3407</v>
      </c>
      <c r="P1142" s="415">
        <v>4</v>
      </c>
      <c r="Q1142" s="415">
        <v>30</v>
      </c>
      <c r="R1142" s="415">
        <v>5</v>
      </c>
      <c r="S1142" s="415">
        <f t="shared" si="51"/>
        <v>5</v>
      </c>
      <c r="T1142" s="419">
        <f t="shared" si="52"/>
        <v>0.83333333333333337</v>
      </c>
      <c r="U1142" s="419">
        <f t="shared" si="53"/>
        <v>5.833333333333333</v>
      </c>
      <c r="V1142" s="415" t="s">
        <v>662</v>
      </c>
      <c r="W1142" s="415" t="s">
        <v>608</v>
      </c>
      <c r="X1142" s="415" t="s">
        <v>663</v>
      </c>
      <c r="Y1142" s="415"/>
    </row>
    <row r="1143" spans="1:25" hidden="1" x14ac:dyDescent="0.25">
      <c r="A1143" s="415">
        <v>1142</v>
      </c>
      <c r="B1143" s="415">
        <v>735</v>
      </c>
      <c r="C1143" s="415">
        <v>433918</v>
      </c>
      <c r="D1143" s="416" t="s">
        <v>1220</v>
      </c>
      <c r="E1143" s="416" t="s">
        <v>560</v>
      </c>
      <c r="F1143" s="416" t="s">
        <v>563</v>
      </c>
      <c r="G1143" s="416" t="s">
        <v>1993</v>
      </c>
      <c r="H1143" s="416" t="s">
        <v>3741</v>
      </c>
      <c r="I1143" s="416" t="s">
        <v>3741</v>
      </c>
      <c r="J1143" s="415" t="s">
        <v>661</v>
      </c>
      <c r="K1143" s="417">
        <v>-5.1178889999999999</v>
      </c>
      <c r="L1143" s="417">
        <v>-79.672853000000003</v>
      </c>
      <c r="M1143" s="418">
        <v>30</v>
      </c>
      <c r="N1143" s="418" t="s">
        <v>2310</v>
      </c>
      <c r="O1143" s="418" t="s">
        <v>3407</v>
      </c>
      <c r="P1143" s="415">
        <v>4</v>
      </c>
      <c r="Q1143" s="415">
        <v>30</v>
      </c>
      <c r="R1143" s="415">
        <v>5</v>
      </c>
      <c r="S1143" s="415">
        <f t="shared" si="51"/>
        <v>5</v>
      </c>
      <c r="T1143" s="419">
        <f t="shared" si="52"/>
        <v>0.83333333333333337</v>
      </c>
      <c r="U1143" s="419">
        <f t="shared" si="53"/>
        <v>5.833333333333333</v>
      </c>
      <c r="V1143" s="415" t="s">
        <v>662</v>
      </c>
      <c r="W1143" s="415" t="s">
        <v>608</v>
      </c>
      <c r="X1143" s="415" t="s">
        <v>663</v>
      </c>
      <c r="Y1143" s="415"/>
    </row>
    <row r="1144" spans="1:25" hidden="1" x14ac:dyDescent="0.25">
      <c r="A1144" s="415">
        <v>1143</v>
      </c>
      <c r="B1144" s="415">
        <v>736</v>
      </c>
      <c r="C1144" s="415">
        <v>433602</v>
      </c>
      <c r="D1144" s="416" t="s">
        <v>1994</v>
      </c>
      <c r="E1144" s="416" t="s">
        <v>560</v>
      </c>
      <c r="F1144" s="416" t="s">
        <v>563</v>
      </c>
      <c r="G1144" s="416" t="s">
        <v>1993</v>
      </c>
      <c r="H1144" s="416" t="s">
        <v>1995</v>
      </c>
      <c r="I1144" s="416" t="s">
        <v>1996</v>
      </c>
      <c r="J1144" s="415" t="s">
        <v>661</v>
      </c>
      <c r="K1144" s="417">
        <v>-5.1905669999999997</v>
      </c>
      <c r="L1144" s="417">
        <v>-79.837446999999997</v>
      </c>
      <c r="M1144" s="418">
        <v>30</v>
      </c>
      <c r="N1144" s="418" t="s">
        <v>2310</v>
      </c>
      <c r="O1144" s="418" t="s">
        <v>3407</v>
      </c>
      <c r="P1144" s="415">
        <v>4</v>
      </c>
      <c r="Q1144" s="415">
        <v>30</v>
      </c>
      <c r="R1144" s="415">
        <v>5</v>
      </c>
      <c r="S1144" s="415">
        <f t="shared" si="51"/>
        <v>5</v>
      </c>
      <c r="T1144" s="419">
        <f t="shared" si="52"/>
        <v>0.83333333333333337</v>
      </c>
      <c r="U1144" s="419">
        <f t="shared" si="53"/>
        <v>5.833333333333333</v>
      </c>
      <c r="V1144" s="415" t="s">
        <v>662</v>
      </c>
      <c r="W1144" s="415" t="s">
        <v>608</v>
      </c>
      <c r="X1144" s="415" t="s">
        <v>663</v>
      </c>
      <c r="Y1144" s="415"/>
    </row>
    <row r="1145" spans="1:25" hidden="1" x14ac:dyDescent="0.25">
      <c r="A1145" s="415">
        <v>1144</v>
      </c>
      <c r="B1145" s="415">
        <v>737</v>
      </c>
      <c r="C1145" s="415">
        <v>433881</v>
      </c>
      <c r="D1145" s="416" t="s">
        <v>1997</v>
      </c>
      <c r="E1145" s="416" t="s">
        <v>560</v>
      </c>
      <c r="F1145" s="416" t="s">
        <v>563</v>
      </c>
      <c r="G1145" s="416" t="s">
        <v>1993</v>
      </c>
      <c r="H1145" s="416" t="s">
        <v>1998</v>
      </c>
      <c r="I1145" s="416" t="s">
        <v>1999</v>
      </c>
      <c r="J1145" s="415" t="s">
        <v>661</v>
      </c>
      <c r="K1145" s="417">
        <v>-5.2075519999999997</v>
      </c>
      <c r="L1145" s="417">
        <v>-79.806865999999999</v>
      </c>
      <c r="M1145" s="418">
        <v>30</v>
      </c>
      <c r="N1145" s="418" t="s">
        <v>2310</v>
      </c>
      <c r="O1145" s="418" t="s">
        <v>3407</v>
      </c>
      <c r="P1145" s="415">
        <v>4</v>
      </c>
      <c r="Q1145" s="415">
        <v>30</v>
      </c>
      <c r="R1145" s="415">
        <v>5</v>
      </c>
      <c r="S1145" s="415">
        <f t="shared" si="51"/>
        <v>5</v>
      </c>
      <c r="T1145" s="419">
        <f t="shared" si="52"/>
        <v>0.83333333333333337</v>
      </c>
      <c r="U1145" s="419">
        <f t="shared" si="53"/>
        <v>5.833333333333333</v>
      </c>
      <c r="V1145" s="415" t="s">
        <v>662</v>
      </c>
      <c r="W1145" s="415" t="s">
        <v>608</v>
      </c>
      <c r="X1145" s="415" t="s">
        <v>663</v>
      </c>
      <c r="Y1145" s="415"/>
    </row>
    <row r="1146" spans="1:25" hidden="1" x14ac:dyDescent="0.25">
      <c r="A1146" s="415">
        <v>1145</v>
      </c>
      <c r="B1146" s="415">
        <v>738</v>
      </c>
      <c r="C1146" s="415">
        <v>434362</v>
      </c>
      <c r="D1146" s="416" t="s">
        <v>3742</v>
      </c>
      <c r="E1146" s="416" t="s">
        <v>560</v>
      </c>
      <c r="F1146" s="416" t="s">
        <v>564</v>
      </c>
      <c r="G1146" s="416" t="s">
        <v>3743</v>
      </c>
      <c r="H1146" s="416" t="s">
        <v>998</v>
      </c>
      <c r="I1146" s="416" t="s">
        <v>3744</v>
      </c>
      <c r="J1146" s="415" t="s">
        <v>661</v>
      </c>
      <c r="K1146" s="417">
        <v>-4.8875729999999997</v>
      </c>
      <c r="L1146" s="417">
        <v>-81.003707000000006</v>
      </c>
      <c r="M1146" s="418">
        <v>30</v>
      </c>
      <c r="N1146" s="418" t="s">
        <v>2310</v>
      </c>
      <c r="O1146" s="418" t="s">
        <v>3407</v>
      </c>
      <c r="P1146" s="415">
        <v>4</v>
      </c>
      <c r="Q1146" s="415">
        <v>30</v>
      </c>
      <c r="R1146" s="415">
        <v>5</v>
      </c>
      <c r="S1146" s="415">
        <f t="shared" si="51"/>
        <v>5</v>
      </c>
      <c r="T1146" s="419">
        <f t="shared" si="52"/>
        <v>0.83333333333333337</v>
      </c>
      <c r="U1146" s="419">
        <f t="shared" si="53"/>
        <v>5.833333333333333</v>
      </c>
      <c r="V1146" s="415" t="s">
        <v>662</v>
      </c>
      <c r="W1146" s="415" t="s">
        <v>606</v>
      </c>
      <c r="X1146" s="415" t="s">
        <v>671</v>
      </c>
      <c r="Y1146" s="415"/>
    </row>
    <row r="1147" spans="1:25" hidden="1" x14ac:dyDescent="0.25">
      <c r="A1147" s="415">
        <v>1146</v>
      </c>
      <c r="B1147" s="415">
        <v>739</v>
      </c>
      <c r="C1147" s="415">
        <v>434550</v>
      </c>
      <c r="D1147" s="416" t="s">
        <v>3745</v>
      </c>
      <c r="E1147" s="416" t="s">
        <v>560</v>
      </c>
      <c r="F1147" s="416" t="s">
        <v>564</v>
      </c>
      <c r="G1147" s="416" t="s">
        <v>3746</v>
      </c>
      <c r="H1147" s="416" t="s">
        <v>3747</v>
      </c>
      <c r="I1147" s="416" t="s">
        <v>2898</v>
      </c>
      <c r="J1147" s="415" t="s">
        <v>661</v>
      </c>
      <c r="K1147" s="417">
        <v>-5.0061739999999997</v>
      </c>
      <c r="L1147" s="417">
        <v>-81.048400999999998</v>
      </c>
      <c r="M1147" s="418">
        <v>30</v>
      </c>
      <c r="N1147" s="418" t="s">
        <v>2310</v>
      </c>
      <c r="O1147" s="418" t="s">
        <v>3407</v>
      </c>
      <c r="P1147" s="415">
        <v>4</v>
      </c>
      <c r="Q1147" s="415">
        <v>30</v>
      </c>
      <c r="R1147" s="415">
        <v>5</v>
      </c>
      <c r="S1147" s="415">
        <f t="shared" si="51"/>
        <v>5</v>
      </c>
      <c r="T1147" s="419">
        <f t="shared" si="52"/>
        <v>0.83333333333333337</v>
      </c>
      <c r="U1147" s="419">
        <f t="shared" si="53"/>
        <v>5.833333333333333</v>
      </c>
      <c r="V1147" s="415" t="s">
        <v>662</v>
      </c>
      <c r="W1147" s="415" t="s">
        <v>606</v>
      </c>
      <c r="X1147" s="415" t="s">
        <v>671</v>
      </c>
      <c r="Y1147" s="415"/>
    </row>
    <row r="1148" spans="1:25" hidden="1" x14ac:dyDescent="0.25">
      <c r="A1148" s="415">
        <v>1147</v>
      </c>
      <c r="B1148" s="415">
        <v>740</v>
      </c>
      <c r="C1148" s="415">
        <v>434475</v>
      </c>
      <c r="D1148" s="416" t="s">
        <v>3748</v>
      </c>
      <c r="E1148" s="416" t="s">
        <v>560</v>
      </c>
      <c r="F1148" s="416" t="s">
        <v>564</v>
      </c>
      <c r="G1148" s="416" t="s">
        <v>3746</v>
      </c>
      <c r="H1148" s="416" t="s">
        <v>1447</v>
      </c>
      <c r="I1148" s="416" t="s">
        <v>3749</v>
      </c>
      <c r="J1148" s="415" t="s">
        <v>747</v>
      </c>
      <c r="K1148" s="417">
        <v>-4.907953</v>
      </c>
      <c r="L1148" s="417">
        <v>-81.055470999999997</v>
      </c>
      <c r="M1148" s="418">
        <v>30</v>
      </c>
      <c r="N1148" s="418" t="s">
        <v>2310</v>
      </c>
      <c r="O1148" s="418" t="s">
        <v>3407</v>
      </c>
      <c r="P1148" s="415">
        <v>4</v>
      </c>
      <c r="Q1148" s="415">
        <v>30</v>
      </c>
      <c r="R1148" s="415">
        <v>5</v>
      </c>
      <c r="S1148" s="415">
        <f t="shared" si="51"/>
        <v>5</v>
      </c>
      <c r="T1148" s="419">
        <f t="shared" si="52"/>
        <v>0.83333333333333337</v>
      </c>
      <c r="U1148" s="419">
        <f t="shared" si="53"/>
        <v>5.833333333333333</v>
      </c>
      <c r="V1148" s="415" t="s">
        <v>662</v>
      </c>
      <c r="W1148" s="415" t="s">
        <v>606</v>
      </c>
      <c r="X1148" s="415" t="s">
        <v>671</v>
      </c>
      <c r="Y1148" s="415"/>
    </row>
    <row r="1149" spans="1:25" hidden="1" x14ac:dyDescent="0.25">
      <c r="A1149" s="415">
        <v>1148</v>
      </c>
      <c r="B1149" s="415">
        <v>741</v>
      </c>
      <c r="C1149" s="415">
        <v>434480</v>
      </c>
      <c r="D1149" s="416" t="s">
        <v>3750</v>
      </c>
      <c r="E1149" s="416" t="s">
        <v>560</v>
      </c>
      <c r="F1149" s="416" t="s">
        <v>564</v>
      </c>
      <c r="G1149" s="416" t="s">
        <v>3746</v>
      </c>
      <c r="H1149" s="416" t="s">
        <v>1447</v>
      </c>
      <c r="I1149" s="416" t="s">
        <v>3751</v>
      </c>
      <c r="J1149" s="415" t="s">
        <v>747</v>
      </c>
      <c r="K1149" s="417">
        <v>-4.9081609999999998</v>
      </c>
      <c r="L1149" s="417">
        <v>-81.058963000000006</v>
      </c>
      <c r="M1149" s="418">
        <v>30</v>
      </c>
      <c r="N1149" s="418" t="s">
        <v>2310</v>
      </c>
      <c r="O1149" s="418" t="s">
        <v>3407</v>
      </c>
      <c r="P1149" s="415">
        <v>4</v>
      </c>
      <c r="Q1149" s="415">
        <v>30</v>
      </c>
      <c r="R1149" s="415">
        <v>5</v>
      </c>
      <c r="S1149" s="415">
        <f t="shared" si="51"/>
        <v>5</v>
      </c>
      <c r="T1149" s="419">
        <f t="shared" si="52"/>
        <v>0.83333333333333337</v>
      </c>
      <c r="U1149" s="419">
        <f t="shared" si="53"/>
        <v>5.833333333333333</v>
      </c>
      <c r="V1149" s="415" t="s">
        <v>662</v>
      </c>
      <c r="W1149" s="415" t="s">
        <v>606</v>
      </c>
      <c r="X1149" s="415" t="s">
        <v>671</v>
      </c>
      <c r="Y1149" s="415"/>
    </row>
    <row r="1150" spans="1:25" hidden="1" x14ac:dyDescent="0.25">
      <c r="A1150" s="415">
        <v>1149</v>
      </c>
      <c r="B1150" s="415">
        <v>742</v>
      </c>
      <c r="C1150" s="415">
        <v>434630</v>
      </c>
      <c r="D1150" s="416" t="s">
        <v>3752</v>
      </c>
      <c r="E1150" s="416" t="s">
        <v>560</v>
      </c>
      <c r="F1150" s="416" t="s">
        <v>564</v>
      </c>
      <c r="G1150" s="416" t="s">
        <v>2000</v>
      </c>
      <c r="H1150" s="416" t="s">
        <v>2000</v>
      </c>
      <c r="I1150" s="416" t="s">
        <v>3753</v>
      </c>
      <c r="J1150" s="415" t="s">
        <v>747</v>
      </c>
      <c r="K1150" s="417">
        <v>-4.9116340000000003</v>
      </c>
      <c r="L1150" s="417">
        <v>-80.956146000000004</v>
      </c>
      <c r="M1150" s="418">
        <v>30</v>
      </c>
      <c r="N1150" s="418" t="s">
        <v>2310</v>
      </c>
      <c r="O1150" s="418" t="s">
        <v>3407</v>
      </c>
      <c r="P1150" s="415">
        <v>4</v>
      </c>
      <c r="Q1150" s="415">
        <v>30</v>
      </c>
      <c r="R1150" s="415">
        <v>5</v>
      </c>
      <c r="S1150" s="415">
        <f t="shared" si="51"/>
        <v>5</v>
      </c>
      <c r="T1150" s="419">
        <f t="shared" si="52"/>
        <v>0.83333333333333337</v>
      </c>
      <c r="U1150" s="419">
        <f t="shared" si="53"/>
        <v>5.833333333333333</v>
      </c>
      <c r="V1150" s="415" t="s">
        <v>662</v>
      </c>
      <c r="W1150" s="415" t="s">
        <v>606</v>
      </c>
      <c r="X1150" s="415" t="s">
        <v>671</v>
      </c>
      <c r="Y1150" s="415"/>
    </row>
    <row r="1151" spans="1:25" hidden="1" x14ac:dyDescent="0.25">
      <c r="A1151" s="415">
        <v>1150</v>
      </c>
      <c r="B1151" s="415">
        <v>743</v>
      </c>
      <c r="C1151" s="415">
        <v>434654</v>
      </c>
      <c r="D1151" s="416" t="s">
        <v>3754</v>
      </c>
      <c r="E1151" s="416" t="s">
        <v>560</v>
      </c>
      <c r="F1151" s="416" t="s">
        <v>564</v>
      </c>
      <c r="G1151" s="416" t="s">
        <v>2000</v>
      </c>
      <c r="H1151" s="416" t="s">
        <v>707</v>
      </c>
      <c r="I1151" s="416" t="s">
        <v>707</v>
      </c>
      <c r="J1151" s="415" t="s">
        <v>747</v>
      </c>
      <c r="K1151" s="417">
        <v>-4.916652</v>
      </c>
      <c r="L1151" s="417">
        <v>-80.876548999999997</v>
      </c>
      <c r="M1151" s="418">
        <v>30</v>
      </c>
      <c r="N1151" s="418" t="s">
        <v>2310</v>
      </c>
      <c r="O1151" s="418" t="s">
        <v>3407</v>
      </c>
      <c r="P1151" s="415">
        <v>4</v>
      </c>
      <c r="Q1151" s="415">
        <v>30</v>
      </c>
      <c r="R1151" s="415">
        <v>5</v>
      </c>
      <c r="S1151" s="415">
        <f t="shared" si="51"/>
        <v>5</v>
      </c>
      <c r="T1151" s="419">
        <f t="shared" si="52"/>
        <v>0.83333333333333337</v>
      </c>
      <c r="U1151" s="419">
        <f t="shared" si="53"/>
        <v>5.833333333333333</v>
      </c>
      <c r="V1151" s="415" t="s">
        <v>662</v>
      </c>
      <c r="W1151" s="415" t="s">
        <v>606</v>
      </c>
      <c r="X1151" s="415" t="s">
        <v>671</v>
      </c>
      <c r="Y1151" s="415"/>
    </row>
    <row r="1152" spans="1:25" x14ac:dyDescent="0.25">
      <c r="A1152" s="415">
        <v>1151</v>
      </c>
      <c r="B1152" s="415">
        <v>744</v>
      </c>
      <c r="C1152" s="415">
        <v>434041</v>
      </c>
      <c r="D1152" s="416" t="s">
        <v>3755</v>
      </c>
      <c r="E1152" s="416" t="s">
        <v>560</v>
      </c>
      <c r="F1152" s="416" t="s">
        <v>564</v>
      </c>
      <c r="G1152" s="416" t="s">
        <v>564</v>
      </c>
      <c r="H1152" s="416" t="s">
        <v>564</v>
      </c>
      <c r="I1152" s="416" t="s">
        <v>3756</v>
      </c>
      <c r="J1152" s="415" t="s">
        <v>747</v>
      </c>
      <c r="K1152" s="417">
        <v>-5.0856579999999996</v>
      </c>
      <c r="L1152" s="417">
        <v>-81.110478999999998</v>
      </c>
      <c r="M1152" s="418">
        <v>30</v>
      </c>
      <c r="N1152" s="418" t="s">
        <v>2310</v>
      </c>
      <c r="O1152" s="418" t="s">
        <v>3407</v>
      </c>
      <c r="P1152" s="415">
        <v>4</v>
      </c>
      <c r="Q1152" s="415">
        <v>30</v>
      </c>
      <c r="R1152" s="415">
        <v>5</v>
      </c>
      <c r="S1152" s="415">
        <f t="shared" si="51"/>
        <v>5</v>
      </c>
      <c r="T1152" s="419">
        <f t="shared" si="52"/>
        <v>0.83333333333333337</v>
      </c>
      <c r="U1152" s="419">
        <f t="shared" si="53"/>
        <v>5.833333333333333</v>
      </c>
      <c r="V1152" s="415" t="s">
        <v>662</v>
      </c>
      <c r="W1152" s="415" t="s">
        <v>606</v>
      </c>
      <c r="X1152" s="415" t="s">
        <v>671</v>
      </c>
      <c r="Y1152" s="415" t="s">
        <v>2377</v>
      </c>
    </row>
    <row r="1153" spans="1:25" x14ac:dyDescent="0.25">
      <c r="A1153" s="415">
        <v>1152</v>
      </c>
      <c r="B1153" s="415">
        <v>745</v>
      </c>
      <c r="C1153" s="415">
        <v>434164</v>
      </c>
      <c r="D1153" s="416" t="s">
        <v>3757</v>
      </c>
      <c r="E1153" s="416" t="s">
        <v>560</v>
      </c>
      <c r="F1153" s="416" t="s">
        <v>564</v>
      </c>
      <c r="G1153" s="416" t="s">
        <v>564</v>
      </c>
      <c r="H1153" s="416" t="s">
        <v>564</v>
      </c>
      <c r="I1153" s="416" t="s">
        <v>3758</v>
      </c>
      <c r="J1153" s="415" t="s">
        <v>747</v>
      </c>
      <c r="K1153" s="417">
        <v>-5.0831929999999996</v>
      </c>
      <c r="L1153" s="417">
        <v>-81.121915999999999</v>
      </c>
      <c r="M1153" s="418">
        <v>30</v>
      </c>
      <c r="N1153" s="418" t="s">
        <v>2310</v>
      </c>
      <c r="O1153" s="418" t="s">
        <v>3407</v>
      </c>
      <c r="P1153" s="415">
        <v>4</v>
      </c>
      <c r="Q1153" s="415">
        <v>30</v>
      </c>
      <c r="R1153" s="415">
        <v>5</v>
      </c>
      <c r="S1153" s="415">
        <f t="shared" si="51"/>
        <v>5</v>
      </c>
      <c r="T1153" s="419">
        <f t="shared" si="52"/>
        <v>0.83333333333333337</v>
      </c>
      <c r="U1153" s="419">
        <f t="shared" si="53"/>
        <v>5.833333333333333</v>
      </c>
      <c r="V1153" s="415" t="s">
        <v>662</v>
      </c>
      <c r="W1153" s="415" t="s">
        <v>606</v>
      </c>
      <c r="X1153" s="415" t="s">
        <v>671</v>
      </c>
      <c r="Y1153" s="415" t="s">
        <v>2377</v>
      </c>
    </row>
    <row r="1154" spans="1:25" hidden="1" x14ac:dyDescent="0.25">
      <c r="A1154" s="415">
        <v>1153</v>
      </c>
      <c r="B1154" s="415">
        <v>746</v>
      </c>
      <c r="C1154" s="415">
        <v>412906</v>
      </c>
      <c r="D1154" s="416" t="s">
        <v>3759</v>
      </c>
      <c r="E1154" s="416" t="s">
        <v>560</v>
      </c>
      <c r="F1154" s="416" t="s">
        <v>560</v>
      </c>
      <c r="G1154" s="416" t="s">
        <v>869</v>
      </c>
      <c r="H1154" s="416" t="s">
        <v>869</v>
      </c>
      <c r="I1154" s="416" t="s">
        <v>3760</v>
      </c>
      <c r="J1154" s="415" t="s">
        <v>747</v>
      </c>
      <c r="K1154" s="417">
        <v>-5.2272860000000003</v>
      </c>
      <c r="L1154" s="417">
        <v>-80.611530000000002</v>
      </c>
      <c r="M1154" s="418">
        <v>30</v>
      </c>
      <c r="N1154" s="418" t="s">
        <v>2310</v>
      </c>
      <c r="O1154" s="418" t="s">
        <v>3407</v>
      </c>
      <c r="P1154" s="415">
        <v>4</v>
      </c>
      <c r="Q1154" s="415">
        <v>30</v>
      </c>
      <c r="R1154" s="415">
        <v>5</v>
      </c>
      <c r="S1154" s="415">
        <f t="shared" si="51"/>
        <v>5</v>
      </c>
      <c r="T1154" s="419">
        <f t="shared" si="52"/>
        <v>0.83333333333333337</v>
      </c>
      <c r="U1154" s="419">
        <f t="shared" si="53"/>
        <v>5.833333333333333</v>
      </c>
      <c r="V1154" s="415" t="s">
        <v>662</v>
      </c>
      <c r="W1154" s="415" t="s">
        <v>606</v>
      </c>
      <c r="X1154" s="415" t="s">
        <v>671</v>
      </c>
      <c r="Y1154" s="415"/>
    </row>
    <row r="1155" spans="1:25" hidden="1" x14ac:dyDescent="0.25">
      <c r="A1155" s="415">
        <v>1154</v>
      </c>
      <c r="B1155" s="415">
        <v>747</v>
      </c>
      <c r="C1155" s="415">
        <v>413557</v>
      </c>
      <c r="D1155" s="416" t="s">
        <v>3761</v>
      </c>
      <c r="E1155" s="416" t="s">
        <v>560</v>
      </c>
      <c r="F1155" s="416" t="s">
        <v>560</v>
      </c>
      <c r="G1155" s="416" t="s">
        <v>3762</v>
      </c>
      <c r="H1155" s="416" t="s">
        <v>793</v>
      </c>
      <c r="I1155" s="416" t="s">
        <v>3763</v>
      </c>
      <c r="J1155" s="415" t="s">
        <v>747</v>
      </c>
      <c r="K1155" s="417">
        <v>-5.2198159999999998</v>
      </c>
      <c r="L1155" s="417">
        <v>-80.653450000000007</v>
      </c>
      <c r="M1155" s="418">
        <v>30</v>
      </c>
      <c r="N1155" s="418" t="s">
        <v>2310</v>
      </c>
      <c r="O1155" s="418" t="s">
        <v>3407</v>
      </c>
      <c r="P1155" s="415">
        <v>4</v>
      </c>
      <c r="Q1155" s="415">
        <v>30</v>
      </c>
      <c r="R1155" s="415">
        <v>5</v>
      </c>
      <c r="S1155" s="415">
        <f t="shared" ref="S1155:S1218" si="54">Q1155/$AB$1</f>
        <v>5</v>
      </c>
      <c r="T1155" s="419">
        <f t="shared" ref="T1155:T1218" si="55">R1155/$AB$1</f>
        <v>0.83333333333333337</v>
      </c>
      <c r="U1155" s="419">
        <f t="shared" ref="U1155:U1218" si="56">S1155+T1155</f>
        <v>5.833333333333333</v>
      </c>
      <c r="V1155" s="415" t="s">
        <v>662</v>
      </c>
      <c r="W1155" s="415" t="s">
        <v>606</v>
      </c>
      <c r="X1155" s="415" t="s">
        <v>671</v>
      </c>
      <c r="Y1155" s="415"/>
    </row>
    <row r="1156" spans="1:25" hidden="1" x14ac:dyDescent="0.25">
      <c r="A1156" s="415">
        <v>1155</v>
      </c>
      <c r="B1156" s="415">
        <v>748</v>
      </c>
      <c r="C1156" s="415">
        <v>413312</v>
      </c>
      <c r="D1156" s="416" t="s">
        <v>3764</v>
      </c>
      <c r="E1156" s="416" t="s">
        <v>560</v>
      </c>
      <c r="F1156" s="416" t="s">
        <v>560</v>
      </c>
      <c r="G1156" s="416" t="s">
        <v>3762</v>
      </c>
      <c r="H1156" s="416" t="s">
        <v>3762</v>
      </c>
      <c r="I1156" s="416" t="s">
        <v>3765</v>
      </c>
      <c r="J1156" s="415" t="s">
        <v>747</v>
      </c>
      <c r="K1156" s="417">
        <v>-5.2441300000000002</v>
      </c>
      <c r="L1156" s="417">
        <v>-80.649839999999998</v>
      </c>
      <c r="M1156" s="418">
        <v>30</v>
      </c>
      <c r="N1156" s="418" t="s">
        <v>2310</v>
      </c>
      <c r="O1156" s="418" t="s">
        <v>3407</v>
      </c>
      <c r="P1156" s="415">
        <v>4</v>
      </c>
      <c r="Q1156" s="415">
        <v>30</v>
      </c>
      <c r="R1156" s="415">
        <v>5</v>
      </c>
      <c r="S1156" s="415">
        <f t="shared" si="54"/>
        <v>5</v>
      </c>
      <c r="T1156" s="419">
        <f t="shared" si="55"/>
        <v>0.83333333333333337</v>
      </c>
      <c r="U1156" s="419">
        <f t="shared" si="56"/>
        <v>5.833333333333333</v>
      </c>
      <c r="V1156" s="415" t="s">
        <v>662</v>
      </c>
      <c r="W1156" s="415" t="s">
        <v>606</v>
      </c>
      <c r="X1156" s="415" t="s">
        <v>671</v>
      </c>
      <c r="Y1156" s="415"/>
    </row>
    <row r="1157" spans="1:25" hidden="1" x14ac:dyDescent="0.25">
      <c r="A1157" s="415">
        <v>1156</v>
      </c>
      <c r="B1157" s="415">
        <v>749</v>
      </c>
      <c r="C1157" s="415">
        <v>413369</v>
      </c>
      <c r="D1157" s="416" t="s">
        <v>3766</v>
      </c>
      <c r="E1157" s="416" t="s">
        <v>560</v>
      </c>
      <c r="F1157" s="416" t="s">
        <v>560</v>
      </c>
      <c r="G1157" s="416" t="s">
        <v>3762</v>
      </c>
      <c r="H1157" s="416" t="s">
        <v>3762</v>
      </c>
      <c r="I1157" s="416" t="s">
        <v>3767</v>
      </c>
      <c r="J1157" s="415" t="s">
        <v>747</v>
      </c>
      <c r="K1157" s="417">
        <v>-5.2366000000000001</v>
      </c>
      <c r="L1157" s="417">
        <v>-80.660809999999998</v>
      </c>
      <c r="M1157" s="418">
        <v>30</v>
      </c>
      <c r="N1157" s="418" t="s">
        <v>2310</v>
      </c>
      <c r="O1157" s="418" t="s">
        <v>3407</v>
      </c>
      <c r="P1157" s="415">
        <v>4</v>
      </c>
      <c r="Q1157" s="415">
        <v>30</v>
      </c>
      <c r="R1157" s="415">
        <v>5</v>
      </c>
      <c r="S1157" s="415">
        <f t="shared" si="54"/>
        <v>5</v>
      </c>
      <c r="T1157" s="419">
        <f t="shared" si="55"/>
        <v>0.83333333333333337</v>
      </c>
      <c r="U1157" s="419">
        <f t="shared" si="56"/>
        <v>5.833333333333333</v>
      </c>
      <c r="V1157" s="415" t="s">
        <v>662</v>
      </c>
      <c r="W1157" s="415" t="s">
        <v>606</v>
      </c>
      <c r="X1157" s="415" t="s">
        <v>671</v>
      </c>
      <c r="Y1157" s="415"/>
    </row>
    <row r="1158" spans="1:25" hidden="1" x14ac:dyDescent="0.25">
      <c r="A1158" s="415">
        <v>1157</v>
      </c>
      <c r="B1158" s="415">
        <v>750</v>
      </c>
      <c r="C1158" s="415">
        <v>413388</v>
      </c>
      <c r="D1158" s="416" t="s">
        <v>3768</v>
      </c>
      <c r="E1158" s="416" t="s">
        <v>560</v>
      </c>
      <c r="F1158" s="416" t="s">
        <v>560</v>
      </c>
      <c r="G1158" s="416" t="s">
        <v>3762</v>
      </c>
      <c r="H1158" s="416" t="s">
        <v>3762</v>
      </c>
      <c r="I1158" s="416" t="s">
        <v>3738</v>
      </c>
      <c r="J1158" s="415" t="s">
        <v>747</v>
      </c>
      <c r="K1158" s="417">
        <v>-5.2912100000000004</v>
      </c>
      <c r="L1158" s="417">
        <v>-80.687460000000002</v>
      </c>
      <c r="M1158" s="418">
        <v>30</v>
      </c>
      <c r="N1158" s="418" t="s">
        <v>2310</v>
      </c>
      <c r="O1158" s="418" t="s">
        <v>3407</v>
      </c>
      <c r="P1158" s="415">
        <v>4</v>
      </c>
      <c r="Q1158" s="415">
        <v>30</v>
      </c>
      <c r="R1158" s="415">
        <v>5</v>
      </c>
      <c r="S1158" s="415">
        <f t="shared" si="54"/>
        <v>5</v>
      </c>
      <c r="T1158" s="419">
        <f t="shared" si="55"/>
        <v>0.83333333333333337</v>
      </c>
      <c r="U1158" s="419">
        <f t="shared" si="56"/>
        <v>5.833333333333333</v>
      </c>
      <c r="V1158" s="415" t="s">
        <v>662</v>
      </c>
      <c r="W1158" s="415" t="s">
        <v>608</v>
      </c>
      <c r="X1158" s="415" t="s">
        <v>663</v>
      </c>
      <c r="Y1158" s="415"/>
    </row>
    <row r="1159" spans="1:25" hidden="1" x14ac:dyDescent="0.25">
      <c r="A1159" s="415">
        <v>1158</v>
      </c>
      <c r="B1159" s="415">
        <v>751</v>
      </c>
      <c r="C1159" s="415">
        <v>413473</v>
      </c>
      <c r="D1159" s="416" t="s">
        <v>3769</v>
      </c>
      <c r="E1159" s="416" t="s">
        <v>560</v>
      </c>
      <c r="F1159" s="416" t="s">
        <v>560</v>
      </c>
      <c r="G1159" s="416" t="s">
        <v>3762</v>
      </c>
      <c r="H1159" s="416" t="s">
        <v>3762</v>
      </c>
      <c r="I1159" s="416" t="s">
        <v>3770</v>
      </c>
      <c r="J1159" s="415" t="s">
        <v>747</v>
      </c>
      <c r="K1159" s="417">
        <v>-5.3002599999999997</v>
      </c>
      <c r="L1159" s="417">
        <v>-80.692689999999999</v>
      </c>
      <c r="M1159" s="418">
        <v>30</v>
      </c>
      <c r="N1159" s="418" t="s">
        <v>2310</v>
      </c>
      <c r="O1159" s="418" t="s">
        <v>3407</v>
      </c>
      <c r="P1159" s="415">
        <v>4</v>
      </c>
      <c r="Q1159" s="415">
        <v>30</v>
      </c>
      <c r="R1159" s="415">
        <v>5</v>
      </c>
      <c r="S1159" s="415">
        <f t="shared" si="54"/>
        <v>5</v>
      </c>
      <c r="T1159" s="419">
        <f t="shared" si="55"/>
        <v>0.83333333333333337</v>
      </c>
      <c r="U1159" s="419">
        <f t="shared" si="56"/>
        <v>5.833333333333333</v>
      </c>
      <c r="V1159" s="415" t="s">
        <v>662</v>
      </c>
      <c r="W1159" s="415" t="s">
        <v>608</v>
      </c>
      <c r="X1159" s="415" t="s">
        <v>663</v>
      </c>
      <c r="Y1159" s="415"/>
    </row>
    <row r="1160" spans="1:25" hidden="1" x14ac:dyDescent="0.25">
      <c r="A1160" s="415">
        <v>1159</v>
      </c>
      <c r="B1160" s="415">
        <v>752</v>
      </c>
      <c r="C1160" s="415">
        <v>413492</v>
      </c>
      <c r="D1160" s="416" t="s">
        <v>3771</v>
      </c>
      <c r="E1160" s="416" t="s">
        <v>560</v>
      </c>
      <c r="F1160" s="416" t="s">
        <v>560</v>
      </c>
      <c r="G1160" s="416" t="s">
        <v>3762</v>
      </c>
      <c r="H1160" s="416" t="s">
        <v>3762</v>
      </c>
      <c r="I1160" s="416" t="s">
        <v>3772</v>
      </c>
      <c r="J1160" s="415" t="s">
        <v>747</v>
      </c>
      <c r="K1160" s="417">
        <v>-5.2557999999999998</v>
      </c>
      <c r="L1160" s="417">
        <v>-80.706699999999998</v>
      </c>
      <c r="M1160" s="418">
        <v>30</v>
      </c>
      <c r="N1160" s="418" t="s">
        <v>2310</v>
      </c>
      <c r="O1160" s="418" t="s">
        <v>3407</v>
      </c>
      <c r="P1160" s="415">
        <v>4</v>
      </c>
      <c r="Q1160" s="415">
        <v>30</v>
      </c>
      <c r="R1160" s="415">
        <v>5</v>
      </c>
      <c r="S1160" s="415">
        <f t="shared" si="54"/>
        <v>5</v>
      </c>
      <c r="T1160" s="419">
        <f t="shared" si="55"/>
        <v>0.83333333333333337</v>
      </c>
      <c r="U1160" s="419">
        <f t="shared" si="56"/>
        <v>5.833333333333333</v>
      </c>
      <c r="V1160" s="415" t="s">
        <v>662</v>
      </c>
      <c r="W1160" s="415" t="s">
        <v>606</v>
      </c>
      <c r="X1160" s="415" t="s">
        <v>671</v>
      </c>
      <c r="Y1160" s="415"/>
    </row>
    <row r="1161" spans="1:25" hidden="1" x14ac:dyDescent="0.25">
      <c r="A1161" s="415">
        <v>1160</v>
      </c>
      <c r="B1161" s="415">
        <v>753</v>
      </c>
      <c r="C1161" s="415">
        <v>413524</v>
      </c>
      <c r="D1161" s="416" t="s">
        <v>1819</v>
      </c>
      <c r="E1161" s="416" t="s">
        <v>560</v>
      </c>
      <c r="F1161" s="416" t="s">
        <v>560</v>
      </c>
      <c r="G1161" s="416" t="s">
        <v>3762</v>
      </c>
      <c r="H1161" s="416" t="s">
        <v>3762</v>
      </c>
      <c r="I1161" s="416" t="s">
        <v>3773</v>
      </c>
      <c r="J1161" s="415" t="s">
        <v>747</v>
      </c>
      <c r="K1161" s="417">
        <v>-5.2834700000000003</v>
      </c>
      <c r="L1161" s="417">
        <v>-80.689850000000007</v>
      </c>
      <c r="M1161" s="418">
        <v>30</v>
      </c>
      <c r="N1161" s="418" t="s">
        <v>2310</v>
      </c>
      <c r="O1161" s="418" t="s">
        <v>3407</v>
      </c>
      <c r="P1161" s="415">
        <v>4</v>
      </c>
      <c r="Q1161" s="415">
        <v>30</v>
      </c>
      <c r="R1161" s="415">
        <v>5</v>
      </c>
      <c r="S1161" s="415">
        <f t="shared" si="54"/>
        <v>5</v>
      </c>
      <c r="T1161" s="419">
        <f t="shared" si="55"/>
        <v>0.83333333333333337</v>
      </c>
      <c r="U1161" s="419">
        <f t="shared" si="56"/>
        <v>5.833333333333333</v>
      </c>
      <c r="V1161" s="415" t="s">
        <v>662</v>
      </c>
      <c r="W1161" s="415" t="s">
        <v>608</v>
      </c>
      <c r="X1161" s="415" t="s">
        <v>663</v>
      </c>
      <c r="Y1161" s="415"/>
    </row>
    <row r="1162" spans="1:25" hidden="1" x14ac:dyDescent="0.25">
      <c r="A1162" s="415">
        <v>1161</v>
      </c>
      <c r="B1162" s="415">
        <v>754</v>
      </c>
      <c r="C1162" s="415">
        <v>413604</v>
      </c>
      <c r="D1162" s="416" t="s">
        <v>3774</v>
      </c>
      <c r="E1162" s="416" t="s">
        <v>560</v>
      </c>
      <c r="F1162" s="416" t="s">
        <v>560</v>
      </c>
      <c r="G1162" s="416" t="s">
        <v>3762</v>
      </c>
      <c r="H1162" s="416" t="s">
        <v>3762</v>
      </c>
      <c r="I1162" s="416" t="s">
        <v>3775</v>
      </c>
      <c r="J1162" s="415" t="s">
        <v>747</v>
      </c>
      <c r="K1162" s="417">
        <v>-5.3082500000000001</v>
      </c>
      <c r="L1162" s="417">
        <v>-80.689750000000004</v>
      </c>
      <c r="M1162" s="418">
        <v>30</v>
      </c>
      <c r="N1162" s="418" t="s">
        <v>2310</v>
      </c>
      <c r="O1162" s="418" t="s">
        <v>3407</v>
      </c>
      <c r="P1162" s="415">
        <v>4</v>
      </c>
      <c r="Q1162" s="415">
        <v>30</v>
      </c>
      <c r="R1162" s="415">
        <v>5</v>
      </c>
      <c r="S1162" s="415">
        <f t="shared" si="54"/>
        <v>5</v>
      </c>
      <c r="T1162" s="419">
        <f t="shared" si="55"/>
        <v>0.83333333333333337</v>
      </c>
      <c r="U1162" s="419">
        <f t="shared" si="56"/>
        <v>5.833333333333333</v>
      </c>
      <c r="V1162" s="415" t="s">
        <v>662</v>
      </c>
      <c r="W1162" s="415" t="s">
        <v>608</v>
      </c>
      <c r="X1162" s="415" t="s">
        <v>663</v>
      </c>
      <c r="Y1162" s="415"/>
    </row>
    <row r="1163" spans="1:25" hidden="1" x14ac:dyDescent="0.25">
      <c r="A1163" s="415">
        <v>1162</v>
      </c>
      <c r="B1163" s="415">
        <v>755</v>
      </c>
      <c r="C1163" s="415">
        <v>413487</v>
      </c>
      <c r="D1163" s="416" t="s">
        <v>3776</v>
      </c>
      <c r="E1163" s="416" t="s">
        <v>560</v>
      </c>
      <c r="F1163" s="416" t="s">
        <v>560</v>
      </c>
      <c r="G1163" s="416" t="s">
        <v>3762</v>
      </c>
      <c r="H1163" s="416" t="s">
        <v>3777</v>
      </c>
      <c r="I1163" s="416" t="s">
        <v>3778</v>
      </c>
      <c r="J1163" s="415" t="s">
        <v>747</v>
      </c>
      <c r="K1163" s="417">
        <v>-5.2677199999999997</v>
      </c>
      <c r="L1163" s="417">
        <v>-80.677070000000001</v>
      </c>
      <c r="M1163" s="418">
        <v>30</v>
      </c>
      <c r="N1163" s="418" t="s">
        <v>2310</v>
      </c>
      <c r="O1163" s="418" t="s">
        <v>3407</v>
      </c>
      <c r="P1163" s="415">
        <v>4</v>
      </c>
      <c r="Q1163" s="415">
        <v>30</v>
      </c>
      <c r="R1163" s="415">
        <v>5</v>
      </c>
      <c r="S1163" s="415">
        <f t="shared" si="54"/>
        <v>5</v>
      </c>
      <c r="T1163" s="419">
        <f t="shared" si="55"/>
        <v>0.83333333333333337</v>
      </c>
      <c r="U1163" s="419">
        <f t="shared" si="56"/>
        <v>5.833333333333333</v>
      </c>
      <c r="V1163" s="415" t="s">
        <v>662</v>
      </c>
      <c r="W1163" s="415" t="s">
        <v>606</v>
      </c>
      <c r="X1163" s="415" t="s">
        <v>671</v>
      </c>
      <c r="Y1163" s="415"/>
    </row>
    <row r="1164" spans="1:25" hidden="1" x14ac:dyDescent="0.25">
      <c r="A1164" s="415">
        <v>1163</v>
      </c>
      <c r="B1164" s="415">
        <v>756</v>
      </c>
      <c r="C1164" s="415">
        <v>413883</v>
      </c>
      <c r="D1164" s="416" t="s">
        <v>3779</v>
      </c>
      <c r="E1164" s="416" t="s">
        <v>560</v>
      </c>
      <c r="F1164" s="416" t="s">
        <v>560</v>
      </c>
      <c r="G1164" s="416" t="s">
        <v>1896</v>
      </c>
      <c r="H1164" s="416" t="s">
        <v>3780</v>
      </c>
      <c r="I1164" s="416" t="s">
        <v>3781</v>
      </c>
      <c r="J1164" s="415" t="s">
        <v>661</v>
      </c>
      <c r="K1164" s="417">
        <v>-5.3685</v>
      </c>
      <c r="L1164" s="417">
        <v>-80.6678</v>
      </c>
      <c r="M1164" s="418">
        <v>30</v>
      </c>
      <c r="N1164" s="418" t="s">
        <v>2310</v>
      </c>
      <c r="O1164" s="418" t="s">
        <v>3407</v>
      </c>
      <c r="P1164" s="415">
        <v>4</v>
      </c>
      <c r="Q1164" s="415">
        <v>30</v>
      </c>
      <c r="R1164" s="415">
        <v>5</v>
      </c>
      <c r="S1164" s="415">
        <f t="shared" si="54"/>
        <v>5</v>
      </c>
      <c r="T1164" s="419">
        <f t="shared" si="55"/>
        <v>0.83333333333333337</v>
      </c>
      <c r="U1164" s="419">
        <f t="shared" si="56"/>
        <v>5.833333333333333</v>
      </c>
      <c r="V1164" s="415" t="s">
        <v>662</v>
      </c>
      <c r="W1164" s="415" t="s">
        <v>608</v>
      </c>
      <c r="X1164" s="415" t="s">
        <v>663</v>
      </c>
      <c r="Y1164" s="415"/>
    </row>
    <row r="1165" spans="1:25" hidden="1" x14ac:dyDescent="0.25">
      <c r="A1165" s="415">
        <v>1164</v>
      </c>
      <c r="B1165" s="415">
        <v>757</v>
      </c>
      <c r="C1165" s="415">
        <v>765903</v>
      </c>
      <c r="D1165" s="416" t="s">
        <v>3782</v>
      </c>
      <c r="E1165" s="416" t="s">
        <v>560</v>
      </c>
      <c r="F1165" s="416" t="s">
        <v>560</v>
      </c>
      <c r="G1165" s="416" t="s">
        <v>1896</v>
      </c>
      <c r="H1165" s="416" t="s">
        <v>3783</v>
      </c>
      <c r="I1165" s="416" t="s">
        <v>3784</v>
      </c>
      <c r="J1165" s="415" t="s">
        <v>747</v>
      </c>
      <c r="K1165" s="417">
        <v>-5.3665000000000003</v>
      </c>
      <c r="L1165" s="417">
        <v>-80.611500000000007</v>
      </c>
      <c r="M1165" s="418">
        <v>30</v>
      </c>
      <c r="N1165" s="418" t="s">
        <v>2310</v>
      </c>
      <c r="O1165" s="418" t="s">
        <v>3407</v>
      </c>
      <c r="P1165" s="415">
        <v>4</v>
      </c>
      <c r="Q1165" s="415">
        <v>30</v>
      </c>
      <c r="R1165" s="415">
        <v>5</v>
      </c>
      <c r="S1165" s="415">
        <f t="shared" si="54"/>
        <v>5</v>
      </c>
      <c r="T1165" s="419">
        <f t="shared" si="55"/>
        <v>0.83333333333333337</v>
      </c>
      <c r="U1165" s="419">
        <f t="shared" si="56"/>
        <v>5.833333333333333</v>
      </c>
      <c r="V1165" s="415" t="s">
        <v>662</v>
      </c>
      <c r="W1165" s="415" t="s">
        <v>608</v>
      </c>
      <c r="X1165" s="415" t="s">
        <v>663</v>
      </c>
      <c r="Y1165" s="415"/>
    </row>
    <row r="1166" spans="1:25" hidden="1" x14ac:dyDescent="0.25">
      <c r="A1166" s="415">
        <v>1165</v>
      </c>
      <c r="B1166" s="415">
        <v>758</v>
      </c>
      <c r="C1166" s="415">
        <v>841233</v>
      </c>
      <c r="D1166" s="416" t="s">
        <v>3785</v>
      </c>
      <c r="E1166" s="416" t="s">
        <v>560</v>
      </c>
      <c r="F1166" s="416" t="s">
        <v>560</v>
      </c>
      <c r="G1166" s="416" t="s">
        <v>1896</v>
      </c>
      <c r="H1166" s="416" t="s">
        <v>3786</v>
      </c>
      <c r="I1166" s="416" t="s">
        <v>3787</v>
      </c>
      <c r="J1166" s="415" t="s">
        <v>661</v>
      </c>
      <c r="K1166" s="417">
        <v>-5.3348500000000003</v>
      </c>
      <c r="L1166" s="417">
        <v>-80.605810000000005</v>
      </c>
      <c r="M1166" s="418">
        <v>30</v>
      </c>
      <c r="N1166" s="418" t="s">
        <v>2310</v>
      </c>
      <c r="O1166" s="418" t="s">
        <v>3407</v>
      </c>
      <c r="P1166" s="415">
        <v>4</v>
      </c>
      <c r="Q1166" s="415">
        <v>30</v>
      </c>
      <c r="R1166" s="415">
        <v>5</v>
      </c>
      <c r="S1166" s="415">
        <f t="shared" si="54"/>
        <v>5</v>
      </c>
      <c r="T1166" s="419">
        <f t="shared" si="55"/>
        <v>0.83333333333333337</v>
      </c>
      <c r="U1166" s="419">
        <f t="shared" si="56"/>
        <v>5.833333333333333</v>
      </c>
      <c r="V1166" s="415" t="s">
        <v>662</v>
      </c>
      <c r="W1166" s="415" t="s">
        <v>608</v>
      </c>
      <c r="X1166" s="415" t="s">
        <v>663</v>
      </c>
      <c r="Y1166" s="415"/>
    </row>
    <row r="1167" spans="1:25" hidden="1" x14ac:dyDescent="0.25">
      <c r="A1167" s="415">
        <v>1166</v>
      </c>
      <c r="B1167" s="415">
        <v>759</v>
      </c>
      <c r="C1167" s="415">
        <v>414463</v>
      </c>
      <c r="D1167" s="416" t="s">
        <v>1009</v>
      </c>
      <c r="E1167" s="416" t="s">
        <v>560</v>
      </c>
      <c r="F1167" s="416" t="s">
        <v>560</v>
      </c>
      <c r="G1167" s="416" t="s">
        <v>3610</v>
      </c>
      <c r="H1167" s="416" t="s">
        <v>3788</v>
      </c>
      <c r="I1167" s="416" t="s">
        <v>3788</v>
      </c>
      <c r="J1167" s="415" t="s">
        <v>747</v>
      </c>
      <c r="K1167" s="417">
        <v>-5.3222050000000003</v>
      </c>
      <c r="L1167" s="417">
        <v>-80.753230000000002</v>
      </c>
      <c r="M1167" s="418">
        <v>30</v>
      </c>
      <c r="N1167" s="418" t="s">
        <v>2310</v>
      </c>
      <c r="O1167" s="418" t="s">
        <v>3407</v>
      </c>
      <c r="P1167" s="415">
        <v>4</v>
      </c>
      <c r="Q1167" s="415">
        <v>30</v>
      </c>
      <c r="R1167" s="415">
        <v>5</v>
      </c>
      <c r="S1167" s="415">
        <f t="shared" si="54"/>
        <v>5</v>
      </c>
      <c r="T1167" s="419">
        <f t="shared" si="55"/>
        <v>0.83333333333333337</v>
      </c>
      <c r="U1167" s="419">
        <f t="shared" si="56"/>
        <v>5.833333333333333</v>
      </c>
      <c r="V1167" s="415" t="s">
        <v>662</v>
      </c>
      <c r="W1167" s="415" t="s">
        <v>608</v>
      </c>
      <c r="X1167" s="415" t="s">
        <v>663</v>
      </c>
      <c r="Y1167" s="415"/>
    </row>
    <row r="1168" spans="1:25" hidden="1" x14ac:dyDescent="0.25">
      <c r="A1168" s="415">
        <v>1167</v>
      </c>
      <c r="B1168" s="415">
        <v>760</v>
      </c>
      <c r="C1168" s="415">
        <v>414302</v>
      </c>
      <c r="D1168" s="416" t="s">
        <v>3789</v>
      </c>
      <c r="E1168" s="416" t="s">
        <v>560</v>
      </c>
      <c r="F1168" s="416" t="s">
        <v>560</v>
      </c>
      <c r="G1168" s="416" t="s">
        <v>3610</v>
      </c>
      <c r="H1168" s="416" t="s">
        <v>3790</v>
      </c>
      <c r="I1168" s="416" t="s">
        <v>3790</v>
      </c>
      <c r="J1168" s="415" t="s">
        <v>747</v>
      </c>
      <c r="K1168" s="417">
        <v>-5.3198340000000002</v>
      </c>
      <c r="L1168" s="417">
        <v>-80.728427999999994</v>
      </c>
      <c r="M1168" s="418">
        <v>30</v>
      </c>
      <c r="N1168" s="418" t="s">
        <v>2310</v>
      </c>
      <c r="O1168" s="418" t="s">
        <v>3407</v>
      </c>
      <c r="P1168" s="415">
        <v>4</v>
      </c>
      <c r="Q1168" s="415">
        <v>30</v>
      </c>
      <c r="R1168" s="415">
        <v>5</v>
      </c>
      <c r="S1168" s="415">
        <f t="shared" si="54"/>
        <v>5</v>
      </c>
      <c r="T1168" s="419">
        <f t="shared" si="55"/>
        <v>0.83333333333333337</v>
      </c>
      <c r="U1168" s="419">
        <f t="shared" si="56"/>
        <v>5.833333333333333</v>
      </c>
      <c r="V1168" s="415" t="s">
        <v>662</v>
      </c>
      <c r="W1168" s="415" t="s">
        <v>608</v>
      </c>
      <c r="X1168" s="415" t="s">
        <v>663</v>
      </c>
      <c r="Y1168" s="415"/>
    </row>
    <row r="1169" spans="1:25" hidden="1" x14ac:dyDescent="0.25">
      <c r="A1169" s="415">
        <v>1168</v>
      </c>
      <c r="B1169" s="415">
        <v>761</v>
      </c>
      <c r="C1169" s="415">
        <v>415132</v>
      </c>
      <c r="D1169" s="416" t="s">
        <v>3791</v>
      </c>
      <c r="E1169" s="416" t="s">
        <v>560</v>
      </c>
      <c r="F1169" s="416" t="s">
        <v>560</v>
      </c>
      <c r="G1169" s="416" t="s">
        <v>1898</v>
      </c>
      <c r="H1169" s="416" t="s">
        <v>3792</v>
      </c>
      <c r="I1169" s="416" t="s">
        <v>3792</v>
      </c>
      <c r="J1169" s="415" t="s">
        <v>661</v>
      </c>
      <c r="K1169" s="417">
        <v>-4.7205000000000004</v>
      </c>
      <c r="L1169" s="417">
        <v>-80.132400000000004</v>
      </c>
      <c r="M1169" s="418">
        <v>30</v>
      </c>
      <c r="N1169" s="418" t="s">
        <v>2310</v>
      </c>
      <c r="O1169" s="418" t="s">
        <v>3407</v>
      </c>
      <c r="P1169" s="415">
        <v>4</v>
      </c>
      <c r="Q1169" s="415">
        <v>30</v>
      </c>
      <c r="R1169" s="415">
        <v>5</v>
      </c>
      <c r="S1169" s="415">
        <f t="shared" si="54"/>
        <v>5</v>
      </c>
      <c r="T1169" s="419">
        <f t="shared" si="55"/>
        <v>0.83333333333333337</v>
      </c>
      <c r="U1169" s="419">
        <f t="shared" si="56"/>
        <v>5.833333333333333</v>
      </c>
      <c r="V1169" s="415" t="s">
        <v>662</v>
      </c>
      <c r="W1169" s="415" t="s">
        <v>606</v>
      </c>
      <c r="X1169" s="415" t="s">
        <v>671</v>
      </c>
      <c r="Y1169" s="415"/>
    </row>
    <row r="1170" spans="1:25" hidden="1" x14ac:dyDescent="0.25">
      <c r="A1170" s="415">
        <v>1169</v>
      </c>
      <c r="B1170" s="415">
        <v>762</v>
      </c>
      <c r="C1170" s="415">
        <v>415354</v>
      </c>
      <c r="D1170" s="416" t="s">
        <v>1897</v>
      </c>
      <c r="E1170" s="416" t="s">
        <v>560</v>
      </c>
      <c r="F1170" s="416" t="s">
        <v>560</v>
      </c>
      <c r="G1170" s="416" t="s">
        <v>1898</v>
      </c>
      <c r="H1170" s="416" t="s">
        <v>1899</v>
      </c>
      <c r="I1170" s="416" t="s">
        <v>1899</v>
      </c>
      <c r="J1170" s="415" t="s">
        <v>661</v>
      </c>
      <c r="K1170" s="417">
        <v>-4.6936</v>
      </c>
      <c r="L1170" s="417">
        <v>-80.244</v>
      </c>
      <c r="M1170" s="418">
        <v>30</v>
      </c>
      <c r="N1170" s="418" t="s">
        <v>2310</v>
      </c>
      <c r="O1170" s="418" t="s">
        <v>3407</v>
      </c>
      <c r="P1170" s="415">
        <v>4</v>
      </c>
      <c r="Q1170" s="415">
        <v>30</v>
      </c>
      <c r="R1170" s="415">
        <v>5</v>
      </c>
      <c r="S1170" s="415">
        <f t="shared" si="54"/>
        <v>5</v>
      </c>
      <c r="T1170" s="419">
        <f t="shared" si="55"/>
        <v>0.83333333333333337</v>
      </c>
      <c r="U1170" s="419">
        <f t="shared" si="56"/>
        <v>5.833333333333333</v>
      </c>
      <c r="V1170" s="415" t="s">
        <v>662</v>
      </c>
      <c r="W1170" s="415" t="s">
        <v>606</v>
      </c>
      <c r="X1170" s="415" t="s">
        <v>671</v>
      </c>
      <c r="Y1170" s="415"/>
    </row>
    <row r="1171" spans="1:25" hidden="1" x14ac:dyDescent="0.25">
      <c r="A1171" s="415">
        <v>1170</v>
      </c>
      <c r="B1171" s="415">
        <v>763</v>
      </c>
      <c r="C1171" s="415">
        <v>415486</v>
      </c>
      <c r="D1171" s="416" t="s">
        <v>3793</v>
      </c>
      <c r="E1171" s="416" t="s">
        <v>560</v>
      </c>
      <c r="F1171" s="416" t="s">
        <v>560</v>
      </c>
      <c r="G1171" s="416" t="s">
        <v>1898</v>
      </c>
      <c r="H1171" s="416" t="s">
        <v>1925</v>
      </c>
      <c r="I1171" s="416" t="s">
        <v>3794</v>
      </c>
      <c r="J1171" s="415" t="s">
        <v>747</v>
      </c>
      <c r="K1171" s="417">
        <v>-4.6612</v>
      </c>
      <c r="L1171" s="417">
        <v>-80.243700000000004</v>
      </c>
      <c r="M1171" s="418">
        <v>30</v>
      </c>
      <c r="N1171" s="418" t="s">
        <v>2310</v>
      </c>
      <c r="O1171" s="418" t="s">
        <v>3407</v>
      </c>
      <c r="P1171" s="415">
        <v>4</v>
      </c>
      <c r="Q1171" s="415">
        <v>30</v>
      </c>
      <c r="R1171" s="415">
        <v>5</v>
      </c>
      <c r="S1171" s="415">
        <f t="shared" si="54"/>
        <v>5</v>
      </c>
      <c r="T1171" s="419">
        <f t="shared" si="55"/>
        <v>0.83333333333333337</v>
      </c>
      <c r="U1171" s="419">
        <f t="shared" si="56"/>
        <v>5.833333333333333</v>
      </c>
      <c r="V1171" s="415" t="s">
        <v>662</v>
      </c>
      <c r="W1171" s="415" t="s">
        <v>606</v>
      </c>
      <c r="X1171" s="415" t="s">
        <v>671</v>
      </c>
      <c r="Y1171" s="415"/>
    </row>
    <row r="1172" spans="1:25" hidden="1" x14ac:dyDescent="0.25">
      <c r="A1172" s="415">
        <v>1171</v>
      </c>
      <c r="B1172" s="415">
        <v>764</v>
      </c>
      <c r="C1172" s="415">
        <v>415392</v>
      </c>
      <c r="D1172" s="416" t="s">
        <v>3795</v>
      </c>
      <c r="E1172" s="416" t="s">
        <v>560</v>
      </c>
      <c r="F1172" s="416" t="s">
        <v>560</v>
      </c>
      <c r="G1172" s="416" t="s">
        <v>1898</v>
      </c>
      <c r="H1172" s="416" t="s">
        <v>707</v>
      </c>
      <c r="I1172" s="416" t="s">
        <v>3796</v>
      </c>
      <c r="J1172" s="415" t="s">
        <v>747</v>
      </c>
      <c r="K1172" s="417">
        <v>-4.6562999999999999</v>
      </c>
      <c r="L1172" s="417">
        <v>-80.235500000000002</v>
      </c>
      <c r="M1172" s="418">
        <v>30</v>
      </c>
      <c r="N1172" s="418" t="s">
        <v>2310</v>
      </c>
      <c r="O1172" s="418" t="s">
        <v>3407</v>
      </c>
      <c r="P1172" s="415">
        <v>4</v>
      </c>
      <c r="Q1172" s="415">
        <v>30</v>
      </c>
      <c r="R1172" s="415">
        <v>5</v>
      </c>
      <c r="S1172" s="415">
        <f t="shared" si="54"/>
        <v>5</v>
      </c>
      <c r="T1172" s="419">
        <f t="shared" si="55"/>
        <v>0.83333333333333337</v>
      </c>
      <c r="U1172" s="419">
        <f t="shared" si="56"/>
        <v>5.833333333333333</v>
      </c>
      <c r="V1172" s="415" t="s">
        <v>662</v>
      </c>
      <c r="W1172" s="415" t="s">
        <v>606</v>
      </c>
      <c r="X1172" s="415" t="s">
        <v>671</v>
      </c>
      <c r="Y1172" s="415"/>
    </row>
    <row r="1173" spans="1:25" hidden="1" x14ac:dyDescent="0.25">
      <c r="A1173" s="415">
        <v>1172</v>
      </c>
      <c r="B1173" s="415">
        <v>765</v>
      </c>
      <c r="C1173" s="415">
        <v>410380</v>
      </c>
      <c r="D1173" s="416" t="s">
        <v>3797</v>
      </c>
      <c r="E1173" s="416" t="s">
        <v>560</v>
      </c>
      <c r="F1173" s="416" t="s">
        <v>560</v>
      </c>
      <c r="G1173" s="416" t="s">
        <v>560</v>
      </c>
      <c r="H1173" s="416" t="s">
        <v>560</v>
      </c>
      <c r="I1173" s="416" t="s">
        <v>3798</v>
      </c>
      <c r="J1173" s="415" t="s">
        <v>747</v>
      </c>
      <c r="K1173" s="417">
        <v>-5.1580700000000004</v>
      </c>
      <c r="L1173" s="417">
        <v>-80.620919999999998</v>
      </c>
      <c r="M1173" s="418">
        <v>30</v>
      </c>
      <c r="N1173" s="418" t="s">
        <v>2310</v>
      </c>
      <c r="O1173" s="418" t="s">
        <v>3407</v>
      </c>
      <c r="P1173" s="415">
        <v>4</v>
      </c>
      <c r="Q1173" s="415">
        <v>30</v>
      </c>
      <c r="R1173" s="415">
        <v>5</v>
      </c>
      <c r="S1173" s="415">
        <f t="shared" si="54"/>
        <v>5</v>
      </c>
      <c r="T1173" s="419">
        <f t="shared" si="55"/>
        <v>0.83333333333333337</v>
      </c>
      <c r="U1173" s="419">
        <f t="shared" si="56"/>
        <v>5.833333333333333</v>
      </c>
      <c r="V1173" s="415" t="s">
        <v>662</v>
      </c>
      <c r="W1173" s="415" t="s">
        <v>606</v>
      </c>
      <c r="X1173" s="415" t="s">
        <v>671</v>
      </c>
      <c r="Y1173" s="415"/>
    </row>
    <row r="1174" spans="1:25" hidden="1" x14ac:dyDescent="0.25">
      <c r="A1174" s="415">
        <v>1173</v>
      </c>
      <c r="B1174" s="415">
        <v>766</v>
      </c>
      <c r="C1174" s="415">
        <v>416481</v>
      </c>
      <c r="D1174" s="416" t="s">
        <v>1901</v>
      </c>
      <c r="E1174" s="416" t="s">
        <v>560</v>
      </c>
      <c r="F1174" s="416" t="s">
        <v>560</v>
      </c>
      <c r="G1174" s="416" t="s">
        <v>1900</v>
      </c>
      <c r="H1174" s="416" t="s">
        <v>1902</v>
      </c>
      <c r="I1174" s="416" t="s">
        <v>1903</v>
      </c>
      <c r="J1174" s="415" t="s">
        <v>661</v>
      </c>
      <c r="K1174" s="417">
        <v>-4.8910999999999998</v>
      </c>
      <c r="L1174" s="417">
        <v>-80.3386</v>
      </c>
      <c r="M1174" s="418">
        <v>30</v>
      </c>
      <c r="N1174" s="418" t="s">
        <v>2310</v>
      </c>
      <c r="O1174" s="418" t="s">
        <v>3407</v>
      </c>
      <c r="P1174" s="415">
        <v>4</v>
      </c>
      <c r="Q1174" s="415">
        <v>30</v>
      </c>
      <c r="R1174" s="415">
        <v>5</v>
      </c>
      <c r="S1174" s="415">
        <f t="shared" si="54"/>
        <v>5</v>
      </c>
      <c r="T1174" s="419">
        <f t="shared" si="55"/>
        <v>0.83333333333333337</v>
      </c>
      <c r="U1174" s="419">
        <f t="shared" si="56"/>
        <v>5.833333333333333</v>
      </c>
      <c r="V1174" s="415" t="s">
        <v>662</v>
      </c>
      <c r="W1174" s="415" t="s">
        <v>606</v>
      </c>
      <c r="X1174" s="415" t="s">
        <v>671</v>
      </c>
      <c r="Y1174" s="415"/>
    </row>
    <row r="1175" spans="1:25" hidden="1" x14ac:dyDescent="0.25">
      <c r="A1175" s="415">
        <v>1174</v>
      </c>
      <c r="B1175" s="415">
        <v>767</v>
      </c>
      <c r="C1175" s="415">
        <v>564297</v>
      </c>
      <c r="D1175" s="416" t="s">
        <v>2221</v>
      </c>
      <c r="E1175" s="416" t="s">
        <v>560</v>
      </c>
      <c r="F1175" s="416" t="s">
        <v>560</v>
      </c>
      <c r="G1175" s="416" t="s">
        <v>1900</v>
      </c>
      <c r="H1175" s="416" t="s">
        <v>2005</v>
      </c>
      <c r="I1175" s="416" t="s">
        <v>2222</v>
      </c>
      <c r="J1175" s="415" t="s">
        <v>661</v>
      </c>
      <c r="K1175" s="417">
        <v>-4.9214000000000002</v>
      </c>
      <c r="L1175" s="417">
        <v>-80.504400000000004</v>
      </c>
      <c r="M1175" s="418">
        <v>30</v>
      </c>
      <c r="N1175" s="418" t="s">
        <v>2310</v>
      </c>
      <c r="O1175" s="418" t="s">
        <v>3407</v>
      </c>
      <c r="P1175" s="415">
        <v>4</v>
      </c>
      <c r="Q1175" s="415">
        <v>30</v>
      </c>
      <c r="R1175" s="415">
        <v>5</v>
      </c>
      <c r="S1175" s="415">
        <f t="shared" si="54"/>
        <v>5</v>
      </c>
      <c r="T1175" s="419">
        <f t="shared" si="55"/>
        <v>0.83333333333333337</v>
      </c>
      <c r="U1175" s="419">
        <f t="shared" si="56"/>
        <v>5.833333333333333</v>
      </c>
      <c r="V1175" s="415" t="s">
        <v>662</v>
      </c>
      <c r="W1175" s="415" t="s">
        <v>606</v>
      </c>
      <c r="X1175" s="415" t="s">
        <v>671</v>
      </c>
      <c r="Y1175" s="415"/>
    </row>
    <row r="1176" spans="1:25" hidden="1" x14ac:dyDescent="0.25">
      <c r="A1176" s="415">
        <v>1175</v>
      </c>
      <c r="B1176" s="415">
        <v>768</v>
      </c>
      <c r="C1176" s="415">
        <v>416117</v>
      </c>
      <c r="D1176" s="416" t="s">
        <v>3799</v>
      </c>
      <c r="E1176" s="416" t="s">
        <v>560</v>
      </c>
      <c r="F1176" s="416" t="s">
        <v>560</v>
      </c>
      <c r="G1176" s="416" t="s">
        <v>1900</v>
      </c>
      <c r="H1176" s="416" t="s">
        <v>3800</v>
      </c>
      <c r="I1176" s="416" t="s">
        <v>3800</v>
      </c>
      <c r="J1176" s="415" t="s">
        <v>747</v>
      </c>
      <c r="K1176" s="417">
        <v>-4.9432999999999998</v>
      </c>
      <c r="L1176" s="417">
        <v>-80.5261</v>
      </c>
      <c r="M1176" s="418">
        <v>30</v>
      </c>
      <c r="N1176" s="418" t="s">
        <v>2310</v>
      </c>
      <c r="O1176" s="418" t="s">
        <v>3407</v>
      </c>
      <c r="P1176" s="415">
        <v>4</v>
      </c>
      <c r="Q1176" s="415">
        <v>30</v>
      </c>
      <c r="R1176" s="415">
        <v>5</v>
      </c>
      <c r="S1176" s="415">
        <f t="shared" si="54"/>
        <v>5</v>
      </c>
      <c r="T1176" s="419">
        <f t="shared" si="55"/>
        <v>0.83333333333333337</v>
      </c>
      <c r="U1176" s="419">
        <f t="shared" si="56"/>
        <v>5.833333333333333</v>
      </c>
      <c r="V1176" s="415" t="s">
        <v>662</v>
      </c>
      <c r="W1176" s="415" t="s">
        <v>606</v>
      </c>
      <c r="X1176" s="415" t="s">
        <v>671</v>
      </c>
      <c r="Y1176" s="415"/>
    </row>
    <row r="1177" spans="1:25" hidden="1" x14ac:dyDescent="0.25">
      <c r="A1177" s="415">
        <v>1176</v>
      </c>
      <c r="B1177" s="415">
        <v>769</v>
      </c>
      <c r="C1177" s="415">
        <v>416396</v>
      </c>
      <c r="D1177" s="416" t="s">
        <v>3801</v>
      </c>
      <c r="E1177" s="416" t="s">
        <v>560</v>
      </c>
      <c r="F1177" s="416" t="s">
        <v>560</v>
      </c>
      <c r="G1177" s="416" t="s">
        <v>1900</v>
      </c>
      <c r="H1177" s="416" t="s">
        <v>3802</v>
      </c>
      <c r="I1177" s="416" t="s">
        <v>3802</v>
      </c>
      <c r="J1177" s="415" t="s">
        <v>747</v>
      </c>
      <c r="K1177" s="417">
        <v>-5.0096280000000002</v>
      </c>
      <c r="L1177" s="417">
        <v>-80.305375999999995</v>
      </c>
      <c r="M1177" s="418">
        <v>30</v>
      </c>
      <c r="N1177" s="418" t="s">
        <v>2310</v>
      </c>
      <c r="O1177" s="418" t="s">
        <v>3407</v>
      </c>
      <c r="P1177" s="415">
        <v>4</v>
      </c>
      <c r="Q1177" s="415">
        <v>30</v>
      </c>
      <c r="R1177" s="415">
        <v>5</v>
      </c>
      <c r="S1177" s="415">
        <f t="shared" si="54"/>
        <v>5</v>
      </c>
      <c r="T1177" s="419">
        <f t="shared" si="55"/>
        <v>0.83333333333333337</v>
      </c>
      <c r="U1177" s="419">
        <f t="shared" si="56"/>
        <v>5.833333333333333</v>
      </c>
      <c r="V1177" s="415" t="s">
        <v>662</v>
      </c>
      <c r="W1177" s="415" t="s">
        <v>606</v>
      </c>
      <c r="X1177" s="415" t="s">
        <v>671</v>
      </c>
      <c r="Y1177" s="415"/>
    </row>
    <row r="1178" spans="1:25" hidden="1" x14ac:dyDescent="0.25">
      <c r="A1178" s="415">
        <v>1177</v>
      </c>
      <c r="B1178" s="415">
        <v>770</v>
      </c>
      <c r="C1178" s="415">
        <v>416631</v>
      </c>
      <c r="D1178" s="416" t="s">
        <v>3803</v>
      </c>
      <c r="E1178" s="416" t="s">
        <v>560</v>
      </c>
      <c r="F1178" s="416" t="s">
        <v>560</v>
      </c>
      <c r="G1178" s="416" t="s">
        <v>1900</v>
      </c>
      <c r="H1178" s="416" t="s">
        <v>678</v>
      </c>
      <c r="I1178" s="416" t="s">
        <v>678</v>
      </c>
      <c r="J1178" s="415" t="s">
        <v>661</v>
      </c>
      <c r="K1178" s="417">
        <v>-4.9532999999999996</v>
      </c>
      <c r="L1178" s="417">
        <v>-80.549000000000007</v>
      </c>
      <c r="M1178" s="418">
        <v>30</v>
      </c>
      <c r="N1178" s="418" t="s">
        <v>2310</v>
      </c>
      <c r="O1178" s="418" t="s">
        <v>3407</v>
      </c>
      <c r="P1178" s="415">
        <v>4</v>
      </c>
      <c r="Q1178" s="415">
        <v>30</v>
      </c>
      <c r="R1178" s="415">
        <v>5</v>
      </c>
      <c r="S1178" s="415">
        <f t="shared" si="54"/>
        <v>5</v>
      </c>
      <c r="T1178" s="419">
        <f t="shared" si="55"/>
        <v>0.83333333333333337</v>
      </c>
      <c r="U1178" s="419">
        <f t="shared" si="56"/>
        <v>5.833333333333333</v>
      </c>
      <c r="V1178" s="415" t="s">
        <v>662</v>
      </c>
      <c r="W1178" s="415" t="s">
        <v>606</v>
      </c>
      <c r="X1178" s="415" t="s">
        <v>671</v>
      </c>
      <c r="Y1178" s="415"/>
    </row>
    <row r="1179" spans="1:25" hidden="1" x14ac:dyDescent="0.25">
      <c r="A1179" s="415">
        <v>1178</v>
      </c>
      <c r="B1179" s="415">
        <v>771</v>
      </c>
      <c r="C1179" s="415">
        <v>416872</v>
      </c>
      <c r="D1179" s="416" t="s">
        <v>1905</v>
      </c>
      <c r="E1179" s="416" t="s">
        <v>560</v>
      </c>
      <c r="F1179" s="416" t="s">
        <v>560</v>
      </c>
      <c r="G1179" s="416" t="s">
        <v>1900</v>
      </c>
      <c r="H1179" s="416" t="s">
        <v>1906</v>
      </c>
      <c r="I1179" s="416" t="s">
        <v>1907</v>
      </c>
      <c r="J1179" s="415" t="s">
        <v>661</v>
      </c>
      <c r="K1179" s="417">
        <v>-4.8963999999999999</v>
      </c>
      <c r="L1179" s="417">
        <v>-80.353200000000001</v>
      </c>
      <c r="M1179" s="418">
        <v>30</v>
      </c>
      <c r="N1179" s="418" t="s">
        <v>2310</v>
      </c>
      <c r="O1179" s="418" t="s">
        <v>3407</v>
      </c>
      <c r="P1179" s="415">
        <v>4</v>
      </c>
      <c r="Q1179" s="415">
        <v>30</v>
      </c>
      <c r="R1179" s="415">
        <v>5</v>
      </c>
      <c r="S1179" s="415">
        <f t="shared" si="54"/>
        <v>5</v>
      </c>
      <c r="T1179" s="419">
        <f t="shared" si="55"/>
        <v>0.83333333333333337</v>
      </c>
      <c r="U1179" s="419">
        <f t="shared" si="56"/>
        <v>5.833333333333333</v>
      </c>
      <c r="V1179" s="415" t="s">
        <v>662</v>
      </c>
      <c r="W1179" s="415" t="s">
        <v>606</v>
      </c>
      <c r="X1179" s="415" t="s">
        <v>671</v>
      </c>
      <c r="Y1179" s="415"/>
    </row>
    <row r="1180" spans="1:25" hidden="1" x14ac:dyDescent="0.25">
      <c r="A1180" s="415">
        <v>1179</v>
      </c>
      <c r="B1180" s="415">
        <v>772</v>
      </c>
      <c r="C1180" s="415">
        <v>416754</v>
      </c>
      <c r="D1180" s="416" t="s">
        <v>3804</v>
      </c>
      <c r="E1180" s="416" t="s">
        <v>560</v>
      </c>
      <c r="F1180" s="416" t="s">
        <v>560</v>
      </c>
      <c r="G1180" s="416" t="s">
        <v>1900</v>
      </c>
      <c r="H1180" s="416" t="s">
        <v>3805</v>
      </c>
      <c r="I1180" s="416" t="s">
        <v>3806</v>
      </c>
      <c r="J1180" s="415" t="s">
        <v>661</v>
      </c>
      <c r="K1180" s="417">
        <v>-4.8417310000000002</v>
      </c>
      <c r="L1180" s="417">
        <v>-80.343090000000004</v>
      </c>
      <c r="M1180" s="418">
        <v>30</v>
      </c>
      <c r="N1180" s="418" t="s">
        <v>2310</v>
      </c>
      <c r="O1180" s="418" t="s">
        <v>3407</v>
      </c>
      <c r="P1180" s="415">
        <v>4</v>
      </c>
      <c r="Q1180" s="415">
        <v>30</v>
      </c>
      <c r="R1180" s="415">
        <v>5</v>
      </c>
      <c r="S1180" s="415">
        <f t="shared" si="54"/>
        <v>5</v>
      </c>
      <c r="T1180" s="419">
        <f t="shared" si="55"/>
        <v>0.83333333333333337</v>
      </c>
      <c r="U1180" s="419">
        <f t="shared" si="56"/>
        <v>5.833333333333333</v>
      </c>
      <c r="V1180" s="415" t="s">
        <v>662</v>
      </c>
      <c r="W1180" s="415" t="s">
        <v>606</v>
      </c>
      <c r="X1180" s="415" t="s">
        <v>671</v>
      </c>
      <c r="Y1180" s="415"/>
    </row>
    <row r="1181" spans="1:25" hidden="1" x14ac:dyDescent="0.25">
      <c r="A1181" s="415">
        <v>1180</v>
      </c>
      <c r="B1181" s="415">
        <v>773</v>
      </c>
      <c r="C1181" s="415">
        <v>416419</v>
      </c>
      <c r="D1181" s="416" t="s">
        <v>3807</v>
      </c>
      <c r="E1181" s="416" t="s">
        <v>560</v>
      </c>
      <c r="F1181" s="416" t="s">
        <v>560</v>
      </c>
      <c r="G1181" s="416" t="s">
        <v>1900</v>
      </c>
      <c r="H1181" s="416" t="s">
        <v>3808</v>
      </c>
      <c r="I1181" s="416" t="s">
        <v>3808</v>
      </c>
      <c r="J1181" s="415" t="s">
        <v>661</v>
      </c>
      <c r="K1181" s="417">
        <v>-4.9493999999999998</v>
      </c>
      <c r="L1181" s="417">
        <v>-80.538200000000003</v>
      </c>
      <c r="M1181" s="418">
        <v>30</v>
      </c>
      <c r="N1181" s="418" t="s">
        <v>2310</v>
      </c>
      <c r="O1181" s="418" t="s">
        <v>3407</v>
      </c>
      <c r="P1181" s="415">
        <v>4</v>
      </c>
      <c r="Q1181" s="415">
        <v>30</v>
      </c>
      <c r="R1181" s="415">
        <v>5</v>
      </c>
      <c r="S1181" s="415">
        <f t="shared" si="54"/>
        <v>5</v>
      </c>
      <c r="T1181" s="419">
        <f t="shared" si="55"/>
        <v>0.83333333333333337</v>
      </c>
      <c r="U1181" s="419">
        <f t="shared" si="56"/>
        <v>5.833333333333333</v>
      </c>
      <c r="V1181" s="415" t="s">
        <v>662</v>
      </c>
      <c r="W1181" s="415" t="s">
        <v>606</v>
      </c>
      <c r="X1181" s="415" t="s">
        <v>671</v>
      </c>
      <c r="Y1181" s="415"/>
    </row>
    <row r="1182" spans="1:25" hidden="1" x14ac:dyDescent="0.25">
      <c r="A1182" s="415">
        <v>1181</v>
      </c>
      <c r="B1182" s="415">
        <v>774</v>
      </c>
      <c r="C1182" s="415">
        <v>416056</v>
      </c>
      <c r="D1182" s="416" t="s">
        <v>3809</v>
      </c>
      <c r="E1182" s="416" t="s">
        <v>560</v>
      </c>
      <c r="F1182" s="416" t="s">
        <v>560</v>
      </c>
      <c r="G1182" s="416" t="s">
        <v>1900</v>
      </c>
      <c r="H1182" s="416" t="s">
        <v>3810</v>
      </c>
      <c r="I1182" s="416" t="s">
        <v>3811</v>
      </c>
      <c r="J1182" s="415" t="s">
        <v>747</v>
      </c>
      <c r="K1182" s="417">
        <v>-4.9295200000000001</v>
      </c>
      <c r="L1182" s="417">
        <v>-80.345759999999999</v>
      </c>
      <c r="M1182" s="418">
        <v>30</v>
      </c>
      <c r="N1182" s="418" t="s">
        <v>2310</v>
      </c>
      <c r="O1182" s="418" t="s">
        <v>3407</v>
      </c>
      <c r="P1182" s="415">
        <v>4</v>
      </c>
      <c r="Q1182" s="415">
        <v>30</v>
      </c>
      <c r="R1182" s="415">
        <v>5</v>
      </c>
      <c r="S1182" s="415">
        <f t="shared" si="54"/>
        <v>5</v>
      </c>
      <c r="T1182" s="419">
        <f t="shared" si="55"/>
        <v>0.83333333333333337</v>
      </c>
      <c r="U1182" s="419">
        <f t="shared" si="56"/>
        <v>5.833333333333333</v>
      </c>
      <c r="V1182" s="415" t="s">
        <v>662</v>
      </c>
      <c r="W1182" s="415" t="s">
        <v>606</v>
      </c>
      <c r="X1182" s="415" t="s">
        <v>671</v>
      </c>
      <c r="Y1182" s="415"/>
    </row>
    <row r="1183" spans="1:25" hidden="1" x14ac:dyDescent="0.25">
      <c r="A1183" s="415">
        <v>1182</v>
      </c>
      <c r="B1183" s="415">
        <v>775</v>
      </c>
      <c r="C1183" s="415">
        <v>440297</v>
      </c>
      <c r="D1183" s="416" t="s">
        <v>1931</v>
      </c>
      <c r="E1183" s="416" t="s">
        <v>560</v>
      </c>
      <c r="F1183" s="416" t="s">
        <v>567</v>
      </c>
      <c r="G1183" s="416" t="s">
        <v>3812</v>
      </c>
      <c r="H1183" s="416" t="s">
        <v>583</v>
      </c>
      <c r="I1183" s="416" t="s">
        <v>3813</v>
      </c>
      <c r="J1183" s="415" t="s">
        <v>661</v>
      </c>
      <c r="K1183" s="417">
        <v>-5.4404969999999997</v>
      </c>
      <c r="L1183" s="417">
        <v>-80.754994999999994</v>
      </c>
      <c r="M1183" s="418">
        <v>30</v>
      </c>
      <c r="N1183" s="418" t="s">
        <v>2310</v>
      </c>
      <c r="O1183" s="418" t="s">
        <v>3407</v>
      </c>
      <c r="P1183" s="415">
        <v>4</v>
      </c>
      <c r="Q1183" s="415">
        <v>30</v>
      </c>
      <c r="R1183" s="415">
        <v>5</v>
      </c>
      <c r="S1183" s="415">
        <f t="shared" si="54"/>
        <v>5</v>
      </c>
      <c r="T1183" s="419">
        <f t="shared" si="55"/>
        <v>0.83333333333333337</v>
      </c>
      <c r="U1183" s="419">
        <f t="shared" si="56"/>
        <v>5.833333333333333</v>
      </c>
      <c r="V1183" s="415" t="s">
        <v>662</v>
      </c>
      <c r="W1183" s="415" t="s">
        <v>608</v>
      </c>
      <c r="X1183" s="415" t="s">
        <v>663</v>
      </c>
      <c r="Y1183" s="415"/>
    </row>
    <row r="1184" spans="1:25" hidden="1" x14ac:dyDescent="0.25">
      <c r="A1184" s="415">
        <v>1183</v>
      </c>
      <c r="B1184" s="415">
        <v>776</v>
      </c>
      <c r="C1184" s="415">
        <v>440481</v>
      </c>
      <c r="D1184" s="416" t="s">
        <v>3814</v>
      </c>
      <c r="E1184" s="416" t="s">
        <v>560</v>
      </c>
      <c r="F1184" s="416" t="s">
        <v>567</v>
      </c>
      <c r="G1184" s="416" t="s">
        <v>3815</v>
      </c>
      <c r="H1184" s="416" t="s">
        <v>3816</v>
      </c>
      <c r="I1184" s="416" t="s">
        <v>3816</v>
      </c>
      <c r="J1184" s="415" t="s">
        <v>747</v>
      </c>
      <c r="K1184" s="417">
        <v>-5.4735699999999996</v>
      </c>
      <c r="L1184" s="417">
        <v>-80.753013999999993</v>
      </c>
      <c r="M1184" s="418">
        <v>30</v>
      </c>
      <c r="N1184" s="418" t="s">
        <v>2310</v>
      </c>
      <c r="O1184" s="418" t="s">
        <v>3407</v>
      </c>
      <c r="P1184" s="415">
        <v>4</v>
      </c>
      <c r="Q1184" s="415">
        <v>30</v>
      </c>
      <c r="R1184" s="415">
        <v>5</v>
      </c>
      <c r="S1184" s="415">
        <f t="shared" si="54"/>
        <v>5</v>
      </c>
      <c r="T1184" s="419">
        <f t="shared" si="55"/>
        <v>0.83333333333333337</v>
      </c>
      <c r="U1184" s="419">
        <f t="shared" si="56"/>
        <v>5.833333333333333</v>
      </c>
      <c r="V1184" s="415" t="s">
        <v>662</v>
      </c>
      <c r="W1184" s="415" t="s">
        <v>608</v>
      </c>
      <c r="X1184" s="415" t="s">
        <v>663</v>
      </c>
      <c r="Y1184" s="415"/>
    </row>
    <row r="1185" spans="1:25" hidden="1" x14ac:dyDescent="0.25">
      <c r="A1185" s="415">
        <v>1184</v>
      </c>
      <c r="B1185" s="415">
        <v>777</v>
      </c>
      <c r="C1185" s="415">
        <v>440508</v>
      </c>
      <c r="D1185" s="416" t="s">
        <v>3817</v>
      </c>
      <c r="E1185" s="416" t="s">
        <v>560</v>
      </c>
      <c r="F1185" s="416" t="s">
        <v>567</v>
      </c>
      <c r="G1185" s="416" t="s">
        <v>3815</v>
      </c>
      <c r="H1185" s="416" t="s">
        <v>3818</v>
      </c>
      <c r="I1185" s="416" t="s">
        <v>3818</v>
      </c>
      <c r="J1185" s="415" t="s">
        <v>661</v>
      </c>
      <c r="K1185" s="417">
        <v>-5.4691289999999997</v>
      </c>
      <c r="L1185" s="417">
        <v>-80.733254000000002</v>
      </c>
      <c r="M1185" s="418">
        <v>30</v>
      </c>
      <c r="N1185" s="418" t="s">
        <v>2310</v>
      </c>
      <c r="O1185" s="418" t="s">
        <v>3407</v>
      </c>
      <c r="P1185" s="415">
        <v>4</v>
      </c>
      <c r="Q1185" s="415">
        <v>30</v>
      </c>
      <c r="R1185" s="415">
        <v>5</v>
      </c>
      <c r="S1185" s="415">
        <f t="shared" si="54"/>
        <v>5</v>
      </c>
      <c r="T1185" s="419">
        <f t="shared" si="55"/>
        <v>0.83333333333333337</v>
      </c>
      <c r="U1185" s="419">
        <f t="shared" si="56"/>
        <v>5.833333333333333</v>
      </c>
      <c r="V1185" s="415" t="s">
        <v>662</v>
      </c>
      <c r="W1185" s="415" t="s">
        <v>608</v>
      </c>
      <c r="X1185" s="415" t="s">
        <v>663</v>
      </c>
      <c r="Y1185" s="415"/>
    </row>
    <row r="1186" spans="1:25" hidden="1" x14ac:dyDescent="0.25">
      <c r="A1186" s="415">
        <v>1185</v>
      </c>
      <c r="B1186" s="415">
        <v>778</v>
      </c>
      <c r="C1186" s="415">
        <v>440909</v>
      </c>
      <c r="D1186" s="416" t="s">
        <v>3819</v>
      </c>
      <c r="E1186" s="416" t="s">
        <v>560</v>
      </c>
      <c r="F1186" s="416" t="s">
        <v>567</v>
      </c>
      <c r="G1186" s="416" t="s">
        <v>3820</v>
      </c>
      <c r="H1186" s="416" t="s">
        <v>3821</v>
      </c>
      <c r="I1186" s="416" t="s">
        <v>1040</v>
      </c>
      <c r="J1186" s="415" t="s">
        <v>747</v>
      </c>
      <c r="K1186" s="417">
        <v>-5.4619679999999997</v>
      </c>
      <c r="L1186" s="417">
        <v>-80.763769999999994</v>
      </c>
      <c r="M1186" s="418">
        <v>30</v>
      </c>
      <c r="N1186" s="418" t="s">
        <v>2310</v>
      </c>
      <c r="O1186" s="418" t="s">
        <v>3407</v>
      </c>
      <c r="P1186" s="415">
        <v>4</v>
      </c>
      <c r="Q1186" s="415">
        <v>30</v>
      </c>
      <c r="R1186" s="415">
        <v>5</v>
      </c>
      <c r="S1186" s="415">
        <f t="shared" si="54"/>
        <v>5</v>
      </c>
      <c r="T1186" s="419">
        <f t="shared" si="55"/>
        <v>0.83333333333333337</v>
      </c>
      <c r="U1186" s="419">
        <f t="shared" si="56"/>
        <v>5.833333333333333</v>
      </c>
      <c r="V1186" s="415" t="s">
        <v>662</v>
      </c>
      <c r="W1186" s="415" t="s">
        <v>608</v>
      </c>
      <c r="X1186" s="415" t="s">
        <v>663</v>
      </c>
      <c r="Y1186" s="415"/>
    </row>
    <row r="1187" spans="1:25" hidden="1" x14ac:dyDescent="0.25">
      <c r="A1187" s="415">
        <v>1186</v>
      </c>
      <c r="B1187" s="415">
        <v>779</v>
      </c>
      <c r="C1187" s="415">
        <v>440891</v>
      </c>
      <c r="D1187" s="416" t="s">
        <v>3822</v>
      </c>
      <c r="E1187" s="416" t="s">
        <v>560</v>
      </c>
      <c r="F1187" s="416" t="s">
        <v>567</v>
      </c>
      <c r="G1187" s="416" t="s">
        <v>3820</v>
      </c>
      <c r="H1187" s="416" t="s">
        <v>3823</v>
      </c>
      <c r="I1187" s="416" t="s">
        <v>3824</v>
      </c>
      <c r="J1187" s="415" t="s">
        <v>661</v>
      </c>
      <c r="K1187" s="417">
        <v>-5.4690899999999996</v>
      </c>
      <c r="L1187" s="417">
        <v>-80.770294000000007</v>
      </c>
      <c r="M1187" s="418">
        <v>30</v>
      </c>
      <c r="N1187" s="418" t="s">
        <v>2310</v>
      </c>
      <c r="O1187" s="418" t="s">
        <v>3407</v>
      </c>
      <c r="P1187" s="415">
        <v>4</v>
      </c>
      <c r="Q1187" s="415">
        <v>30</v>
      </c>
      <c r="R1187" s="415">
        <v>5</v>
      </c>
      <c r="S1187" s="415">
        <f t="shared" si="54"/>
        <v>5</v>
      </c>
      <c r="T1187" s="419">
        <f t="shared" si="55"/>
        <v>0.83333333333333337</v>
      </c>
      <c r="U1187" s="419">
        <f t="shared" si="56"/>
        <v>5.833333333333333</v>
      </c>
      <c r="V1187" s="415" t="s">
        <v>662</v>
      </c>
      <c r="W1187" s="415" t="s">
        <v>608</v>
      </c>
      <c r="X1187" s="415" t="s">
        <v>663</v>
      </c>
      <c r="Y1187" s="415"/>
    </row>
    <row r="1188" spans="1:25" hidden="1" x14ac:dyDescent="0.25">
      <c r="A1188" s="415">
        <v>1187</v>
      </c>
      <c r="B1188" s="415">
        <v>780</v>
      </c>
      <c r="C1188" s="415">
        <v>440037</v>
      </c>
      <c r="D1188" s="416" t="s">
        <v>3825</v>
      </c>
      <c r="E1188" s="416" t="s">
        <v>560</v>
      </c>
      <c r="F1188" s="416" t="s">
        <v>567</v>
      </c>
      <c r="G1188" s="416" t="s">
        <v>567</v>
      </c>
      <c r="H1188" s="416" t="s">
        <v>3826</v>
      </c>
      <c r="I1188" s="416" t="s">
        <v>3268</v>
      </c>
      <c r="J1188" s="415" t="s">
        <v>747</v>
      </c>
      <c r="K1188" s="417">
        <v>-5.7646199999999999</v>
      </c>
      <c r="L1188" s="417">
        <v>-80.85266</v>
      </c>
      <c r="M1188" s="418">
        <v>30</v>
      </c>
      <c r="N1188" s="418" t="s">
        <v>2310</v>
      </c>
      <c r="O1188" s="418" t="s">
        <v>3407</v>
      </c>
      <c r="P1188" s="415">
        <v>4</v>
      </c>
      <c r="Q1188" s="415">
        <v>30</v>
      </c>
      <c r="R1188" s="415">
        <v>5</v>
      </c>
      <c r="S1188" s="415">
        <f t="shared" si="54"/>
        <v>5</v>
      </c>
      <c r="T1188" s="419">
        <f t="shared" si="55"/>
        <v>0.83333333333333337</v>
      </c>
      <c r="U1188" s="419">
        <f t="shared" si="56"/>
        <v>5.833333333333333</v>
      </c>
      <c r="V1188" s="415" t="s">
        <v>662</v>
      </c>
      <c r="W1188" s="415" t="s">
        <v>608</v>
      </c>
      <c r="X1188" s="415" t="s">
        <v>663</v>
      </c>
      <c r="Y1188" s="415"/>
    </row>
    <row r="1189" spans="1:25" hidden="1" x14ac:dyDescent="0.25">
      <c r="A1189" s="415">
        <v>1188</v>
      </c>
      <c r="B1189" s="415">
        <v>781</v>
      </c>
      <c r="C1189" s="415">
        <v>861141</v>
      </c>
      <c r="D1189" s="416" t="s">
        <v>672</v>
      </c>
      <c r="E1189" s="416" t="s">
        <v>560</v>
      </c>
      <c r="F1189" s="416" t="s">
        <v>567</v>
      </c>
      <c r="G1189" s="416" t="s">
        <v>567</v>
      </c>
      <c r="H1189" s="416" t="s">
        <v>3826</v>
      </c>
      <c r="I1189" s="416" t="s">
        <v>3827</v>
      </c>
      <c r="J1189" s="415" t="s">
        <v>747</v>
      </c>
      <c r="K1189" s="417">
        <v>-5.7756499999999997</v>
      </c>
      <c r="L1189" s="417">
        <v>-80.845500000000001</v>
      </c>
      <c r="M1189" s="418">
        <v>30</v>
      </c>
      <c r="N1189" s="418" t="s">
        <v>2310</v>
      </c>
      <c r="O1189" s="418" t="s">
        <v>3407</v>
      </c>
      <c r="P1189" s="415">
        <v>4</v>
      </c>
      <c r="Q1189" s="415">
        <v>30</v>
      </c>
      <c r="R1189" s="415">
        <v>5</v>
      </c>
      <c r="S1189" s="415">
        <f t="shared" si="54"/>
        <v>5</v>
      </c>
      <c r="T1189" s="419">
        <f t="shared" si="55"/>
        <v>0.83333333333333337</v>
      </c>
      <c r="U1189" s="419">
        <f t="shared" si="56"/>
        <v>5.833333333333333</v>
      </c>
      <c r="V1189" s="415" t="s">
        <v>662</v>
      </c>
      <c r="W1189" s="415" t="s">
        <v>608</v>
      </c>
      <c r="X1189" s="415" t="s">
        <v>663</v>
      </c>
      <c r="Y1189" s="415"/>
    </row>
    <row r="1190" spans="1:25" hidden="1" x14ac:dyDescent="0.25">
      <c r="A1190" s="415">
        <v>1189</v>
      </c>
      <c r="B1190" s="415">
        <v>782</v>
      </c>
      <c r="C1190" s="415">
        <v>440122</v>
      </c>
      <c r="D1190" s="416" t="s">
        <v>3828</v>
      </c>
      <c r="E1190" s="416" t="s">
        <v>560</v>
      </c>
      <c r="F1190" s="416" t="s">
        <v>567</v>
      </c>
      <c r="G1190" s="416" t="s">
        <v>567</v>
      </c>
      <c r="H1190" s="416" t="s">
        <v>3829</v>
      </c>
      <c r="I1190" s="416" t="s">
        <v>3829</v>
      </c>
      <c r="J1190" s="415" t="s">
        <v>747</v>
      </c>
      <c r="K1190" s="417">
        <v>-5.5695600000000001</v>
      </c>
      <c r="L1190" s="417">
        <v>-80.81371</v>
      </c>
      <c r="M1190" s="418">
        <v>30</v>
      </c>
      <c r="N1190" s="418" t="s">
        <v>2310</v>
      </c>
      <c r="O1190" s="418" t="s">
        <v>3407</v>
      </c>
      <c r="P1190" s="415">
        <v>4</v>
      </c>
      <c r="Q1190" s="415">
        <v>30</v>
      </c>
      <c r="R1190" s="415">
        <v>5</v>
      </c>
      <c r="S1190" s="415">
        <f t="shared" si="54"/>
        <v>5</v>
      </c>
      <c r="T1190" s="419">
        <f t="shared" si="55"/>
        <v>0.83333333333333337</v>
      </c>
      <c r="U1190" s="419">
        <f t="shared" si="56"/>
        <v>5.833333333333333</v>
      </c>
      <c r="V1190" s="415" t="s">
        <v>662</v>
      </c>
      <c r="W1190" s="415" t="s">
        <v>608</v>
      </c>
      <c r="X1190" s="415" t="s">
        <v>663</v>
      </c>
      <c r="Y1190" s="415"/>
    </row>
    <row r="1191" spans="1:25" hidden="1" x14ac:dyDescent="0.25">
      <c r="A1191" s="415">
        <v>1190</v>
      </c>
      <c r="B1191" s="415">
        <v>783</v>
      </c>
      <c r="C1191" s="415">
        <v>440023</v>
      </c>
      <c r="D1191" s="416" t="s">
        <v>3830</v>
      </c>
      <c r="E1191" s="416" t="s">
        <v>560</v>
      </c>
      <c r="F1191" s="416" t="s">
        <v>567</v>
      </c>
      <c r="G1191" s="416" t="s">
        <v>567</v>
      </c>
      <c r="H1191" s="416" t="s">
        <v>3831</v>
      </c>
      <c r="I1191" s="416" t="s">
        <v>3832</v>
      </c>
      <c r="J1191" s="415" t="s">
        <v>747</v>
      </c>
      <c r="K1191" s="417">
        <v>-5.5695240000000004</v>
      </c>
      <c r="L1191" s="417">
        <v>-80.822018999999997</v>
      </c>
      <c r="M1191" s="418">
        <v>30</v>
      </c>
      <c r="N1191" s="418" t="s">
        <v>2310</v>
      </c>
      <c r="O1191" s="418" t="s">
        <v>3407</v>
      </c>
      <c r="P1191" s="415">
        <v>4</v>
      </c>
      <c r="Q1191" s="415">
        <v>30</v>
      </c>
      <c r="R1191" s="415">
        <v>5</v>
      </c>
      <c r="S1191" s="415">
        <f t="shared" si="54"/>
        <v>5</v>
      </c>
      <c r="T1191" s="419">
        <f t="shared" si="55"/>
        <v>0.83333333333333337</v>
      </c>
      <c r="U1191" s="419">
        <f t="shared" si="56"/>
        <v>5.833333333333333</v>
      </c>
      <c r="V1191" s="415" t="s">
        <v>662</v>
      </c>
      <c r="W1191" s="415" t="s">
        <v>608</v>
      </c>
      <c r="X1191" s="415" t="s">
        <v>663</v>
      </c>
      <c r="Y1191" s="415"/>
    </row>
    <row r="1192" spans="1:25" hidden="1" x14ac:dyDescent="0.25">
      <c r="A1192" s="415">
        <v>1191</v>
      </c>
      <c r="B1192" s="415">
        <v>784</v>
      </c>
      <c r="C1192" s="415">
        <v>440117</v>
      </c>
      <c r="D1192" s="416" t="s">
        <v>3833</v>
      </c>
      <c r="E1192" s="416" t="s">
        <v>560</v>
      </c>
      <c r="F1192" s="416" t="s">
        <v>567</v>
      </c>
      <c r="G1192" s="416" t="s">
        <v>567</v>
      </c>
      <c r="H1192" s="416" t="s">
        <v>3834</v>
      </c>
      <c r="I1192" s="416" t="s">
        <v>3834</v>
      </c>
      <c r="J1192" s="415" t="s">
        <v>747</v>
      </c>
      <c r="K1192" s="417">
        <v>-5.762124</v>
      </c>
      <c r="L1192" s="417">
        <v>-80.853391000000002</v>
      </c>
      <c r="M1192" s="418">
        <v>30</v>
      </c>
      <c r="N1192" s="418" t="s">
        <v>2310</v>
      </c>
      <c r="O1192" s="418" t="s">
        <v>3407</v>
      </c>
      <c r="P1192" s="415">
        <v>4</v>
      </c>
      <c r="Q1192" s="415">
        <v>30</v>
      </c>
      <c r="R1192" s="415">
        <v>5</v>
      </c>
      <c r="S1192" s="415">
        <f t="shared" si="54"/>
        <v>5</v>
      </c>
      <c r="T1192" s="419">
        <f t="shared" si="55"/>
        <v>0.83333333333333337</v>
      </c>
      <c r="U1192" s="419">
        <f t="shared" si="56"/>
        <v>5.833333333333333</v>
      </c>
      <c r="V1192" s="415" t="s">
        <v>662</v>
      </c>
      <c r="W1192" s="415" t="s">
        <v>608</v>
      </c>
      <c r="X1192" s="415" t="s">
        <v>663</v>
      </c>
      <c r="Y1192" s="415"/>
    </row>
    <row r="1193" spans="1:25" x14ac:dyDescent="0.25">
      <c r="A1193" s="415">
        <v>1192</v>
      </c>
      <c r="B1193" s="415">
        <v>785</v>
      </c>
      <c r="C1193" s="415">
        <v>440160</v>
      </c>
      <c r="D1193" s="416" t="s">
        <v>3835</v>
      </c>
      <c r="E1193" s="416" t="s">
        <v>560</v>
      </c>
      <c r="F1193" s="416" t="s">
        <v>567</v>
      </c>
      <c r="G1193" s="416" t="s">
        <v>567</v>
      </c>
      <c r="H1193" s="416" t="s">
        <v>3836</v>
      </c>
      <c r="I1193" s="416" t="s">
        <v>3837</v>
      </c>
      <c r="J1193" s="415" t="s">
        <v>661</v>
      </c>
      <c r="K1193" s="417">
        <v>-5.8241959999999997</v>
      </c>
      <c r="L1193" s="417">
        <v>-81.035360999999995</v>
      </c>
      <c r="M1193" s="418">
        <v>30</v>
      </c>
      <c r="N1193" s="418" t="s">
        <v>2310</v>
      </c>
      <c r="O1193" s="418" t="s">
        <v>3407</v>
      </c>
      <c r="P1193" s="415">
        <v>4</v>
      </c>
      <c r="Q1193" s="415">
        <v>30</v>
      </c>
      <c r="R1193" s="415">
        <v>5</v>
      </c>
      <c r="S1193" s="415">
        <f t="shared" si="54"/>
        <v>5</v>
      </c>
      <c r="T1193" s="419">
        <f t="shared" si="55"/>
        <v>0.83333333333333337</v>
      </c>
      <c r="U1193" s="419">
        <f t="shared" si="56"/>
        <v>5.833333333333333</v>
      </c>
      <c r="V1193" s="415" t="s">
        <v>662</v>
      </c>
      <c r="W1193" s="415" t="s">
        <v>608</v>
      </c>
      <c r="X1193" s="415" t="s">
        <v>663</v>
      </c>
      <c r="Y1193" s="415" t="s">
        <v>2377</v>
      </c>
    </row>
    <row r="1194" spans="1:25" hidden="1" x14ac:dyDescent="0.25">
      <c r="A1194" s="415">
        <v>1193</v>
      </c>
      <c r="B1194" s="415">
        <v>786</v>
      </c>
      <c r="C1194" s="415">
        <v>440805</v>
      </c>
      <c r="D1194" s="416" t="s">
        <v>3838</v>
      </c>
      <c r="E1194" s="416" t="s">
        <v>560</v>
      </c>
      <c r="F1194" s="416" t="s">
        <v>567</v>
      </c>
      <c r="G1194" s="416" t="s">
        <v>2024</v>
      </c>
      <c r="H1194" s="416" t="s">
        <v>1970</v>
      </c>
      <c r="I1194" s="416" t="s">
        <v>1970</v>
      </c>
      <c r="J1194" s="415" t="s">
        <v>661</v>
      </c>
      <c r="K1194" s="417">
        <v>-5.4070819999999999</v>
      </c>
      <c r="L1194" s="417">
        <v>-80.761960999999999</v>
      </c>
      <c r="M1194" s="418">
        <v>30</v>
      </c>
      <c r="N1194" s="418" t="s">
        <v>2310</v>
      </c>
      <c r="O1194" s="418" t="s">
        <v>3407</v>
      </c>
      <c r="P1194" s="415">
        <v>4</v>
      </c>
      <c r="Q1194" s="415">
        <v>30</v>
      </c>
      <c r="R1194" s="415">
        <v>5</v>
      </c>
      <c r="S1194" s="415">
        <f t="shared" si="54"/>
        <v>5</v>
      </c>
      <c r="T1194" s="419">
        <f t="shared" si="55"/>
        <v>0.83333333333333337</v>
      </c>
      <c r="U1194" s="419">
        <f t="shared" si="56"/>
        <v>5.833333333333333</v>
      </c>
      <c r="V1194" s="415" t="s">
        <v>662</v>
      </c>
      <c r="W1194" s="415" t="s">
        <v>608</v>
      </c>
      <c r="X1194" s="415" t="s">
        <v>663</v>
      </c>
      <c r="Y1194" s="415"/>
    </row>
    <row r="1195" spans="1:25" hidden="1" x14ac:dyDescent="0.25">
      <c r="A1195" s="415">
        <v>1194</v>
      </c>
      <c r="B1195" s="415">
        <v>787</v>
      </c>
      <c r="C1195" s="415">
        <v>819656</v>
      </c>
      <c r="D1195" s="416" t="s">
        <v>3839</v>
      </c>
      <c r="E1195" s="416" t="s">
        <v>560</v>
      </c>
      <c r="F1195" s="416" t="s">
        <v>567</v>
      </c>
      <c r="G1195" s="416" t="s">
        <v>2024</v>
      </c>
      <c r="H1195" s="416" t="s">
        <v>3840</v>
      </c>
      <c r="I1195" s="416" t="s">
        <v>3841</v>
      </c>
      <c r="J1195" s="415" t="s">
        <v>747</v>
      </c>
      <c r="K1195" s="417">
        <v>-5.436013</v>
      </c>
      <c r="L1195" s="417">
        <v>-80.807783000000001</v>
      </c>
      <c r="M1195" s="418">
        <v>30</v>
      </c>
      <c r="N1195" s="418" t="s">
        <v>2310</v>
      </c>
      <c r="O1195" s="418" t="s">
        <v>3407</v>
      </c>
      <c r="P1195" s="415">
        <v>4</v>
      </c>
      <c r="Q1195" s="415">
        <v>30</v>
      </c>
      <c r="R1195" s="415">
        <v>5</v>
      </c>
      <c r="S1195" s="415">
        <f t="shared" si="54"/>
        <v>5</v>
      </c>
      <c r="T1195" s="419">
        <f t="shared" si="55"/>
        <v>0.83333333333333337</v>
      </c>
      <c r="U1195" s="419">
        <f t="shared" si="56"/>
        <v>5.833333333333333</v>
      </c>
      <c r="V1195" s="415" t="s">
        <v>662</v>
      </c>
      <c r="W1195" s="415" t="s">
        <v>608</v>
      </c>
      <c r="X1195" s="415" t="s">
        <v>663</v>
      </c>
      <c r="Y1195" s="415"/>
    </row>
    <row r="1196" spans="1:25" hidden="1" x14ac:dyDescent="0.25">
      <c r="A1196" s="415">
        <v>1195</v>
      </c>
      <c r="B1196" s="415">
        <v>788</v>
      </c>
      <c r="C1196" s="415">
        <v>440829</v>
      </c>
      <c r="D1196" s="416" t="s">
        <v>2025</v>
      </c>
      <c r="E1196" s="416" t="s">
        <v>560</v>
      </c>
      <c r="F1196" s="416" t="s">
        <v>567</v>
      </c>
      <c r="G1196" s="416" t="s">
        <v>2024</v>
      </c>
      <c r="H1196" s="416" t="s">
        <v>2026</v>
      </c>
      <c r="I1196" s="416" t="s">
        <v>2027</v>
      </c>
      <c r="J1196" s="415" t="s">
        <v>661</v>
      </c>
      <c r="K1196" s="417">
        <v>-5.4429689999999997</v>
      </c>
      <c r="L1196" s="417">
        <v>-80.775547000000003</v>
      </c>
      <c r="M1196" s="418">
        <v>30</v>
      </c>
      <c r="N1196" s="418" t="s">
        <v>2310</v>
      </c>
      <c r="O1196" s="418" t="s">
        <v>3407</v>
      </c>
      <c r="P1196" s="415">
        <v>4</v>
      </c>
      <c r="Q1196" s="415">
        <v>30</v>
      </c>
      <c r="R1196" s="415">
        <v>5</v>
      </c>
      <c r="S1196" s="415">
        <f t="shared" si="54"/>
        <v>5</v>
      </c>
      <c r="T1196" s="419">
        <f t="shared" si="55"/>
        <v>0.83333333333333337</v>
      </c>
      <c r="U1196" s="419">
        <f t="shared" si="56"/>
        <v>5.833333333333333</v>
      </c>
      <c r="V1196" s="415" t="s">
        <v>662</v>
      </c>
      <c r="W1196" s="415" t="s">
        <v>608</v>
      </c>
      <c r="X1196" s="415" t="s">
        <v>663</v>
      </c>
      <c r="Y1196" s="415"/>
    </row>
    <row r="1197" spans="1:25" hidden="1" x14ac:dyDescent="0.25">
      <c r="A1197" s="415">
        <v>1196</v>
      </c>
      <c r="B1197" s="415">
        <v>789</v>
      </c>
      <c r="C1197" s="415">
        <v>436530</v>
      </c>
      <c r="D1197" s="416" t="s">
        <v>3842</v>
      </c>
      <c r="E1197" s="416" t="s">
        <v>560</v>
      </c>
      <c r="F1197" s="416" t="s">
        <v>565</v>
      </c>
      <c r="G1197" s="416" t="s">
        <v>3843</v>
      </c>
      <c r="H1197" s="416" t="s">
        <v>866</v>
      </c>
      <c r="I1197" s="416" t="s">
        <v>866</v>
      </c>
      <c r="J1197" s="415" t="s">
        <v>661</v>
      </c>
      <c r="K1197" s="417">
        <v>-4.8472590000000002</v>
      </c>
      <c r="L1197" s="417">
        <v>-80.912969000000004</v>
      </c>
      <c r="M1197" s="418">
        <v>30</v>
      </c>
      <c r="N1197" s="418" t="s">
        <v>2310</v>
      </c>
      <c r="O1197" s="418" t="s">
        <v>3407</v>
      </c>
      <c r="P1197" s="415">
        <v>4</v>
      </c>
      <c r="Q1197" s="415">
        <v>30</v>
      </c>
      <c r="R1197" s="415">
        <v>5</v>
      </c>
      <c r="S1197" s="415">
        <f t="shared" si="54"/>
        <v>5</v>
      </c>
      <c r="T1197" s="419">
        <f t="shared" si="55"/>
        <v>0.83333333333333337</v>
      </c>
      <c r="U1197" s="419">
        <f t="shared" si="56"/>
        <v>5.833333333333333</v>
      </c>
      <c r="V1197" s="415" t="s">
        <v>662</v>
      </c>
      <c r="W1197" s="415" t="s">
        <v>606</v>
      </c>
      <c r="X1197" s="415" t="s">
        <v>671</v>
      </c>
      <c r="Y1197" s="415"/>
    </row>
    <row r="1198" spans="1:25" hidden="1" x14ac:dyDescent="0.25">
      <c r="A1198" s="415">
        <v>1197</v>
      </c>
      <c r="B1198" s="415">
        <v>790</v>
      </c>
      <c r="C1198" s="415">
        <v>437011</v>
      </c>
      <c r="D1198" s="416" t="s">
        <v>2004</v>
      </c>
      <c r="E1198" s="416" t="s">
        <v>560</v>
      </c>
      <c r="F1198" s="416" t="s">
        <v>565</v>
      </c>
      <c r="G1198" s="416" t="s">
        <v>2001</v>
      </c>
      <c r="H1198" s="416" t="s">
        <v>2005</v>
      </c>
      <c r="I1198" s="416" t="s">
        <v>2006</v>
      </c>
      <c r="J1198" s="415" t="s">
        <v>661</v>
      </c>
      <c r="K1198" s="417">
        <v>-4.2170389999999998</v>
      </c>
      <c r="L1198" s="417">
        <v>-80.323048</v>
      </c>
      <c r="M1198" s="418">
        <v>30</v>
      </c>
      <c r="N1198" s="418" t="s">
        <v>2310</v>
      </c>
      <c r="O1198" s="418" t="s">
        <v>3407</v>
      </c>
      <c r="P1198" s="415">
        <v>4</v>
      </c>
      <c r="Q1198" s="415">
        <v>30</v>
      </c>
      <c r="R1198" s="415">
        <v>5</v>
      </c>
      <c r="S1198" s="415">
        <f t="shared" si="54"/>
        <v>5</v>
      </c>
      <c r="T1198" s="419">
        <f t="shared" si="55"/>
        <v>0.83333333333333337</v>
      </c>
      <c r="U1198" s="419">
        <f t="shared" si="56"/>
        <v>5.833333333333333</v>
      </c>
      <c r="V1198" s="415" t="s">
        <v>662</v>
      </c>
      <c r="W1198" s="415" t="s">
        <v>606</v>
      </c>
      <c r="X1198" s="415" t="s">
        <v>671</v>
      </c>
      <c r="Y1198" s="415"/>
    </row>
    <row r="1199" spans="1:25" hidden="1" x14ac:dyDescent="0.25">
      <c r="A1199" s="415">
        <v>1198</v>
      </c>
      <c r="B1199" s="415">
        <v>791</v>
      </c>
      <c r="C1199" s="415">
        <v>437271</v>
      </c>
      <c r="D1199" s="416" t="s">
        <v>3844</v>
      </c>
      <c r="E1199" s="416" t="s">
        <v>560</v>
      </c>
      <c r="F1199" s="416" t="s">
        <v>565</v>
      </c>
      <c r="G1199" s="416" t="s">
        <v>2001</v>
      </c>
      <c r="H1199" s="416" t="s">
        <v>3845</v>
      </c>
      <c r="I1199" s="416" t="s">
        <v>3845</v>
      </c>
      <c r="J1199" s="415" t="s">
        <v>661</v>
      </c>
      <c r="K1199" s="417">
        <v>-4.3603379999999996</v>
      </c>
      <c r="L1199" s="417">
        <v>-80.493831</v>
      </c>
      <c r="M1199" s="418">
        <v>30</v>
      </c>
      <c r="N1199" s="418" t="s">
        <v>2310</v>
      </c>
      <c r="O1199" s="418" t="s">
        <v>3407</v>
      </c>
      <c r="P1199" s="415">
        <v>4</v>
      </c>
      <c r="Q1199" s="415">
        <v>30</v>
      </c>
      <c r="R1199" s="415">
        <v>5</v>
      </c>
      <c r="S1199" s="415">
        <f t="shared" si="54"/>
        <v>5</v>
      </c>
      <c r="T1199" s="419">
        <f t="shared" si="55"/>
        <v>0.83333333333333337</v>
      </c>
      <c r="U1199" s="419">
        <f t="shared" si="56"/>
        <v>5.833333333333333</v>
      </c>
      <c r="V1199" s="415" t="s">
        <v>662</v>
      </c>
      <c r="W1199" s="415" t="s">
        <v>606</v>
      </c>
      <c r="X1199" s="415" t="s">
        <v>671</v>
      </c>
      <c r="Y1199" s="415"/>
    </row>
    <row r="1200" spans="1:25" hidden="1" x14ac:dyDescent="0.25">
      <c r="A1200" s="415">
        <v>1199</v>
      </c>
      <c r="B1200" s="415">
        <v>792</v>
      </c>
      <c r="C1200" s="415">
        <v>437394</v>
      </c>
      <c r="D1200" s="416" t="s">
        <v>2012</v>
      </c>
      <c r="E1200" s="416" t="s">
        <v>560</v>
      </c>
      <c r="F1200" s="416" t="s">
        <v>565</v>
      </c>
      <c r="G1200" s="416" t="s">
        <v>2001</v>
      </c>
      <c r="H1200" s="416" t="s">
        <v>2013</v>
      </c>
      <c r="I1200" s="416" t="s">
        <v>2013</v>
      </c>
      <c r="J1200" s="415" t="s">
        <v>661</v>
      </c>
      <c r="K1200" s="417">
        <v>-4.570843</v>
      </c>
      <c r="L1200" s="417">
        <v>-80.575078000000005</v>
      </c>
      <c r="M1200" s="418">
        <v>30</v>
      </c>
      <c r="N1200" s="418" t="s">
        <v>2310</v>
      </c>
      <c r="O1200" s="418" t="s">
        <v>3407</v>
      </c>
      <c r="P1200" s="415">
        <v>4</v>
      </c>
      <c r="Q1200" s="415">
        <v>30</v>
      </c>
      <c r="R1200" s="415">
        <v>5</v>
      </c>
      <c r="S1200" s="415">
        <f t="shared" si="54"/>
        <v>5</v>
      </c>
      <c r="T1200" s="419">
        <f t="shared" si="55"/>
        <v>0.83333333333333337</v>
      </c>
      <c r="U1200" s="419">
        <f t="shared" si="56"/>
        <v>5.833333333333333</v>
      </c>
      <c r="V1200" s="415" t="s">
        <v>662</v>
      </c>
      <c r="W1200" s="415" t="s">
        <v>606</v>
      </c>
      <c r="X1200" s="415" t="s">
        <v>671</v>
      </c>
      <c r="Y1200" s="415"/>
    </row>
    <row r="1201" spans="1:25" hidden="1" x14ac:dyDescent="0.25">
      <c r="A1201" s="415">
        <v>1200</v>
      </c>
      <c r="B1201" s="415">
        <v>793</v>
      </c>
      <c r="C1201" s="415">
        <v>437025</v>
      </c>
      <c r="D1201" s="416" t="s">
        <v>2007</v>
      </c>
      <c r="E1201" s="416" t="s">
        <v>560</v>
      </c>
      <c r="F1201" s="416" t="s">
        <v>565</v>
      </c>
      <c r="G1201" s="416" t="s">
        <v>2001</v>
      </c>
      <c r="H1201" s="416" t="s">
        <v>2008</v>
      </c>
      <c r="I1201" s="416" t="s">
        <v>2008</v>
      </c>
      <c r="J1201" s="415" t="s">
        <v>661</v>
      </c>
      <c r="K1201" s="417">
        <v>-4.4769399999999999</v>
      </c>
      <c r="L1201" s="417">
        <v>-80.227234999999993</v>
      </c>
      <c r="M1201" s="418">
        <v>30</v>
      </c>
      <c r="N1201" s="418" t="s">
        <v>2310</v>
      </c>
      <c r="O1201" s="418" t="s">
        <v>3407</v>
      </c>
      <c r="P1201" s="415">
        <v>4</v>
      </c>
      <c r="Q1201" s="415">
        <v>30</v>
      </c>
      <c r="R1201" s="415">
        <v>5</v>
      </c>
      <c r="S1201" s="415">
        <f t="shared" si="54"/>
        <v>5</v>
      </c>
      <c r="T1201" s="419">
        <f t="shared" si="55"/>
        <v>0.83333333333333337</v>
      </c>
      <c r="U1201" s="419">
        <f t="shared" si="56"/>
        <v>5.833333333333333</v>
      </c>
      <c r="V1201" s="415" t="s">
        <v>662</v>
      </c>
      <c r="W1201" s="415" t="s">
        <v>606</v>
      </c>
      <c r="X1201" s="415" t="s">
        <v>671</v>
      </c>
      <c r="Y1201" s="415"/>
    </row>
    <row r="1202" spans="1:25" hidden="1" x14ac:dyDescent="0.25">
      <c r="A1202" s="415">
        <v>1201</v>
      </c>
      <c r="B1202" s="415">
        <v>794</v>
      </c>
      <c r="C1202" s="415">
        <v>437426</v>
      </c>
      <c r="D1202" s="416" t="s">
        <v>3846</v>
      </c>
      <c r="E1202" s="416" t="s">
        <v>560</v>
      </c>
      <c r="F1202" s="416" t="s">
        <v>565</v>
      </c>
      <c r="G1202" s="416" t="s">
        <v>2001</v>
      </c>
      <c r="H1202" s="416" t="s">
        <v>2001</v>
      </c>
      <c r="I1202" s="416" t="s">
        <v>1853</v>
      </c>
      <c r="J1202" s="415" t="s">
        <v>661</v>
      </c>
      <c r="K1202" s="417">
        <v>-4.6401599999999998</v>
      </c>
      <c r="L1202" s="417">
        <v>-80.549599999999998</v>
      </c>
      <c r="M1202" s="418">
        <v>30</v>
      </c>
      <c r="N1202" s="418" t="s">
        <v>2310</v>
      </c>
      <c r="O1202" s="418" t="s">
        <v>3407</v>
      </c>
      <c r="P1202" s="415">
        <v>4</v>
      </c>
      <c r="Q1202" s="415">
        <v>30</v>
      </c>
      <c r="R1202" s="415">
        <v>5</v>
      </c>
      <c r="S1202" s="415">
        <f t="shared" si="54"/>
        <v>5</v>
      </c>
      <c r="T1202" s="419">
        <f t="shared" si="55"/>
        <v>0.83333333333333337</v>
      </c>
      <c r="U1202" s="419">
        <f t="shared" si="56"/>
        <v>5.833333333333333</v>
      </c>
      <c r="V1202" s="415" t="s">
        <v>662</v>
      </c>
      <c r="W1202" s="415" t="s">
        <v>606</v>
      </c>
      <c r="X1202" s="415" t="s">
        <v>671</v>
      </c>
      <c r="Y1202" s="415"/>
    </row>
    <row r="1203" spans="1:25" hidden="1" x14ac:dyDescent="0.25">
      <c r="A1203" s="415">
        <v>1202</v>
      </c>
      <c r="B1203" s="415">
        <v>795</v>
      </c>
      <c r="C1203" s="415">
        <v>436832</v>
      </c>
      <c r="D1203" s="416" t="s">
        <v>2002</v>
      </c>
      <c r="E1203" s="416" t="s">
        <v>560</v>
      </c>
      <c r="F1203" s="416" t="s">
        <v>565</v>
      </c>
      <c r="G1203" s="416" t="s">
        <v>2001</v>
      </c>
      <c r="H1203" s="416" t="s">
        <v>2003</v>
      </c>
      <c r="I1203" s="416" t="s">
        <v>2003</v>
      </c>
      <c r="J1203" s="415" t="s">
        <v>661</v>
      </c>
      <c r="K1203" s="417">
        <v>-4.4387189999999999</v>
      </c>
      <c r="L1203" s="417">
        <v>-80.569309000000004</v>
      </c>
      <c r="M1203" s="418">
        <v>30</v>
      </c>
      <c r="N1203" s="418" t="s">
        <v>2310</v>
      </c>
      <c r="O1203" s="418" t="s">
        <v>3407</v>
      </c>
      <c r="P1203" s="415">
        <v>4</v>
      </c>
      <c r="Q1203" s="415">
        <v>30</v>
      </c>
      <c r="R1203" s="415">
        <v>5</v>
      </c>
      <c r="S1203" s="415">
        <f t="shared" si="54"/>
        <v>5</v>
      </c>
      <c r="T1203" s="419">
        <f t="shared" si="55"/>
        <v>0.83333333333333337</v>
      </c>
      <c r="U1203" s="419">
        <f t="shared" si="56"/>
        <v>5.833333333333333</v>
      </c>
      <c r="V1203" s="415" t="s">
        <v>662</v>
      </c>
      <c r="W1203" s="415" t="s">
        <v>606</v>
      </c>
      <c r="X1203" s="415" t="s">
        <v>671</v>
      </c>
      <c r="Y1203" s="415"/>
    </row>
    <row r="1204" spans="1:25" hidden="1" x14ac:dyDescent="0.25">
      <c r="A1204" s="415">
        <v>1203</v>
      </c>
      <c r="B1204" s="415">
        <v>796</v>
      </c>
      <c r="C1204" s="415">
        <v>437285</v>
      </c>
      <c r="D1204" s="416" t="s">
        <v>2009</v>
      </c>
      <c r="E1204" s="416" t="s">
        <v>560</v>
      </c>
      <c r="F1204" s="416" t="s">
        <v>565</v>
      </c>
      <c r="G1204" s="416" t="s">
        <v>2001</v>
      </c>
      <c r="H1204" s="416" t="s">
        <v>2010</v>
      </c>
      <c r="I1204" s="416" t="s">
        <v>2011</v>
      </c>
      <c r="J1204" s="415" t="s">
        <v>661</v>
      </c>
      <c r="K1204" s="417">
        <v>-4.4443609999999998</v>
      </c>
      <c r="L1204" s="417">
        <v>-80.263966999999994</v>
      </c>
      <c r="M1204" s="418">
        <v>30</v>
      </c>
      <c r="N1204" s="418" t="s">
        <v>2310</v>
      </c>
      <c r="O1204" s="418" t="s">
        <v>3407</v>
      </c>
      <c r="P1204" s="415">
        <v>4</v>
      </c>
      <c r="Q1204" s="415">
        <v>30</v>
      </c>
      <c r="R1204" s="415">
        <v>5</v>
      </c>
      <c r="S1204" s="415">
        <f t="shared" si="54"/>
        <v>5</v>
      </c>
      <c r="T1204" s="419">
        <f t="shared" si="55"/>
        <v>0.83333333333333337</v>
      </c>
      <c r="U1204" s="419">
        <f t="shared" si="56"/>
        <v>5.833333333333333</v>
      </c>
      <c r="V1204" s="415" t="s">
        <v>662</v>
      </c>
      <c r="W1204" s="415" t="s">
        <v>606</v>
      </c>
      <c r="X1204" s="415" t="s">
        <v>671</v>
      </c>
      <c r="Y1204" s="415"/>
    </row>
    <row r="1205" spans="1:25" hidden="1" x14ac:dyDescent="0.25">
      <c r="A1205" s="415">
        <v>1204</v>
      </c>
      <c r="B1205" s="415">
        <v>797</v>
      </c>
      <c r="C1205" s="415">
        <v>437638</v>
      </c>
      <c r="D1205" s="416" t="s">
        <v>2017</v>
      </c>
      <c r="E1205" s="416" t="s">
        <v>560</v>
      </c>
      <c r="F1205" s="416" t="s">
        <v>565</v>
      </c>
      <c r="G1205" s="416" t="s">
        <v>2015</v>
      </c>
      <c r="H1205" s="416" t="s">
        <v>2018</v>
      </c>
      <c r="I1205" s="416" t="s">
        <v>2018</v>
      </c>
      <c r="J1205" s="415" t="s">
        <v>661</v>
      </c>
      <c r="K1205" s="417">
        <v>-4.5020939999999996</v>
      </c>
      <c r="L1205" s="417">
        <v>-80.690713000000002</v>
      </c>
      <c r="M1205" s="418">
        <v>30</v>
      </c>
      <c r="N1205" s="418" t="s">
        <v>2310</v>
      </c>
      <c r="O1205" s="418" t="s">
        <v>3407</v>
      </c>
      <c r="P1205" s="415">
        <v>4</v>
      </c>
      <c r="Q1205" s="415">
        <v>30</v>
      </c>
      <c r="R1205" s="415">
        <v>5</v>
      </c>
      <c r="S1205" s="415">
        <f t="shared" si="54"/>
        <v>5</v>
      </c>
      <c r="T1205" s="419">
        <f t="shared" si="55"/>
        <v>0.83333333333333337</v>
      </c>
      <c r="U1205" s="419">
        <f t="shared" si="56"/>
        <v>5.833333333333333</v>
      </c>
      <c r="V1205" s="415" t="s">
        <v>662</v>
      </c>
      <c r="W1205" s="415" t="s">
        <v>606</v>
      </c>
      <c r="X1205" s="415" t="s">
        <v>671</v>
      </c>
      <c r="Y1205" s="415"/>
    </row>
    <row r="1206" spans="1:25" hidden="1" x14ac:dyDescent="0.25">
      <c r="A1206" s="415">
        <v>1205</v>
      </c>
      <c r="B1206" s="415">
        <v>798</v>
      </c>
      <c r="C1206" s="415">
        <v>437676</v>
      </c>
      <c r="D1206" s="416" t="s">
        <v>3847</v>
      </c>
      <c r="E1206" s="416" t="s">
        <v>560</v>
      </c>
      <c r="F1206" s="416" t="s">
        <v>565</v>
      </c>
      <c r="G1206" s="416" t="s">
        <v>2015</v>
      </c>
      <c r="H1206" s="416" t="s">
        <v>3848</v>
      </c>
      <c r="I1206" s="416" t="s">
        <v>3849</v>
      </c>
      <c r="J1206" s="415" t="s">
        <v>747</v>
      </c>
      <c r="K1206" s="417">
        <v>-4.8512459999999997</v>
      </c>
      <c r="L1206" s="417">
        <v>-80.782015000000001</v>
      </c>
      <c r="M1206" s="418">
        <v>30</v>
      </c>
      <c r="N1206" s="418" t="s">
        <v>2310</v>
      </c>
      <c r="O1206" s="418" t="s">
        <v>3407</v>
      </c>
      <c r="P1206" s="415">
        <v>4</v>
      </c>
      <c r="Q1206" s="415">
        <v>30</v>
      </c>
      <c r="R1206" s="415">
        <v>5</v>
      </c>
      <c r="S1206" s="415">
        <f t="shared" si="54"/>
        <v>5</v>
      </c>
      <c r="T1206" s="419">
        <f t="shared" si="55"/>
        <v>0.83333333333333337</v>
      </c>
      <c r="U1206" s="419">
        <f t="shared" si="56"/>
        <v>5.833333333333333</v>
      </c>
      <c r="V1206" s="415" t="s">
        <v>662</v>
      </c>
      <c r="W1206" s="415" t="s">
        <v>606</v>
      </c>
      <c r="X1206" s="415" t="s">
        <v>671</v>
      </c>
      <c r="Y1206" s="415"/>
    </row>
    <row r="1207" spans="1:25" hidden="1" x14ac:dyDescent="0.25">
      <c r="A1207" s="415">
        <v>1206</v>
      </c>
      <c r="B1207" s="415">
        <v>799</v>
      </c>
      <c r="C1207" s="415">
        <v>437520</v>
      </c>
      <c r="D1207" s="416" t="s">
        <v>3065</v>
      </c>
      <c r="E1207" s="416" t="s">
        <v>560</v>
      </c>
      <c r="F1207" s="416" t="s">
        <v>565</v>
      </c>
      <c r="G1207" s="416" t="s">
        <v>2015</v>
      </c>
      <c r="H1207" s="416" t="s">
        <v>3850</v>
      </c>
      <c r="I1207" s="416" t="s">
        <v>3850</v>
      </c>
      <c r="J1207" s="415" t="s">
        <v>661</v>
      </c>
      <c r="K1207" s="417">
        <v>-4.7897489999999996</v>
      </c>
      <c r="L1207" s="417">
        <v>-80.745442999999995</v>
      </c>
      <c r="M1207" s="418">
        <v>30</v>
      </c>
      <c r="N1207" s="418" t="s">
        <v>2310</v>
      </c>
      <c r="O1207" s="418" t="s">
        <v>3407</v>
      </c>
      <c r="P1207" s="415">
        <v>4</v>
      </c>
      <c r="Q1207" s="415">
        <v>30</v>
      </c>
      <c r="R1207" s="415">
        <v>5</v>
      </c>
      <c r="S1207" s="415">
        <f t="shared" si="54"/>
        <v>5</v>
      </c>
      <c r="T1207" s="419">
        <f t="shared" si="55"/>
        <v>0.83333333333333337</v>
      </c>
      <c r="U1207" s="419">
        <f t="shared" si="56"/>
        <v>5.833333333333333</v>
      </c>
      <c r="V1207" s="415" t="s">
        <v>662</v>
      </c>
      <c r="W1207" s="415" t="s">
        <v>606</v>
      </c>
      <c r="X1207" s="415" t="s">
        <v>671</v>
      </c>
      <c r="Y1207" s="415"/>
    </row>
    <row r="1208" spans="1:25" hidden="1" x14ac:dyDescent="0.25">
      <c r="A1208" s="415">
        <v>1207</v>
      </c>
      <c r="B1208" s="415">
        <v>800</v>
      </c>
      <c r="C1208" s="415">
        <v>437501</v>
      </c>
      <c r="D1208" s="416" t="s">
        <v>3851</v>
      </c>
      <c r="E1208" s="416" t="s">
        <v>560</v>
      </c>
      <c r="F1208" s="416" t="s">
        <v>565</v>
      </c>
      <c r="G1208" s="416" t="s">
        <v>2015</v>
      </c>
      <c r="H1208" s="416" t="s">
        <v>3851</v>
      </c>
      <c r="I1208" s="416" t="s">
        <v>3852</v>
      </c>
      <c r="J1208" s="415" t="s">
        <v>661</v>
      </c>
      <c r="K1208" s="417">
        <v>-4.887283</v>
      </c>
      <c r="L1208" s="417">
        <v>-80.825778</v>
      </c>
      <c r="M1208" s="418">
        <v>30</v>
      </c>
      <c r="N1208" s="418" t="s">
        <v>2310</v>
      </c>
      <c r="O1208" s="418" t="s">
        <v>3407</v>
      </c>
      <c r="P1208" s="415">
        <v>4</v>
      </c>
      <c r="Q1208" s="415">
        <v>30</v>
      </c>
      <c r="R1208" s="415">
        <v>5</v>
      </c>
      <c r="S1208" s="415">
        <f t="shared" si="54"/>
        <v>5</v>
      </c>
      <c r="T1208" s="419">
        <f t="shared" si="55"/>
        <v>0.83333333333333337</v>
      </c>
      <c r="U1208" s="419">
        <f t="shared" si="56"/>
        <v>5.833333333333333</v>
      </c>
      <c r="V1208" s="415" t="s">
        <v>662</v>
      </c>
      <c r="W1208" s="415" t="s">
        <v>606</v>
      </c>
      <c r="X1208" s="415" t="s">
        <v>671</v>
      </c>
      <c r="Y1208" s="415"/>
    </row>
    <row r="1209" spans="1:25" hidden="1" x14ac:dyDescent="0.25">
      <c r="A1209" s="415">
        <v>1208</v>
      </c>
      <c r="B1209" s="415">
        <v>801</v>
      </c>
      <c r="C1209" s="415">
        <v>437624</v>
      </c>
      <c r="D1209" s="416" t="s">
        <v>2014</v>
      </c>
      <c r="E1209" s="416" t="s">
        <v>560</v>
      </c>
      <c r="F1209" s="416" t="s">
        <v>565</v>
      </c>
      <c r="G1209" s="416" t="s">
        <v>2015</v>
      </c>
      <c r="H1209" s="416" t="s">
        <v>2016</v>
      </c>
      <c r="I1209" s="416" t="s">
        <v>2016</v>
      </c>
      <c r="J1209" s="415" t="s">
        <v>661</v>
      </c>
      <c r="K1209" s="417">
        <v>-4.8788609999999997</v>
      </c>
      <c r="L1209" s="417">
        <v>-80.739476999999994</v>
      </c>
      <c r="M1209" s="418">
        <v>30</v>
      </c>
      <c r="N1209" s="418" t="s">
        <v>2310</v>
      </c>
      <c r="O1209" s="418" t="s">
        <v>3407</v>
      </c>
      <c r="P1209" s="415">
        <v>4</v>
      </c>
      <c r="Q1209" s="415">
        <v>30</v>
      </c>
      <c r="R1209" s="415">
        <v>5</v>
      </c>
      <c r="S1209" s="415">
        <f t="shared" si="54"/>
        <v>5</v>
      </c>
      <c r="T1209" s="419">
        <f t="shared" si="55"/>
        <v>0.83333333333333337</v>
      </c>
      <c r="U1209" s="419">
        <f t="shared" si="56"/>
        <v>5.833333333333333</v>
      </c>
      <c r="V1209" s="415" t="s">
        <v>662</v>
      </c>
      <c r="W1209" s="415" t="s">
        <v>606</v>
      </c>
      <c r="X1209" s="415" t="s">
        <v>671</v>
      </c>
      <c r="Y1209" s="415"/>
    </row>
    <row r="1210" spans="1:25" hidden="1" x14ac:dyDescent="0.25">
      <c r="A1210" s="415">
        <v>1209</v>
      </c>
      <c r="B1210" s="415">
        <v>802</v>
      </c>
      <c r="C1210" s="415">
        <v>437775</v>
      </c>
      <c r="D1210" s="416" t="s">
        <v>3853</v>
      </c>
      <c r="E1210" s="416" t="s">
        <v>560</v>
      </c>
      <c r="F1210" s="416" t="s">
        <v>565</v>
      </c>
      <c r="G1210" s="416" t="s">
        <v>3854</v>
      </c>
      <c r="H1210" s="416" t="s">
        <v>3855</v>
      </c>
      <c r="I1210" s="416" t="s">
        <v>3856</v>
      </c>
      <c r="J1210" s="415" t="s">
        <v>747</v>
      </c>
      <c r="K1210" s="417">
        <v>-4.9043020000000004</v>
      </c>
      <c r="L1210" s="417">
        <v>-80.748142999999999</v>
      </c>
      <c r="M1210" s="418">
        <v>30</v>
      </c>
      <c r="N1210" s="418" t="s">
        <v>2310</v>
      </c>
      <c r="O1210" s="418" t="s">
        <v>3407</v>
      </c>
      <c r="P1210" s="415">
        <v>4</v>
      </c>
      <c r="Q1210" s="415">
        <v>30</v>
      </c>
      <c r="R1210" s="415">
        <v>5</v>
      </c>
      <c r="S1210" s="415">
        <f t="shared" si="54"/>
        <v>5</v>
      </c>
      <c r="T1210" s="419">
        <f t="shared" si="55"/>
        <v>0.83333333333333337</v>
      </c>
      <c r="U1210" s="419">
        <f t="shared" si="56"/>
        <v>5.833333333333333</v>
      </c>
      <c r="V1210" s="415" t="s">
        <v>662</v>
      </c>
      <c r="W1210" s="415" t="s">
        <v>606</v>
      </c>
      <c r="X1210" s="415" t="s">
        <v>671</v>
      </c>
      <c r="Y1210" s="415"/>
    </row>
    <row r="1211" spans="1:25" hidden="1" x14ac:dyDescent="0.25">
      <c r="A1211" s="415">
        <v>1210</v>
      </c>
      <c r="B1211" s="415">
        <v>803</v>
      </c>
      <c r="C1211" s="415">
        <v>438119</v>
      </c>
      <c r="D1211" s="416" t="s">
        <v>2019</v>
      </c>
      <c r="E1211" s="416" t="s">
        <v>560</v>
      </c>
      <c r="F1211" s="416" t="s">
        <v>565</v>
      </c>
      <c r="G1211" s="416" t="s">
        <v>2020</v>
      </c>
      <c r="H1211" s="416" t="s">
        <v>2021</v>
      </c>
      <c r="I1211" s="416" t="s">
        <v>2021</v>
      </c>
      <c r="J1211" s="415" t="s">
        <v>661</v>
      </c>
      <c r="K1211" s="417">
        <v>-4.8040079999999996</v>
      </c>
      <c r="L1211" s="417">
        <v>-80.647425999999996</v>
      </c>
      <c r="M1211" s="418">
        <v>30</v>
      </c>
      <c r="N1211" s="418" t="s">
        <v>2310</v>
      </c>
      <c r="O1211" s="418" t="s">
        <v>3407</v>
      </c>
      <c r="P1211" s="415">
        <v>4</v>
      </c>
      <c r="Q1211" s="415">
        <v>30</v>
      </c>
      <c r="R1211" s="415">
        <v>5</v>
      </c>
      <c r="S1211" s="415">
        <f t="shared" si="54"/>
        <v>5</v>
      </c>
      <c r="T1211" s="419">
        <f t="shared" si="55"/>
        <v>0.83333333333333337</v>
      </c>
      <c r="U1211" s="419">
        <f t="shared" si="56"/>
        <v>5.833333333333333</v>
      </c>
      <c r="V1211" s="415" t="s">
        <v>662</v>
      </c>
      <c r="W1211" s="415" t="s">
        <v>606</v>
      </c>
      <c r="X1211" s="415" t="s">
        <v>671</v>
      </c>
      <c r="Y1211" s="415"/>
    </row>
    <row r="1212" spans="1:25" hidden="1" x14ac:dyDescent="0.25">
      <c r="A1212" s="415">
        <v>1211</v>
      </c>
      <c r="B1212" s="415">
        <v>804</v>
      </c>
      <c r="C1212" s="415">
        <v>438176</v>
      </c>
      <c r="D1212" s="416" t="s">
        <v>3857</v>
      </c>
      <c r="E1212" s="416" t="s">
        <v>560</v>
      </c>
      <c r="F1212" s="416" t="s">
        <v>565</v>
      </c>
      <c r="G1212" s="416" t="s">
        <v>2020</v>
      </c>
      <c r="H1212" s="416" t="s">
        <v>3858</v>
      </c>
      <c r="I1212" s="416" t="s">
        <v>3858</v>
      </c>
      <c r="J1212" s="415" t="s">
        <v>661</v>
      </c>
      <c r="K1212" s="417">
        <v>-4.8071820000000001</v>
      </c>
      <c r="L1212" s="417">
        <v>-80.637477000000004</v>
      </c>
      <c r="M1212" s="418">
        <v>30</v>
      </c>
      <c r="N1212" s="418" t="s">
        <v>2310</v>
      </c>
      <c r="O1212" s="418" t="s">
        <v>3407</v>
      </c>
      <c r="P1212" s="415">
        <v>4</v>
      </c>
      <c r="Q1212" s="415">
        <v>30</v>
      </c>
      <c r="R1212" s="415">
        <v>5</v>
      </c>
      <c r="S1212" s="415">
        <f t="shared" si="54"/>
        <v>5</v>
      </c>
      <c r="T1212" s="419">
        <f t="shared" si="55"/>
        <v>0.83333333333333337</v>
      </c>
      <c r="U1212" s="419">
        <f t="shared" si="56"/>
        <v>5.833333333333333</v>
      </c>
      <c r="V1212" s="415" t="s">
        <v>662</v>
      </c>
      <c r="W1212" s="415" t="s">
        <v>606</v>
      </c>
      <c r="X1212" s="415" t="s">
        <v>671</v>
      </c>
      <c r="Y1212" s="415"/>
    </row>
    <row r="1213" spans="1:25" hidden="1" x14ac:dyDescent="0.25">
      <c r="A1213" s="415">
        <v>1212</v>
      </c>
      <c r="B1213" s="415">
        <v>805</v>
      </c>
      <c r="C1213" s="415">
        <v>438162</v>
      </c>
      <c r="D1213" s="416" t="s">
        <v>3859</v>
      </c>
      <c r="E1213" s="416" t="s">
        <v>560</v>
      </c>
      <c r="F1213" s="416" t="s">
        <v>565</v>
      </c>
      <c r="G1213" s="416" t="s">
        <v>2020</v>
      </c>
      <c r="H1213" s="416" t="s">
        <v>1078</v>
      </c>
      <c r="I1213" s="416" t="s">
        <v>1078</v>
      </c>
      <c r="J1213" s="415" t="s">
        <v>661</v>
      </c>
      <c r="K1213" s="417">
        <v>-4.7414680000000002</v>
      </c>
      <c r="L1213" s="417">
        <v>-80.580213000000001</v>
      </c>
      <c r="M1213" s="418">
        <v>30</v>
      </c>
      <c r="N1213" s="418" t="s">
        <v>2310</v>
      </c>
      <c r="O1213" s="418" t="s">
        <v>3407</v>
      </c>
      <c r="P1213" s="415">
        <v>4</v>
      </c>
      <c r="Q1213" s="415">
        <v>30</v>
      </c>
      <c r="R1213" s="415">
        <v>5</v>
      </c>
      <c r="S1213" s="415">
        <f t="shared" si="54"/>
        <v>5</v>
      </c>
      <c r="T1213" s="419">
        <f t="shared" si="55"/>
        <v>0.83333333333333337</v>
      </c>
      <c r="U1213" s="419">
        <f t="shared" si="56"/>
        <v>5.833333333333333</v>
      </c>
      <c r="V1213" s="415" t="s">
        <v>662</v>
      </c>
      <c r="W1213" s="415" t="s">
        <v>606</v>
      </c>
      <c r="X1213" s="415" t="s">
        <v>671</v>
      </c>
      <c r="Y1213" s="415"/>
    </row>
    <row r="1214" spans="1:25" hidden="1" x14ac:dyDescent="0.25">
      <c r="A1214" s="415">
        <v>1213</v>
      </c>
      <c r="B1214" s="415">
        <v>806</v>
      </c>
      <c r="C1214" s="415">
        <v>438261</v>
      </c>
      <c r="D1214" s="416" t="s">
        <v>2022</v>
      </c>
      <c r="E1214" s="416" t="s">
        <v>560</v>
      </c>
      <c r="F1214" s="416" t="s">
        <v>565</v>
      </c>
      <c r="G1214" s="416" t="s">
        <v>1987</v>
      </c>
      <c r="H1214" s="416" t="s">
        <v>707</v>
      </c>
      <c r="I1214" s="416" t="s">
        <v>707</v>
      </c>
      <c r="J1214" s="415" t="s">
        <v>661</v>
      </c>
      <c r="K1214" s="417">
        <v>-4.8412160000000002</v>
      </c>
      <c r="L1214" s="417">
        <v>-80.690898000000004</v>
      </c>
      <c r="M1214" s="418">
        <v>30</v>
      </c>
      <c r="N1214" s="418" t="s">
        <v>2310</v>
      </c>
      <c r="O1214" s="418" t="s">
        <v>3407</v>
      </c>
      <c r="P1214" s="415">
        <v>4</v>
      </c>
      <c r="Q1214" s="415">
        <v>30</v>
      </c>
      <c r="R1214" s="415">
        <v>5</v>
      </c>
      <c r="S1214" s="415">
        <f t="shared" si="54"/>
        <v>5</v>
      </c>
      <c r="T1214" s="419">
        <f t="shared" si="55"/>
        <v>0.83333333333333337</v>
      </c>
      <c r="U1214" s="419">
        <f t="shared" si="56"/>
        <v>5.833333333333333</v>
      </c>
      <c r="V1214" s="415" t="s">
        <v>662</v>
      </c>
      <c r="W1214" s="415" t="s">
        <v>606</v>
      </c>
      <c r="X1214" s="415" t="s">
        <v>671</v>
      </c>
      <c r="Y1214" s="415"/>
    </row>
    <row r="1215" spans="1:25" hidden="1" x14ac:dyDescent="0.25">
      <c r="A1215" s="415">
        <v>1214</v>
      </c>
      <c r="B1215" s="415">
        <v>807</v>
      </c>
      <c r="C1215" s="415">
        <v>435564</v>
      </c>
      <c r="D1215" s="416" t="s">
        <v>3860</v>
      </c>
      <c r="E1215" s="416" t="s">
        <v>560</v>
      </c>
      <c r="F1215" s="416" t="s">
        <v>565</v>
      </c>
      <c r="G1215" s="416" t="s">
        <v>565</v>
      </c>
      <c r="H1215" s="416" t="s">
        <v>565</v>
      </c>
      <c r="I1215" s="416" t="s">
        <v>3861</v>
      </c>
      <c r="J1215" s="415" t="s">
        <v>747</v>
      </c>
      <c r="K1215" s="417">
        <v>-4.9279999999999999</v>
      </c>
      <c r="L1215" s="417">
        <v>-80.662599999999998</v>
      </c>
      <c r="M1215" s="418">
        <v>30</v>
      </c>
      <c r="N1215" s="418" t="s">
        <v>2310</v>
      </c>
      <c r="O1215" s="418" t="s">
        <v>3407</v>
      </c>
      <c r="P1215" s="415">
        <v>4</v>
      </c>
      <c r="Q1215" s="415">
        <v>30</v>
      </c>
      <c r="R1215" s="415">
        <v>5</v>
      </c>
      <c r="S1215" s="415">
        <f t="shared" si="54"/>
        <v>5</v>
      </c>
      <c r="T1215" s="419">
        <f t="shared" si="55"/>
        <v>0.83333333333333337</v>
      </c>
      <c r="U1215" s="419">
        <f t="shared" si="56"/>
        <v>5.833333333333333</v>
      </c>
      <c r="V1215" s="415" t="s">
        <v>662</v>
      </c>
      <c r="W1215" s="415" t="s">
        <v>606</v>
      </c>
      <c r="X1215" s="415" t="s">
        <v>671</v>
      </c>
      <c r="Y1215" s="415"/>
    </row>
    <row r="1216" spans="1:25" hidden="1" x14ac:dyDescent="0.25">
      <c r="A1216" s="415">
        <v>1215</v>
      </c>
      <c r="B1216" s="415">
        <v>808</v>
      </c>
      <c r="C1216" s="415">
        <v>438317</v>
      </c>
      <c r="D1216" s="416" t="s">
        <v>3862</v>
      </c>
      <c r="E1216" s="416" t="s">
        <v>560</v>
      </c>
      <c r="F1216" s="416" t="s">
        <v>566</v>
      </c>
      <c r="G1216" s="416" t="s">
        <v>3863</v>
      </c>
      <c r="H1216" s="416" t="s">
        <v>566</v>
      </c>
      <c r="I1216" s="416" t="s">
        <v>3864</v>
      </c>
      <c r="J1216" s="415" t="s">
        <v>747</v>
      </c>
      <c r="K1216" s="417">
        <v>-4.5798899999999998</v>
      </c>
      <c r="L1216" s="417">
        <v>-81.260980000000004</v>
      </c>
      <c r="M1216" s="418">
        <v>30</v>
      </c>
      <c r="N1216" s="418" t="s">
        <v>2310</v>
      </c>
      <c r="O1216" s="418" t="s">
        <v>3407</v>
      </c>
      <c r="P1216" s="415">
        <v>4</v>
      </c>
      <c r="Q1216" s="415">
        <v>30</v>
      </c>
      <c r="R1216" s="415">
        <v>5</v>
      </c>
      <c r="S1216" s="415">
        <f t="shared" si="54"/>
        <v>5</v>
      </c>
      <c r="T1216" s="419">
        <f t="shared" si="55"/>
        <v>0.83333333333333337</v>
      </c>
      <c r="U1216" s="419">
        <f t="shared" si="56"/>
        <v>5.833333333333333</v>
      </c>
      <c r="V1216" s="415" t="s">
        <v>662</v>
      </c>
      <c r="W1216" s="415" t="s">
        <v>606</v>
      </c>
      <c r="X1216" s="415" t="s">
        <v>671</v>
      </c>
      <c r="Y1216" s="415"/>
    </row>
    <row r="1217" spans="1:25" hidden="1" x14ac:dyDescent="0.25">
      <c r="A1217" s="415">
        <v>1216</v>
      </c>
      <c r="B1217" s="415">
        <v>809</v>
      </c>
      <c r="C1217" s="415">
        <v>492045</v>
      </c>
      <c r="D1217" s="416" t="s">
        <v>3865</v>
      </c>
      <c r="E1217" s="416" t="s">
        <v>2161</v>
      </c>
      <c r="F1217" s="416" t="s">
        <v>2166</v>
      </c>
      <c r="G1217" s="416" t="s">
        <v>2167</v>
      </c>
      <c r="H1217" s="416" t="s">
        <v>3866</v>
      </c>
      <c r="I1217" s="416" t="s">
        <v>2279</v>
      </c>
      <c r="J1217" s="415" t="s">
        <v>747</v>
      </c>
      <c r="K1217" s="417">
        <v>-3.9478</v>
      </c>
      <c r="L1217" s="417">
        <v>-80.937799999999996</v>
      </c>
      <c r="M1217" s="418">
        <v>30</v>
      </c>
      <c r="N1217" s="418" t="s">
        <v>2310</v>
      </c>
      <c r="O1217" s="418" t="s">
        <v>3407</v>
      </c>
      <c r="P1217" s="415">
        <v>4</v>
      </c>
      <c r="Q1217" s="415">
        <v>30</v>
      </c>
      <c r="R1217" s="415">
        <v>5</v>
      </c>
      <c r="S1217" s="415">
        <f t="shared" si="54"/>
        <v>5</v>
      </c>
      <c r="T1217" s="419">
        <f t="shared" si="55"/>
        <v>0.83333333333333337</v>
      </c>
      <c r="U1217" s="419">
        <f t="shared" si="56"/>
        <v>5.833333333333333</v>
      </c>
      <c r="V1217" s="415" t="s">
        <v>662</v>
      </c>
      <c r="W1217" s="415" t="s">
        <v>606</v>
      </c>
      <c r="X1217" s="415" t="s">
        <v>671</v>
      </c>
      <c r="Y1217" s="415"/>
    </row>
    <row r="1218" spans="1:25" hidden="1" x14ac:dyDescent="0.25">
      <c r="A1218" s="415">
        <v>1217</v>
      </c>
      <c r="B1218" s="415">
        <v>810</v>
      </c>
      <c r="C1218" s="415">
        <v>492173</v>
      </c>
      <c r="D1218" s="416" t="s">
        <v>672</v>
      </c>
      <c r="E1218" s="416" t="s">
        <v>2161</v>
      </c>
      <c r="F1218" s="416" t="s">
        <v>2166</v>
      </c>
      <c r="G1218" s="416" t="s">
        <v>2167</v>
      </c>
      <c r="H1218" s="416" t="s">
        <v>3866</v>
      </c>
      <c r="I1218" s="416" t="s">
        <v>2279</v>
      </c>
      <c r="J1218" s="415" t="s">
        <v>747</v>
      </c>
      <c r="K1218" s="417">
        <v>-3.9456129999999998</v>
      </c>
      <c r="L1218" s="417">
        <v>-80.937372999999994</v>
      </c>
      <c r="M1218" s="418">
        <v>30</v>
      </c>
      <c r="N1218" s="418" t="s">
        <v>2310</v>
      </c>
      <c r="O1218" s="418" t="s">
        <v>3407</v>
      </c>
      <c r="P1218" s="415">
        <v>4</v>
      </c>
      <c r="Q1218" s="415">
        <v>30</v>
      </c>
      <c r="R1218" s="415">
        <v>5</v>
      </c>
      <c r="S1218" s="415">
        <f t="shared" si="54"/>
        <v>5</v>
      </c>
      <c r="T1218" s="419">
        <f t="shared" si="55"/>
        <v>0.83333333333333337</v>
      </c>
      <c r="U1218" s="419">
        <f t="shared" si="56"/>
        <v>5.833333333333333</v>
      </c>
      <c r="V1218" s="415" t="s">
        <v>662</v>
      </c>
      <c r="W1218" s="415" t="s">
        <v>606</v>
      </c>
      <c r="X1218" s="415" t="s">
        <v>671</v>
      </c>
      <c r="Y1218" s="415"/>
    </row>
    <row r="1219" spans="1:25" hidden="1" x14ac:dyDescent="0.25">
      <c r="A1219" s="415">
        <v>1218</v>
      </c>
      <c r="B1219" s="415">
        <v>811</v>
      </c>
      <c r="C1219" s="415">
        <v>492125</v>
      </c>
      <c r="D1219" s="416" t="s">
        <v>2169</v>
      </c>
      <c r="E1219" s="416" t="s">
        <v>2161</v>
      </c>
      <c r="F1219" s="416" t="s">
        <v>2166</v>
      </c>
      <c r="G1219" s="416" t="s">
        <v>2167</v>
      </c>
      <c r="H1219" s="416" t="s">
        <v>2170</v>
      </c>
      <c r="I1219" s="416" t="s">
        <v>472</v>
      </c>
      <c r="J1219" s="415" t="s">
        <v>661</v>
      </c>
      <c r="K1219" s="417">
        <v>-4.1868999999999996</v>
      </c>
      <c r="L1219" s="417">
        <v>-80.860500000000002</v>
      </c>
      <c r="M1219" s="418">
        <v>30</v>
      </c>
      <c r="N1219" s="418" t="s">
        <v>2310</v>
      </c>
      <c r="O1219" s="418" t="s">
        <v>3407</v>
      </c>
      <c r="P1219" s="415">
        <v>4</v>
      </c>
      <c r="Q1219" s="415">
        <v>30</v>
      </c>
      <c r="R1219" s="415">
        <v>5</v>
      </c>
      <c r="S1219" s="415">
        <f t="shared" ref="S1219:S1230" si="57">Q1219/$AB$1</f>
        <v>5</v>
      </c>
      <c r="T1219" s="419">
        <f t="shared" ref="T1219:T1230" si="58">R1219/$AB$1</f>
        <v>0.83333333333333337</v>
      </c>
      <c r="U1219" s="419">
        <f t="shared" ref="U1219:U1230" si="59">S1219+T1219</f>
        <v>5.833333333333333</v>
      </c>
      <c r="V1219" s="415" t="s">
        <v>662</v>
      </c>
      <c r="W1219" s="415" t="s">
        <v>606</v>
      </c>
      <c r="X1219" s="415" t="s">
        <v>671</v>
      </c>
      <c r="Y1219" s="415"/>
    </row>
    <row r="1220" spans="1:25" hidden="1" x14ac:dyDescent="0.25">
      <c r="A1220" s="415">
        <v>1219</v>
      </c>
      <c r="B1220" s="415">
        <v>812</v>
      </c>
      <c r="C1220" s="415">
        <v>492031</v>
      </c>
      <c r="D1220" s="416" t="s">
        <v>2165</v>
      </c>
      <c r="E1220" s="416" t="s">
        <v>2161</v>
      </c>
      <c r="F1220" s="416" t="s">
        <v>2166</v>
      </c>
      <c r="G1220" s="416" t="s">
        <v>2167</v>
      </c>
      <c r="H1220" s="416" t="s">
        <v>2168</v>
      </c>
      <c r="I1220" s="416" t="s">
        <v>2168</v>
      </c>
      <c r="J1220" s="415" t="s">
        <v>661</v>
      </c>
      <c r="K1220" s="417">
        <v>-4.0571000000000002</v>
      </c>
      <c r="L1220" s="417">
        <v>-80.896799999999999</v>
      </c>
      <c r="M1220" s="418">
        <v>30</v>
      </c>
      <c r="N1220" s="418" t="s">
        <v>2310</v>
      </c>
      <c r="O1220" s="418" t="s">
        <v>3407</v>
      </c>
      <c r="P1220" s="415">
        <v>4</v>
      </c>
      <c r="Q1220" s="415">
        <v>30</v>
      </c>
      <c r="R1220" s="415">
        <v>5</v>
      </c>
      <c r="S1220" s="415">
        <f t="shared" si="57"/>
        <v>5</v>
      </c>
      <c r="T1220" s="419">
        <f t="shared" si="58"/>
        <v>0.83333333333333337</v>
      </c>
      <c r="U1220" s="419">
        <f t="shared" si="59"/>
        <v>5.833333333333333</v>
      </c>
      <c r="V1220" s="415" t="s">
        <v>662</v>
      </c>
      <c r="W1220" s="415" t="s">
        <v>606</v>
      </c>
      <c r="X1220" s="415" t="s">
        <v>671</v>
      </c>
      <c r="Y1220" s="415"/>
    </row>
    <row r="1221" spans="1:25" hidden="1" x14ac:dyDescent="0.25">
      <c r="A1221" s="415">
        <v>1220</v>
      </c>
      <c r="B1221" s="415">
        <v>813</v>
      </c>
      <c r="C1221" s="415">
        <v>492489</v>
      </c>
      <c r="D1221" s="416" t="s">
        <v>1958</v>
      </c>
      <c r="E1221" s="416" t="s">
        <v>2161</v>
      </c>
      <c r="F1221" s="416" t="s">
        <v>2166</v>
      </c>
      <c r="G1221" s="416" t="s">
        <v>2171</v>
      </c>
      <c r="H1221" s="416" t="s">
        <v>2172</v>
      </c>
      <c r="I1221" s="416" t="s">
        <v>2172</v>
      </c>
      <c r="J1221" s="415" t="s">
        <v>661</v>
      </c>
      <c r="K1221" s="417">
        <v>-3.9390999999999998</v>
      </c>
      <c r="L1221" s="417">
        <v>-80.652100000000004</v>
      </c>
      <c r="M1221" s="418">
        <v>30</v>
      </c>
      <c r="N1221" s="418" t="s">
        <v>2310</v>
      </c>
      <c r="O1221" s="418" t="s">
        <v>3407</v>
      </c>
      <c r="P1221" s="415">
        <v>4</v>
      </c>
      <c r="Q1221" s="415">
        <v>30</v>
      </c>
      <c r="R1221" s="415">
        <v>5</v>
      </c>
      <c r="S1221" s="415">
        <f t="shared" si="57"/>
        <v>5</v>
      </c>
      <c r="T1221" s="419">
        <f t="shared" si="58"/>
        <v>0.83333333333333337</v>
      </c>
      <c r="U1221" s="419">
        <f t="shared" si="59"/>
        <v>5.833333333333333</v>
      </c>
      <c r="V1221" s="415" t="s">
        <v>662</v>
      </c>
      <c r="W1221" s="415" t="s">
        <v>606</v>
      </c>
      <c r="X1221" s="415" t="s">
        <v>671</v>
      </c>
      <c r="Y1221" s="415"/>
    </row>
    <row r="1222" spans="1:25" hidden="1" x14ac:dyDescent="0.25">
      <c r="A1222" s="415">
        <v>1221</v>
      </c>
      <c r="B1222" s="415">
        <v>814</v>
      </c>
      <c r="C1222" s="415">
        <v>491630</v>
      </c>
      <c r="D1222" s="416" t="s">
        <v>3867</v>
      </c>
      <c r="E1222" s="416" t="s">
        <v>2161</v>
      </c>
      <c r="F1222" s="416" t="s">
        <v>2161</v>
      </c>
      <c r="G1222" s="416" t="s">
        <v>1734</v>
      </c>
      <c r="H1222" s="416" t="s">
        <v>3868</v>
      </c>
      <c r="I1222" s="416" t="s">
        <v>3869</v>
      </c>
      <c r="J1222" s="415" t="s">
        <v>747</v>
      </c>
      <c r="K1222" s="417">
        <v>-3.6327690000000001</v>
      </c>
      <c r="L1222" s="417">
        <v>-80.463167999999996</v>
      </c>
      <c r="M1222" s="418">
        <v>30</v>
      </c>
      <c r="N1222" s="418" t="s">
        <v>2310</v>
      </c>
      <c r="O1222" s="418" t="s">
        <v>3407</v>
      </c>
      <c r="P1222" s="415">
        <v>4</v>
      </c>
      <c r="Q1222" s="415">
        <v>30</v>
      </c>
      <c r="R1222" s="415">
        <v>5</v>
      </c>
      <c r="S1222" s="415">
        <f t="shared" si="57"/>
        <v>5</v>
      </c>
      <c r="T1222" s="419">
        <f t="shared" si="58"/>
        <v>0.83333333333333337</v>
      </c>
      <c r="U1222" s="419">
        <f t="shared" si="59"/>
        <v>5.833333333333333</v>
      </c>
      <c r="V1222" s="415" t="s">
        <v>662</v>
      </c>
      <c r="W1222" s="415" t="s">
        <v>606</v>
      </c>
      <c r="X1222" s="415" t="s">
        <v>671</v>
      </c>
      <c r="Y1222" s="415"/>
    </row>
    <row r="1223" spans="1:25" hidden="1" x14ac:dyDescent="0.25">
      <c r="A1223" s="415">
        <v>1222</v>
      </c>
      <c r="B1223" s="415">
        <v>815</v>
      </c>
      <c r="C1223" s="415">
        <v>490942</v>
      </c>
      <c r="D1223" s="416" t="s">
        <v>3870</v>
      </c>
      <c r="E1223" s="416" t="s">
        <v>2161</v>
      </c>
      <c r="F1223" s="416" t="s">
        <v>2161</v>
      </c>
      <c r="G1223" s="416" t="s">
        <v>1734</v>
      </c>
      <c r="H1223" s="416" t="s">
        <v>3871</v>
      </c>
      <c r="I1223" s="416" t="s">
        <v>3872</v>
      </c>
      <c r="J1223" s="415" t="s">
        <v>747</v>
      </c>
      <c r="K1223" s="417">
        <v>-3.6240000000000001</v>
      </c>
      <c r="L1223" s="417">
        <v>-80.467699999999994</v>
      </c>
      <c r="M1223" s="418">
        <v>30</v>
      </c>
      <c r="N1223" s="418" t="s">
        <v>2310</v>
      </c>
      <c r="O1223" s="418" t="s">
        <v>3407</v>
      </c>
      <c r="P1223" s="415">
        <v>4</v>
      </c>
      <c r="Q1223" s="415">
        <v>30</v>
      </c>
      <c r="R1223" s="415">
        <v>5</v>
      </c>
      <c r="S1223" s="415">
        <f t="shared" si="57"/>
        <v>5</v>
      </c>
      <c r="T1223" s="419">
        <f t="shared" si="58"/>
        <v>0.83333333333333337</v>
      </c>
      <c r="U1223" s="419">
        <f t="shared" si="59"/>
        <v>5.833333333333333</v>
      </c>
      <c r="V1223" s="415" t="s">
        <v>662</v>
      </c>
      <c r="W1223" s="415" t="s">
        <v>606</v>
      </c>
      <c r="X1223" s="415" t="s">
        <v>671</v>
      </c>
      <c r="Y1223" s="415"/>
    </row>
    <row r="1224" spans="1:25" hidden="1" x14ac:dyDescent="0.25">
      <c r="A1224" s="415">
        <v>1223</v>
      </c>
      <c r="B1224" s="415">
        <v>816</v>
      </c>
      <c r="C1224" s="415">
        <v>491324</v>
      </c>
      <c r="D1224" s="416" t="s">
        <v>3873</v>
      </c>
      <c r="E1224" s="416" t="s">
        <v>2161</v>
      </c>
      <c r="F1224" s="416" t="s">
        <v>2161</v>
      </c>
      <c r="G1224" s="416" t="s">
        <v>2163</v>
      </c>
      <c r="H1224" s="416" t="s">
        <v>1916</v>
      </c>
      <c r="I1224" s="416" t="s">
        <v>3874</v>
      </c>
      <c r="J1224" s="415" t="s">
        <v>661</v>
      </c>
      <c r="K1224" s="417">
        <v>-3.716634</v>
      </c>
      <c r="L1224" s="417">
        <v>-80.440628000000004</v>
      </c>
      <c r="M1224" s="418">
        <v>30</v>
      </c>
      <c r="N1224" s="418" t="s">
        <v>2310</v>
      </c>
      <c r="O1224" s="418" t="s">
        <v>3407</v>
      </c>
      <c r="P1224" s="415">
        <v>4</v>
      </c>
      <c r="Q1224" s="415">
        <v>30</v>
      </c>
      <c r="R1224" s="415">
        <v>5</v>
      </c>
      <c r="S1224" s="415">
        <f t="shared" si="57"/>
        <v>5</v>
      </c>
      <c r="T1224" s="419">
        <f t="shared" si="58"/>
        <v>0.83333333333333337</v>
      </c>
      <c r="U1224" s="419">
        <f t="shared" si="59"/>
        <v>5.833333333333333</v>
      </c>
      <c r="V1224" s="415" t="s">
        <v>662</v>
      </c>
      <c r="W1224" s="415" t="s">
        <v>606</v>
      </c>
      <c r="X1224" s="415" t="s">
        <v>671</v>
      </c>
      <c r="Y1224" s="415"/>
    </row>
    <row r="1225" spans="1:25" hidden="1" x14ac:dyDescent="0.25">
      <c r="A1225" s="415">
        <v>1224</v>
      </c>
      <c r="B1225" s="415">
        <v>817</v>
      </c>
      <c r="C1225" s="415">
        <v>491376</v>
      </c>
      <c r="D1225" s="416" t="s">
        <v>3875</v>
      </c>
      <c r="E1225" s="416" t="s">
        <v>2161</v>
      </c>
      <c r="F1225" s="416" t="s">
        <v>2161</v>
      </c>
      <c r="G1225" s="416" t="s">
        <v>2163</v>
      </c>
      <c r="H1225" s="416" t="s">
        <v>3876</v>
      </c>
      <c r="I1225" s="416" t="s">
        <v>3877</v>
      </c>
      <c r="J1225" s="415" t="s">
        <v>661</v>
      </c>
      <c r="K1225" s="417">
        <v>-3.7263999999999999</v>
      </c>
      <c r="L1225" s="417">
        <v>-80.442599999999999</v>
      </c>
      <c r="M1225" s="418">
        <v>30</v>
      </c>
      <c r="N1225" s="418" t="s">
        <v>2310</v>
      </c>
      <c r="O1225" s="418" t="s">
        <v>3407</v>
      </c>
      <c r="P1225" s="415">
        <v>4</v>
      </c>
      <c r="Q1225" s="415">
        <v>30</v>
      </c>
      <c r="R1225" s="415">
        <v>5</v>
      </c>
      <c r="S1225" s="415">
        <f t="shared" si="57"/>
        <v>5</v>
      </c>
      <c r="T1225" s="419">
        <f t="shared" si="58"/>
        <v>0.83333333333333337</v>
      </c>
      <c r="U1225" s="419">
        <f t="shared" si="59"/>
        <v>5.833333333333333</v>
      </c>
      <c r="V1225" s="415" t="s">
        <v>662</v>
      </c>
      <c r="W1225" s="415" t="s">
        <v>606</v>
      </c>
      <c r="X1225" s="415" t="s">
        <v>671</v>
      </c>
      <c r="Y1225" s="415"/>
    </row>
    <row r="1226" spans="1:25" hidden="1" x14ac:dyDescent="0.25">
      <c r="A1226" s="415">
        <v>1225</v>
      </c>
      <c r="B1226" s="415">
        <v>818</v>
      </c>
      <c r="C1226" s="415">
        <v>491277</v>
      </c>
      <c r="D1226" s="416" t="s">
        <v>3878</v>
      </c>
      <c r="E1226" s="416" t="s">
        <v>2161</v>
      </c>
      <c r="F1226" s="416" t="s">
        <v>2161</v>
      </c>
      <c r="G1226" s="416" t="s">
        <v>2163</v>
      </c>
      <c r="H1226" s="416" t="s">
        <v>3879</v>
      </c>
      <c r="I1226" s="416" t="s">
        <v>3880</v>
      </c>
      <c r="J1226" s="415" t="s">
        <v>661</v>
      </c>
      <c r="K1226" s="417">
        <v>-3.7273999999999998</v>
      </c>
      <c r="L1226" s="417">
        <v>-80.427800000000005</v>
      </c>
      <c r="M1226" s="418">
        <v>30</v>
      </c>
      <c r="N1226" s="418" t="s">
        <v>2310</v>
      </c>
      <c r="O1226" s="418" t="s">
        <v>3407</v>
      </c>
      <c r="P1226" s="415">
        <v>4</v>
      </c>
      <c r="Q1226" s="415">
        <v>30</v>
      </c>
      <c r="R1226" s="415">
        <v>5</v>
      </c>
      <c r="S1226" s="415">
        <f t="shared" si="57"/>
        <v>5</v>
      </c>
      <c r="T1226" s="419">
        <f t="shared" si="58"/>
        <v>0.83333333333333337</v>
      </c>
      <c r="U1226" s="419">
        <f t="shared" si="59"/>
        <v>5.833333333333333</v>
      </c>
      <c r="V1226" s="415" t="s">
        <v>662</v>
      </c>
      <c r="W1226" s="415" t="s">
        <v>606</v>
      </c>
      <c r="X1226" s="415" t="s">
        <v>671</v>
      </c>
      <c r="Y1226" s="415"/>
    </row>
    <row r="1227" spans="1:25" hidden="1" x14ac:dyDescent="0.25">
      <c r="A1227" s="415">
        <v>1226</v>
      </c>
      <c r="B1227" s="415">
        <v>819</v>
      </c>
      <c r="C1227" s="415">
        <v>491362</v>
      </c>
      <c r="D1227" s="416" t="s">
        <v>2162</v>
      </c>
      <c r="E1227" s="416" t="s">
        <v>2161</v>
      </c>
      <c r="F1227" s="416" t="s">
        <v>2161</v>
      </c>
      <c r="G1227" s="416" t="s">
        <v>2163</v>
      </c>
      <c r="H1227" s="416" t="s">
        <v>674</v>
      </c>
      <c r="I1227" s="416" t="s">
        <v>2164</v>
      </c>
      <c r="J1227" s="415" t="s">
        <v>661</v>
      </c>
      <c r="K1227" s="417">
        <v>-3.6825540000000001</v>
      </c>
      <c r="L1227" s="417">
        <v>-80.434700000000007</v>
      </c>
      <c r="M1227" s="418">
        <v>30</v>
      </c>
      <c r="N1227" s="418" t="s">
        <v>2310</v>
      </c>
      <c r="O1227" s="418" t="s">
        <v>3407</v>
      </c>
      <c r="P1227" s="415">
        <v>4</v>
      </c>
      <c r="Q1227" s="415">
        <v>30</v>
      </c>
      <c r="R1227" s="415">
        <v>5</v>
      </c>
      <c r="S1227" s="415">
        <f t="shared" si="57"/>
        <v>5</v>
      </c>
      <c r="T1227" s="419">
        <f t="shared" si="58"/>
        <v>0.83333333333333337</v>
      </c>
      <c r="U1227" s="419">
        <f t="shared" si="59"/>
        <v>5.833333333333333</v>
      </c>
      <c r="V1227" s="415" t="s">
        <v>662</v>
      </c>
      <c r="W1227" s="415" t="s">
        <v>606</v>
      </c>
      <c r="X1227" s="415" t="s">
        <v>671</v>
      </c>
      <c r="Y1227" s="415"/>
    </row>
    <row r="1228" spans="1:25" hidden="1" x14ac:dyDescent="0.25">
      <c r="A1228" s="415">
        <v>1227</v>
      </c>
      <c r="B1228" s="415">
        <v>820</v>
      </c>
      <c r="C1228" s="415">
        <v>491668</v>
      </c>
      <c r="D1228" s="416" t="s">
        <v>3881</v>
      </c>
      <c r="E1228" s="416" t="s">
        <v>2161</v>
      </c>
      <c r="F1228" s="416" t="s">
        <v>2161</v>
      </c>
      <c r="G1228" s="416" t="s">
        <v>2023</v>
      </c>
      <c r="H1228" s="416" t="s">
        <v>2013</v>
      </c>
      <c r="I1228" s="416" t="s">
        <v>3882</v>
      </c>
      <c r="J1228" s="415" t="s">
        <v>661</v>
      </c>
      <c r="K1228" s="417">
        <v>-3.6682000000000001</v>
      </c>
      <c r="L1228" s="417">
        <v>-80.449700000000007</v>
      </c>
      <c r="M1228" s="418">
        <v>30</v>
      </c>
      <c r="N1228" s="418" t="s">
        <v>2310</v>
      </c>
      <c r="O1228" s="418" t="s">
        <v>3407</v>
      </c>
      <c r="P1228" s="415">
        <v>4</v>
      </c>
      <c r="Q1228" s="415">
        <v>30</v>
      </c>
      <c r="R1228" s="415">
        <v>5</v>
      </c>
      <c r="S1228" s="415">
        <f t="shared" si="57"/>
        <v>5</v>
      </c>
      <c r="T1228" s="419">
        <f t="shared" si="58"/>
        <v>0.83333333333333337</v>
      </c>
      <c r="U1228" s="419">
        <f t="shared" si="59"/>
        <v>5.833333333333333</v>
      </c>
      <c r="V1228" s="415" t="s">
        <v>662</v>
      </c>
      <c r="W1228" s="415" t="s">
        <v>606</v>
      </c>
      <c r="X1228" s="415" t="s">
        <v>671</v>
      </c>
      <c r="Y1228" s="415"/>
    </row>
    <row r="1229" spans="1:25" hidden="1" x14ac:dyDescent="0.25">
      <c r="A1229" s="415">
        <v>1228</v>
      </c>
      <c r="B1229" s="415">
        <v>821</v>
      </c>
      <c r="C1229" s="415">
        <v>491687</v>
      </c>
      <c r="D1229" s="416" t="s">
        <v>3883</v>
      </c>
      <c r="E1229" s="416" t="s">
        <v>2161</v>
      </c>
      <c r="F1229" s="416" t="s">
        <v>2161</v>
      </c>
      <c r="G1229" s="416" t="s">
        <v>2023</v>
      </c>
      <c r="H1229" s="416" t="s">
        <v>3884</v>
      </c>
      <c r="I1229" s="416" t="s">
        <v>3885</v>
      </c>
      <c r="J1229" s="415" t="s">
        <v>747</v>
      </c>
      <c r="K1229" s="417">
        <v>-3.6355930000000001</v>
      </c>
      <c r="L1229" s="417">
        <v>-80.458314999999999</v>
      </c>
      <c r="M1229" s="418">
        <v>30</v>
      </c>
      <c r="N1229" s="418" t="s">
        <v>2310</v>
      </c>
      <c r="O1229" s="418" t="s">
        <v>3407</v>
      </c>
      <c r="P1229" s="415">
        <v>4</v>
      </c>
      <c r="Q1229" s="415">
        <v>30</v>
      </c>
      <c r="R1229" s="415">
        <v>5</v>
      </c>
      <c r="S1229" s="415">
        <f t="shared" si="57"/>
        <v>5</v>
      </c>
      <c r="T1229" s="419">
        <f t="shared" si="58"/>
        <v>0.83333333333333337</v>
      </c>
      <c r="U1229" s="419">
        <f t="shared" si="59"/>
        <v>5.833333333333333</v>
      </c>
      <c r="V1229" s="415" t="s">
        <v>662</v>
      </c>
      <c r="W1229" s="415" t="s">
        <v>606</v>
      </c>
      <c r="X1229" s="415" t="s">
        <v>671</v>
      </c>
      <c r="Y1229" s="415"/>
    </row>
    <row r="1230" spans="1:25" hidden="1" x14ac:dyDescent="0.25">
      <c r="A1230" s="415">
        <v>1229</v>
      </c>
      <c r="B1230" s="415">
        <v>822</v>
      </c>
      <c r="C1230" s="415">
        <v>492998</v>
      </c>
      <c r="D1230" s="416" t="s">
        <v>3886</v>
      </c>
      <c r="E1230" s="416" t="s">
        <v>2161</v>
      </c>
      <c r="F1230" s="416" t="s">
        <v>3887</v>
      </c>
      <c r="G1230" s="416" t="s">
        <v>3888</v>
      </c>
      <c r="H1230" s="416" t="s">
        <v>3888</v>
      </c>
      <c r="I1230" s="416" t="s">
        <v>3889</v>
      </c>
      <c r="J1230" s="415" t="s">
        <v>661</v>
      </c>
      <c r="K1230" s="417">
        <v>-3.5684999999999998</v>
      </c>
      <c r="L1230" s="417">
        <v>-80.235500000000002</v>
      </c>
      <c r="M1230" s="418">
        <v>30</v>
      </c>
      <c r="N1230" s="418" t="s">
        <v>2310</v>
      </c>
      <c r="O1230" s="418" t="s">
        <v>3407</v>
      </c>
      <c r="P1230" s="415">
        <v>4</v>
      </c>
      <c r="Q1230" s="415">
        <v>30</v>
      </c>
      <c r="R1230" s="415">
        <v>5</v>
      </c>
      <c r="S1230" s="415">
        <f t="shared" si="57"/>
        <v>5</v>
      </c>
      <c r="T1230" s="419">
        <f t="shared" si="58"/>
        <v>0.83333333333333337</v>
      </c>
      <c r="U1230" s="419">
        <f t="shared" si="59"/>
        <v>5.833333333333333</v>
      </c>
      <c r="V1230" s="415" t="s">
        <v>662</v>
      </c>
      <c r="W1230" s="415" t="s">
        <v>606</v>
      </c>
      <c r="X1230" s="415" t="s">
        <v>671</v>
      </c>
      <c r="Y1230" s="415"/>
    </row>
  </sheetData>
  <autoFilter ref="A1:Y1230" xr:uid="{7D1F090A-DB23-42A5-B801-1B01EEFBD9B6}">
    <filterColumn colId="24">
      <customFilters>
        <customFilter operator="notEqual" val=" "/>
      </custom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44FF5-48A1-4741-A92A-7FB00D57EFD6}">
  <dimension ref="A1:H55"/>
  <sheetViews>
    <sheetView workbookViewId="0">
      <selection activeCell="H9" sqref="H9"/>
    </sheetView>
  </sheetViews>
  <sheetFormatPr baseColWidth="10" defaultRowHeight="15" x14ac:dyDescent="0.25"/>
  <cols>
    <col min="1" max="1" width="19.140625" bestFit="1" customWidth="1"/>
    <col min="2" max="2" width="21.140625" bestFit="1" customWidth="1"/>
    <col min="3" max="3" width="7.28515625" bestFit="1" customWidth="1"/>
    <col min="4" max="4" width="13.5703125" bestFit="1" customWidth="1"/>
    <col min="5" max="5" width="7.28515625" bestFit="1" customWidth="1"/>
    <col min="6" max="6" width="9.5703125" bestFit="1" customWidth="1"/>
    <col min="7" max="7" width="8.85546875" bestFit="1" customWidth="1"/>
    <col min="8" max="8" width="11.7109375" bestFit="1" customWidth="1"/>
  </cols>
  <sheetData>
    <row r="1" spans="1:8" x14ac:dyDescent="0.25">
      <c r="A1" s="409" t="s">
        <v>2304</v>
      </c>
      <c r="B1" t="s">
        <v>2290</v>
      </c>
    </row>
    <row r="3" spans="1:8" x14ac:dyDescent="0.25">
      <c r="A3" s="409" t="s">
        <v>3890</v>
      </c>
      <c r="B3" s="409" t="s">
        <v>2289</v>
      </c>
    </row>
    <row r="4" spans="1:8" x14ac:dyDescent="0.25">
      <c r="A4" s="409" t="s">
        <v>2288</v>
      </c>
      <c r="B4" t="s">
        <v>1434</v>
      </c>
      <c r="C4" t="s">
        <v>671</v>
      </c>
      <c r="D4" t="s">
        <v>663</v>
      </c>
      <c r="E4" t="s">
        <v>615</v>
      </c>
      <c r="F4" t="s">
        <v>666</v>
      </c>
      <c r="G4" t="s">
        <v>673</v>
      </c>
      <c r="H4" t="s">
        <v>656</v>
      </c>
    </row>
    <row r="5" spans="1:8" x14ac:dyDescent="0.25">
      <c r="A5" s="115" t="s">
        <v>615</v>
      </c>
      <c r="E5">
        <v>25</v>
      </c>
      <c r="H5">
        <v>25</v>
      </c>
    </row>
    <row r="6" spans="1:8" x14ac:dyDescent="0.25">
      <c r="A6" s="115" t="s">
        <v>606</v>
      </c>
      <c r="C6">
        <v>90</v>
      </c>
      <c r="H6">
        <v>90</v>
      </c>
    </row>
    <row r="7" spans="1:8" x14ac:dyDescent="0.25">
      <c r="A7" s="115" t="s">
        <v>608</v>
      </c>
      <c r="D7">
        <v>231</v>
      </c>
      <c r="H7">
        <v>231</v>
      </c>
    </row>
    <row r="8" spans="1:8" x14ac:dyDescent="0.25">
      <c r="A8" s="115" t="s">
        <v>616</v>
      </c>
      <c r="F8">
        <v>163</v>
      </c>
      <c r="H8">
        <v>163</v>
      </c>
    </row>
    <row r="9" spans="1:8" x14ac:dyDescent="0.25">
      <c r="A9" s="115" t="s">
        <v>1433</v>
      </c>
      <c r="B9">
        <v>5</v>
      </c>
      <c r="H9">
        <v>5</v>
      </c>
    </row>
    <row r="10" spans="1:8" x14ac:dyDescent="0.25">
      <c r="A10" s="115" t="s">
        <v>610</v>
      </c>
      <c r="G10">
        <v>192</v>
      </c>
      <c r="H10">
        <v>192</v>
      </c>
    </row>
    <row r="11" spans="1:8" x14ac:dyDescent="0.25">
      <c r="A11" s="115" t="s">
        <v>675</v>
      </c>
      <c r="G11">
        <v>63</v>
      </c>
      <c r="H11">
        <v>63</v>
      </c>
    </row>
    <row r="12" spans="1:8" x14ac:dyDescent="0.25">
      <c r="A12" s="115" t="s">
        <v>612</v>
      </c>
      <c r="C12">
        <v>239</v>
      </c>
      <c r="H12">
        <v>239</v>
      </c>
    </row>
    <row r="13" spans="1:8" x14ac:dyDescent="0.25">
      <c r="A13" s="115" t="s">
        <v>613</v>
      </c>
      <c r="C13">
        <v>96</v>
      </c>
      <c r="H13">
        <v>96</v>
      </c>
    </row>
    <row r="14" spans="1:8" x14ac:dyDescent="0.25">
      <c r="A14" s="115" t="s">
        <v>614</v>
      </c>
      <c r="C14">
        <v>125</v>
      </c>
      <c r="H14">
        <v>125</v>
      </c>
    </row>
    <row r="15" spans="1:8" x14ac:dyDescent="0.25">
      <c r="A15" s="115" t="s">
        <v>656</v>
      </c>
      <c r="B15">
        <v>5</v>
      </c>
      <c r="C15">
        <v>550</v>
      </c>
      <c r="D15">
        <v>231</v>
      </c>
      <c r="E15">
        <v>25</v>
      </c>
      <c r="F15">
        <v>163</v>
      </c>
      <c r="G15">
        <v>255</v>
      </c>
      <c r="H15">
        <v>1229</v>
      </c>
    </row>
    <row r="21" spans="1:8" x14ac:dyDescent="0.25">
      <c r="A21" s="409" t="s">
        <v>2304</v>
      </c>
      <c r="B21" t="s">
        <v>2290</v>
      </c>
    </row>
    <row r="23" spans="1:8" x14ac:dyDescent="0.25">
      <c r="A23" s="409" t="s">
        <v>3890</v>
      </c>
      <c r="B23" s="409" t="s">
        <v>2289</v>
      </c>
    </row>
    <row r="24" spans="1:8" x14ac:dyDescent="0.25">
      <c r="A24" s="409" t="s">
        <v>2288</v>
      </c>
      <c r="B24" t="s">
        <v>1434</v>
      </c>
      <c r="C24" t="s">
        <v>671</v>
      </c>
      <c r="D24" t="s">
        <v>663</v>
      </c>
      <c r="E24" t="s">
        <v>615</v>
      </c>
      <c r="F24" t="s">
        <v>666</v>
      </c>
      <c r="G24" t="s">
        <v>673</v>
      </c>
      <c r="H24" t="s">
        <v>656</v>
      </c>
    </row>
    <row r="25" spans="1:8" x14ac:dyDescent="0.25">
      <c r="A25" s="115">
        <v>1</v>
      </c>
      <c r="B25">
        <v>5</v>
      </c>
      <c r="C25">
        <v>1</v>
      </c>
      <c r="D25">
        <v>21</v>
      </c>
      <c r="E25">
        <v>25</v>
      </c>
      <c r="F25">
        <v>20</v>
      </c>
      <c r="G25">
        <v>12</v>
      </c>
      <c r="H25">
        <v>84</v>
      </c>
    </row>
    <row r="26" spans="1:8" x14ac:dyDescent="0.25">
      <c r="A26" s="115">
        <v>2</v>
      </c>
      <c r="C26">
        <v>168</v>
      </c>
      <c r="F26">
        <v>63</v>
      </c>
      <c r="G26">
        <v>192</v>
      </c>
      <c r="H26">
        <v>423</v>
      </c>
    </row>
    <row r="27" spans="1:8" x14ac:dyDescent="0.25">
      <c r="A27" s="115">
        <v>3</v>
      </c>
      <c r="C27">
        <v>292</v>
      </c>
      <c r="G27">
        <v>51</v>
      </c>
      <c r="H27">
        <v>343</v>
      </c>
    </row>
    <row r="28" spans="1:8" x14ac:dyDescent="0.25">
      <c r="A28" s="115">
        <v>4</v>
      </c>
      <c r="C28">
        <v>89</v>
      </c>
      <c r="D28">
        <v>210</v>
      </c>
      <c r="F28">
        <v>80</v>
      </c>
      <c r="H28">
        <v>379</v>
      </c>
    </row>
    <row r="29" spans="1:8" x14ac:dyDescent="0.25">
      <c r="A29" s="115" t="s">
        <v>656</v>
      </c>
      <c r="B29">
        <v>5</v>
      </c>
      <c r="C29">
        <v>550</v>
      </c>
      <c r="D29">
        <v>231</v>
      </c>
      <c r="E29">
        <v>25</v>
      </c>
      <c r="F29">
        <v>163</v>
      </c>
      <c r="G29">
        <v>255</v>
      </c>
      <c r="H29">
        <v>1229</v>
      </c>
    </row>
    <row r="34" spans="1:7" x14ac:dyDescent="0.25">
      <c r="A34" s="409" t="s">
        <v>2304</v>
      </c>
      <c r="B34" t="s">
        <v>662</v>
      </c>
    </row>
    <row r="36" spans="1:7" x14ac:dyDescent="0.25">
      <c r="A36" s="409" t="s">
        <v>3907</v>
      </c>
      <c r="B36" s="409" t="s">
        <v>2289</v>
      </c>
    </row>
    <row r="37" spans="1:7" x14ac:dyDescent="0.25">
      <c r="A37" s="409" t="s">
        <v>2288</v>
      </c>
      <c r="B37" t="s">
        <v>1434</v>
      </c>
      <c r="C37" t="s">
        <v>671</v>
      </c>
      <c r="D37" t="s">
        <v>663</v>
      </c>
      <c r="E37" t="s">
        <v>666</v>
      </c>
      <c r="F37" t="s">
        <v>673</v>
      </c>
      <c r="G37" t="s">
        <v>656</v>
      </c>
    </row>
    <row r="38" spans="1:7" x14ac:dyDescent="0.25">
      <c r="A38" s="115">
        <v>1</v>
      </c>
      <c r="B38" s="420">
        <v>29.166666666666664</v>
      </c>
      <c r="C38" s="420">
        <v>5.833333333333333</v>
      </c>
      <c r="D38" s="420">
        <v>122.49999999999996</v>
      </c>
      <c r="E38" s="420">
        <v>116.66666666666663</v>
      </c>
      <c r="F38" s="420">
        <v>70</v>
      </c>
      <c r="G38" s="420">
        <v>344.16666666666657</v>
      </c>
    </row>
    <row r="39" spans="1:7" x14ac:dyDescent="0.25">
      <c r="A39" s="115">
        <v>2</v>
      </c>
      <c r="B39" s="420"/>
      <c r="C39" s="420">
        <v>980.00000000000239</v>
      </c>
      <c r="D39" s="420"/>
      <c r="E39" s="420">
        <v>367.49999999999977</v>
      </c>
      <c r="F39" s="420">
        <v>1120.0000000000014</v>
      </c>
      <c r="G39" s="420">
        <v>2467.5000000000036</v>
      </c>
    </row>
    <row r="40" spans="1:7" x14ac:dyDescent="0.25">
      <c r="A40" s="115">
        <v>3</v>
      </c>
      <c r="B40" s="420"/>
      <c r="C40" s="420">
        <v>1703.3333333333271</v>
      </c>
      <c r="D40" s="420"/>
      <c r="E40" s="420"/>
      <c r="F40" s="420">
        <v>297.5</v>
      </c>
      <c r="G40" s="420">
        <v>2000.8333333333271</v>
      </c>
    </row>
    <row r="41" spans="1:7" x14ac:dyDescent="0.25">
      <c r="A41" s="115">
        <v>4</v>
      </c>
      <c r="B41" s="420"/>
      <c r="C41" s="420">
        <v>519.16666666666606</v>
      </c>
      <c r="D41" s="420">
        <v>1225</v>
      </c>
      <c r="E41" s="420">
        <v>466.66666666666612</v>
      </c>
      <c r="F41" s="420"/>
      <c r="G41" s="420">
        <v>2210.8333333333321</v>
      </c>
    </row>
    <row r="42" spans="1:7" x14ac:dyDescent="0.25">
      <c r="A42" s="115" t="s">
        <v>656</v>
      </c>
      <c r="B42" s="420">
        <v>29.166666666666664</v>
      </c>
      <c r="C42" s="420">
        <v>3208.3333333333289</v>
      </c>
      <c r="D42" s="420">
        <v>1347.5</v>
      </c>
      <c r="E42" s="420">
        <v>950.83333333333258</v>
      </c>
      <c r="F42" s="420">
        <v>1487.5000000000014</v>
      </c>
      <c r="G42" s="420">
        <v>7023.3333333333294</v>
      </c>
    </row>
    <row r="47" spans="1:7" x14ac:dyDescent="0.25">
      <c r="A47" s="409" t="s">
        <v>2304</v>
      </c>
      <c r="B47" t="s">
        <v>662</v>
      </c>
    </row>
    <row r="49" spans="1:7" x14ac:dyDescent="0.25">
      <c r="A49" s="409" t="s">
        <v>3890</v>
      </c>
      <c r="B49" s="409" t="s">
        <v>2289</v>
      </c>
    </row>
    <row r="50" spans="1:7" x14ac:dyDescent="0.25">
      <c r="A50" s="409" t="s">
        <v>2288</v>
      </c>
      <c r="B50" t="s">
        <v>1434</v>
      </c>
      <c r="C50" t="s">
        <v>671</v>
      </c>
      <c r="D50" t="s">
        <v>663</v>
      </c>
      <c r="E50" t="s">
        <v>666</v>
      </c>
      <c r="F50" t="s">
        <v>673</v>
      </c>
      <c r="G50" t="s">
        <v>656</v>
      </c>
    </row>
    <row r="51" spans="1:7" x14ac:dyDescent="0.25">
      <c r="A51" s="115">
        <v>1</v>
      </c>
      <c r="B51">
        <v>5</v>
      </c>
      <c r="C51">
        <v>1</v>
      </c>
      <c r="D51">
        <v>21</v>
      </c>
      <c r="E51">
        <v>20</v>
      </c>
      <c r="F51">
        <v>12</v>
      </c>
      <c r="G51">
        <v>59</v>
      </c>
    </row>
    <row r="52" spans="1:7" x14ac:dyDescent="0.25">
      <c r="A52" s="115">
        <v>2</v>
      </c>
      <c r="C52">
        <v>168</v>
      </c>
      <c r="E52">
        <v>63</v>
      </c>
      <c r="F52">
        <v>192</v>
      </c>
      <c r="G52">
        <v>423</v>
      </c>
    </row>
    <row r="53" spans="1:7" x14ac:dyDescent="0.25">
      <c r="A53" s="115">
        <v>3</v>
      </c>
      <c r="C53">
        <v>292</v>
      </c>
      <c r="F53">
        <v>51</v>
      </c>
      <c r="G53">
        <v>343</v>
      </c>
    </row>
    <row r="54" spans="1:7" x14ac:dyDescent="0.25">
      <c r="A54" s="115">
        <v>4</v>
      </c>
      <c r="C54">
        <v>89</v>
      </c>
      <c r="D54">
        <v>210</v>
      </c>
      <c r="E54">
        <v>80</v>
      </c>
      <c r="G54">
        <v>379</v>
      </c>
    </row>
    <row r="55" spans="1:7" x14ac:dyDescent="0.25">
      <c r="A55" s="115" t="s">
        <v>656</v>
      </c>
      <c r="B55">
        <v>5</v>
      </c>
      <c r="C55">
        <v>550</v>
      </c>
      <c r="D55">
        <v>231</v>
      </c>
      <c r="E55">
        <v>163</v>
      </c>
      <c r="F55">
        <v>255</v>
      </c>
      <c r="G55">
        <v>1204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75FA8-1BC6-4D84-8B7C-6BD059170228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AED28-3926-45FC-AC08-03A1378F2B4B}">
  <dimension ref="A1:G29"/>
  <sheetViews>
    <sheetView workbookViewId="0">
      <selection activeCell="B19" sqref="B19"/>
    </sheetView>
  </sheetViews>
  <sheetFormatPr baseColWidth="10" defaultColWidth="11.42578125" defaultRowHeight="15" x14ac:dyDescent="0.25"/>
  <cols>
    <col min="2" max="2" width="49" customWidth="1"/>
    <col min="3" max="3" width="18" style="101" customWidth="1"/>
    <col min="4" max="4" width="15.140625" style="101" customWidth="1"/>
    <col min="5" max="5" width="11.42578125" style="101"/>
    <col min="7" max="7" width="25.85546875" customWidth="1"/>
  </cols>
  <sheetData>
    <row r="1" spans="1:7" x14ac:dyDescent="0.25">
      <c r="A1" s="346" t="s">
        <v>345</v>
      </c>
      <c r="B1" s="346" t="s">
        <v>364</v>
      </c>
      <c r="C1" s="346" t="s">
        <v>365</v>
      </c>
      <c r="D1" s="346" t="s">
        <v>366</v>
      </c>
      <c r="E1" s="346" t="s">
        <v>367</v>
      </c>
      <c r="F1" s="346" t="s">
        <v>368</v>
      </c>
      <c r="G1" s="346" t="s">
        <v>369</v>
      </c>
    </row>
    <row r="2" spans="1:7" ht="45" x14ac:dyDescent="0.25">
      <c r="A2" s="347">
        <v>1</v>
      </c>
      <c r="B2" s="348" t="s">
        <v>370</v>
      </c>
      <c r="C2" s="347">
        <v>120</v>
      </c>
      <c r="D2" s="347">
        <v>240</v>
      </c>
      <c r="E2" s="347" t="s">
        <v>371</v>
      </c>
      <c r="F2" s="349" t="s">
        <v>372</v>
      </c>
      <c r="G2" s="347" t="s">
        <v>373</v>
      </c>
    </row>
    <row r="3" spans="1:7" ht="45" x14ac:dyDescent="0.25">
      <c r="A3" s="347">
        <v>2</v>
      </c>
      <c r="B3" s="348" t="s">
        <v>370</v>
      </c>
      <c r="C3" s="347">
        <v>165</v>
      </c>
      <c r="D3" s="347">
        <v>330</v>
      </c>
      <c r="E3" s="347" t="s">
        <v>371</v>
      </c>
      <c r="F3" s="350" t="s">
        <v>374</v>
      </c>
      <c r="G3" s="347" t="s">
        <v>373</v>
      </c>
    </row>
    <row r="4" spans="1:7" ht="45" x14ac:dyDescent="0.25">
      <c r="A4" s="347">
        <v>3</v>
      </c>
      <c r="B4" s="348" t="s">
        <v>370</v>
      </c>
      <c r="C4" s="347">
        <v>210</v>
      </c>
      <c r="D4" s="347">
        <v>420</v>
      </c>
      <c r="E4" s="347" t="s">
        <v>371</v>
      </c>
      <c r="F4" s="351" t="s">
        <v>375</v>
      </c>
      <c r="G4" s="347" t="s">
        <v>373</v>
      </c>
    </row>
    <row r="5" spans="1:7" ht="45" x14ac:dyDescent="0.25">
      <c r="A5" s="347">
        <v>4</v>
      </c>
      <c r="B5" s="348" t="s">
        <v>370</v>
      </c>
      <c r="C5" s="347">
        <v>330</v>
      </c>
      <c r="D5" s="347">
        <v>660</v>
      </c>
      <c r="E5" s="347" t="s">
        <v>371</v>
      </c>
      <c r="F5" s="352" t="s">
        <v>376</v>
      </c>
      <c r="G5" s="347" t="s">
        <v>373</v>
      </c>
    </row>
    <row r="6" spans="1:7" ht="45" x14ac:dyDescent="0.25">
      <c r="A6" s="347">
        <v>5</v>
      </c>
      <c r="B6" s="348" t="s">
        <v>377</v>
      </c>
      <c r="C6" s="347">
        <v>140</v>
      </c>
      <c r="D6" s="347">
        <v>280</v>
      </c>
      <c r="E6" s="347" t="s">
        <v>371</v>
      </c>
      <c r="F6" s="349" t="s">
        <v>372</v>
      </c>
      <c r="G6" s="347" t="s">
        <v>378</v>
      </c>
    </row>
    <row r="7" spans="1:7" ht="45" x14ac:dyDescent="0.25">
      <c r="A7" s="347">
        <v>6</v>
      </c>
      <c r="B7" s="348" t="s">
        <v>377</v>
      </c>
      <c r="C7" s="347">
        <v>185</v>
      </c>
      <c r="D7" s="347">
        <v>370</v>
      </c>
      <c r="E7" s="347" t="s">
        <v>371</v>
      </c>
      <c r="F7" s="350" t="s">
        <v>374</v>
      </c>
      <c r="G7" s="347" t="s">
        <v>378</v>
      </c>
    </row>
    <row r="8" spans="1:7" ht="45" x14ac:dyDescent="0.25">
      <c r="A8" s="347">
        <v>7</v>
      </c>
      <c r="B8" s="348" t="s">
        <v>377</v>
      </c>
      <c r="C8" s="347">
        <v>230</v>
      </c>
      <c r="D8" s="347">
        <v>460</v>
      </c>
      <c r="E8" s="347" t="s">
        <v>371</v>
      </c>
      <c r="F8" s="351" t="s">
        <v>375</v>
      </c>
      <c r="G8" s="347" t="s">
        <v>378</v>
      </c>
    </row>
    <row r="9" spans="1:7" ht="45" x14ac:dyDescent="0.25">
      <c r="A9" s="347">
        <v>8</v>
      </c>
      <c r="B9" s="348" t="s">
        <v>377</v>
      </c>
      <c r="C9" s="347">
        <v>350</v>
      </c>
      <c r="D9" s="347">
        <v>700</v>
      </c>
      <c r="E9" s="347" t="s">
        <v>371</v>
      </c>
      <c r="F9" s="352" t="s">
        <v>376</v>
      </c>
      <c r="G9" s="347" t="s">
        <v>378</v>
      </c>
    </row>
    <row r="10" spans="1:7" ht="45" x14ac:dyDescent="0.25">
      <c r="A10" s="347">
        <v>9</v>
      </c>
      <c r="B10" s="348" t="s">
        <v>379</v>
      </c>
      <c r="C10" s="347">
        <v>140</v>
      </c>
      <c r="D10" s="347">
        <v>280</v>
      </c>
      <c r="E10" s="347" t="s">
        <v>371</v>
      </c>
      <c r="F10" s="349" t="s">
        <v>372</v>
      </c>
      <c r="G10" s="347" t="s">
        <v>380</v>
      </c>
    </row>
    <row r="11" spans="1:7" ht="45" x14ac:dyDescent="0.25">
      <c r="A11" s="347">
        <v>10</v>
      </c>
      <c r="B11" s="348" t="s">
        <v>379</v>
      </c>
      <c r="C11" s="347">
        <v>185</v>
      </c>
      <c r="D11" s="347">
        <v>370</v>
      </c>
      <c r="E11" s="347" t="s">
        <v>371</v>
      </c>
      <c r="F11" s="350" t="s">
        <v>374</v>
      </c>
      <c r="G11" s="347" t="s">
        <v>380</v>
      </c>
    </row>
    <row r="12" spans="1:7" ht="45" x14ac:dyDescent="0.25">
      <c r="A12" s="347">
        <v>11</v>
      </c>
      <c r="B12" s="348" t="s">
        <v>379</v>
      </c>
      <c r="C12" s="347">
        <v>230</v>
      </c>
      <c r="D12" s="347">
        <v>460</v>
      </c>
      <c r="E12" s="347" t="s">
        <v>371</v>
      </c>
      <c r="F12" s="351" t="s">
        <v>375</v>
      </c>
      <c r="G12" s="347" t="s">
        <v>380</v>
      </c>
    </row>
    <row r="13" spans="1:7" ht="45" x14ac:dyDescent="0.25">
      <c r="A13" s="347">
        <v>12</v>
      </c>
      <c r="B13" s="348" t="s">
        <v>379</v>
      </c>
      <c r="C13" s="347">
        <v>350</v>
      </c>
      <c r="D13" s="347">
        <v>700</v>
      </c>
      <c r="E13" s="347" t="s">
        <v>371</v>
      </c>
      <c r="F13" s="352" t="s">
        <v>376</v>
      </c>
      <c r="G13" s="347" t="s">
        <v>380</v>
      </c>
    </row>
    <row r="14" spans="1:7" ht="120" x14ac:dyDescent="0.25">
      <c r="A14" s="347">
        <v>13</v>
      </c>
      <c r="B14" s="353" t="s">
        <v>381</v>
      </c>
      <c r="C14" s="347">
        <v>426</v>
      </c>
      <c r="D14" s="347">
        <v>608</v>
      </c>
      <c r="E14" s="347" t="s">
        <v>371</v>
      </c>
      <c r="F14" s="353"/>
      <c r="G14" s="353"/>
    </row>
    <row r="15" spans="1:7" ht="45" x14ac:dyDescent="0.25">
      <c r="A15" s="347">
        <v>14</v>
      </c>
      <c r="B15" s="353" t="s">
        <v>382</v>
      </c>
      <c r="C15" s="347">
        <v>40</v>
      </c>
      <c r="D15" s="354">
        <f>C15/0.7</f>
        <v>57.142857142857146</v>
      </c>
      <c r="E15" s="347" t="s">
        <v>371</v>
      </c>
      <c r="F15" s="353"/>
      <c r="G15" s="353"/>
    </row>
    <row r="16" spans="1:7" x14ac:dyDescent="0.25">
      <c r="A16" s="347">
        <v>15</v>
      </c>
      <c r="B16" s="353" t="s">
        <v>383</v>
      </c>
      <c r="C16" s="354">
        <v>289.47368421052636</v>
      </c>
      <c r="D16" s="354">
        <f>C16/0.7</f>
        <v>413.53383458646624</v>
      </c>
      <c r="E16" s="347" t="s">
        <v>371</v>
      </c>
      <c r="F16" s="353"/>
      <c r="G16" s="347" t="s">
        <v>373</v>
      </c>
    </row>
    <row r="17" spans="1:7" x14ac:dyDescent="0.25">
      <c r="A17" s="347">
        <v>16</v>
      </c>
      <c r="B17" s="353" t="s">
        <v>384</v>
      </c>
      <c r="C17" s="354">
        <v>657.89473684210532</v>
      </c>
      <c r="D17" s="354">
        <f t="shared" ref="D17:D29" si="0">C17/0.7</f>
        <v>939.84962406015052</v>
      </c>
      <c r="E17" s="347" t="s">
        <v>371</v>
      </c>
      <c r="F17" s="353"/>
      <c r="G17" s="347" t="s">
        <v>373</v>
      </c>
    </row>
    <row r="18" spans="1:7" x14ac:dyDescent="0.25">
      <c r="A18" s="347">
        <v>17</v>
      </c>
      <c r="B18" s="353" t="s">
        <v>385</v>
      </c>
      <c r="C18" s="354">
        <v>57.894736842105267</v>
      </c>
      <c r="D18" s="354">
        <f t="shared" si="0"/>
        <v>82.706766917293251</v>
      </c>
      <c r="E18" s="347" t="s">
        <v>371</v>
      </c>
      <c r="F18" s="353"/>
      <c r="G18" s="347" t="s">
        <v>373</v>
      </c>
    </row>
    <row r="19" spans="1:7" x14ac:dyDescent="0.25">
      <c r="A19" s="347">
        <v>18</v>
      </c>
      <c r="B19" s="353" t="s">
        <v>386</v>
      </c>
      <c r="C19" s="354">
        <v>57.894736842105267</v>
      </c>
      <c r="D19" s="354">
        <f t="shared" si="0"/>
        <v>82.706766917293251</v>
      </c>
      <c r="E19" s="347" t="s">
        <v>371</v>
      </c>
      <c r="F19" s="353"/>
      <c r="G19" s="347" t="s">
        <v>373</v>
      </c>
    </row>
    <row r="20" spans="1:7" x14ac:dyDescent="0.25">
      <c r="A20" s="347">
        <v>19</v>
      </c>
      <c r="B20" s="353" t="s">
        <v>387</v>
      </c>
      <c r="C20" s="354">
        <v>65.789473684210535</v>
      </c>
      <c r="D20" s="354">
        <f t="shared" si="0"/>
        <v>93.984962406015057</v>
      </c>
      <c r="E20" s="347" t="s">
        <v>371</v>
      </c>
      <c r="F20" s="353"/>
      <c r="G20" s="347" t="s">
        <v>373</v>
      </c>
    </row>
    <row r="21" spans="1:7" x14ac:dyDescent="0.25">
      <c r="A21" s="347">
        <v>20</v>
      </c>
      <c r="B21" s="353" t="s">
        <v>388</v>
      </c>
      <c r="C21" s="354">
        <v>78.94736842105263</v>
      </c>
      <c r="D21" s="354">
        <f t="shared" si="0"/>
        <v>112.78195488721805</v>
      </c>
      <c r="E21" s="347" t="s">
        <v>371</v>
      </c>
      <c r="F21" s="353"/>
      <c r="G21" s="347" t="s">
        <v>373</v>
      </c>
    </row>
    <row r="22" spans="1:7" x14ac:dyDescent="0.25">
      <c r="A22" s="347">
        <v>21</v>
      </c>
      <c r="B22" s="353" t="s">
        <v>389</v>
      </c>
      <c r="C22" s="354">
        <v>210.5263157894737</v>
      </c>
      <c r="D22" s="354">
        <f t="shared" si="0"/>
        <v>300.75187969924815</v>
      </c>
      <c r="E22" s="347" t="s">
        <v>371</v>
      </c>
      <c r="F22" s="353"/>
      <c r="G22" s="347" t="s">
        <v>373</v>
      </c>
    </row>
    <row r="23" spans="1:7" x14ac:dyDescent="0.25">
      <c r="A23" s="347">
        <v>25</v>
      </c>
      <c r="B23" s="353" t="s">
        <v>390</v>
      </c>
      <c r="C23" s="354">
        <v>31.578947368421055</v>
      </c>
      <c r="D23" s="354">
        <f t="shared" si="0"/>
        <v>45.112781954887225</v>
      </c>
      <c r="E23" s="347" t="s">
        <v>371</v>
      </c>
      <c r="F23" s="353"/>
      <c r="G23" s="347" t="s">
        <v>373</v>
      </c>
    </row>
    <row r="24" spans="1:7" x14ac:dyDescent="0.25">
      <c r="A24" s="347">
        <v>26</v>
      </c>
      <c r="B24" s="353" t="s">
        <v>391</v>
      </c>
      <c r="C24" s="354">
        <v>39.473684210526315</v>
      </c>
      <c r="D24" s="354">
        <f t="shared" si="0"/>
        <v>56.390977443609025</v>
      </c>
      <c r="E24" s="347" t="s">
        <v>371</v>
      </c>
      <c r="F24" s="353"/>
      <c r="G24" s="347" t="s">
        <v>373</v>
      </c>
    </row>
    <row r="25" spans="1:7" x14ac:dyDescent="0.25">
      <c r="A25" s="347">
        <v>27</v>
      </c>
      <c r="B25" s="353" t="s">
        <v>392</v>
      </c>
      <c r="C25" s="354">
        <v>31.578947368421055</v>
      </c>
      <c r="D25" s="354">
        <f t="shared" si="0"/>
        <v>45.112781954887225</v>
      </c>
      <c r="E25" s="347" t="s">
        <v>371</v>
      </c>
      <c r="F25" s="353"/>
      <c r="G25" s="347" t="s">
        <v>373</v>
      </c>
    </row>
    <row r="26" spans="1:7" x14ac:dyDescent="0.25">
      <c r="A26" s="347">
        <v>28</v>
      </c>
      <c r="B26" s="353" t="s">
        <v>393</v>
      </c>
      <c r="C26" s="354">
        <v>27.631578947368421</v>
      </c>
      <c r="D26" s="354">
        <f t="shared" si="0"/>
        <v>39.473684210526315</v>
      </c>
      <c r="E26" s="347" t="s">
        <v>371</v>
      </c>
      <c r="F26" s="353"/>
      <c r="G26" s="347" t="s">
        <v>373</v>
      </c>
    </row>
    <row r="27" spans="1:7" x14ac:dyDescent="0.25">
      <c r="A27" s="347">
        <v>29</v>
      </c>
      <c r="B27" s="353" t="s">
        <v>394</v>
      </c>
      <c r="C27" s="354">
        <v>55.263157894736842</v>
      </c>
      <c r="D27" s="354">
        <f t="shared" si="0"/>
        <v>78.94736842105263</v>
      </c>
      <c r="E27" s="347" t="s">
        <v>371</v>
      </c>
      <c r="F27" s="353"/>
      <c r="G27" s="347" t="s">
        <v>373</v>
      </c>
    </row>
    <row r="28" spans="1:7" x14ac:dyDescent="0.25">
      <c r="A28" s="347">
        <v>30</v>
      </c>
      <c r="B28" s="353" t="s">
        <v>395</v>
      </c>
      <c r="C28" s="354">
        <v>82.89473684210526</v>
      </c>
      <c r="D28" s="354">
        <f t="shared" si="0"/>
        <v>118.42105263157895</v>
      </c>
      <c r="E28" s="347" t="s">
        <v>371</v>
      </c>
      <c r="F28" s="353"/>
      <c r="G28" s="347" t="s">
        <v>373</v>
      </c>
    </row>
    <row r="29" spans="1:7" x14ac:dyDescent="0.25">
      <c r="A29" s="347">
        <v>31</v>
      </c>
      <c r="B29" s="353" t="s">
        <v>396</v>
      </c>
      <c r="C29" s="347">
        <v>10</v>
      </c>
      <c r="D29" s="354">
        <f t="shared" si="0"/>
        <v>14.285714285714286</v>
      </c>
      <c r="E29" s="347" t="s">
        <v>371</v>
      </c>
      <c r="F29" s="353"/>
      <c r="G29" s="347" t="s">
        <v>373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6EA52-4E47-4283-8B14-84BC7E9D9A34}">
  <dimension ref="A1:D190"/>
  <sheetViews>
    <sheetView topLeftCell="A76" workbookViewId="0">
      <selection activeCell="F63" sqref="F63"/>
    </sheetView>
  </sheetViews>
  <sheetFormatPr baseColWidth="10" defaultColWidth="11" defaultRowHeight="15" x14ac:dyDescent="0.25"/>
  <cols>
    <col min="1" max="1" width="20.28515625" customWidth="1"/>
    <col min="2" max="2" width="17.42578125" customWidth="1"/>
    <col min="3" max="3" width="21.5703125" customWidth="1"/>
    <col min="4" max="4" width="18.85546875" customWidth="1"/>
  </cols>
  <sheetData>
    <row r="1" spans="1:4" x14ac:dyDescent="0.25">
      <c r="A1" s="355" t="s">
        <v>397</v>
      </c>
      <c r="B1" s="355" t="s">
        <v>398</v>
      </c>
      <c r="C1" s="355" t="s">
        <v>399</v>
      </c>
      <c r="D1" s="355" t="s">
        <v>400</v>
      </c>
    </row>
    <row r="2" spans="1:4" x14ac:dyDescent="0.25">
      <c r="A2" s="356" t="s">
        <v>401</v>
      </c>
      <c r="B2" s="356" t="s">
        <v>402</v>
      </c>
      <c r="C2" s="356" t="s">
        <v>403</v>
      </c>
      <c r="D2" s="349" t="s">
        <v>404</v>
      </c>
    </row>
    <row r="3" spans="1:4" x14ac:dyDescent="0.25">
      <c r="A3" s="357" t="s">
        <v>401</v>
      </c>
      <c r="B3" s="357" t="s">
        <v>405</v>
      </c>
      <c r="C3" s="357" t="s">
        <v>403</v>
      </c>
      <c r="D3" s="358" t="s">
        <v>404</v>
      </c>
    </row>
    <row r="4" spans="1:4" x14ac:dyDescent="0.25">
      <c r="A4" s="357" t="s">
        <v>401</v>
      </c>
      <c r="B4" s="357" t="s">
        <v>406</v>
      </c>
      <c r="C4" s="357" t="s">
        <v>403</v>
      </c>
      <c r="D4" s="358" t="s">
        <v>404</v>
      </c>
    </row>
    <row r="5" spans="1:4" x14ac:dyDescent="0.25">
      <c r="A5" s="357" t="s">
        <v>401</v>
      </c>
      <c r="B5" s="357" t="s">
        <v>407</v>
      </c>
      <c r="C5" s="357" t="s">
        <v>403</v>
      </c>
      <c r="D5" s="358" t="s">
        <v>404</v>
      </c>
    </row>
    <row r="6" spans="1:4" x14ac:dyDescent="0.25">
      <c r="A6" s="357" t="s">
        <v>401</v>
      </c>
      <c r="B6" s="357" t="s">
        <v>408</v>
      </c>
      <c r="C6" s="357" t="s">
        <v>403</v>
      </c>
      <c r="D6" s="351" t="s">
        <v>409</v>
      </c>
    </row>
    <row r="7" spans="1:4" x14ac:dyDescent="0.25">
      <c r="A7" s="357" t="s">
        <v>401</v>
      </c>
      <c r="B7" s="359" t="s">
        <v>410</v>
      </c>
      <c r="C7" s="357" t="s">
        <v>403</v>
      </c>
      <c r="D7" s="350" t="s">
        <v>411</v>
      </c>
    </row>
    <row r="8" spans="1:4" x14ac:dyDescent="0.25">
      <c r="A8" s="357" t="s">
        <v>401</v>
      </c>
      <c r="B8" s="357" t="s">
        <v>412</v>
      </c>
      <c r="C8" s="357" t="s">
        <v>403</v>
      </c>
      <c r="D8" s="358" t="s">
        <v>404</v>
      </c>
    </row>
    <row r="9" spans="1:4" x14ac:dyDescent="0.25">
      <c r="A9" s="357" t="s">
        <v>413</v>
      </c>
      <c r="B9" s="357" t="s">
        <v>414</v>
      </c>
      <c r="C9" s="357" t="s">
        <v>403</v>
      </c>
      <c r="D9" s="358" t="s">
        <v>404</v>
      </c>
    </row>
    <row r="10" spans="1:4" x14ac:dyDescent="0.25">
      <c r="A10" s="357" t="s">
        <v>413</v>
      </c>
      <c r="B10" s="357" t="s">
        <v>415</v>
      </c>
      <c r="C10" s="357" t="s">
        <v>403</v>
      </c>
      <c r="D10" s="358" t="s">
        <v>404</v>
      </c>
    </row>
    <row r="11" spans="1:4" x14ac:dyDescent="0.25">
      <c r="A11" s="357" t="s">
        <v>413</v>
      </c>
      <c r="B11" s="359" t="s">
        <v>416</v>
      </c>
      <c r="C11" s="357" t="s">
        <v>403</v>
      </c>
      <c r="D11" s="350" t="s">
        <v>411</v>
      </c>
    </row>
    <row r="12" spans="1:4" x14ac:dyDescent="0.25">
      <c r="A12" s="357" t="s">
        <v>413</v>
      </c>
      <c r="B12" s="359" t="s">
        <v>417</v>
      </c>
      <c r="C12" s="357" t="s">
        <v>403</v>
      </c>
      <c r="D12" s="350" t="s">
        <v>411</v>
      </c>
    </row>
    <row r="13" spans="1:4" x14ac:dyDescent="0.25">
      <c r="A13" s="357" t="s">
        <v>413</v>
      </c>
      <c r="B13" s="359" t="s">
        <v>418</v>
      </c>
      <c r="C13" s="357" t="s">
        <v>403</v>
      </c>
      <c r="D13" s="350" t="s">
        <v>411</v>
      </c>
    </row>
    <row r="14" spans="1:4" x14ac:dyDescent="0.25">
      <c r="A14" s="357" t="s">
        <v>413</v>
      </c>
      <c r="B14" s="357" t="s">
        <v>419</v>
      </c>
      <c r="C14" s="357" t="s">
        <v>403</v>
      </c>
      <c r="D14" s="358" t="s">
        <v>404</v>
      </c>
    </row>
    <row r="15" spans="1:4" x14ac:dyDescent="0.25">
      <c r="A15" s="357" t="s">
        <v>413</v>
      </c>
      <c r="B15" s="359" t="s">
        <v>420</v>
      </c>
      <c r="C15" s="357" t="s">
        <v>403</v>
      </c>
      <c r="D15" s="350" t="s">
        <v>411</v>
      </c>
    </row>
    <row r="16" spans="1:4" x14ac:dyDescent="0.25">
      <c r="A16" s="357" t="s">
        <v>413</v>
      </c>
      <c r="B16" s="357" t="s">
        <v>421</v>
      </c>
      <c r="C16" s="357" t="s">
        <v>403</v>
      </c>
      <c r="D16" s="358" t="s">
        <v>404</v>
      </c>
    </row>
    <row r="17" spans="1:4" x14ac:dyDescent="0.25">
      <c r="A17" s="357" t="s">
        <v>413</v>
      </c>
      <c r="B17" s="359" t="s">
        <v>422</v>
      </c>
      <c r="C17" s="357" t="s">
        <v>403</v>
      </c>
      <c r="D17" s="350" t="s">
        <v>411</v>
      </c>
    </row>
    <row r="18" spans="1:4" x14ac:dyDescent="0.25">
      <c r="A18" s="357" t="s">
        <v>413</v>
      </c>
      <c r="B18" s="359" t="s">
        <v>423</v>
      </c>
      <c r="C18" s="357" t="s">
        <v>403</v>
      </c>
      <c r="D18" s="350" t="s">
        <v>411</v>
      </c>
    </row>
    <row r="19" spans="1:4" x14ac:dyDescent="0.25">
      <c r="A19" s="357" t="s">
        <v>413</v>
      </c>
      <c r="B19" s="357" t="s">
        <v>424</v>
      </c>
      <c r="C19" s="357" t="s">
        <v>403</v>
      </c>
      <c r="D19" s="358" t="s">
        <v>404</v>
      </c>
    </row>
    <row r="20" spans="1:4" x14ac:dyDescent="0.25">
      <c r="A20" s="357" t="s">
        <v>413</v>
      </c>
      <c r="B20" s="357" t="s">
        <v>425</v>
      </c>
      <c r="C20" s="357" t="s">
        <v>403</v>
      </c>
      <c r="D20" s="358" t="s">
        <v>404</v>
      </c>
    </row>
    <row r="21" spans="1:4" x14ac:dyDescent="0.25">
      <c r="A21" s="357" t="s">
        <v>413</v>
      </c>
      <c r="B21" s="359" t="s">
        <v>426</v>
      </c>
      <c r="C21" s="357" t="s">
        <v>403</v>
      </c>
      <c r="D21" s="350" t="s">
        <v>411</v>
      </c>
    </row>
    <row r="22" spans="1:4" x14ac:dyDescent="0.25">
      <c r="A22" s="357" t="s">
        <v>413</v>
      </c>
      <c r="B22" s="357" t="s">
        <v>427</v>
      </c>
      <c r="C22" s="357" t="s">
        <v>403</v>
      </c>
      <c r="D22" s="358" t="s">
        <v>404</v>
      </c>
    </row>
    <row r="23" spans="1:4" x14ac:dyDescent="0.25">
      <c r="A23" s="357" t="s">
        <v>413</v>
      </c>
      <c r="B23" s="359" t="s">
        <v>428</v>
      </c>
      <c r="C23" s="357" t="s">
        <v>403</v>
      </c>
      <c r="D23" s="350" t="s">
        <v>411</v>
      </c>
    </row>
    <row r="24" spans="1:4" x14ac:dyDescent="0.25">
      <c r="A24" s="357" t="s">
        <v>413</v>
      </c>
      <c r="B24" s="359" t="s">
        <v>429</v>
      </c>
      <c r="C24" s="357" t="s">
        <v>403</v>
      </c>
      <c r="D24" s="350" t="s">
        <v>411</v>
      </c>
    </row>
    <row r="25" spans="1:4" x14ac:dyDescent="0.25">
      <c r="A25" s="357" t="s">
        <v>413</v>
      </c>
      <c r="B25" s="357" t="s">
        <v>430</v>
      </c>
      <c r="C25" s="357" t="s">
        <v>403</v>
      </c>
      <c r="D25" s="358" t="s">
        <v>404</v>
      </c>
    </row>
    <row r="26" spans="1:4" x14ac:dyDescent="0.25">
      <c r="A26" s="357" t="s">
        <v>413</v>
      </c>
      <c r="B26" s="357" t="s">
        <v>431</v>
      </c>
      <c r="C26" s="357" t="s">
        <v>403</v>
      </c>
      <c r="D26" s="358" t="s">
        <v>404</v>
      </c>
    </row>
    <row r="27" spans="1:4" x14ac:dyDescent="0.25">
      <c r="A27" s="357" t="s">
        <v>413</v>
      </c>
      <c r="B27" s="359" t="s">
        <v>432</v>
      </c>
      <c r="C27" s="357" t="s">
        <v>403</v>
      </c>
      <c r="D27" s="350" t="s">
        <v>411</v>
      </c>
    </row>
    <row r="28" spans="1:4" x14ac:dyDescent="0.25">
      <c r="A28" s="357" t="s">
        <v>413</v>
      </c>
      <c r="B28" s="357" t="s">
        <v>433</v>
      </c>
      <c r="C28" s="357" t="s">
        <v>403</v>
      </c>
      <c r="D28" s="358" t="s">
        <v>404</v>
      </c>
    </row>
    <row r="29" spans="1:4" x14ac:dyDescent="0.25">
      <c r="A29" s="357" t="s">
        <v>434</v>
      </c>
      <c r="B29" s="359" t="s">
        <v>435</v>
      </c>
      <c r="C29" s="357" t="s">
        <v>403</v>
      </c>
      <c r="D29" s="350" t="s">
        <v>411</v>
      </c>
    </row>
    <row r="30" spans="1:4" x14ac:dyDescent="0.25">
      <c r="A30" s="357" t="s">
        <v>434</v>
      </c>
      <c r="B30" s="357" t="s">
        <v>436</v>
      </c>
      <c r="C30" s="357" t="s">
        <v>403</v>
      </c>
      <c r="D30" s="358" t="s">
        <v>404</v>
      </c>
    </row>
    <row r="31" spans="1:4" x14ac:dyDescent="0.25">
      <c r="A31" s="357" t="s">
        <v>434</v>
      </c>
      <c r="B31" s="359" t="s">
        <v>437</v>
      </c>
      <c r="C31" s="357" t="s">
        <v>403</v>
      </c>
      <c r="D31" s="350" t="s">
        <v>411</v>
      </c>
    </row>
    <row r="32" spans="1:4" x14ac:dyDescent="0.25">
      <c r="A32" s="357" t="s">
        <v>434</v>
      </c>
      <c r="B32" s="357" t="s">
        <v>438</v>
      </c>
      <c r="C32" s="357" t="s">
        <v>403</v>
      </c>
      <c r="D32" s="358" t="s">
        <v>404</v>
      </c>
    </row>
    <row r="33" spans="1:4" x14ac:dyDescent="0.25">
      <c r="A33" s="357" t="s">
        <v>434</v>
      </c>
      <c r="B33" s="359" t="s">
        <v>439</v>
      </c>
      <c r="C33" s="357" t="s">
        <v>403</v>
      </c>
      <c r="D33" s="350" t="s">
        <v>411</v>
      </c>
    </row>
    <row r="34" spans="1:4" x14ac:dyDescent="0.25">
      <c r="A34" s="357" t="s">
        <v>434</v>
      </c>
      <c r="B34" s="359" t="s">
        <v>440</v>
      </c>
      <c r="C34" s="357" t="s">
        <v>403</v>
      </c>
      <c r="D34" s="350" t="s">
        <v>411</v>
      </c>
    </row>
    <row r="35" spans="1:4" x14ac:dyDescent="0.25">
      <c r="A35" s="357" t="s">
        <v>434</v>
      </c>
      <c r="B35" s="359" t="s">
        <v>441</v>
      </c>
      <c r="C35" s="357" t="s">
        <v>403</v>
      </c>
      <c r="D35" s="350" t="s">
        <v>411</v>
      </c>
    </row>
    <row r="36" spans="1:4" x14ac:dyDescent="0.25">
      <c r="A36" s="357" t="s">
        <v>442</v>
      </c>
      <c r="B36" s="359" t="s">
        <v>443</v>
      </c>
      <c r="C36" s="357" t="s">
        <v>403</v>
      </c>
      <c r="D36" s="350" t="s">
        <v>411</v>
      </c>
    </row>
    <row r="37" spans="1:4" x14ac:dyDescent="0.25">
      <c r="A37" s="357" t="s">
        <v>442</v>
      </c>
      <c r="B37" s="359" t="s">
        <v>444</v>
      </c>
      <c r="C37" s="357" t="s">
        <v>403</v>
      </c>
      <c r="D37" s="350" t="s">
        <v>411</v>
      </c>
    </row>
    <row r="38" spans="1:4" x14ac:dyDescent="0.25">
      <c r="A38" s="357" t="s">
        <v>442</v>
      </c>
      <c r="B38" s="357" t="s">
        <v>445</v>
      </c>
      <c r="C38" s="357" t="s">
        <v>403</v>
      </c>
      <c r="D38" s="351" t="s">
        <v>409</v>
      </c>
    </row>
    <row r="39" spans="1:4" x14ac:dyDescent="0.25">
      <c r="A39" s="357" t="s">
        <v>442</v>
      </c>
      <c r="B39" s="359" t="s">
        <v>446</v>
      </c>
      <c r="C39" s="357" t="s">
        <v>403</v>
      </c>
      <c r="D39" s="350" t="s">
        <v>411</v>
      </c>
    </row>
    <row r="40" spans="1:4" x14ac:dyDescent="0.25">
      <c r="A40" s="357" t="s">
        <v>442</v>
      </c>
      <c r="B40" s="359" t="s">
        <v>447</v>
      </c>
      <c r="C40" s="357" t="s">
        <v>403</v>
      </c>
      <c r="D40" s="350" t="s">
        <v>411</v>
      </c>
    </row>
    <row r="41" spans="1:4" x14ac:dyDescent="0.25">
      <c r="A41" s="357" t="s">
        <v>442</v>
      </c>
      <c r="B41" s="357" t="s">
        <v>448</v>
      </c>
      <c r="C41" s="357" t="s">
        <v>403</v>
      </c>
      <c r="D41" s="358" t="s">
        <v>404</v>
      </c>
    </row>
    <row r="42" spans="1:4" x14ac:dyDescent="0.25">
      <c r="A42" s="357" t="s">
        <v>442</v>
      </c>
      <c r="B42" s="357" t="s">
        <v>442</v>
      </c>
      <c r="C42" s="357" t="s">
        <v>403</v>
      </c>
      <c r="D42" s="358" t="s">
        <v>404</v>
      </c>
    </row>
    <row r="43" spans="1:4" x14ac:dyDescent="0.25">
      <c r="A43" s="357" t="s">
        <v>442</v>
      </c>
      <c r="B43" s="359" t="s">
        <v>449</v>
      </c>
      <c r="C43" s="357" t="s">
        <v>403</v>
      </c>
      <c r="D43" s="350" t="s">
        <v>411</v>
      </c>
    </row>
    <row r="44" spans="1:4" x14ac:dyDescent="0.25">
      <c r="A44" s="357" t="s">
        <v>450</v>
      </c>
      <c r="B44" s="357" t="s">
        <v>451</v>
      </c>
      <c r="C44" s="357" t="s">
        <v>403</v>
      </c>
      <c r="D44" s="358" t="s">
        <v>404</v>
      </c>
    </row>
    <row r="45" spans="1:4" x14ac:dyDescent="0.25">
      <c r="A45" s="357" t="s">
        <v>450</v>
      </c>
      <c r="B45" s="359" t="s">
        <v>452</v>
      </c>
      <c r="C45" s="357" t="s">
        <v>403</v>
      </c>
      <c r="D45" s="350" t="s">
        <v>411</v>
      </c>
    </row>
    <row r="46" spans="1:4" x14ac:dyDescent="0.25">
      <c r="A46" s="357" t="s">
        <v>450</v>
      </c>
      <c r="B46" s="357" t="s">
        <v>453</v>
      </c>
      <c r="C46" s="357" t="s">
        <v>403</v>
      </c>
      <c r="D46" s="358" t="s">
        <v>404</v>
      </c>
    </row>
    <row r="47" spans="1:4" x14ac:dyDescent="0.25">
      <c r="A47" s="357" t="s">
        <v>450</v>
      </c>
      <c r="B47" s="359" t="s">
        <v>454</v>
      </c>
      <c r="C47" s="357" t="s">
        <v>403</v>
      </c>
      <c r="D47" s="350" t="s">
        <v>411</v>
      </c>
    </row>
    <row r="48" spans="1:4" x14ac:dyDescent="0.25">
      <c r="A48" s="357" t="s">
        <v>450</v>
      </c>
      <c r="B48" s="359" t="s">
        <v>455</v>
      </c>
      <c r="C48" s="357" t="s">
        <v>403</v>
      </c>
      <c r="D48" s="350" t="s">
        <v>411</v>
      </c>
    </row>
    <row r="49" spans="1:4" x14ac:dyDescent="0.25">
      <c r="A49" s="357" t="s">
        <v>450</v>
      </c>
      <c r="B49" s="359" t="s">
        <v>456</v>
      </c>
      <c r="C49" s="357" t="s">
        <v>403</v>
      </c>
      <c r="D49" s="350" t="s">
        <v>411</v>
      </c>
    </row>
    <row r="50" spans="1:4" x14ac:dyDescent="0.25">
      <c r="A50" s="357" t="s">
        <v>450</v>
      </c>
      <c r="B50" s="359" t="s">
        <v>457</v>
      </c>
      <c r="C50" s="357" t="s">
        <v>403</v>
      </c>
      <c r="D50" s="350" t="s">
        <v>411</v>
      </c>
    </row>
    <row r="51" spans="1:4" x14ac:dyDescent="0.25">
      <c r="A51" s="357" t="s">
        <v>450</v>
      </c>
      <c r="B51" s="359" t="s">
        <v>458</v>
      </c>
      <c r="C51" s="357" t="s">
        <v>403</v>
      </c>
      <c r="D51" s="350" t="s">
        <v>411</v>
      </c>
    </row>
    <row r="52" spans="1:4" x14ac:dyDescent="0.25">
      <c r="A52" s="357" t="s">
        <v>450</v>
      </c>
      <c r="B52" s="359" t="s">
        <v>459</v>
      </c>
      <c r="C52" s="357" t="s">
        <v>403</v>
      </c>
      <c r="D52" s="350" t="s">
        <v>411</v>
      </c>
    </row>
    <row r="53" spans="1:4" x14ac:dyDescent="0.25">
      <c r="A53" s="357" t="s">
        <v>450</v>
      </c>
      <c r="B53" s="359" t="s">
        <v>460</v>
      </c>
      <c r="C53" s="357" t="s">
        <v>403</v>
      </c>
      <c r="D53" s="350" t="s">
        <v>411</v>
      </c>
    </row>
    <row r="54" spans="1:4" x14ac:dyDescent="0.25">
      <c r="A54" s="357" t="s">
        <v>450</v>
      </c>
      <c r="B54" s="359" t="s">
        <v>461</v>
      </c>
      <c r="C54" s="357" t="s">
        <v>403</v>
      </c>
      <c r="D54" s="350" t="s">
        <v>411</v>
      </c>
    </row>
    <row r="55" spans="1:4" x14ac:dyDescent="0.25">
      <c r="A55" s="357" t="s">
        <v>462</v>
      </c>
      <c r="B55" s="357" t="s">
        <v>462</v>
      </c>
      <c r="C55" s="357" t="s">
        <v>403</v>
      </c>
      <c r="D55" s="358" t="s">
        <v>404</v>
      </c>
    </row>
    <row r="56" spans="1:4" x14ac:dyDescent="0.25">
      <c r="A56" s="357" t="s">
        <v>462</v>
      </c>
      <c r="B56" s="357" t="s">
        <v>463</v>
      </c>
      <c r="C56" s="357" t="s">
        <v>403</v>
      </c>
      <c r="D56" s="358" t="s">
        <v>404</v>
      </c>
    </row>
    <row r="57" spans="1:4" x14ac:dyDescent="0.25">
      <c r="A57" s="357" t="s">
        <v>462</v>
      </c>
      <c r="B57" s="357" t="s">
        <v>464</v>
      </c>
      <c r="C57" s="357" t="s">
        <v>403</v>
      </c>
      <c r="D57" s="358" t="s">
        <v>404</v>
      </c>
    </row>
    <row r="58" spans="1:4" x14ac:dyDescent="0.25">
      <c r="A58" s="357" t="s">
        <v>462</v>
      </c>
      <c r="B58" s="357" t="s">
        <v>465</v>
      </c>
      <c r="C58" s="357" t="s">
        <v>403</v>
      </c>
      <c r="D58" s="358" t="s">
        <v>404</v>
      </c>
    </row>
    <row r="59" spans="1:4" x14ac:dyDescent="0.25">
      <c r="A59" s="357" t="s">
        <v>462</v>
      </c>
      <c r="B59" s="357" t="s">
        <v>466</v>
      </c>
      <c r="C59" s="357" t="s">
        <v>403</v>
      </c>
      <c r="D59" s="358" t="s">
        <v>404</v>
      </c>
    </row>
    <row r="60" spans="1:4" x14ac:dyDescent="0.25">
      <c r="A60" s="357" t="s">
        <v>462</v>
      </c>
      <c r="B60" s="359" t="s">
        <v>467</v>
      </c>
      <c r="C60" s="357" t="s">
        <v>403</v>
      </c>
      <c r="D60" s="350" t="s">
        <v>411</v>
      </c>
    </row>
    <row r="61" spans="1:4" x14ac:dyDescent="0.25">
      <c r="A61" s="357" t="s">
        <v>462</v>
      </c>
      <c r="B61" s="357" t="s">
        <v>468</v>
      </c>
      <c r="C61" s="357" t="s">
        <v>403</v>
      </c>
      <c r="D61" s="358" t="s">
        <v>404</v>
      </c>
    </row>
    <row r="62" spans="1:4" x14ac:dyDescent="0.25">
      <c r="A62" s="357" t="s">
        <v>462</v>
      </c>
      <c r="B62" s="359" t="s">
        <v>469</v>
      </c>
      <c r="C62" s="357" t="s">
        <v>403</v>
      </c>
      <c r="D62" s="350" t="s">
        <v>411</v>
      </c>
    </row>
    <row r="63" spans="1:4" x14ac:dyDescent="0.25">
      <c r="A63" s="357" t="s">
        <v>462</v>
      </c>
      <c r="B63" s="359" t="s">
        <v>470</v>
      </c>
      <c r="C63" s="357" t="s">
        <v>403</v>
      </c>
      <c r="D63" s="350" t="s">
        <v>411</v>
      </c>
    </row>
    <row r="64" spans="1:4" x14ac:dyDescent="0.25">
      <c r="A64" s="357" t="s">
        <v>462</v>
      </c>
      <c r="B64" s="357" t="s">
        <v>471</v>
      </c>
      <c r="C64" s="357" t="s">
        <v>403</v>
      </c>
      <c r="D64" s="358" t="s">
        <v>404</v>
      </c>
    </row>
    <row r="65" spans="1:4" x14ac:dyDescent="0.25">
      <c r="A65" s="357" t="s">
        <v>462</v>
      </c>
      <c r="B65" s="357" t="s">
        <v>472</v>
      </c>
      <c r="C65" s="357" t="s">
        <v>403</v>
      </c>
      <c r="D65" s="358" t="s">
        <v>404</v>
      </c>
    </row>
    <row r="66" spans="1:4" x14ac:dyDescent="0.25">
      <c r="A66" s="357" t="s">
        <v>462</v>
      </c>
      <c r="B66" s="357" t="s">
        <v>473</v>
      </c>
      <c r="C66" s="357" t="s">
        <v>403</v>
      </c>
      <c r="D66" s="358" t="s">
        <v>404</v>
      </c>
    </row>
    <row r="67" spans="1:4" x14ac:dyDescent="0.25">
      <c r="A67" s="357" t="s">
        <v>462</v>
      </c>
      <c r="B67" s="357" t="s">
        <v>474</v>
      </c>
      <c r="C67" s="357" t="s">
        <v>403</v>
      </c>
      <c r="D67" s="358" t="s">
        <v>404</v>
      </c>
    </row>
    <row r="68" spans="1:4" x14ac:dyDescent="0.25">
      <c r="A68" s="357" t="s">
        <v>475</v>
      </c>
      <c r="B68" s="357" t="s">
        <v>476</v>
      </c>
      <c r="C68" s="357" t="s">
        <v>403</v>
      </c>
      <c r="D68" s="352" t="s">
        <v>477</v>
      </c>
    </row>
    <row r="69" spans="1:4" x14ac:dyDescent="0.25">
      <c r="A69" s="356" t="s">
        <v>475</v>
      </c>
      <c r="B69" s="356" t="s">
        <v>478</v>
      </c>
      <c r="C69" s="356" t="s">
        <v>403</v>
      </c>
      <c r="D69" s="349" t="s">
        <v>404</v>
      </c>
    </row>
    <row r="70" spans="1:4" x14ac:dyDescent="0.25">
      <c r="A70" s="357" t="s">
        <v>475</v>
      </c>
      <c r="B70" s="359" t="s">
        <v>479</v>
      </c>
      <c r="C70" s="357" t="s">
        <v>403</v>
      </c>
      <c r="D70" s="358" t="s">
        <v>404</v>
      </c>
    </row>
    <row r="71" spans="1:4" x14ac:dyDescent="0.25">
      <c r="A71" s="357" t="s">
        <v>475</v>
      </c>
      <c r="B71" s="359" t="s">
        <v>480</v>
      </c>
      <c r="C71" s="357" t="s">
        <v>403</v>
      </c>
      <c r="D71" s="358" t="s">
        <v>404</v>
      </c>
    </row>
    <row r="72" spans="1:4" x14ac:dyDescent="0.25">
      <c r="A72" s="357" t="s">
        <v>475</v>
      </c>
      <c r="B72" s="359" t="s">
        <v>475</v>
      </c>
      <c r="C72" s="357" t="s">
        <v>403</v>
      </c>
      <c r="D72" s="358" t="s">
        <v>404</v>
      </c>
    </row>
    <row r="73" spans="1:4" x14ac:dyDescent="0.25">
      <c r="A73" s="357" t="s">
        <v>475</v>
      </c>
      <c r="B73" s="359" t="s">
        <v>481</v>
      </c>
      <c r="C73" s="357" t="s">
        <v>403</v>
      </c>
      <c r="D73" s="350" t="s">
        <v>411</v>
      </c>
    </row>
    <row r="74" spans="1:4" x14ac:dyDescent="0.25">
      <c r="A74" s="357" t="s">
        <v>475</v>
      </c>
      <c r="B74" s="359" t="s">
        <v>482</v>
      </c>
      <c r="C74" s="357" t="s">
        <v>403</v>
      </c>
      <c r="D74" s="350" t="s">
        <v>411</v>
      </c>
    </row>
    <row r="75" spans="1:4" x14ac:dyDescent="0.25">
      <c r="A75" s="357" t="s">
        <v>475</v>
      </c>
      <c r="B75" s="359" t="s">
        <v>483</v>
      </c>
      <c r="C75" s="357" t="s">
        <v>403</v>
      </c>
      <c r="D75" s="350" t="s">
        <v>411</v>
      </c>
    </row>
    <row r="76" spans="1:4" x14ac:dyDescent="0.25">
      <c r="A76" s="357" t="s">
        <v>475</v>
      </c>
      <c r="B76" s="359" t="s">
        <v>484</v>
      </c>
      <c r="C76" s="357" t="s">
        <v>403</v>
      </c>
      <c r="D76" s="350" t="s">
        <v>411</v>
      </c>
    </row>
    <row r="77" spans="1:4" x14ac:dyDescent="0.25">
      <c r="A77" s="357" t="s">
        <v>475</v>
      </c>
      <c r="B77" s="359" t="s">
        <v>485</v>
      </c>
      <c r="C77" s="357" t="s">
        <v>403</v>
      </c>
      <c r="D77" s="350" t="s">
        <v>411</v>
      </c>
    </row>
    <row r="78" spans="1:4" x14ac:dyDescent="0.25">
      <c r="A78" s="357" t="s">
        <v>475</v>
      </c>
      <c r="B78" s="359" t="s">
        <v>486</v>
      </c>
      <c r="C78" s="357" t="s">
        <v>403</v>
      </c>
      <c r="D78" s="350" t="s">
        <v>411</v>
      </c>
    </row>
    <row r="79" spans="1:4" x14ac:dyDescent="0.25">
      <c r="A79" s="357" t="s">
        <v>475</v>
      </c>
      <c r="B79" s="359" t="s">
        <v>487</v>
      </c>
      <c r="C79" s="357" t="s">
        <v>403</v>
      </c>
      <c r="D79" s="350" t="s">
        <v>411</v>
      </c>
    </row>
    <row r="80" spans="1:4" x14ac:dyDescent="0.25">
      <c r="A80" s="357" t="s">
        <v>475</v>
      </c>
      <c r="B80" s="359" t="s">
        <v>488</v>
      </c>
      <c r="C80" s="357" t="s">
        <v>403</v>
      </c>
      <c r="D80" s="350" t="s">
        <v>411</v>
      </c>
    </row>
    <row r="81" spans="1:4" x14ac:dyDescent="0.25">
      <c r="A81" s="357" t="s">
        <v>489</v>
      </c>
      <c r="B81" s="359" t="s">
        <v>490</v>
      </c>
      <c r="C81" s="357" t="s">
        <v>403</v>
      </c>
      <c r="D81" s="360" t="s">
        <v>404</v>
      </c>
    </row>
    <row r="82" spans="1:4" x14ac:dyDescent="0.25">
      <c r="A82" s="357" t="s">
        <v>489</v>
      </c>
      <c r="B82" s="359" t="s">
        <v>491</v>
      </c>
      <c r="C82" s="357" t="s">
        <v>403</v>
      </c>
      <c r="D82" s="358" t="s">
        <v>404</v>
      </c>
    </row>
    <row r="83" spans="1:4" x14ac:dyDescent="0.25">
      <c r="A83" s="357" t="s">
        <v>489</v>
      </c>
      <c r="B83" s="359" t="s">
        <v>492</v>
      </c>
      <c r="C83" s="357" t="s">
        <v>403</v>
      </c>
      <c r="D83" s="358" t="s">
        <v>404</v>
      </c>
    </row>
    <row r="84" spans="1:4" x14ac:dyDescent="0.25">
      <c r="A84" s="357" t="s">
        <v>489</v>
      </c>
      <c r="B84" s="357" t="s">
        <v>493</v>
      </c>
      <c r="C84" s="357" t="s">
        <v>403</v>
      </c>
      <c r="D84" s="358" t="s">
        <v>404</v>
      </c>
    </row>
    <row r="85" spans="1:4" x14ac:dyDescent="0.25">
      <c r="A85" s="357" t="s">
        <v>489</v>
      </c>
      <c r="B85" s="359" t="s">
        <v>494</v>
      </c>
      <c r="C85" s="357" t="s">
        <v>403</v>
      </c>
      <c r="D85" s="350" t="s">
        <v>411</v>
      </c>
    </row>
    <row r="86" spans="1:4" x14ac:dyDescent="0.25">
      <c r="A86" s="357" t="s">
        <v>489</v>
      </c>
      <c r="B86" s="359" t="s">
        <v>495</v>
      </c>
      <c r="C86" s="357" t="s">
        <v>403</v>
      </c>
      <c r="D86" s="350" t="s">
        <v>411</v>
      </c>
    </row>
    <row r="87" spans="1:4" x14ac:dyDescent="0.25">
      <c r="A87" s="357" t="s">
        <v>489</v>
      </c>
      <c r="B87" s="357" t="s">
        <v>489</v>
      </c>
      <c r="C87" s="357" t="s">
        <v>403</v>
      </c>
      <c r="D87" s="358" t="s">
        <v>404</v>
      </c>
    </row>
    <row r="88" spans="1:4" x14ac:dyDescent="0.25">
      <c r="A88" s="357" t="s">
        <v>496</v>
      </c>
      <c r="B88" s="357" t="s">
        <v>496</v>
      </c>
      <c r="C88" s="357" t="s">
        <v>403</v>
      </c>
      <c r="D88" s="358" t="s">
        <v>404</v>
      </c>
    </row>
    <row r="89" spans="1:4" x14ac:dyDescent="0.25">
      <c r="A89" s="357" t="s">
        <v>496</v>
      </c>
      <c r="B89" s="357" t="s">
        <v>497</v>
      </c>
      <c r="C89" s="357" t="s">
        <v>403</v>
      </c>
      <c r="D89" s="358" t="s">
        <v>404</v>
      </c>
    </row>
    <row r="90" spans="1:4" x14ac:dyDescent="0.25">
      <c r="A90" s="357" t="s">
        <v>496</v>
      </c>
      <c r="B90" s="357" t="s">
        <v>498</v>
      </c>
      <c r="C90" s="357" t="s">
        <v>403</v>
      </c>
      <c r="D90" s="360" t="s">
        <v>404</v>
      </c>
    </row>
    <row r="91" spans="1:4" x14ac:dyDescent="0.25">
      <c r="A91" s="357" t="s">
        <v>496</v>
      </c>
      <c r="B91" s="359" t="s">
        <v>499</v>
      </c>
      <c r="C91" s="357" t="s">
        <v>403</v>
      </c>
      <c r="D91" s="350" t="s">
        <v>411</v>
      </c>
    </row>
    <row r="92" spans="1:4" x14ac:dyDescent="0.25">
      <c r="A92" s="357" t="s">
        <v>496</v>
      </c>
      <c r="B92" s="359" t="s">
        <v>500</v>
      </c>
      <c r="C92" s="357" t="s">
        <v>403</v>
      </c>
      <c r="D92" s="350" t="s">
        <v>411</v>
      </c>
    </row>
    <row r="93" spans="1:4" x14ac:dyDescent="0.25">
      <c r="A93" s="357" t="s">
        <v>496</v>
      </c>
      <c r="B93" s="359" t="s">
        <v>501</v>
      </c>
      <c r="C93" s="357" t="s">
        <v>403</v>
      </c>
      <c r="D93" s="350" t="s">
        <v>411</v>
      </c>
    </row>
    <row r="94" spans="1:4" x14ac:dyDescent="0.25">
      <c r="A94" s="357" t="s">
        <v>496</v>
      </c>
      <c r="B94" s="359" t="s">
        <v>502</v>
      </c>
      <c r="C94" s="357" t="s">
        <v>403</v>
      </c>
      <c r="D94" s="350" t="s">
        <v>411</v>
      </c>
    </row>
    <row r="95" spans="1:4" x14ac:dyDescent="0.25">
      <c r="A95" s="357" t="s">
        <v>496</v>
      </c>
      <c r="B95" s="357" t="s">
        <v>503</v>
      </c>
      <c r="C95" s="357" t="s">
        <v>403</v>
      </c>
      <c r="D95" s="358" t="s">
        <v>404</v>
      </c>
    </row>
    <row r="96" spans="1:4" x14ac:dyDescent="0.25">
      <c r="A96" s="357" t="s">
        <v>496</v>
      </c>
      <c r="B96" s="359" t="s">
        <v>504</v>
      </c>
      <c r="C96" s="357" t="s">
        <v>403</v>
      </c>
      <c r="D96" s="350" t="s">
        <v>411</v>
      </c>
    </row>
    <row r="97" spans="1:4" x14ac:dyDescent="0.25">
      <c r="A97" s="357" t="s">
        <v>496</v>
      </c>
      <c r="B97" s="357" t="s">
        <v>505</v>
      </c>
      <c r="C97" s="357" t="s">
        <v>403</v>
      </c>
      <c r="D97" s="358" t="s">
        <v>404</v>
      </c>
    </row>
    <row r="98" spans="1:4" x14ac:dyDescent="0.25">
      <c r="A98" s="357" t="s">
        <v>496</v>
      </c>
      <c r="B98" s="357" t="s">
        <v>506</v>
      </c>
      <c r="C98" s="357" t="s">
        <v>403</v>
      </c>
      <c r="D98" s="358" t="s">
        <v>404</v>
      </c>
    </row>
    <row r="99" spans="1:4" x14ac:dyDescent="0.25">
      <c r="A99" s="357" t="s">
        <v>507</v>
      </c>
      <c r="B99" s="357" t="s">
        <v>508</v>
      </c>
      <c r="C99" s="357" t="s">
        <v>403</v>
      </c>
      <c r="D99" s="358" t="s">
        <v>404</v>
      </c>
    </row>
    <row r="100" spans="1:4" x14ac:dyDescent="0.25">
      <c r="A100" s="357" t="s">
        <v>507</v>
      </c>
      <c r="B100" s="357" t="s">
        <v>509</v>
      </c>
      <c r="C100" s="357" t="s">
        <v>403</v>
      </c>
      <c r="D100" s="358" t="s">
        <v>404</v>
      </c>
    </row>
    <row r="101" spans="1:4" x14ac:dyDescent="0.25">
      <c r="A101" s="357" t="s">
        <v>507</v>
      </c>
      <c r="B101" s="357" t="s">
        <v>507</v>
      </c>
      <c r="C101" s="357" t="s">
        <v>403</v>
      </c>
      <c r="D101" s="358" t="s">
        <v>404</v>
      </c>
    </row>
    <row r="102" spans="1:4" x14ac:dyDescent="0.25">
      <c r="A102" s="357" t="s">
        <v>507</v>
      </c>
      <c r="B102" s="359" t="s">
        <v>510</v>
      </c>
      <c r="C102" s="357" t="s">
        <v>403</v>
      </c>
      <c r="D102" s="350" t="s">
        <v>411</v>
      </c>
    </row>
    <row r="103" spans="1:4" x14ac:dyDescent="0.25">
      <c r="A103" s="357" t="s">
        <v>507</v>
      </c>
      <c r="B103" s="359" t="s">
        <v>511</v>
      </c>
      <c r="C103" s="357" t="s">
        <v>403</v>
      </c>
      <c r="D103" s="350" t="s">
        <v>411</v>
      </c>
    </row>
    <row r="104" spans="1:4" x14ac:dyDescent="0.25">
      <c r="A104" s="357" t="s">
        <v>512</v>
      </c>
      <c r="B104" s="357" t="s">
        <v>513</v>
      </c>
      <c r="C104" s="357" t="s">
        <v>403</v>
      </c>
      <c r="D104" s="358" t="s">
        <v>404</v>
      </c>
    </row>
    <row r="105" spans="1:4" x14ac:dyDescent="0.25">
      <c r="A105" s="357" t="s">
        <v>512</v>
      </c>
      <c r="B105" s="357" t="s">
        <v>514</v>
      </c>
      <c r="C105" s="357" t="s">
        <v>403</v>
      </c>
      <c r="D105" s="358" t="s">
        <v>404</v>
      </c>
    </row>
    <row r="106" spans="1:4" x14ac:dyDescent="0.25">
      <c r="A106" s="357" t="s">
        <v>512</v>
      </c>
      <c r="B106" s="357" t="s">
        <v>515</v>
      </c>
      <c r="C106" s="357" t="s">
        <v>403</v>
      </c>
      <c r="D106" s="358" t="s">
        <v>404</v>
      </c>
    </row>
    <row r="107" spans="1:4" x14ac:dyDescent="0.25">
      <c r="A107" s="357" t="s">
        <v>512</v>
      </c>
      <c r="B107" s="357" t="s">
        <v>516</v>
      </c>
      <c r="C107" s="357" t="s">
        <v>403</v>
      </c>
      <c r="D107" s="358" t="s">
        <v>404</v>
      </c>
    </row>
    <row r="108" spans="1:4" x14ac:dyDescent="0.25">
      <c r="A108" s="357" t="s">
        <v>512</v>
      </c>
      <c r="B108" s="359" t="s">
        <v>517</v>
      </c>
      <c r="C108" s="357" t="s">
        <v>403</v>
      </c>
      <c r="D108" s="350" t="s">
        <v>411</v>
      </c>
    </row>
    <row r="109" spans="1:4" x14ac:dyDescent="0.25">
      <c r="A109" s="357" t="s">
        <v>512</v>
      </c>
      <c r="B109" s="361" t="s">
        <v>518</v>
      </c>
      <c r="C109" s="357" t="s">
        <v>403</v>
      </c>
      <c r="D109" s="360" t="s">
        <v>404</v>
      </c>
    </row>
    <row r="110" spans="1:4" x14ac:dyDescent="0.25">
      <c r="A110" s="357" t="s">
        <v>512</v>
      </c>
      <c r="B110" s="359" t="s">
        <v>512</v>
      </c>
      <c r="C110" s="357" t="s">
        <v>403</v>
      </c>
      <c r="D110" s="350" t="s">
        <v>411</v>
      </c>
    </row>
    <row r="111" spans="1:4" x14ac:dyDescent="0.25">
      <c r="A111" s="357" t="s">
        <v>512</v>
      </c>
      <c r="B111" s="359" t="s">
        <v>519</v>
      </c>
      <c r="C111" s="357" t="s">
        <v>403</v>
      </c>
      <c r="D111" s="350" t="s">
        <v>411</v>
      </c>
    </row>
    <row r="112" spans="1:4" x14ac:dyDescent="0.25">
      <c r="A112" s="357" t="s">
        <v>512</v>
      </c>
      <c r="B112" s="359" t="s">
        <v>520</v>
      </c>
      <c r="C112" s="357" t="s">
        <v>403</v>
      </c>
      <c r="D112" s="350" t="s">
        <v>411</v>
      </c>
    </row>
    <row r="113" spans="1:4" x14ac:dyDescent="0.25">
      <c r="A113" s="357" t="s">
        <v>521</v>
      </c>
      <c r="B113" s="357" t="s">
        <v>522</v>
      </c>
      <c r="C113" s="357" t="s">
        <v>403</v>
      </c>
      <c r="D113" s="358" t="s">
        <v>404</v>
      </c>
    </row>
    <row r="114" spans="1:4" x14ac:dyDescent="0.25">
      <c r="A114" s="357" t="s">
        <v>521</v>
      </c>
      <c r="B114" s="357" t="s">
        <v>523</v>
      </c>
      <c r="C114" s="357" t="s">
        <v>403</v>
      </c>
      <c r="D114" s="358" t="s">
        <v>404</v>
      </c>
    </row>
    <row r="115" spans="1:4" x14ac:dyDescent="0.25">
      <c r="A115" s="357" t="s">
        <v>521</v>
      </c>
      <c r="B115" s="357" t="s">
        <v>524</v>
      </c>
      <c r="C115" s="357" t="s">
        <v>403</v>
      </c>
      <c r="D115" s="351" t="s">
        <v>409</v>
      </c>
    </row>
    <row r="116" spans="1:4" x14ac:dyDescent="0.25">
      <c r="A116" s="357" t="s">
        <v>521</v>
      </c>
      <c r="B116" s="357" t="s">
        <v>525</v>
      </c>
      <c r="C116" s="357" t="s">
        <v>403</v>
      </c>
      <c r="D116" s="358" t="s">
        <v>404</v>
      </c>
    </row>
    <row r="117" spans="1:4" x14ac:dyDescent="0.25">
      <c r="A117" s="357" t="s">
        <v>521</v>
      </c>
      <c r="B117" s="357" t="s">
        <v>526</v>
      </c>
      <c r="C117" s="357" t="s">
        <v>403</v>
      </c>
      <c r="D117" s="358" t="s">
        <v>404</v>
      </c>
    </row>
    <row r="118" spans="1:4" x14ac:dyDescent="0.25">
      <c r="A118" s="357" t="s">
        <v>521</v>
      </c>
      <c r="B118" s="359" t="s">
        <v>527</v>
      </c>
      <c r="C118" s="357" t="s">
        <v>403</v>
      </c>
      <c r="D118" s="350" t="s">
        <v>411</v>
      </c>
    </row>
    <row r="119" spans="1:4" x14ac:dyDescent="0.25">
      <c r="A119" s="357" t="s">
        <v>521</v>
      </c>
      <c r="B119" s="357" t="s">
        <v>528</v>
      </c>
      <c r="C119" s="357" t="s">
        <v>403</v>
      </c>
      <c r="D119" s="358" t="s">
        <v>404</v>
      </c>
    </row>
    <row r="120" spans="1:4" x14ac:dyDescent="0.25">
      <c r="A120" s="357" t="s">
        <v>521</v>
      </c>
      <c r="B120" s="359" t="s">
        <v>529</v>
      </c>
      <c r="C120" s="357" t="s">
        <v>403</v>
      </c>
      <c r="D120" s="350" t="s">
        <v>411</v>
      </c>
    </row>
    <row r="121" spans="1:4" x14ac:dyDescent="0.25">
      <c r="A121" s="357" t="s">
        <v>521</v>
      </c>
      <c r="B121" s="359" t="s">
        <v>530</v>
      </c>
      <c r="C121" s="357" t="s">
        <v>403</v>
      </c>
      <c r="D121" s="350" t="s">
        <v>411</v>
      </c>
    </row>
    <row r="122" spans="1:4" x14ac:dyDescent="0.25">
      <c r="A122" s="357" t="s">
        <v>521</v>
      </c>
      <c r="B122" s="359" t="s">
        <v>531</v>
      </c>
      <c r="C122" s="357" t="s">
        <v>403</v>
      </c>
      <c r="D122" s="350" t="s">
        <v>411</v>
      </c>
    </row>
    <row r="123" spans="1:4" x14ac:dyDescent="0.25">
      <c r="A123" s="357" t="s">
        <v>521</v>
      </c>
      <c r="B123" s="359" t="s">
        <v>532</v>
      </c>
      <c r="C123" s="357" t="s">
        <v>403</v>
      </c>
      <c r="D123" s="350" t="s">
        <v>411</v>
      </c>
    </row>
    <row r="124" spans="1:4" x14ac:dyDescent="0.25">
      <c r="A124" s="357" t="s">
        <v>521</v>
      </c>
      <c r="B124" s="357" t="s">
        <v>533</v>
      </c>
      <c r="C124" s="357" t="s">
        <v>403</v>
      </c>
      <c r="D124" s="358" t="s">
        <v>404</v>
      </c>
    </row>
    <row r="125" spans="1:4" x14ac:dyDescent="0.25">
      <c r="A125" s="357" t="s">
        <v>534</v>
      </c>
      <c r="B125" s="357" t="s">
        <v>535</v>
      </c>
      <c r="C125" s="357" t="s">
        <v>403</v>
      </c>
      <c r="D125" s="358" t="s">
        <v>404</v>
      </c>
    </row>
    <row r="126" spans="1:4" x14ac:dyDescent="0.25">
      <c r="A126" s="357" t="s">
        <v>534</v>
      </c>
      <c r="B126" s="359" t="s">
        <v>536</v>
      </c>
      <c r="C126" s="357" t="s">
        <v>403</v>
      </c>
      <c r="D126" s="350" t="s">
        <v>411</v>
      </c>
    </row>
    <row r="127" spans="1:4" x14ac:dyDescent="0.25">
      <c r="A127" s="357" t="s">
        <v>534</v>
      </c>
      <c r="B127" s="359" t="s">
        <v>534</v>
      </c>
      <c r="C127" s="357" t="s">
        <v>537</v>
      </c>
      <c r="D127" s="350" t="s">
        <v>411</v>
      </c>
    </row>
    <row r="128" spans="1:4" x14ac:dyDescent="0.25">
      <c r="A128" s="357" t="s">
        <v>538</v>
      </c>
      <c r="B128" s="357" t="s">
        <v>538</v>
      </c>
      <c r="C128" s="357" t="s">
        <v>403</v>
      </c>
      <c r="D128" s="358" t="s">
        <v>404</v>
      </c>
    </row>
    <row r="129" spans="1:4" x14ac:dyDescent="0.25">
      <c r="A129" s="357" t="s">
        <v>538</v>
      </c>
      <c r="B129" s="357" t="s">
        <v>539</v>
      </c>
      <c r="C129" s="357" t="s">
        <v>403</v>
      </c>
      <c r="D129" s="358" t="s">
        <v>404</v>
      </c>
    </row>
    <row r="130" spans="1:4" x14ac:dyDescent="0.25">
      <c r="A130" s="357" t="s">
        <v>538</v>
      </c>
      <c r="B130" s="357" t="s">
        <v>540</v>
      </c>
      <c r="C130" s="357" t="s">
        <v>403</v>
      </c>
      <c r="D130" s="358" t="s">
        <v>404</v>
      </c>
    </row>
    <row r="131" spans="1:4" x14ac:dyDescent="0.25">
      <c r="A131" s="357" t="s">
        <v>538</v>
      </c>
      <c r="B131" s="357" t="s">
        <v>541</v>
      </c>
      <c r="C131" s="357" t="s">
        <v>403</v>
      </c>
      <c r="D131" s="358" t="s">
        <v>404</v>
      </c>
    </row>
    <row r="132" spans="1:4" x14ac:dyDescent="0.25">
      <c r="A132" s="357" t="s">
        <v>538</v>
      </c>
      <c r="B132" s="357" t="s">
        <v>542</v>
      </c>
      <c r="C132" s="357" t="s">
        <v>403</v>
      </c>
      <c r="D132" s="358" t="s">
        <v>404</v>
      </c>
    </row>
    <row r="133" spans="1:4" x14ac:dyDescent="0.25">
      <c r="A133" s="357" t="s">
        <v>538</v>
      </c>
      <c r="B133" s="357" t="s">
        <v>543</v>
      </c>
      <c r="C133" s="357" t="s">
        <v>403</v>
      </c>
      <c r="D133" s="358" t="s">
        <v>404</v>
      </c>
    </row>
    <row r="134" spans="1:4" x14ac:dyDescent="0.25">
      <c r="A134" s="357" t="s">
        <v>538</v>
      </c>
      <c r="B134" s="357" t="s">
        <v>544</v>
      </c>
      <c r="C134" s="357" t="s">
        <v>403</v>
      </c>
      <c r="D134" s="358" t="s">
        <v>404</v>
      </c>
    </row>
    <row r="135" spans="1:4" x14ac:dyDescent="0.25">
      <c r="A135" s="357" t="s">
        <v>538</v>
      </c>
      <c r="B135" s="357" t="s">
        <v>545</v>
      </c>
      <c r="C135" s="357" t="s">
        <v>403</v>
      </c>
      <c r="D135" s="358" t="s">
        <v>404</v>
      </c>
    </row>
    <row r="136" spans="1:4" x14ac:dyDescent="0.25">
      <c r="A136" s="357" t="s">
        <v>538</v>
      </c>
      <c r="B136" s="359" t="s">
        <v>546</v>
      </c>
      <c r="C136" s="357" t="s">
        <v>403</v>
      </c>
      <c r="D136" s="350" t="s">
        <v>411</v>
      </c>
    </row>
    <row r="137" spans="1:4" x14ac:dyDescent="0.25">
      <c r="A137" s="357" t="s">
        <v>538</v>
      </c>
      <c r="B137" s="359" t="s">
        <v>547</v>
      </c>
      <c r="C137" s="357" t="s">
        <v>403</v>
      </c>
      <c r="D137" s="350" t="s">
        <v>411</v>
      </c>
    </row>
    <row r="138" spans="1:4" x14ac:dyDescent="0.25">
      <c r="A138" s="357" t="s">
        <v>548</v>
      </c>
      <c r="B138" s="357" t="s">
        <v>403</v>
      </c>
      <c r="C138" s="357" t="s">
        <v>403</v>
      </c>
      <c r="D138" s="351" t="s">
        <v>409</v>
      </c>
    </row>
    <row r="139" spans="1:4" x14ac:dyDescent="0.25">
      <c r="A139" s="357" t="s">
        <v>549</v>
      </c>
      <c r="B139" s="357" t="s">
        <v>550</v>
      </c>
      <c r="C139" s="357" t="s">
        <v>403</v>
      </c>
      <c r="D139" s="352" t="s">
        <v>477</v>
      </c>
    </row>
    <row r="140" spans="1:4" x14ac:dyDescent="0.25">
      <c r="A140" s="357" t="s">
        <v>549</v>
      </c>
      <c r="B140" s="357" t="s">
        <v>551</v>
      </c>
      <c r="C140" s="357" t="s">
        <v>403</v>
      </c>
      <c r="D140" s="352" t="s">
        <v>477</v>
      </c>
    </row>
    <row r="141" spans="1:4" x14ac:dyDescent="0.25">
      <c r="A141" s="357" t="s">
        <v>549</v>
      </c>
      <c r="B141" s="357" t="s">
        <v>552</v>
      </c>
      <c r="C141" s="357" t="s">
        <v>403</v>
      </c>
      <c r="D141" s="352" t="s">
        <v>477</v>
      </c>
    </row>
    <row r="142" spans="1:4" x14ac:dyDescent="0.25">
      <c r="A142" s="356" t="s">
        <v>553</v>
      </c>
      <c r="B142" s="356" t="s">
        <v>554</v>
      </c>
      <c r="C142" s="356" t="s">
        <v>403</v>
      </c>
      <c r="D142" s="362" t="s">
        <v>404</v>
      </c>
    </row>
    <row r="143" spans="1:4" x14ac:dyDescent="0.25">
      <c r="A143" s="357" t="s">
        <v>553</v>
      </c>
      <c r="B143" s="357" t="s">
        <v>555</v>
      </c>
      <c r="C143" s="357" t="s">
        <v>403</v>
      </c>
      <c r="D143" s="358" t="s">
        <v>404</v>
      </c>
    </row>
    <row r="144" spans="1:4" x14ac:dyDescent="0.25">
      <c r="A144" s="357" t="s">
        <v>553</v>
      </c>
      <c r="B144" s="357" t="s">
        <v>556</v>
      </c>
      <c r="C144" s="357" t="s">
        <v>403</v>
      </c>
      <c r="D144" s="358" t="s">
        <v>404</v>
      </c>
    </row>
    <row r="145" spans="1:4" x14ac:dyDescent="0.25">
      <c r="A145" s="357" t="s">
        <v>557</v>
      </c>
      <c r="B145" s="357" t="s">
        <v>557</v>
      </c>
      <c r="C145" s="357" t="s">
        <v>403</v>
      </c>
      <c r="D145" s="358" t="s">
        <v>404</v>
      </c>
    </row>
    <row r="146" spans="1:4" x14ac:dyDescent="0.25">
      <c r="A146" s="357" t="s">
        <v>557</v>
      </c>
      <c r="B146" s="359" t="s">
        <v>558</v>
      </c>
      <c r="C146" s="357" t="s">
        <v>403</v>
      </c>
      <c r="D146" s="350" t="s">
        <v>411</v>
      </c>
    </row>
    <row r="147" spans="1:4" x14ac:dyDescent="0.25">
      <c r="A147" s="357" t="s">
        <v>557</v>
      </c>
      <c r="B147" s="359" t="s">
        <v>559</v>
      </c>
      <c r="C147" s="357" t="s">
        <v>403</v>
      </c>
      <c r="D147" s="350" t="s">
        <v>411</v>
      </c>
    </row>
    <row r="148" spans="1:4" x14ac:dyDescent="0.25">
      <c r="A148" s="357" t="s">
        <v>560</v>
      </c>
      <c r="B148" s="357" t="s">
        <v>560</v>
      </c>
      <c r="C148" s="357" t="s">
        <v>403</v>
      </c>
      <c r="D148" s="358" t="s">
        <v>404</v>
      </c>
    </row>
    <row r="149" spans="1:4" x14ac:dyDescent="0.25">
      <c r="A149" s="357" t="s">
        <v>560</v>
      </c>
      <c r="B149" s="359" t="s">
        <v>561</v>
      </c>
      <c r="C149" s="357" t="s">
        <v>403</v>
      </c>
      <c r="D149" s="350" t="s">
        <v>411</v>
      </c>
    </row>
    <row r="150" spans="1:4" x14ac:dyDescent="0.25">
      <c r="A150" s="357" t="s">
        <v>560</v>
      </c>
      <c r="B150" s="359" t="s">
        <v>562</v>
      </c>
      <c r="C150" s="357" t="s">
        <v>403</v>
      </c>
      <c r="D150" s="350" t="s">
        <v>411</v>
      </c>
    </row>
    <row r="151" spans="1:4" x14ac:dyDescent="0.25">
      <c r="A151" s="357" t="s">
        <v>560</v>
      </c>
      <c r="B151" s="357" t="s">
        <v>563</v>
      </c>
      <c r="C151" s="357" t="s">
        <v>403</v>
      </c>
      <c r="D151" s="358" t="s">
        <v>404</v>
      </c>
    </row>
    <row r="152" spans="1:4" x14ac:dyDescent="0.25">
      <c r="A152" s="357" t="s">
        <v>560</v>
      </c>
      <c r="B152" s="357" t="s">
        <v>564</v>
      </c>
      <c r="C152" s="357" t="s">
        <v>403</v>
      </c>
      <c r="D152" s="358" t="s">
        <v>404</v>
      </c>
    </row>
    <row r="153" spans="1:4" x14ac:dyDescent="0.25">
      <c r="A153" s="357" t="s">
        <v>560</v>
      </c>
      <c r="B153" s="357" t="s">
        <v>565</v>
      </c>
      <c r="C153" s="357" t="s">
        <v>403</v>
      </c>
      <c r="D153" s="358" t="s">
        <v>404</v>
      </c>
    </row>
    <row r="154" spans="1:4" x14ac:dyDescent="0.25">
      <c r="A154" s="357" t="s">
        <v>560</v>
      </c>
      <c r="B154" s="357" t="s">
        <v>566</v>
      </c>
      <c r="C154" s="357" t="s">
        <v>403</v>
      </c>
      <c r="D154" s="358" t="s">
        <v>404</v>
      </c>
    </row>
    <row r="155" spans="1:4" x14ac:dyDescent="0.25">
      <c r="A155" s="357" t="s">
        <v>560</v>
      </c>
      <c r="B155" s="357" t="s">
        <v>567</v>
      </c>
      <c r="C155" s="357" t="s">
        <v>403</v>
      </c>
      <c r="D155" s="358" t="s">
        <v>404</v>
      </c>
    </row>
    <row r="156" spans="1:4" x14ac:dyDescent="0.25">
      <c r="A156" s="357" t="s">
        <v>568</v>
      </c>
      <c r="B156" s="357" t="s">
        <v>569</v>
      </c>
      <c r="C156" s="357" t="s">
        <v>403</v>
      </c>
      <c r="D156" s="351" t="s">
        <v>409</v>
      </c>
    </row>
    <row r="157" spans="1:4" x14ac:dyDescent="0.25">
      <c r="A157" s="357" t="s">
        <v>568</v>
      </c>
      <c r="B157" s="359" t="s">
        <v>570</v>
      </c>
      <c r="C157" s="357" t="s">
        <v>403</v>
      </c>
      <c r="D157" s="350" t="s">
        <v>411</v>
      </c>
    </row>
    <row r="158" spans="1:4" x14ac:dyDescent="0.25">
      <c r="A158" s="357" t="s">
        <v>568</v>
      </c>
      <c r="B158" s="359" t="s">
        <v>571</v>
      </c>
      <c r="C158" s="357" t="s">
        <v>403</v>
      </c>
      <c r="D158" s="350" t="s">
        <v>411</v>
      </c>
    </row>
    <row r="159" spans="1:4" x14ac:dyDescent="0.25">
      <c r="A159" s="357" t="s">
        <v>568</v>
      </c>
      <c r="B159" s="359" t="s">
        <v>572</v>
      </c>
      <c r="C159" s="357" t="s">
        <v>403</v>
      </c>
      <c r="D159" s="350" t="s">
        <v>411</v>
      </c>
    </row>
    <row r="160" spans="1:4" x14ac:dyDescent="0.25">
      <c r="A160" s="357" t="s">
        <v>568</v>
      </c>
      <c r="B160" s="359" t="s">
        <v>573</v>
      </c>
      <c r="C160" s="357" t="s">
        <v>403</v>
      </c>
      <c r="D160" s="350" t="s">
        <v>411</v>
      </c>
    </row>
    <row r="161" spans="1:4" x14ac:dyDescent="0.25">
      <c r="A161" s="357" t="s">
        <v>568</v>
      </c>
      <c r="B161" s="357" t="s">
        <v>574</v>
      </c>
      <c r="C161" s="357" t="s">
        <v>403</v>
      </c>
      <c r="D161" s="358" t="s">
        <v>404</v>
      </c>
    </row>
    <row r="162" spans="1:4" x14ac:dyDescent="0.25">
      <c r="A162" s="357" t="s">
        <v>568</v>
      </c>
      <c r="B162" s="359" t="s">
        <v>575</v>
      </c>
      <c r="C162" s="357" t="s">
        <v>403</v>
      </c>
      <c r="D162" s="350" t="s">
        <v>411</v>
      </c>
    </row>
    <row r="163" spans="1:4" x14ac:dyDescent="0.25">
      <c r="A163" s="357" t="s">
        <v>568</v>
      </c>
      <c r="B163" s="359" t="s">
        <v>576</v>
      </c>
      <c r="C163" s="357" t="s">
        <v>403</v>
      </c>
      <c r="D163" s="350" t="s">
        <v>411</v>
      </c>
    </row>
    <row r="164" spans="1:4" x14ac:dyDescent="0.25">
      <c r="A164" s="357" t="s">
        <v>568</v>
      </c>
      <c r="B164" s="359" t="s">
        <v>577</v>
      </c>
      <c r="C164" s="357" t="s">
        <v>403</v>
      </c>
      <c r="D164" s="351" t="s">
        <v>409</v>
      </c>
    </row>
    <row r="165" spans="1:4" x14ac:dyDescent="0.25">
      <c r="A165" s="357" t="s">
        <v>568</v>
      </c>
      <c r="B165" s="357" t="s">
        <v>568</v>
      </c>
      <c r="C165" s="357" t="s">
        <v>403</v>
      </c>
      <c r="D165" s="358" t="s">
        <v>404</v>
      </c>
    </row>
    <row r="166" spans="1:4" x14ac:dyDescent="0.25">
      <c r="A166" s="357" t="s">
        <v>568</v>
      </c>
      <c r="B166" s="359" t="s">
        <v>578</v>
      </c>
      <c r="C166" s="357" t="s">
        <v>403</v>
      </c>
      <c r="D166" s="350" t="s">
        <v>411</v>
      </c>
    </row>
    <row r="167" spans="1:4" x14ac:dyDescent="0.25">
      <c r="A167" s="357" t="s">
        <v>568</v>
      </c>
      <c r="B167" s="359" t="s">
        <v>579</v>
      </c>
      <c r="C167" s="357" t="s">
        <v>403</v>
      </c>
      <c r="D167" s="350" t="s">
        <v>411</v>
      </c>
    </row>
    <row r="168" spans="1:4" x14ac:dyDescent="0.25">
      <c r="A168" s="357" t="s">
        <v>568</v>
      </c>
      <c r="B168" s="359" t="s">
        <v>580</v>
      </c>
      <c r="C168" s="357" t="s">
        <v>403</v>
      </c>
      <c r="D168" s="350" t="s">
        <v>411</v>
      </c>
    </row>
    <row r="169" spans="1:4" x14ac:dyDescent="0.25">
      <c r="A169" s="357" t="s">
        <v>581</v>
      </c>
      <c r="B169" s="359" t="s">
        <v>582</v>
      </c>
      <c r="C169" s="357" t="s">
        <v>403</v>
      </c>
      <c r="D169" s="350" t="s">
        <v>411</v>
      </c>
    </row>
    <row r="170" spans="1:4" x14ac:dyDescent="0.25">
      <c r="A170" s="357" t="s">
        <v>581</v>
      </c>
      <c r="B170" s="357" t="s">
        <v>583</v>
      </c>
      <c r="C170" s="357" t="s">
        <v>403</v>
      </c>
      <c r="D170" s="351" t="s">
        <v>409</v>
      </c>
    </row>
    <row r="171" spans="1:4" x14ac:dyDescent="0.25">
      <c r="A171" s="357" t="s">
        <v>581</v>
      </c>
      <c r="B171" s="359" t="s">
        <v>584</v>
      </c>
      <c r="C171" s="357" t="s">
        <v>403</v>
      </c>
      <c r="D171" s="350" t="s">
        <v>411</v>
      </c>
    </row>
    <row r="172" spans="1:4" x14ac:dyDescent="0.25">
      <c r="A172" s="357" t="s">
        <v>581</v>
      </c>
      <c r="B172" s="357" t="s">
        <v>585</v>
      </c>
      <c r="C172" s="357" t="s">
        <v>403</v>
      </c>
      <c r="D172" s="351" t="s">
        <v>409</v>
      </c>
    </row>
    <row r="173" spans="1:4" x14ac:dyDescent="0.25">
      <c r="A173" s="357" t="s">
        <v>581</v>
      </c>
      <c r="B173" s="359" t="s">
        <v>586</v>
      </c>
      <c r="C173" s="357" t="s">
        <v>403</v>
      </c>
      <c r="D173" s="350" t="s">
        <v>411</v>
      </c>
    </row>
    <row r="174" spans="1:4" x14ac:dyDescent="0.25">
      <c r="A174" s="357" t="s">
        <v>581</v>
      </c>
      <c r="B174" s="357" t="s">
        <v>587</v>
      </c>
      <c r="C174" s="357" t="s">
        <v>403</v>
      </c>
      <c r="D174" s="351" t="s">
        <v>409</v>
      </c>
    </row>
    <row r="175" spans="1:4" x14ac:dyDescent="0.25">
      <c r="A175" s="357" t="s">
        <v>581</v>
      </c>
      <c r="B175" s="359" t="s">
        <v>588</v>
      </c>
      <c r="C175" s="357" t="s">
        <v>403</v>
      </c>
      <c r="D175" s="350" t="s">
        <v>411</v>
      </c>
    </row>
    <row r="176" spans="1:4" x14ac:dyDescent="0.25">
      <c r="A176" s="357" t="s">
        <v>581</v>
      </c>
      <c r="B176" s="359" t="s">
        <v>589</v>
      </c>
      <c r="C176" s="357" t="s">
        <v>403</v>
      </c>
      <c r="D176" s="350" t="s">
        <v>411</v>
      </c>
    </row>
    <row r="177" spans="1:4" x14ac:dyDescent="0.25">
      <c r="A177" s="357" t="s">
        <v>581</v>
      </c>
      <c r="B177" s="357" t="s">
        <v>581</v>
      </c>
      <c r="C177" s="357" t="s">
        <v>403</v>
      </c>
      <c r="D177" s="358" t="s">
        <v>404</v>
      </c>
    </row>
    <row r="178" spans="1:4" x14ac:dyDescent="0.25">
      <c r="A178" s="357" t="s">
        <v>581</v>
      </c>
      <c r="B178" s="357" t="s">
        <v>590</v>
      </c>
      <c r="C178" s="357" t="s">
        <v>403</v>
      </c>
      <c r="D178" s="351" t="s">
        <v>409</v>
      </c>
    </row>
    <row r="179" spans="1:4" x14ac:dyDescent="0.25">
      <c r="A179" s="357" t="s">
        <v>591</v>
      </c>
      <c r="B179" s="357" t="s">
        <v>592</v>
      </c>
      <c r="C179" s="357" t="s">
        <v>403</v>
      </c>
      <c r="D179" s="358" t="s">
        <v>404</v>
      </c>
    </row>
    <row r="180" spans="1:4" x14ac:dyDescent="0.25">
      <c r="A180" s="357" t="s">
        <v>591</v>
      </c>
      <c r="B180" s="359" t="s">
        <v>593</v>
      </c>
      <c r="C180" s="357" t="s">
        <v>403</v>
      </c>
      <c r="D180" s="350" t="s">
        <v>411</v>
      </c>
    </row>
    <row r="181" spans="1:4" x14ac:dyDescent="0.25">
      <c r="A181" s="357" t="s">
        <v>591</v>
      </c>
      <c r="B181" s="357" t="s">
        <v>594</v>
      </c>
      <c r="C181" s="357" t="s">
        <v>403</v>
      </c>
      <c r="D181" s="360" t="s">
        <v>404</v>
      </c>
    </row>
    <row r="182" spans="1:4" x14ac:dyDescent="0.25">
      <c r="A182" s="357" t="s">
        <v>591</v>
      </c>
      <c r="B182" s="357" t="s">
        <v>591</v>
      </c>
      <c r="C182" s="357" t="s">
        <v>403</v>
      </c>
      <c r="D182" s="358" t="s">
        <v>404</v>
      </c>
    </row>
    <row r="183" spans="1:4" x14ac:dyDescent="0.25">
      <c r="A183" s="357" t="s">
        <v>595</v>
      </c>
      <c r="B183" s="357" t="s">
        <v>596</v>
      </c>
      <c r="C183" s="357" t="s">
        <v>403</v>
      </c>
      <c r="D183" s="351" t="s">
        <v>409</v>
      </c>
    </row>
    <row r="184" spans="1:4" x14ac:dyDescent="0.25">
      <c r="A184" s="363" t="s">
        <v>595</v>
      </c>
      <c r="B184" s="363" t="s">
        <v>597</v>
      </c>
      <c r="C184" s="357" t="s">
        <v>403</v>
      </c>
      <c r="D184" s="364" t="s">
        <v>409</v>
      </c>
    </row>
    <row r="185" spans="1:4" x14ac:dyDescent="0.25">
      <c r="A185" s="363" t="s">
        <v>595</v>
      </c>
      <c r="B185" s="363" t="s">
        <v>598</v>
      </c>
      <c r="C185" s="357" t="s">
        <v>403</v>
      </c>
      <c r="D185" s="364" t="s">
        <v>409</v>
      </c>
    </row>
    <row r="186" spans="1:4" x14ac:dyDescent="0.25">
      <c r="A186" s="357" t="s">
        <v>595</v>
      </c>
      <c r="B186" s="357" t="s">
        <v>599</v>
      </c>
      <c r="C186" s="357" t="s">
        <v>403</v>
      </c>
      <c r="D186" s="352" t="s">
        <v>477</v>
      </c>
    </row>
    <row r="187" spans="1:4" x14ac:dyDescent="0.25">
      <c r="A187" s="357" t="s">
        <v>401</v>
      </c>
      <c r="B187" s="357" t="s">
        <v>402</v>
      </c>
      <c r="C187" s="357" t="s">
        <v>600</v>
      </c>
      <c r="D187" s="352" t="s">
        <v>477</v>
      </c>
    </row>
    <row r="188" spans="1:4" x14ac:dyDescent="0.25">
      <c r="A188" s="357" t="s">
        <v>401</v>
      </c>
      <c r="B188" s="357" t="s">
        <v>402</v>
      </c>
      <c r="C188" s="357" t="s">
        <v>601</v>
      </c>
      <c r="D188" s="352" t="s">
        <v>477</v>
      </c>
    </row>
    <row r="189" spans="1:4" x14ac:dyDescent="0.25">
      <c r="A189" s="357" t="s">
        <v>401</v>
      </c>
      <c r="B189" s="357" t="s">
        <v>408</v>
      </c>
      <c r="C189" s="357" t="s">
        <v>602</v>
      </c>
      <c r="D189" s="352" t="s">
        <v>477</v>
      </c>
    </row>
    <row r="190" spans="1:4" x14ac:dyDescent="0.25">
      <c r="A190" s="357" t="s">
        <v>581</v>
      </c>
      <c r="B190" s="357" t="s">
        <v>585</v>
      </c>
      <c r="C190" s="357" t="s">
        <v>603</v>
      </c>
      <c r="D190" s="352" t="s">
        <v>477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4463D-576A-40B8-8576-E920F5838937}">
  <dimension ref="B2:G16"/>
  <sheetViews>
    <sheetView workbookViewId="0">
      <selection activeCell="H16" sqref="H16"/>
    </sheetView>
  </sheetViews>
  <sheetFormatPr baseColWidth="10" defaultColWidth="8.85546875" defaultRowHeight="15" x14ac:dyDescent="0.25"/>
  <cols>
    <col min="2" max="2" width="17.140625" bestFit="1" customWidth="1"/>
    <col min="3" max="3" width="15.28515625" bestFit="1" customWidth="1"/>
    <col min="4" max="4" width="10.7109375" bestFit="1" customWidth="1"/>
    <col min="5" max="5" width="11.5703125" bestFit="1" customWidth="1"/>
    <col min="6" max="6" width="12" bestFit="1" customWidth="1"/>
    <col min="7" max="8" width="10.7109375" bestFit="1" customWidth="1"/>
  </cols>
  <sheetData>
    <row r="2" spans="2:7" x14ac:dyDescent="0.25">
      <c r="B2" t="s">
        <v>618</v>
      </c>
      <c r="C2" t="s">
        <v>619</v>
      </c>
    </row>
    <row r="3" spans="2:7" x14ac:dyDescent="0.25">
      <c r="B3" t="s">
        <v>620</v>
      </c>
      <c r="C3" t="s">
        <v>607</v>
      </c>
      <c r="D3" t="s">
        <v>609</v>
      </c>
      <c r="E3" t="s">
        <v>617</v>
      </c>
      <c r="F3" t="s">
        <v>611</v>
      </c>
      <c r="G3" t="s">
        <v>276</v>
      </c>
    </row>
    <row r="4" spans="2:7" x14ac:dyDescent="0.25">
      <c r="B4" s="115" t="s">
        <v>606</v>
      </c>
      <c r="C4">
        <v>4</v>
      </c>
      <c r="G4">
        <v>4</v>
      </c>
    </row>
    <row r="5" spans="2:7" x14ac:dyDescent="0.25">
      <c r="B5" s="115" t="s">
        <v>608</v>
      </c>
      <c r="D5">
        <v>6</v>
      </c>
      <c r="G5">
        <v>6</v>
      </c>
    </row>
    <row r="6" spans="2:7" x14ac:dyDescent="0.25">
      <c r="B6" s="115" t="s">
        <v>616</v>
      </c>
      <c r="E6">
        <v>1</v>
      </c>
      <c r="G6">
        <v>1</v>
      </c>
    </row>
    <row r="7" spans="2:7" x14ac:dyDescent="0.25">
      <c r="B7" s="115" t="s">
        <v>610</v>
      </c>
      <c r="F7">
        <v>4</v>
      </c>
      <c r="G7">
        <v>4</v>
      </c>
    </row>
    <row r="8" spans="2:7" x14ac:dyDescent="0.25">
      <c r="B8" s="115" t="s">
        <v>612</v>
      </c>
      <c r="C8">
        <v>4</v>
      </c>
      <c r="G8">
        <v>4</v>
      </c>
    </row>
    <row r="9" spans="2:7" x14ac:dyDescent="0.25">
      <c r="B9" s="115" t="s">
        <v>613</v>
      </c>
      <c r="C9">
        <v>4</v>
      </c>
      <c r="G9">
        <v>4</v>
      </c>
    </row>
    <row r="10" spans="2:7" x14ac:dyDescent="0.25">
      <c r="B10" s="115" t="s">
        <v>614</v>
      </c>
      <c r="C10">
        <v>4</v>
      </c>
      <c r="G10">
        <v>4</v>
      </c>
    </row>
    <row r="11" spans="2:7" x14ac:dyDescent="0.25">
      <c r="B11" s="115" t="s">
        <v>276</v>
      </c>
      <c r="C11">
        <v>16</v>
      </c>
      <c r="D11">
        <v>6</v>
      </c>
      <c r="E11">
        <v>1</v>
      </c>
      <c r="F11">
        <v>4</v>
      </c>
      <c r="G11">
        <v>27</v>
      </c>
    </row>
    <row r="13" spans="2:7" x14ac:dyDescent="0.25">
      <c r="B13" t="s">
        <v>618</v>
      </c>
      <c r="C13" t="s">
        <v>619</v>
      </c>
    </row>
    <row r="14" spans="2:7" x14ac:dyDescent="0.25">
      <c r="B14" t="s">
        <v>620</v>
      </c>
      <c r="C14" t="s">
        <v>615</v>
      </c>
      <c r="D14" t="s">
        <v>276</v>
      </c>
    </row>
    <row r="15" spans="2:7" x14ac:dyDescent="0.25">
      <c r="B15" s="115" t="s">
        <v>615</v>
      </c>
      <c r="C15">
        <v>1</v>
      </c>
      <c r="D15">
        <v>1</v>
      </c>
    </row>
    <row r="16" spans="2:7" x14ac:dyDescent="0.25">
      <c r="B16" s="115" t="s">
        <v>276</v>
      </c>
      <c r="C16">
        <v>1</v>
      </c>
      <c r="D16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D464C-437D-424A-BE2D-0F0A53561FCE}">
  <dimension ref="B3:AH35"/>
  <sheetViews>
    <sheetView topLeftCell="A17" zoomScaleNormal="100" workbookViewId="0">
      <selection activeCell="J50" sqref="J50"/>
    </sheetView>
  </sheetViews>
  <sheetFormatPr baseColWidth="10" defaultColWidth="8.85546875" defaultRowHeight="15" x14ac:dyDescent="0.25"/>
  <cols>
    <col min="1" max="1" width="10.85546875" style="368" customWidth="1"/>
    <col min="2" max="2" width="14.5703125" style="368" customWidth="1"/>
    <col min="3" max="3" width="12.42578125" style="368" customWidth="1"/>
    <col min="4" max="4" width="10.85546875" style="368" customWidth="1"/>
    <col min="5" max="6" width="11.140625" style="368" customWidth="1"/>
    <col min="7" max="8" width="8.85546875" style="368"/>
    <col min="9" max="9" width="9.42578125" style="368" bestFit="1" customWidth="1"/>
    <col min="10" max="10" width="12.140625" style="368" customWidth="1"/>
    <col min="11" max="11" width="13" style="368" customWidth="1"/>
    <col min="12" max="12" width="8.85546875" style="368"/>
    <col min="13" max="13" width="9.42578125" style="368" bestFit="1" customWidth="1"/>
    <col min="14" max="16" width="8.85546875" style="368"/>
    <col min="17" max="17" width="0" style="368" hidden="1" customWidth="1"/>
    <col min="18" max="18" width="12.7109375" style="368" hidden="1" customWidth="1"/>
    <col min="19" max="19" width="14.7109375" style="368" hidden="1" customWidth="1"/>
    <col min="20" max="20" width="8.140625" style="368" hidden="1" customWidth="1"/>
    <col min="21" max="21" width="14.7109375" style="368" hidden="1" customWidth="1"/>
    <col min="22" max="22" width="8.140625" style="368" hidden="1" customWidth="1"/>
    <col min="23" max="23" width="14.7109375" style="368" hidden="1" customWidth="1"/>
    <col min="24" max="24" width="8.140625" style="368" hidden="1" customWidth="1"/>
    <col min="25" max="16384" width="8.85546875" style="368"/>
  </cols>
  <sheetData>
    <row r="3" spans="2:34" ht="28.5" x14ac:dyDescent="0.45">
      <c r="B3" s="367" t="s">
        <v>623</v>
      </c>
    </row>
    <row r="4" spans="2:34" x14ac:dyDescent="0.25">
      <c r="B4" s="369" t="s">
        <v>624</v>
      </c>
      <c r="C4" s="370"/>
      <c r="D4" s="370"/>
      <c r="E4" s="370"/>
      <c r="F4" s="370"/>
      <c r="G4" s="370"/>
      <c r="H4" s="370"/>
      <c r="I4" s="370"/>
      <c r="J4" s="370"/>
      <c r="K4" s="370"/>
      <c r="L4" s="370"/>
      <c r="M4" s="370"/>
      <c r="N4" s="370"/>
      <c r="O4" s="370"/>
      <c r="P4" s="370"/>
      <c r="Q4" s="370"/>
      <c r="R4" s="370"/>
      <c r="S4" s="456" t="s">
        <v>625</v>
      </c>
      <c r="T4" s="457"/>
      <c r="U4" s="457"/>
      <c r="V4" s="457"/>
      <c r="W4" s="457"/>
      <c r="X4" s="457"/>
    </row>
    <row r="5" spans="2:34" x14ac:dyDescent="0.25">
      <c r="B5" s="460" t="s">
        <v>621</v>
      </c>
      <c r="C5" s="461" t="s">
        <v>626</v>
      </c>
      <c r="D5" s="461"/>
      <c r="E5" s="461" t="s">
        <v>627</v>
      </c>
      <c r="F5" s="461"/>
      <c r="G5" s="461"/>
      <c r="H5" s="372"/>
      <c r="S5" s="373">
        <v>12</v>
      </c>
      <c r="T5" s="374" t="s">
        <v>628</v>
      </c>
      <c r="U5" s="373">
        <v>24</v>
      </c>
      <c r="V5" s="374" t="s">
        <v>628</v>
      </c>
      <c r="W5" s="373">
        <v>36</v>
      </c>
      <c r="X5" s="374" t="s">
        <v>628</v>
      </c>
    </row>
    <row r="6" spans="2:34" ht="45" x14ac:dyDescent="0.25">
      <c r="B6" s="460"/>
      <c r="C6" s="375" t="s">
        <v>629</v>
      </c>
      <c r="D6" s="375" t="s">
        <v>630</v>
      </c>
      <c r="E6" s="375" t="s">
        <v>629</v>
      </c>
      <c r="F6" s="375" t="s">
        <v>630</v>
      </c>
      <c r="G6" s="376" t="s">
        <v>631</v>
      </c>
      <c r="H6" s="376" t="s">
        <v>632</v>
      </c>
      <c r="I6" s="376" t="s">
        <v>633</v>
      </c>
      <c r="J6" s="376" t="s">
        <v>634</v>
      </c>
      <c r="K6" s="376" t="s">
        <v>635</v>
      </c>
      <c r="L6" s="376" t="s">
        <v>636</v>
      </c>
      <c r="M6" s="377" t="s">
        <v>637</v>
      </c>
      <c r="N6" s="376" t="s">
        <v>3</v>
      </c>
      <c r="O6" s="376" t="s">
        <v>638</v>
      </c>
      <c r="P6" s="376"/>
      <c r="Q6" s="376" t="s">
        <v>197</v>
      </c>
      <c r="R6" s="376" t="s">
        <v>639</v>
      </c>
      <c r="S6" s="378" t="s">
        <v>640</v>
      </c>
      <c r="T6" s="379" t="s">
        <v>197</v>
      </c>
      <c r="U6" s="378" t="s">
        <v>640</v>
      </c>
      <c r="V6" s="379" t="s">
        <v>197</v>
      </c>
      <c r="W6" s="378" t="s">
        <v>640</v>
      </c>
      <c r="X6" s="379" t="s">
        <v>197</v>
      </c>
      <c r="AA6" s="468" t="s">
        <v>641</v>
      </c>
      <c r="AB6" s="468"/>
      <c r="AC6" s="468"/>
      <c r="AD6" s="468"/>
      <c r="AE6" s="468"/>
      <c r="AF6" s="468"/>
      <c r="AG6" s="468"/>
      <c r="AH6" s="468"/>
    </row>
    <row r="7" spans="2:34" x14ac:dyDescent="0.25">
      <c r="B7" s="371">
        <v>1</v>
      </c>
      <c r="C7" s="371">
        <v>5</v>
      </c>
      <c r="D7" s="371">
        <v>1</v>
      </c>
      <c r="E7" s="371">
        <f t="shared" ref="E7:F9" si="0">C7*10%</f>
        <v>0.5</v>
      </c>
      <c r="F7" s="371">
        <f t="shared" si="0"/>
        <v>0.1</v>
      </c>
      <c r="G7" s="371">
        <v>1</v>
      </c>
      <c r="H7" s="380">
        <v>1</v>
      </c>
      <c r="I7" s="381">
        <v>41.551083591331277</v>
      </c>
      <c r="J7" s="382">
        <v>9.6098515466474019</v>
      </c>
      <c r="K7" s="383">
        <v>3.518333333333334</v>
      </c>
      <c r="L7" s="384">
        <f>(I7+K7)*G7+J7</f>
        <v>54.679268471312014</v>
      </c>
      <c r="M7" s="385">
        <v>70</v>
      </c>
      <c r="N7" s="386">
        <f>(M7-L7)/M7</f>
        <v>0.21886759326697122</v>
      </c>
      <c r="O7" s="387">
        <f t="shared" ref="O7:O9" si="1">+M7/G7</f>
        <v>70</v>
      </c>
      <c r="P7" s="386"/>
      <c r="Q7" s="380">
        <v>0.4</v>
      </c>
      <c r="R7" s="382">
        <f>L7/(1-Q7)</f>
        <v>91.132114118853366</v>
      </c>
      <c r="S7" s="388">
        <f>L7/(1-T7)</f>
        <v>91.132114118853366</v>
      </c>
      <c r="T7" s="389">
        <v>0.4</v>
      </c>
      <c r="U7" s="388">
        <f>L7/(1-V7)</f>
        <v>84.121951494326169</v>
      </c>
      <c r="V7" s="389">
        <v>0.35</v>
      </c>
      <c r="W7" s="388">
        <f>L7/(1-X7)</f>
        <v>78.113240673302883</v>
      </c>
      <c r="X7" s="389">
        <v>0.3</v>
      </c>
      <c r="Z7" s="390"/>
    </row>
    <row r="8" spans="2:34" x14ac:dyDescent="0.25">
      <c r="B8" s="371">
        <v>2</v>
      </c>
      <c r="C8" s="371">
        <v>10</v>
      </c>
      <c r="D8" s="371">
        <v>2</v>
      </c>
      <c r="E8" s="371">
        <f t="shared" si="0"/>
        <v>1</v>
      </c>
      <c r="F8" s="371">
        <f t="shared" si="0"/>
        <v>0.2</v>
      </c>
      <c r="G8" s="371">
        <f t="shared" ref="G8:G9" si="2">E8+F8</f>
        <v>1.2</v>
      </c>
      <c r="H8" s="380">
        <v>1</v>
      </c>
      <c r="I8" s="381">
        <v>41.551083591331277</v>
      </c>
      <c r="J8" s="382">
        <f>+J7</f>
        <v>9.6098515466474019</v>
      </c>
      <c r="K8" s="383">
        <v>3.518333333333334</v>
      </c>
      <c r="L8" s="387">
        <f>(I8+K8)*G8+J8</f>
        <v>63.693151856244924</v>
      </c>
      <c r="M8" s="385">
        <v>120</v>
      </c>
      <c r="N8" s="386">
        <f>(M8-L8)/M8</f>
        <v>0.46922373453129229</v>
      </c>
      <c r="O8" s="387">
        <f t="shared" si="1"/>
        <v>100</v>
      </c>
      <c r="P8" s="386"/>
      <c r="Q8" s="380">
        <v>0.4</v>
      </c>
      <c r="R8" s="382">
        <f t="shared" ref="R8:R9" si="3">L8/(1-Q8)</f>
        <v>106.15525309374155</v>
      </c>
      <c r="S8" s="388">
        <f>L8/(1-T8)</f>
        <v>106.15525309374155</v>
      </c>
      <c r="T8" s="389">
        <v>0.4</v>
      </c>
      <c r="U8" s="388">
        <f>L8/(1-V8)</f>
        <v>97.989464394222964</v>
      </c>
      <c r="V8" s="389">
        <v>0.35</v>
      </c>
      <c r="W8" s="388">
        <f>L8/(1-X8)</f>
        <v>90.990216937492761</v>
      </c>
      <c r="X8" s="389">
        <v>0.3</v>
      </c>
    </row>
    <row r="9" spans="2:34" x14ac:dyDescent="0.25">
      <c r="B9" s="371">
        <v>3</v>
      </c>
      <c r="C9" s="371">
        <v>15</v>
      </c>
      <c r="D9" s="371">
        <v>3</v>
      </c>
      <c r="E9" s="371">
        <f t="shared" si="0"/>
        <v>1.5</v>
      </c>
      <c r="F9" s="371">
        <f t="shared" si="0"/>
        <v>0.30000000000000004</v>
      </c>
      <c r="G9" s="371">
        <f t="shared" si="2"/>
        <v>1.8</v>
      </c>
      <c r="H9" s="380">
        <v>1</v>
      </c>
      <c r="I9" s="381">
        <v>41.551083591331277</v>
      </c>
      <c r="J9" s="382">
        <f>+J7</f>
        <v>9.6098515466474019</v>
      </c>
      <c r="K9" s="383">
        <v>3.518333333333334</v>
      </c>
      <c r="L9" s="387">
        <f>(I9+K9)*G9+J9</f>
        <v>90.734802011043698</v>
      </c>
      <c r="M9" s="385">
        <v>170</v>
      </c>
      <c r="N9" s="386">
        <f>(M9-L9)/M9</f>
        <v>0.46626587052327234</v>
      </c>
      <c r="O9" s="387">
        <f t="shared" si="1"/>
        <v>94.444444444444443</v>
      </c>
      <c r="P9" s="386"/>
      <c r="Q9" s="380">
        <v>0.4</v>
      </c>
      <c r="R9" s="382">
        <f t="shared" si="3"/>
        <v>151.22467001840616</v>
      </c>
      <c r="S9" s="388">
        <f>L9/(1-T9)</f>
        <v>151.22467001840616</v>
      </c>
      <c r="T9" s="389">
        <v>0.4</v>
      </c>
      <c r="U9" s="388">
        <f>L9/(1-V9)</f>
        <v>139.59200309391338</v>
      </c>
      <c r="V9" s="389">
        <v>0.35</v>
      </c>
      <c r="W9" s="388">
        <f>L9/(1-X9)</f>
        <v>129.62114573006244</v>
      </c>
      <c r="X9" s="389">
        <v>0.3</v>
      </c>
    </row>
    <row r="10" spans="2:34" ht="17.850000000000001" customHeight="1" x14ac:dyDescent="0.45">
      <c r="B10" s="367"/>
    </row>
    <row r="11" spans="2:34" ht="16.350000000000001" customHeight="1" x14ac:dyDescent="0.45">
      <c r="B11" s="367"/>
    </row>
    <row r="12" spans="2:34" x14ac:dyDescent="0.25">
      <c r="B12" s="369" t="s">
        <v>642</v>
      </c>
      <c r="C12" s="370"/>
      <c r="D12" s="370"/>
      <c r="E12" s="370"/>
      <c r="F12" s="370"/>
      <c r="G12" s="370"/>
      <c r="H12" s="370"/>
      <c r="I12" s="370"/>
      <c r="J12" s="370"/>
      <c r="K12" s="370"/>
      <c r="L12" s="370"/>
      <c r="M12" s="370"/>
      <c r="N12" s="370"/>
      <c r="O12" s="370"/>
      <c r="P12" s="370"/>
      <c r="Q12" s="370"/>
      <c r="R12" s="370"/>
      <c r="S12" s="456" t="s">
        <v>625</v>
      </c>
      <c r="T12" s="457"/>
      <c r="U12" s="457"/>
      <c r="V12" s="457"/>
      <c r="W12" s="457"/>
      <c r="X12" s="457"/>
    </row>
    <row r="13" spans="2:34" x14ac:dyDescent="0.25">
      <c r="B13" s="460" t="s">
        <v>621</v>
      </c>
      <c r="C13" s="461" t="s">
        <v>626</v>
      </c>
      <c r="D13" s="461"/>
      <c r="E13" s="462" t="s">
        <v>643</v>
      </c>
      <c r="F13" s="463"/>
      <c r="G13" s="464"/>
      <c r="H13" s="372"/>
      <c r="S13" s="373">
        <v>12</v>
      </c>
      <c r="T13" s="374" t="s">
        <v>628</v>
      </c>
      <c r="U13" s="373">
        <v>24</v>
      </c>
      <c r="V13" s="374" t="s">
        <v>628</v>
      </c>
      <c r="W13" s="373">
        <v>36</v>
      </c>
      <c r="X13" s="374" t="s">
        <v>628</v>
      </c>
    </row>
    <row r="14" spans="2:34" ht="27" customHeight="1" x14ac:dyDescent="0.25">
      <c r="B14" s="460"/>
      <c r="C14" s="375" t="s">
        <v>629</v>
      </c>
      <c r="D14" s="375" t="s">
        <v>630</v>
      </c>
      <c r="E14" s="465" t="s">
        <v>644</v>
      </c>
      <c r="F14" s="466"/>
      <c r="G14" s="467"/>
      <c r="H14" s="376" t="s">
        <v>632</v>
      </c>
      <c r="I14" s="376" t="s">
        <v>631</v>
      </c>
      <c r="J14" s="376" t="s">
        <v>645</v>
      </c>
      <c r="K14" s="376" t="s">
        <v>635</v>
      </c>
      <c r="L14" s="376" t="s">
        <v>636</v>
      </c>
      <c r="M14" s="376" t="s">
        <v>637</v>
      </c>
      <c r="N14" s="376" t="s">
        <v>3</v>
      </c>
      <c r="O14" s="376"/>
      <c r="P14" s="376"/>
      <c r="Q14" s="376" t="s">
        <v>197</v>
      </c>
      <c r="R14" s="376" t="s">
        <v>639</v>
      </c>
      <c r="S14" s="378" t="s">
        <v>640</v>
      </c>
      <c r="T14" s="379" t="s">
        <v>197</v>
      </c>
      <c r="U14" s="378" t="s">
        <v>640</v>
      </c>
      <c r="V14" s="379" t="s">
        <v>197</v>
      </c>
      <c r="W14" s="378" t="s">
        <v>640</v>
      </c>
      <c r="X14" s="379" t="s">
        <v>197</v>
      </c>
    </row>
    <row r="15" spans="2:34" x14ac:dyDescent="0.25">
      <c r="B15" s="371">
        <v>4</v>
      </c>
      <c r="C15" s="371">
        <v>50</v>
      </c>
      <c r="D15" s="371">
        <v>5</v>
      </c>
      <c r="E15" s="462">
        <v>2</v>
      </c>
      <c r="F15" s="463"/>
      <c r="G15" s="464"/>
      <c r="H15" s="391">
        <v>1</v>
      </c>
      <c r="I15" s="392">
        <f>0.006</f>
        <v>6.0000000000000001E-3</v>
      </c>
      <c r="J15" s="382">
        <f>+$J$7</f>
        <v>9.6098515466474019</v>
      </c>
      <c r="K15" s="383">
        <v>3.518333333333334</v>
      </c>
      <c r="L15" s="393">
        <f>(I15+K15)*G15+J15</f>
        <v>9.6098515466474019</v>
      </c>
      <c r="M15" s="394">
        <v>20</v>
      </c>
      <c r="N15" s="386">
        <f>(M15-L15)/M15</f>
        <v>0.51950742266762995</v>
      </c>
      <c r="O15" s="384"/>
      <c r="P15" s="384"/>
      <c r="Q15" s="380">
        <v>0.4</v>
      </c>
      <c r="R15" s="382">
        <f>(E15*H15*L15)/(1-Q15)</f>
        <v>32.032838488824673</v>
      </c>
      <c r="S15" s="388">
        <v>20</v>
      </c>
      <c r="T15" s="395"/>
      <c r="U15" s="388">
        <v>18</v>
      </c>
      <c r="V15" s="395"/>
      <c r="W15" s="388">
        <v>16</v>
      </c>
      <c r="X15" s="395"/>
    </row>
    <row r="16" spans="2:34" x14ac:dyDescent="0.25">
      <c r="B16" s="371">
        <v>4</v>
      </c>
      <c r="C16" s="371">
        <v>10</v>
      </c>
      <c r="D16" s="371">
        <v>1</v>
      </c>
      <c r="E16" s="462">
        <v>1</v>
      </c>
      <c r="F16" s="463"/>
      <c r="G16" s="464"/>
      <c r="H16" s="391">
        <v>1</v>
      </c>
      <c r="I16" s="392">
        <f>0.003</f>
        <v>3.0000000000000001E-3</v>
      </c>
      <c r="J16" s="382">
        <f>+$J$7</f>
        <v>9.6098515466474019</v>
      </c>
      <c r="K16" s="383">
        <v>3.518333333333334</v>
      </c>
      <c r="L16" s="393">
        <f>(I16+K16)*G16+J16</f>
        <v>9.6098515466474019</v>
      </c>
      <c r="M16" s="394">
        <v>20</v>
      </c>
      <c r="N16" s="386">
        <f>(M16-L16)/M16</f>
        <v>0.51950742266762995</v>
      </c>
      <c r="O16" s="384"/>
      <c r="P16" s="368" t="s">
        <v>646</v>
      </c>
    </row>
    <row r="17" spans="2:24" x14ac:dyDescent="0.25">
      <c r="S17" s="371" t="s">
        <v>647</v>
      </c>
      <c r="T17" s="372"/>
    </row>
    <row r="18" spans="2:24" x14ac:dyDescent="0.25">
      <c r="S18" s="371">
        <v>0.7</v>
      </c>
      <c r="T18" s="372"/>
    </row>
    <row r="21" spans="2:24" x14ac:dyDescent="0.25">
      <c r="B21" s="396" t="s">
        <v>648</v>
      </c>
      <c r="C21" s="397"/>
      <c r="D21" s="397"/>
      <c r="E21" s="397"/>
      <c r="F21" s="397"/>
      <c r="G21" s="397"/>
      <c r="H21" s="397"/>
      <c r="I21" s="397"/>
      <c r="J21" s="397"/>
      <c r="K21" s="397"/>
      <c r="L21" s="397"/>
      <c r="M21" s="397"/>
      <c r="N21" s="397"/>
      <c r="O21" s="397"/>
      <c r="P21" s="397"/>
      <c r="Q21" s="397"/>
      <c r="R21" s="397"/>
      <c r="S21" s="458" t="s">
        <v>649</v>
      </c>
      <c r="T21" s="459"/>
      <c r="U21" s="459"/>
      <c r="V21" s="459"/>
      <c r="W21" s="459"/>
      <c r="X21" s="459"/>
    </row>
    <row r="22" spans="2:24" x14ac:dyDescent="0.25">
      <c r="B22" s="460" t="s">
        <v>621</v>
      </c>
      <c r="C22" s="461" t="s">
        <v>626</v>
      </c>
      <c r="D22" s="461"/>
      <c r="E22" s="461" t="s">
        <v>627</v>
      </c>
      <c r="F22" s="461"/>
      <c r="G22" s="461"/>
      <c r="H22" s="372"/>
      <c r="S22" s="373">
        <v>12</v>
      </c>
      <c r="T22" s="374" t="s">
        <v>628</v>
      </c>
      <c r="U22" s="373">
        <v>24</v>
      </c>
      <c r="V22" s="374" t="s">
        <v>628</v>
      </c>
      <c r="W22" s="373">
        <v>36</v>
      </c>
      <c r="X22" s="374" t="s">
        <v>628</v>
      </c>
    </row>
    <row r="23" spans="2:24" ht="45" x14ac:dyDescent="0.25">
      <c r="B23" s="460"/>
      <c r="C23" s="375" t="s">
        <v>629</v>
      </c>
      <c r="D23" s="375" t="s">
        <v>630</v>
      </c>
      <c r="E23" s="375" t="s">
        <v>629</v>
      </c>
      <c r="F23" s="375" t="s">
        <v>630</v>
      </c>
      <c r="G23" s="376" t="s">
        <v>631</v>
      </c>
      <c r="H23" s="376" t="s">
        <v>632</v>
      </c>
      <c r="I23" s="376" t="s">
        <v>633</v>
      </c>
      <c r="J23" s="376" t="s">
        <v>645</v>
      </c>
      <c r="K23" s="376" t="s">
        <v>635</v>
      </c>
      <c r="L23" s="376" t="s">
        <v>636</v>
      </c>
      <c r="M23" s="377" t="s">
        <v>637</v>
      </c>
      <c r="N23" s="376" t="s">
        <v>3</v>
      </c>
      <c r="O23" s="376" t="s">
        <v>638</v>
      </c>
      <c r="P23" s="376"/>
      <c r="Q23" s="376" t="s">
        <v>197</v>
      </c>
      <c r="R23" s="376" t="s">
        <v>639</v>
      </c>
      <c r="S23" s="378" t="s">
        <v>650</v>
      </c>
      <c r="T23" s="379" t="s">
        <v>197</v>
      </c>
      <c r="U23" s="378" t="s">
        <v>640</v>
      </c>
      <c r="V23" s="379" t="s">
        <v>197</v>
      </c>
      <c r="W23" s="378" t="s">
        <v>640</v>
      </c>
      <c r="X23" s="379" t="s">
        <v>197</v>
      </c>
    </row>
    <row r="24" spans="2:24" x14ac:dyDescent="0.25">
      <c r="B24" s="371">
        <v>5</v>
      </c>
      <c r="C24" s="371">
        <v>5</v>
      </c>
      <c r="D24" s="371">
        <v>1</v>
      </c>
      <c r="E24" s="371">
        <v>0.5</v>
      </c>
      <c r="F24" s="371">
        <v>0.1</v>
      </c>
      <c r="G24" s="371">
        <f>E24+F24</f>
        <v>0.6</v>
      </c>
      <c r="H24" s="380">
        <v>1</v>
      </c>
      <c r="I24" s="381">
        <v>41.551083591331277</v>
      </c>
      <c r="J24" s="382">
        <f t="shared" ref="J24:J30" si="4">+$J$7</f>
        <v>9.6098515466474019</v>
      </c>
      <c r="K24" s="383">
        <v>3.518333333333334</v>
      </c>
      <c r="L24" s="387">
        <f t="shared" ref="L24:L30" si="5">(I24+J24+K24)*G24</f>
        <v>32.80756108278721</v>
      </c>
      <c r="M24" s="385">
        <v>70</v>
      </c>
      <c r="N24" s="386">
        <f t="shared" ref="N24:N30" si="6">(M24-L24)/M24</f>
        <v>0.53132055596018268</v>
      </c>
      <c r="O24" s="387">
        <f>+M24/G24</f>
        <v>116.66666666666667</v>
      </c>
      <c r="P24" s="387"/>
      <c r="Q24" s="380">
        <v>0.4</v>
      </c>
      <c r="R24" s="382">
        <f t="shared" ref="R24:R30" si="7">L24/(1-Q24)</f>
        <v>54.679268471312021</v>
      </c>
      <c r="S24" s="388">
        <f>L24/(1-T24)</f>
        <v>54.679268471312021</v>
      </c>
      <c r="T24" s="389">
        <v>0.4</v>
      </c>
      <c r="U24" s="388">
        <f>L24/(1-V24)</f>
        <v>50.473170896595711</v>
      </c>
      <c r="V24" s="389">
        <f>T24-5%</f>
        <v>0.35000000000000003</v>
      </c>
      <c r="W24" s="388">
        <f>L24/(1-X24)</f>
        <v>46.867944403981731</v>
      </c>
      <c r="X24" s="389">
        <f>V24-5%</f>
        <v>0.30000000000000004</v>
      </c>
    </row>
    <row r="25" spans="2:24" x14ac:dyDescent="0.25">
      <c r="B25" s="371">
        <v>6</v>
      </c>
      <c r="C25" s="371">
        <v>10</v>
      </c>
      <c r="D25" s="371">
        <v>3</v>
      </c>
      <c r="E25" s="371">
        <v>1</v>
      </c>
      <c r="F25" s="371">
        <v>0.3</v>
      </c>
      <c r="G25" s="371">
        <f t="shared" ref="G25:G30" si="8">E25+F25</f>
        <v>1.3</v>
      </c>
      <c r="H25" s="380">
        <v>1</v>
      </c>
      <c r="I25" s="381">
        <v>41.551083591331277</v>
      </c>
      <c r="J25" s="382">
        <f t="shared" si="4"/>
        <v>9.6098515466474019</v>
      </c>
      <c r="K25" s="383">
        <v>3.518333333333334</v>
      </c>
      <c r="L25" s="384">
        <f t="shared" si="5"/>
        <v>71.083049012705615</v>
      </c>
      <c r="M25" s="385">
        <v>130</v>
      </c>
      <c r="N25" s="386">
        <f t="shared" si="6"/>
        <v>0.45320731528687991</v>
      </c>
      <c r="O25" s="387">
        <f t="shared" ref="O25:O30" si="9">+M25/G25</f>
        <v>100</v>
      </c>
      <c r="P25" s="387"/>
      <c r="Q25" s="380">
        <v>0.4</v>
      </c>
      <c r="R25" s="382">
        <f t="shared" si="7"/>
        <v>118.47174835450936</v>
      </c>
      <c r="S25" s="388">
        <f t="shared" ref="S25:S30" si="10">L25/(1-T25)</f>
        <v>118.47174835450936</v>
      </c>
      <c r="T25" s="389">
        <v>0.4</v>
      </c>
      <c r="U25" s="388">
        <f t="shared" ref="U25:U30" si="11">L25/(1-V25)</f>
        <v>109.35853694262404</v>
      </c>
      <c r="V25" s="389">
        <f t="shared" ref="V25:V30" si="12">T25-5%</f>
        <v>0.35000000000000003</v>
      </c>
      <c r="W25" s="388">
        <f t="shared" ref="W25:W30" si="13">L25/(1-X25)</f>
        <v>101.54721287529374</v>
      </c>
      <c r="X25" s="389">
        <f t="shared" ref="X25:X30" si="14">V25-5%</f>
        <v>0.30000000000000004</v>
      </c>
    </row>
    <row r="26" spans="2:24" x14ac:dyDescent="0.25">
      <c r="B26" s="371">
        <v>7</v>
      </c>
      <c r="C26" s="371">
        <v>15</v>
      </c>
      <c r="D26" s="371">
        <v>3</v>
      </c>
      <c r="E26" s="371">
        <v>1.5</v>
      </c>
      <c r="F26" s="371">
        <v>0.3</v>
      </c>
      <c r="G26" s="371">
        <f t="shared" si="8"/>
        <v>1.8</v>
      </c>
      <c r="H26" s="380">
        <v>1</v>
      </c>
      <c r="I26" s="381">
        <v>41.551083591331277</v>
      </c>
      <c r="J26" s="382">
        <f t="shared" si="4"/>
        <v>9.6098515466474019</v>
      </c>
      <c r="K26" s="383">
        <v>3.518333333333334</v>
      </c>
      <c r="L26" s="387">
        <f t="shared" si="5"/>
        <v>98.422683248361622</v>
      </c>
      <c r="M26" s="385">
        <v>170</v>
      </c>
      <c r="N26" s="386">
        <f t="shared" si="6"/>
        <v>0.42104303971551987</v>
      </c>
      <c r="O26" s="387">
        <f t="shared" si="9"/>
        <v>94.444444444444443</v>
      </c>
      <c r="P26" s="387"/>
      <c r="Q26" s="380">
        <v>0.4</v>
      </c>
      <c r="R26" s="382">
        <f t="shared" si="7"/>
        <v>164.03780541393604</v>
      </c>
      <c r="S26" s="388">
        <f t="shared" si="10"/>
        <v>164.03780541393604</v>
      </c>
      <c r="T26" s="389">
        <v>0.4</v>
      </c>
      <c r="U26" s="388">
        <f t="shared" si="11"/>
        <v>151.41951268978713</v>
      </c>
      <c r="V26" s="389">
        <f t="shared" si="12"/>
        <v>0.35000000000000003</v>
      </c>
      <c r="W26" s="388">
        <f t="shared" si="13"/>
        <v>140.60383321194519</v>
      </c>
      <c r="X26" s="389">
        <f t="shared" si="14"/>
        <v>0.30000000000000004</v>
      </c>
    </row>
    <row r="27" spans="2:24" x14ac:dyDescent="0.25">
      <c r="B27" s="371">
        <v>8</v>
      </c>
      <c r="C27" s="371">
        <v>20</v>
      </c>
      <c r="D27" s="371">
        <v>3</v>
      </c>
      <c r="E27" s="371">
        <v>2</v>
      </c>
      <c r="F27" s="371">
        <v>0.75</v>
      </c>
      <c r="G27" s="371">
        <f t="shared" si="8"/>
        <v>2.75</v>
      </c>
      <c r="H27" s="380">
        <v>1</v>
      </c>
      <c r="I27" s="381">
        <v>41.551083591331277</v>
      </c>
      <c r="J27" s="382">
        <f t="shared" si="4"/>
        <v>9.6098515466474019</v>
      </c>
      <c r="K27" s="383">
        <v>3.518333333333334</v>
      </c>
      <c r="L27" s="387">
        <f t="shared" si="5"/>
        <v>150.36798829610802</v>
      </c>
      <c r="M27" s="385">
        <v>300</v>
      </c>
      <c r="N27" s="386">
        <f t="shared" si="6"/>
        <v>0.49877337234630659</v>
      </c>
      <c r="O27" s="387">
        <f t="shared" si="9"/>
        <v>109.09090909090909</v>
      </c>
      <c r="P27" s="387"/>
      <c r="Q27" s="380">
        <v>0.4</v>
      </c>
      <c r="R27" s="382">
        <f t="shared" si="7"/>
        <v>250.61331382684671</v>
      </c>
      <c r="S27" s="388">
        <f t="shared" si="10"/>
        <v>250.61331382684671</v>
      </c>
      <c r="T27" s="389">
        <v>0.4</v>
      </c>
      <c r="U27" s="388">
        <f t="shared" si="11"/>
        <v>231.335366609397</v>
      </c>
      <c r="V27" s="389">
        <f t="shared" si="12"/>
        <v>0.35000000000000003</v>
      </c>
      <c r="W27" s="388">
        <f t="shared" si="13"/>
        <v>214.8114118515829</v>
      </c>
      <c r="X27" s="389">
        <f t="shared" si="14"/>
        <v>0.30000000000000004</v>
      </c>
    </row>
    <row r="28" spans="2:24" x14ac:dyDescent="0.25">
      <c r="B28" s="371">
        <v>9</v>
      </c>
      <c r="C28" s="371">
        <v>10</v>
      </c>
      <c r="D28" s="371">
        <v>1</v>
      </c>
      <c r="E28" s="371">
        <v>3</v>
      </c>
      <c r="F28" s="371">
        <v>1</v>
      </c>
      <c r="G28" s="371">
        <f t="shared" si="8"/>
        <v>4</v>
      </c>
      <c r="H28" s="380">
        <v>1</v>
      </c>
      <c r="I28" s="381">
        <v>41.551083591331277</v>
      </c>
      <c r="J28" s="382">
        <f t="shared" si="4"/>
        <v>9.6098515466474019</v>
      </c>
      <c r="K28" s="383">
        <v>3.518333333333334</v>
      </c>
      <c r="L28" s="387">
        <f t="shared" si="5"/>
        <v>218.71707388524806</v>
      </c>
      <c r="M28" s="385">
        <v>465</v>
      </c>
      <c r="N28" s="386">
        <f t="shared" si="6"/>
        <v>0.52964070132204721</v>
      </c>
      <c r="O28" s="387">
        <f t="shared" si="9"/>
        <v>116.25</v>
      </c>
      <c r="P28" s="387"/>
      <c r="Q28" s="380">
        <v>0.4</v>
      </c>
      <c r="R28" s="382">
        <f t="shared" si="7"/>
        <v>364.52845647541346</v>
      </c>
      <c r="S28" s="388">
        <f t="shared" si="10"/>
        <v>364.52845647541346</v>
      </c>
      <c r="T28" s="389">
        <v>0.4</v>
      </c>
      <c r="U28" s="388">
        <f t="shared" si="11"/>
        <v>336.48780597730473</v>
      </c>
      <c r="V28" s="389">
        <f t="shared" si="12"/>
        <v>0.35000000000000003</v>
      </c>
      <c r="W28" s="388">
        <f t="shared" si="13"/>
        <v>312.45296269321153</v>
      </c>
      <c r="X28" s="389">
        <f t="shared" si="14"/>
        <v>0.30000000000000004</v>
      </c>
    </row>
    <row r="29" spans="2:24" x14ac:dyDescent="0.25">
      <c r="B29" s="371">
        <v>10</v>
      </c>
      <c r="C29" s="371">
        <v>25</v>
      </c>
      <c r="D29" s="371">
        <v>3</v>
      </c>
      <c r="E29" s="371">
        <v>5</v>
      </c>
      <c r="F29" s="371">
        <v>1</v>
      </c>
      <c r="G29" s="371">
        <f t="shared" si="8"/>
        <v>6</v>
      </c>
      <c r="H29" s="380">
        <v>1</v>
      </c>
      <c r="I29" s="381">
        <v>41.551083591331277</v>
      </c>
      <c r="J29" s="382">
        <f t="shared" si="4"/>
        <v>9.6098515466474019</v>
      </c>
      <c r="K29" s="383">
        <v>3.518333333333334</v>
      </c>
      <c r="L29" s="387">
        <f t="shared" si="5"/>
        <v>328.07561082787208</v>
      </c>
      <c r="M29" s="385">
        <v>925</v>
      </c>
      <c r="N29" s="386">
        <f t="shared" si="6"/>
        <v>0.64532366396986807</v>
      </c>
      <c r="O29" s="387">
        <f t="shared" si="9"/>
        <v>154.16666666666666</v>
      </c>
      <c r="P29" s="387"/>
      <c r="Q29" s="380">
        <v>0.4</v>
      </c>
      <c r="R29" s="382">
        <f t="shared" si="7"/>
        <v>546.79268471312014</v>
      </c>
      <c r="S29" s="388">
        <f t="shared" si="10"/>
        <v>546.79268471312014</v>
      </c>
      <c r="T29" s="389">
        <v>0.4</v>
      </c>
      <c r="U29" s="388">
        <f t="shared" si="11"/>
        <v>504.73170896595713</v>
      </c>
      <c r="V29" s="389">
        <f t="shared" si="12"/>
        <v>0.35000000000000003</v>
      </c>
      <c r="W29" s="388">
        <f t="shared" si="13"/>
        <v>468.67944403981727</v>
      </c>
      <c r="X29" s="389">
        <f t="shared" si="14"/>
        <v>0.30000000000000004</v>
      </c>
    </row>
    <row r="30" spans="2:24" x14ac:dyDescent="0.25">
      <c r="B30" s="371">
        <v>11</v>
      </c>
      <c r="C30" s="371">
        <v>50</v>
      </c>
      <c r="D30" s="371">
        <v>5</v>
      </c>
      <c r="E30" s="371">
        <v>15</v>
      </c>
      <c r="F30" s="371">
        <v>3</v>
      </c>
      <c r="G30" s="371">
        <f t="shared" si="8"/>
        <v>18</v>
      </c>
      <c r="H30" s="380">
        <v>1</v>
      </c>
      <c r="I30" s="382">
        <v>41.551083591331277</v>
      </c>
      <c r="J30" s="382">
        <f t="shared" si="4"/>
        <v>9.6098515466474019</v>
      </c>
      <c r="K30" s="383">
        <v>3.518333333333334</v>
      </c>
      <c r="L30" s="387">
        <f t="shared" si="5"/>
        <v>984.22683248361625</v>
      </c>
      <c r="M30" s="385">
        <v>2350</v>
      </c>
      <c r="N30" s="386">
        <f t="shared" si="6"/>
        <v>0.58118007128356752</v>
      </c>
      <c r="O30" s="387">
        <f t="shared" si="9"/>
        <v>130.55555555555554</v>
      </c>
      <c r="P30" s="387"/>
      <c r="Q30" s="380">
        <v>0.4</v>
      </c>
      <c r="R30" s="382">
        <f t="shared" si="7"/>
        <v>1640.3780541393605</v>
      </c>
      <c r="S30" s="388">
        <f t="shared" si="10"/>
        <v>1640.3780541393605</v>
      </c>
      <c r="T30" s="389">
        <v>0.4</v>
      </c>
      <c r="U30" s="388">
        <f t="shared" si="11"/>
        <v>1514.1951268978714</v>
      </c>
      <c r="V30" s="389">
        <f t="shared" si="12"/>
        <v>0.35000000000000003</v>
      </c>
      <c r="W30" s="388">
        <f t="shared" si="13"/>
        <v>1406.038332119452</v>
      </c>
      <c r="X30" s="389">
        <f t="shared" si="14"/>
        <v>0.30000000000000004</v>
      </c>
    </row>
    <row r="31" spans="2:24" x14ac:dyDescent="0.25">
      <c r="E31" s="368">
        <f>C30/E30</f>
        <v>3.3333333333333335</v>
      </c>
      <c r="F31" s="368">
        <f>D30/F30</f>
        <v>1.6666666666666667</v>
      </c>
    </row>
    <row r="34" spans="11:13" x14ac:dyDescent="0.25">
      <c r="K34" s="390">
        <f>I30+J30+K30</f>
        <v>54.679268471312014</v>
      </c>
    </row>
    <row r="35" spans="11:13" x14ac:dyDescent="0.25">
      <c r="M35" s="398"/>
    </row>
  </sheetData>
  <mergeCells count="16">
    <mergeCell ref="S4:X4"/>
    <mergeCell ref="B5:B6"/>
    <mergeCell ref="C5:D5"/>
    <mergeCell ref="E5:G5"/>
    <mergeCell ref="AA6:AH6"/>
    <mergeCell ref="S12:X12"/>
    <mergeCell ref="S21:X21"/>
    <mergeCell ref="B22:B23"/>
    <mergeCell ref="C22:D22"/>
    <mergeCell ref="E22:G22"/>
    <mergeCell ref="B13:B14"/>
    <mergeCell ref="C13:D13"/>
    <mergeCell ref="E13:G13"/>
    <mergeCell ref="E14:G14"/>
    <mergeCell ref="E15:G15"/>
    <mergeCell ref="E16:G16"/>
  </mergeCells>
  <pageMargins left="0.7" right="0.7" top="0.75" bottom="0.75" header="0.3" footer="0.3"/>
  <pageSetup orientation="portrait" horizontalDpi="0" verticalDpi="0" r:id="rId1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6D48A-62AF-4F6F-9ACE-66DACC48F970}">
  <dimension ref="A1:AF38"/>
  <sheetViews>
    <sheetView zoomScale="85" zoomScaleNormal="85" workbookViewId="0">
      <selection activeCell="C5" sqref="C5"/>
    </sheetView>
  </sheetViews>
  <sheetFormatPr baseColWidth="10" defaultColWidth="11.5703125" defaultRowHeight="12" x14ac:dyDescent="0.2"/>
  <cols>
    <col min="1" max="1" width="5.28515625" style="4" bestFit="1" customWidth="1"/>
    <col min="2" max="2" width="86.7109375" style="4" bestFit="1" customWidth="1"/>
    <col min="3" max="5" width="12.7109375" style="4" bestFit="1" customWidth="1"/>
    <col min="6" max="9" width="13.5703125" style="4" bestFit="1" customWidth="1"/>
    <col min="10" max="10" width="16.140625" style="4" bestFit="1" customWidth="1"/>
    <col min="11" max="11" width="15.140625" style="4" bestFit="1" customWidth="1"/>
    <col min="12" max="13" width="13.5703125" style="4" bestFit="1" customWidth="1"/>
    <col min="14" max="29" width="12.7109375" style="4" bestFit="1" customWidth="1"/>
    <col min="30" max="32" width="12.140625" style="4" bestFit="1" customWidth="1"/>
    <col min="33" max="16384" width="11.5703125" style="4"/>
  </cols>
  <sheetData>
    <row r="1" spans="2:32" ht="18.75" x14ac:dyDescent="0.3">
      <c r="B1" s="37" t="s">
        <v>215</v>
      </c>
    </row>
    <row r="3" spans="2:32" x14ac:dyDescent="0.2">
      <c r="J3" s="473" t="s">
        <v>10</v>
      </c>
      <c r="K3" s="474"/>
    </row>
    <row r="4" spans="2:32" x14ac:dyDescent="0.2">
      <c r="B4" s="29" t="s">
        <v>63</v>
      </c>
      <c r="C4" s="8" t="e">
        <f>HLOOKUP(1,I13:AF14,2,0)</f>
        <v>#N/A</v>
      </c>
      <c r="J4" s="6" t="s">
        <v>64</v>
      </c>
      <c r="K4" s="25" t="e">
        <f>#REF!</f>
        <v>#REF!</v>
      </c>
    </row>
    <row r="5" spans="2:32" x14ac:dyDescent="0.2">
      <c r="B5" s="30" t="s">
        <v>59</v>
      </c>
      <c r="C5" s="32" t="e">
        <f>NPV(C10,D37:O37)+C37</f>
        <v>#REF!</v>
      </c>
      <c r="J5" s="6" t="s">
        <v>65</v>
      </c>
      <c r="K5" s="7" t="e">
        <f>K4*#REF!</f>
        <v>#REF!</v>
      </c>
    </row>
    <row r="6" spans="2:32" x14ac:dyDescent="0.2">
      <c r="B6" s="30" t="s">
        <v>60</v>
      </c>
      <c r="C6" s="32" t="e">
        <f>NPV(C10,D37:AA37)+C37</f>
        <v>#REF!</v>
      </c>
      <c r="J6" s="6" t="s">
        <v>66</v>
      </c>
      <c r="K6" s="25">
        <v>0</v>
      </c>
    </row>
    <row r="7" spans="2:32" ht="24" x14ac:dyDescent="0.2">
      <c r="B7" s="30" t="s">
        <v>61</v>
      </c>
      <c r="C7" s="32" t="e">
        <f>NPV(C10,D37:AF37)+C37</f>
        <v>#REF!</v>
      </c>
      <c r="J7" s="6" t="s">
        <v>54</v>
      </c>
      <c r="K7" s="25" t="e">
        <f>K4*4.17%</f>
        <v>#REF!</v>
      </c>
      <c r="M7" s="18"/>
    </row>
    <row r="8" spans="2:32" x14ac:dyDescent="0.2">
      <c r="B8" s="30" t="s">
        <v>62</v>
      </c>
      <c r="C8" s="32" t="e">
        <f>NPV(C10,D37:AF37)+C37</f>
        <v>#REF!</v>
      </c>
      <c r="J8" s="9"/>
      <c r="K8" s="25"/>
    </row>
    <row r="9" spans="2:32" x14ac:dyDescent="0.2">
      <c r="B9" s="30" t="s">
        <v>58</v>
      </c>
      <c r="C9" s="31">
        <v>0.12</v>
      </c>
    </row>
    <row r="10" spans="2:32" x14ac:dyDescent="0.2">
      <c r="B10" s="30" t="s">
        <v>57</v>
      </c>
      <c r="C10" s="28">
        <f>+POWER(1+C9,1/12)-1</f>
        <v>9.4887929345830457E-3</v>
      </c>
    </row>
    <row r="11" spans="2:32" x14ac:dyDescent="0.2">
      <c r="B11" s="30"/>
      <c r="C11" s="33"/>
    </row>
    <row r="13" spans="2:32" x14ac:dyDescent="0.2">
      <c r="D13" s="3"/>
      <c r="E13" s="3"/>
      <c r="F13" s="3"/>
      <c r="G13" s="3"/>
      <c r="H13" s="3"/>
      <c r="I13" s="26" t="e">
        <f>IF(I17&gt;0,1,0)</f>
        <v>#REF!</v>
      </c>
      <c r="J13" s="26" t="e">
        <f t="shared" ref="J13:AF13" si="0">IF(J17&gt;0,1,0)</f>
        <v>#REF!</v>
      </c>
      <c r="K13" s="26" t="e">
        <f t="shared" si="0"/>
        <v>#REF!</v>
      </c>
      <c r="L13" s="26" t="e">
        <f t="shared" si="0"/>
        <v>#REF!</v>
      </c>
      <c r="M13" s="26" t="e">
        <f t="shared" si="0"/>
        <v>#REF!</v>
      </c>
      <c r="N13" s="26" t="e">
        <f t="shared" si="0"/>
        <v>#REF!</v>
      </c>
      <c r="O13" s="26" t="e">
        <f t="shared" si="0"/>
        <v>#REF!</v>
      </c>
      <c r="P13" s="26" t="e">
        <f t="shared" si="0"/>
        <v>#REF!</v>
      </c>
      <c r="Q13" s="26" t="e">
        <f t="shared" si="0"/>
        <v>#REF!</v>
      </c>
      <c r="R13" s="26" t="e">
        <f t="shared" si="0"/>
        <v>#REF!</v>
      </c>
      <c r="S13" s="26" t="e">
        <f t="shared" si="0"/>
        <v>#REF!</v>
      </c>
      <c r="T13" s="26" t="e">
        <f t="shared" si="0"/>
        <v>#REF!</v>
      </c>
      <c r="U13" s="26" t="e">
        <f t="shared" si="0"/>
        <v>#REF!</v>
      </c>
      <c r="V13" s="26" t="e">
        <f t="shared" si="0"/>
        <v>#REF!</v>
      </c>
      <c r="W13" s="26" t="e">
        <f t="shared" si="0"/>
        <v>#REF!</v>
      </c>
      <c r="X13" s="26" t="e">
        <f t="shared" si="0"/>
        <v>#REF!</v>
      </c>
      <c r="Y13" s="26" t="e">
        <f t="shared" si="0"/>
        <v>#REF!</v>
      </c>
      <c r="Z13" s="26" t="e">
        <f t="shared" si="0"/>
        <v>#REF!</v>
      </c>
      <c r="AA13" s="26" t="e">
        <f t="shared" si="0"/>
        <v>#REF!</v>
      </c>
      <c r="AB13" s="26" t="e">
        <f t="shared" si="0"/>
        <v>#REF!</v>
      </c>
      <c r="AC13" s="26" t="e">
        <f t="shared" si="0"/>
        <v>#REF!</v>
      </c>
      <c r="AD13" s="26" t="e">
        <f t="shared" si="0"/>
        <v>#REF!</v>
      </c>
      <c r="AE13" s="26" t="e">
        <f t="shared" si="0"/>
        <v>#REF!</v>
      </c>
      <c r="AF13" s="26" t="e">
        <f t="shared" si="0"/>
        <v>#REF!</v>
      </c>
    </row>
    <row r="14" spans="2:32" x14ac:dyDescent="0.2">
      <c r="C14" s="4">
        <v>0</v>
      </c>
      <c r="D14" s="4">
        <v>1</v>
      </c>
      <c r="E14" s="4">
        <v>2</v>
      </c>
      <c r="F14" s="4">
        <v>3</v>
      </c>
      <c r="G14" s="4">
        <v>4</v>
      </c>
      <c r="H14" s="4">
        <v>5</v>
      </c>
      <c r="I14" s="4">
        <v>6</v>
      </c>
      <c r="J14" s="4">
        <v>7</v>
      </c>
      <c r="K14" s="4">
        <v>8</v>
      </c>
      <c r="L14" s="4">
        <v>9</v>
      </c>
      <c r="M14" s="4">
        <v>10</v>
      </c>
      <c r="N14" s="4">
        <v>11</v>
      </c>
      <c r="O14" s="4">
        <v>12</v>
      </c>
      <c r="P14" s="4">
        <v>13</v>
      </c>
      <c r="Q14" s="4">
        <v>14</v>
      </c>
      <c r="R14" s="4">
        <v>15</v>
      </c>
      <c r="S14" s="4">
        <v>16</v>
      </c>
      <c r="T14" s="4">
        <v>17</v>
      </c>
      <c r="U14" s="4">
        <v>18</v>
      </c>
      <c r="V14" s="4">
        <v>19</v>
      </c>
      <c r="W14" s="4">
        <v>20</v>
      </c>
      <c r="X14" s="4">
        <v>21</v>
      </c>
      <c r="Y14" s="4">
        <v>22</v>
      </c>
      <c r="Z14" s="4">
        <v>23</v>
      </c>
      <c r="AA14" s="4">
        <v>24</v>
      </c>
      <c r="AB14" s="4">
        <v>25</v>
      </c>
      <c r="AC14" s="4">
        <v>26</v>
      </c>
      <c r="AD14" s="4">
        <v>27</v>
      </c>
      <c r="AE14" s="4">
        <v>28</v>
      </c>
      <c r="AF14" s="4">
        <v>29</v>
      </c>
    </row>
    <row r="15" spans="2:32" x14ac:dyDescent="0.2">
      <c r="C15" s="10" t="s">
        <v>20</v>
      </c>
      <c r="D15" s="11" t="s">
        <v>21</v>
      </c>
      <c r="E15" s="11" t="s">
        <v>22</v>
      </c>
      <c r="F15" s="11" t="s">
        <v>23</v>
      </c>
      <c r="G15" s="11" t="s">
        <v>24</v>
      </c>
      <c r="H15" s="11" t="s">
        <v>25</v>
      </c>
      <c r="I15" s="11" t="s">
        <v>26</v>
      </c>
      <c r="J15" s="11" t="s">
        <v>27</v>
      </c>
      <c r="K15" s="11" t="s">
        <v>28</v>
      </c>
      <c r="L15" s="11" t="s">
        <v>29</v>
      </c>
      <c r="M15" s="11" t="s">
        <v>30</v>
      </c>
      <c r="N15" s="11" t="s">
        <v>31</v>
      </c>
      <c r="O15" s="11" t="s">
        <v>32</v>
      </c>
      <c r="P15" s="11" t="s">
        <v>33</v>
      </c>
      <c r="Q15" s="11" t="s">
        <v>34</v>
      </c>
      <c r="R15" s="11" t="s">
        <v>35</v>
      </c>
      <c r="S15" s="11" t="s">
        <v>36</v>
      </c>
      <c r="T15" s="11" t="s">
        <v>37</v>
      </c>
      <c r="U15" s="11" t="s">
        <v>38</v>
      </c>
      <c r="V15" s="11" t="s">
        <v>39</v>
      </c>
      <c r="W15" s="11" t="s">
        <v>40</v>
      </c>
      <c r="X15" s="11" t="s">
        <v>41</v>
      </c>
      <c r="Y15" s="11" t="s">
        <v>42</v>
      </c>
      <c r="Z15" s="11" t="s">
        <v>43</v>
      </c>
      <c r="AA15" s="11" t="s">
        <v>44</v>
      </c>
      <c r="AB15" s="11" t="s">
        <v>45</v>
      </c>
      <c r="AC15" s="11" t="s">
        <v>46</v>
      </c>
      <c r="AD15" s="11" t="s">
        <v>47</v>
      </c>
      <c r="AE15" s="11" t="s">
        <v>48</v>
      </c>
      <c r="AF15" s="11" t="s">
        <v>49</v>
      </c>
    </row>
    <row r="16" spans="2:32" x14ac:dyDescent="0.2">
      <c r="C16" s="475" t="s">
        <v>67</v>
      </c>
      <c r="D16" s="475"/>
      <c r="E16" s="475"/>
      <c r="F16" s="475"/>
      <c r="G16" s="475"/>
      <c r="H16" s="475"/>
    </row>
    <row r="17" spans="1:32" x14ac:dyDescent="0.2">
      <c r="B17" s="12" t="s">
        <v>50</v>
      </c>
      <c r="C17" s="13" t="e">
        <f>0+C20-C23-C31</f>
        <v>#REF!</v>
      </c>
      <c r="D17" s="13" t="e">
        <f t="shared" ref="D17:AF17" si="1">C17+D20-D23+D28-D31</f>
        <v>#REF!</v>
      </c>
      <c r="E17" s="13" t="e">
        <f t="shared" si="1"/>
        <v>#REF!</v>
      </c>
      <c r="F17" s="13" t="e">
        <f t="shared" si="1"/>
        <v>#REF!</v>
      </c>
      <c r="G17" s="13" t="e">
        <f t="shared" si="1"/>
        <v>#REF!</v>
      </c>
      <c r="H17" s="13" t="e">
        <f t="shared" si="1"/>
        <v>#REF!</v>
      </c>
      <c r="I17" s="13" t="e">
        <f t="shared" si="1"/>
        <v>#REF!</v>
      </c>
      <c r="J17" s="13" t="e">
        <f t="shared" si="1"/>
        <v>#REF!</v>
      </c>
      <c r="K17" s="13" t="e">
        <f t="shared" si="1"/>
        <v>#REF!</v>
      </c>
      <c r="L17" s="13" t="e">
        <f t="shared" si="1"/>
        <v>#REF!</v>
      </c>
      <c r="M17" s="13" t="e">
        <f t="shared" si="1"/>
        <v>#REF!</v>
      </c>
      <c r="N17" s="13" t="e">
        <f t="shared" si="1"/>
        <v>#REF!</v>
      </c>
      <c r="O17" s="13" t="e">
        <f t="shared" si="1"/>
        <v>#REF!</v>
      </c>
      <c r="P17" s="13" t="e">
        <f t="shared" si="1"/>
        <v>#REF!</v>
      </c>
      <c r="Q17" s="13" t="e">
        <f t="shared" si="1"/>
        <v>#REF!</v>
      </c>
      <c r="R17" s="13" t="e">
        <f t="shared" si="1"/>
        <v>#REF!</v>
      </c>
      <c r="S17" s="13" t="e">
        <f t="shared" si="1"/>
        <v>#REF!</v>
      </c>
      <c r="T17" s="13" t="e">
        <f t="shared" si="1"/>
        <v>#REF!</v>
      </c>
      <c r="U17" s="13" t="e">
        <f t="shared" si="1"/>
        <v>#REF!</v>
      </c>
      <c r="V17" s="13" t="e">
        <f t="shared" si="1"/>
        <v>#REF!</v>
      </c>
      <c r="W17" s="13" t="e">
        <f t="shared" si="1"/>
        <v>#REF!</v>
      </c>
      <c r="X17" s="13" t="e">
        <f t="shared" si="1"/>
        <v>#REF!</v>
      </c>
      <c r="Y17" s="13" t="e">
        <f t="shared" si="1"/>
        <v>#REF!</v>
      </c>
      <c r="Z17" s="13" t="e">
        <f t="shared" si="1"/>
        <v>#REF!</v>
      </c>
      <c r="AA17" s="13" t="e">
        <f t="shared" si="1"/>
        <v>#REF!</v>
      </c>
      <c r="AB17" s="13" t="e">
        <f t="shared" si="1"/>
        <v>#REF!</v>
      </c>
      <c r="AC17" s="13" t="e">
        <f t="shared" si="1"/>
        <v>#REF!</v>
      </c>
      <c r="AD17" s="13" t="e">
        <f t="shared" si="1"/>
        <v>#REF!</v>
      </c>
      <c r="AE17" s="13" t="e">
        <f t="shared" si="1"/>
        <v>#REF!</v>
      </c>
      <c r="AF17" s="13" t="e">
        <f t="shared" si="1"/>
        <v>#REF!</v>
      </c>
    </row>
    <row r="18" spans="1:32" x14ac:dyDescent="0.2">
      <c r="A18" s="36"/>
      <c r="D18" s="14"/>
    </row>
    <row r="19" spans="1:32" x14ac:dyDescent="0.2">
      <c r="A19" s="469" t="s">
        <v>1</v>
      </c>
      <c r="B19" s="15" t="s">
        <v>51</v>
      </c>
      <c r="C19" s="21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</row>
    <row r="20" spans="1:32" x14ac:dyDescent="0.2">
      <c r="A20" s="470"/>
      <c r="B20" s="34" t="s">
        <v>52</v>
      </c>
      <c r="C20" s="22"/>
      <c r="D20" s="23"/>
      <c r="E20" s="23"/>
      <c r="F20" s="23"/>
      <c r="G20" s="23"/>
      <c r="H20" s="23"/>
      <c r="I20" s="24" t="e">
        <f>I21+I22</f>
        <v>#REF!</v>
      </c>
      <c r="J20" s="24" t="e">
        <f t="shared" ref="J20:AF20" si="2">J21+J22</f>
        <v>#REF!</v>
      </c>
      <c r="K20" s="24" t="e">
        <f t="shared" si="2"/>
        <v>#REF!</v>
      </c>
      <c r="L20" s="24" t="e">
        <f t="shared" si="2"/>
        <v>#REF!</v>
      </c>
      <c r="M20" s="24" t="e">
        <f t="shared" si="2"/>
        <v>#REF!</v>
      </c>
      <c r="N20" s="24" t="e">
        <f t="shared" si="2"/>
        <v>#REF!</v>
      </c>
      <c r="O20" s="24" t="e">
        <f t="shared" si="2"/>
        <v>#REF!</v>
      </c>
      <c r="P20" s="24" t="e">
        <f t="shared" si="2"/>
        <v>#REF!</v>
      </c>
      <c r="Q20" s="24" t="e">
        <f t="shared" si="2"/>
        <v>#REF!</v>
      </c>
      <c r="R20" s="24" t="e">
        <f t="shared" si="2"/>
        <v>#REF!</v>
      </c>
      <c r="S20" s="24" t="e">
        <f t="shared" si="2"/>
        <v>#REF!</v>
      </c>
      <c r="T20" s="24" t="e">
        <f t="shared" si="2"/>
        <v>#REF!</v>
      </c>
      <c r="U20" s="24" t="e">
        <f t="shared" si="2"/>
        <v>#REF!</v>
      </c>
      <c r="V20" s="24" t="e">
        <f t="shared" si="2"/>
        <v>#REF!</v>
      </c>
      <c r="W20" s="24" t="e">
        <f t="shared" si="2"/>
        <v>#REF!</v>
      </c>
      <c r="X20" s="24" t="e">
        <f t="shared" si="2"/>
        <v>#REF!</v>
      </c>
      <c r="Y20" s="24" t="e">
        <f t="shared" si="2"/>
        <v>#REF!</v>
      </c>
      <c r="Z20" s="24" t="e">
        <f t="shared" si="2"/>
        <v>#REF!</v>
      </c>
      <c r="AA20" s="24" t="e">
        <f t="shared" si="2"/>
        <v>#REF!</v>
      </c>
      <c r="AB20" s="24" t="e">
        <f t="shared" si="2"/>
        <v>#REF!</v>
      </c>
      <c r="AC20" s="24" t="e">
        <f t="shared" si="2"/>
        <v>#REF!</v>
      </c>
      <c r="AD20" s="24" t="e">
        <f t="shared" si="2"/>
        <v>#REF!</v>
      </c>
      <c r="AE20" s="24" t="e">
        <f t="shared" si="2"/>
        <v>#REF!</v>
      </c>
      <c r="AF20" s="24" t="e">
        <f t="shared" si="2"/>
        <v>#REF!</v>
      </c>
    </row>
    <row r="21" spans="1:32" x14ac:dyDescent="0.2">
      <c r="A21" s="470"/>
      <c r="B21" s="17" t="s">
        <v>216</v>
      </c>
      <c r="D21" s="18">
        <v>0</v>
      </c>
      <c r="E21" s="18">
        <v>0</v>
      </c>
      <c r="F21" s="18">
        <v>0</v>
      </c>
      <c r="G21" s="18">
        <v>0</v>
      </c>
      <c r="H21" s="18">
        <v>0</v>
      </c>
      <c r="I21" s="18">
        <f>K6</f>
        <v>0</v>
      </c>
    </row>
    <row r="22" spans="1:32" x14ac:dyDescent="0.2">
      <c r="A22" s="470"/>
      <c r="B22" s="17" t="s">
        <v>217</v>
      </c>
      <c r="D22" s="18">
        <v>0</v>
      </c>
      <c r="E22" s="18">
        <v>0</v>
      </c>
      <c r="F22" s="18">
        <v>0</v>
      </c>
      <c r="G22" s="18">
        <v>0</v>
      </c>
      <c r="H22" s="18">
        <v>0</v>
      </c>
      <c r="I22" s="18" t="e">
        <f>$K$7</f>
        <v>#REF!</v>
      </c>
      <c r="J22" s="18" t="e">
        <f t="shared" ref="J22:AE22" si="3">$K$7</f>
        <v>#REF!</v>
      </c>
      <c r="K22" s="18" t="e">
        <f t="shared" si="3"/>
        <v>#REF!</v>
      </c>
      <c r="L22" s="18" t="e">
        <f t="shared" si="3"/>
        <v>#REF!</v>
      </c>
      <c r="M22" s="18" t="e">
        <f t="shared" si="3"/>
        <v>#REF!</v>
      </c>
      <c r="N22" s="18" t="e">
        <f t="shared" si="3"/>
        <v>#REF!</v>
      </c>
      <c r="O22" s="18" t="e">
        <f t="shared" si="3"/>
        <v>#REF!</v>
      </c>
      <c r="P22" s="18" t="e">
        <f t="shared" si="3"/>
        <v>#REF!</v>
      </c>
      <c r="Q22" s="18" t="e">
        <f t="shared" si="3"/>
        <v>#REF!</v>
      </c>
      <c r="R22" s="18" t="e">
        <f t="shared" si="3"/>
        <v>#REF!</v>
      </c>
      <c r="S22" s="18" t="e">
        <f t="shared" si="3"/>
        <v>#REF!</v>
      </c>
      <c r="T22" s="18" t="e">
        <f t="shared" si="3"/>
        <v>#REF!</v>
      </c>
      <c r="U22" s="18" t="e">
        <f t="shared" si="3"/>
        <v>#REF!</v>
      </c>
      <c r="V22" s="18" t="e">
        <f t="shared" si="3"/>
        <v>#REF!</v>
      </c>
      <c r="W22" s="18" t="e">
        <f t="shared" si="3"/>
        <v>#REF!</v>
      </c>
      <c r="X22" s="18" t="e">
        <f t="shared" si="3"/>
        <v>#REF!</v>
      </c>
      <c r="Y22" s="18" t="e">
        <f t="shared" si="3"/>
        <v>#REF!</v>
      </c>
      <c r="Z22" s="18" t="e">
        <f t="shared" si="3"/>
        <v>#REF!</v>
      </c>
      <c r="AA22" s="18" t="e">
        <f t="shared" si="3"/>
        <v>#REF!</v>
      </c>
      <c r="AB22" s="18" t="e">
        <f t="shared" si="3"/>
        <v>#REF!</v>
      </c>
      <c r="AC22" s="18" t="e">
        <f t="shared" si="3"/>
        <v>#REF!</v>
      </c>
      <c r="AD22" s="18" t="e">
        <f t="shared" si="3"/>
        <v>#REF!</v>
      </c>
      <c r="AE22" s="18" t="e">
        <f t="shared" si="3"/>
        <v>#REF!</v>
      </c>
      <c r="AF22" s="18" t="e">
        <f>K4*4.09%</f>
        <v>#REF!</v>
      </c>
    </row>
    <row r="23" spans="1:32" x14ac:dyDescent="0.2">
      <c r="A23" s="470"/>
      <c r="B23" s="35" t="s">
        <v>53</v>
      </c>
      <c r="C23" s="19"/>
      <c r="D23" s="20">
        <f>D24+D25+D26</f>
        <v>0</v>
      </c>
      <c r="E23" s="20">
        <f t="shared" ref="E23:AF23" si="4">E24+E25+E26</f>
        <v>0</v>
      </c>
      <c r="F23" s="20">
        <f t="shared" si="4"/>
        <v>0</v>
      </c>
      <c r="G23" s="20">
        <f t="shared" si="4"/>
        <v>0</v>
      </c>
      <c r="H23" s="20">
        <f t="shared" si="4"/>
        <v>0</v>
      </c>
      <c r="I23" s="20" t="e">
        <f t="shared" si="4"/>
        <v>#REF!</v>
      </c>
      <c r="J23" s="20" t="e">
        <f t="shared" si="4"/>
        <v>#REF!</v>
      </c>
      <c r="K23" s="20" t="e">
        <f t="shared" si="4"/>
        <v>#REF!</v>
      </c>
      <c r="L23" s="20" t="e">
        <f t="shared" si="4"/>
        <v>#REF!</v>
      </c>
      <c r="M23" s="20" t="e">
        <f t="shared" si="4"/>
        <v>#REF!</v>
      </c>
      <c r="N23" s="20" t="e">
        <f t="shared" si="4"/>
        <v>#REF!</v>
      </c>
      <c r="O23" s="20" t="e">
        <f t="shared" si="4"/>
        <v>#REF!</v>
      </c>
      <c r="P23" s="20" t="e">
        <f t="shared" si="4"/>
        <v>#REF!</v>
      </c>
      <c r="Q23" s="20" t="e">
        <f t="shared" si="4"/>
        <v>#REF!</v>
      </c>
      <c r="R23" s="20" t="e">
        <f t="shared" si="4"/>
        <v>#REF!</v>
      </c>
      <c r="S23" s="20" t="e">
        <f t="shared" si="4"/>
        <v>#REF!</v>
      </c>
      <c r="T23" s="20" t="e">
        <f t="shared" si="4"/>
        <v>#REF!</v>
      </c>
      <c r="U23" s="20" t="e">
        <f t="shared" si="4"/>
        <v>#REF!</v>
      </c>
      <c r="V23" s="20" t="e">
        <f t="shared" si="4"/>
        <v>#REF!</v>
      </c>
      <c r="W23" s="20" t="e">
        <f t="shared" si="4"/>
        <v>#REF!</v>
      </c>
      <c r="X23" s="20" t="e">
        <f t="shared" si="4"/>
        <v>#REF!</v>
      </c>
      <c r="Y23" s="20" t="e">
        <f t="shared" si="4"/>
        <v>#REF!</v>
      </c>
      <c r="Z23" s="20" t="e">
        <f t="shared" si="4"/>
        <v>#REF!</v>
      </c>
      <c r="AA23" s="20" t="e">
        <f t="shared" si="4"/>
        <v>#REF!</v>
      </c>
      <c r="AB23" s="20" t="e">
        <f t="shared" si="4"/>
        <v>#REF!</v>
      </c>
      <c r="AC23" s="20" t="e">
        <f t="shared" si="4"/>
        <v>#REF!</v>
      </c>
      <c r="AD23" s="20" t="e">
        <f t="shared" si="4"/>
        <v>#REF!</v>
      </c>
      <c r="AE23" s="20" t="e">
        <f t="shared" si="4"/>
        <v>#REF!</v>
      </c>
      <c r="AF23" s="20" t="e">
        <f t="shared" si="4"/>
        <v>#REF!</v>
      </c>
    </row>
    <row r="24" spans="1:32" x14ac:dyDescent="0.2">
      <c r="A24" s="470"/>
      <c r="B24" s="17" t="s">
        <v>214</v>
      </c>
      <c r="D24" s="18">
        <v>0</v>
      </c>
      <c r="E24" s="18">
        <v>0</v>
      </c>
      <c r="F24" s="18">
        <v>0</v>
      </c>
      <c r="G24" s="18">
        <v>0</v>
      </c>
      <c r="H24" s="18">
        <v>0</v>
      </c>
      <c r="I24" s="18" t="e">
        <f>#REF!/24</f>
        <v>#REF!</v>
      </c>
      <c r="J24" s="18" t="e">
        <f>$I$24</f>
        <v>#REF!</v>
      </c>
      <c r="K24" s="18" t="e">
        <f t="shared" ref="K24:AF24" si="5">$I$24</f>
        <v>#REF!</v>
      </c>
      <c r="L24" s="18" t="e">
        <f t="shared" si="5"/>
        <v>#REF!</v>
      </c>
      <c r="M24" s="18" t="e">
        <f t="shared" si="5"/>
        <v>#REF!</v>
      </c>
      <c r="N24" s="18" t="e">
        <f t="shared" si="5"/>
        <v>#REF!</v>
      </c>
      <c r="O24" s="18" t="e">
        <f t="shared" si="5"/>
        <v>#REF!</v>
      </c>
      <c r="P24" s="18" t="e">
        <f t="shared" si="5"/>
        <v>#REF!</v>
      </c>
      <c r="Q24" s="18" t="e">
        <f t="shared" si="5"/>
        <v>#REF!</v>
      </c>
      <c r="R24" s="18" t="e">
        <f t="shared" si="5"/>
        <v>#REF!</v>
      </c>
      <c r="S24" s="18" t="e">
        <f t="shared" si="5"/>
        <v>#REF!</v>
      </c>
      <c r="T24" s="18" t="e">
        <f t="shared" si="5"/>
        <v>#REF!</v>
      </c>
      <c r="U24" s="18" t="e">
        <f t="shared" si="5"/>
        <v>#REF!</v>
      </c>
      <c r="V24" s="18" t="e">
        <f t="shared" si="5"/>
        <v>#REF!</v>
      </c>
      <c r="W24" s="18" t="e">
        <f t="shared" si="5"/>
        <v>#REF!</v>
      </c>
      <c r="X24" s="18" t="e">
        <f t="shared" si="5"/>
        <v>#REF!</v>
      </c>
      <c r="Y24" s="18" t="e">
        <f t="shared" si="5"/>
        <v>#REF!</v>
      </c>
      <c r="Z24" s="18" t="e">
        <f t="shared" si="5"/>
        <v>#REF!</v>
      </c>
      <c r="AA24" s="18" t="e">
        <f t="shared" si="5"/>
        <v>#REF!</v>
      </c>
      <c r="AB24" s="18" t="e">
        <f t="shared" si="5"/>
        <v>#REF!</v>
      </c>
      <c r="AC24" s="18" t="e">
        <f t="shared" si="5"/>
        <v>#REF!</v>
      </c>
      <c r="AD24" s="18" t="e">
        <f t="shared" si="5"/>
        <v>#REF!</v>
      </c>
      <c r="AE24" s="18" t="e">
        <f t="shared" si="5"/>
        <v>#REF!</v>
      </c>
      <c r="AF24" s="18" t="e">
        <f t="shared" si="5"/>
        <v>#REF!</v>
      </c>
    </row>
    <row r="25" spans="1:32" x14ac:dyDescent="0.2">
      <c r="A25" s="470"/>
      <c r="B25" s="17" t="s">
        <v>218</v>
      </c>
      <c r="D25" s="18">
        <v>0</v>
      </c>
      <c r="E25" s="18">
        <v>0</v>
      </c>
      <c r="F25" s="18">
        <v>0</v>
      </c>
      <c r="G25" s="18">
        <v>0</v>
      </c>
      <c r="H25" s="18">
        <v>0</v>
      </c>
      <c r="I25" s="18" t="e">
        <f>#REF!/24</f>
        <v>#REF!</v>
      </c>
      <c r="J25" s="18" t="e">
        <f>$I$25</f>
        <v>#REF!</v>
      </c>
      <c r="K25" s="18" t="e">
        <f t="shared" ref="K25:AF25" si="6">$I$25</f>
        <v>#REF!</v>
      </c>
      <c r="L25" s="18" t="e">
        <f t="shared" si="6"/>
        <v>#REF!</v>
      </c>
      <c r="M25" s="18" t="e">
        <f t="shared" si="6"/>
        <v>#REF!</v>
      </c>
      <c r="N25" s="18" t="e">
        <f t="shared" si="6"/>
        <v>#REF!</v>
      </c>
      <c r="O25" s="18" t="e">
        <f t="shared" si="6"/>
        <v>#REF!</v>
      </c>
      <c r="P25" s="18" t="e">
        <f t="shared" si="6"/>
        <v>#REF!</v>
      </c>
      <c r="Q25" s="18" t="e">
        <f t="shared" si="6"/>
        <v>#REF!</v>
      </c>
      <c r="R25" s="18" t="e">
        <f t="shared" si="6"/>
        <v>#REF!</v>
      </c>
      <c r="S25" s="18" t="e">
        <f t="shared" si="6"/>
        <v>#REF!</v>
      </c>
      <c r="T25" s="18" t="e">
        <f t="shared" si="6"/>
        <v>#REF!</v>
      </c>
      <c r="U25" s="18" t="e">
        <f t="shared" si="6"/>
        <v>#REF!</v>
      </c>
      <c r="V25" s="18" t="e">
        <f t="shared" si="6"/>
        <v>#REF!</v>
      </c>
      <c r="W25" s="18" t="e">
        <f t="shared" si="6"/>
        <v>#REF!</v>
      </c>
      <c r="X25" s="18" t="e">
        <f t="shared" si="6"/>
        <v>#REF!</v>
      </c>
      <c r="Y25" s="18" t="e">
        <f t="shared" si="6"/>
        <v>#REF!</v>
      </c>
      <c r="Z25" s="18" t="e">
        <f t="shared" si="6"/>
        <v>#REF!</v>
      </c>
      <c r="AA25" s="18" t="e">
        <f t="shared" si="6"/>
        <v>#REF!</v>
      </c>
      <c r="AB25" s="18" t="e">
        <f t="shared" si="6"/>
        <v>#REF!</v>
      </c>
      <c r="AC25" s="18" t="e">
        <f t="shared" si="6"/>
        <v>#REF!</v>
      </c>
      <c r="AD25" s="18" t="e">
        <f t="shared" si="6"/>
        <v>#REF!</v>
      </c>
      <c r="AE25" s="18" t="e">
        <f t="shared" si="6"/>
        <v>#REF!</v>
      </c>
      <c r="AF25" s="18" t="e">
        <f t="shared" si="6"/>
        <v>#REF!</v>
      </c>
    </row>
    <row r="26" spans="1:32" x14ac:dyDescent="0.2">
      <c r="A26" s="471"/>
      <c r="B26" s="17" t="s">
        <v>18</v>
      </c>
      <c r="D26" s="18">
        <v>0</v>
      </c>
      <c r="E26" s="18">
        <v>0</v>
      </c>
      <c r="F26" s="18">
        <v>0</v>
      </c>
      <c r="G26" s="18">
        <v>0</v>
      </c>
      <c r="H26" s="18">
        <v>0</v>
      </c>
      <c r="I26" s="18" t="e">
        <f>#REF!/24</f>
        <v>#REF!</v>
      </c>
      <c r="J26" s="18" t="e">
        <f>$I$26</f>
        <v>#REF!</v>
      </c>
      <c r="K26" s="18" t="e">
        <f t="shared" ref="K26:AF26" si="7">$I$26</f>
        <v>#REF!</v>
      </c>
      <c r="L26" s="18" t="e">
        <f t="shared" si="7"/>
        <v>#REF!</v>
      </c>
      <c r="M26" s="18" t="e">
        <f t="shared" si="7"/>
        <v>#REF!</v>
      </c>
      <c r="N26" s="18" t="e">
        <f t="shared" si="7"/>
        <v>#REF!</v>
      </c>
      <c r="O26" s="18" t="e">
        <f t="shared" si="7"/>
        <v>#REF!</v>
      </c>
      <c r="P26" s="18" t="e">
        <f t="shared" si="7"/>
        <v>#REF!</v>
      </c>
      <c r="Q26" s="18" t="e">
        <f t="shared" si="7"/>
        <v>#REF!</v>
      </c>
      <c r="R26" s="18" t="e">
        <f t="shared" si="7"/>
        <v>#REF!</v>
      </c>
      <c r="S26" s="18" t="e">
        <f t="shared" si="7"/>
        <v>#REF!</v>
      </c>
      <c r="T26" s="18" t="e">
        <f t="shared" si="7"/>
        <v>#REF!</v>
      </c>
      <c r="U26" s="18" t="e">
        <f t="shared" si="7"/>
        <v>#REF!</v>
      </c>
      <c r="V26" s="18" t="e">
        <f t="shared" si="7"/>
        <v>#REF!</v>
      </c>
      <c r="W26" s="18" t="e">
        <f t="shared" si="7"/>
        <v>#REF!</v>
      </c>
      <c r="X26" s="18" t="e">
        <f t="shared" si="7"/>
        <v>#REF!</v>
      </c>
      <c r="Y26" s="18" t="e">
        <f t="shared" si="7"/>
        <v>#REF!</v>
      </c>
      <c r="Z26" s="18" t="e">
        <f t="shared" si="7"/>
        <v>#REF!</v>
      </c>
      <c r="AA26" s="18" t="e">
        <f t="shared" si="7"/>
        <v>#REF!</v>
      </c>
      <c r="AB26" s="18" t="e">
        <f t="shared" si="7"/>
        <v>#REF!</v>
      </c>
      <c r="AC26" s="18" t="e">
        <f t="shared" si="7"/>
        <v>#REF!</v>
      </c>
      <c r="AD26" s="18" t="e">
        <f t="shared" si="7"/>
        <v>#REF!</v>
      </c>
      <c r="AE26" s="18" t="e">
        <f t="shared" si="7"/>
        <v>#REF!</v>
      </c>
      <c r="AF26" s="18" t="e">
        <f t="shared" si="7"/>
        <v>#REF!</v>
      </c>
    </row>
    <row r="27" spans="1:32" x14ac:dyDescent="0.2">
      <c r="A27" s="472" t="s">
        <v>0</v>
      </c>
      <c r="B27" s="15" t="s">
        <v>8</v>
      </c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</row>
    <row r="28" spans="1:32" x14ac:dyDescent="0.2">
      <c r="A28" s="472"/>
      <c r="B28" s="23" t="s">
        <v>52</v>
      </c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x14ac:dyDescent="0.2">
      <c r="A29" s="472"/>
      <c r="B29" s="17"/>
      <c r="C29" s="18">
        <v>0</v>
      </c>
      <c r="D29" s="18">
        <v>0</v>
      </c>
      <c r="E29" s="18">
        <v>0</v>
      </c>
      <c r="F29" s="18">
        <v>0</v>
      </c>
      <c r="G29" s="18">
        <v>0</v>
      </c>
      <c r="H29" s="18">
        <v>0</v>
      </c>
      <c r="I29" s="18">
        <v>0</v>
      </c>
      <c r="J29" s="18">
        <v>0</v>
      </c>
      <c r="K29" s="18">
        <v>0</v>
      </c>
      <c r="L29" s="18">
        <v>0</v>
      </c>
      <c r="M29" s="18">
        <v>0</v>
      </c>
      <c r="N29" s="18">
        <v>0</v>
      </c>
      <c r="O29" s="18">
        <v>0</v>
      </c>
      <c r="P29" s="18">
        <v>0</v>
      </c>
      <c r="Q29" s="18">
        <v>0</v>
      </c>
      <c r="R29" s="18">
        <v>0</v>
      </c>
      <c r="S29" s="18">
        <v>0</v>
      </c>
      <c r="T29" s="18">
        <v>0</v>
      </c>
      <c r="U29" s="18">
        <v>0</v>
      </c>
      <c r="V29" s="18">
        <v>0</v>
      </c>
      <c r="W29" s="18">
        <v>0</v>
      </c>
      <c r="X29" s="18">
        <v>0</v>
      </c>
      <c r="Y29" s="18">
        <v>0</v>
      </c>
      <c r="Z29" s="18">
        <v>0</v>
      </c>
      <c r="AA29" s="18">
        <v>0</v>
      </c>
      <c r="AB29" s="18">
        <v>0</v>
      </c>
      <c r="AC29" s="18">
        <v>0</v>
      </c>
      <c r="AD29" s="18">
        <v>0</v>
      </c>
      <c r="AE29" s="18">
        <v>0</v>
      </c>
      <c r="AF29" s="18">
        <v>0</v>
      </c>
    </row>
    <row r="30" spans="1:32" x14ac:dyDescent="0.2">
      <c r="A30" s="472"/>
      <c r="C30" s="18">
        <v>0</v>
      </c>
      <c r="D30" s="18">
        <v>0</v>
      </c>
      <c r="E30" s="18">
        <v>0</v>
      </c>
      <c r="F30" s="18">
        <v>0</v>
      </c>
      <c r="G30" s="18">
        <v>0</v>
      </c>
      <c r="H30" s="18">
        <v>0</v>
      </c>
      <c r="I30" s="18">
        <v>0</v>
      </c>
      <c r="J30" s="18">
        <v>0</v>
      </c>
      <c r="K30" s="18">
        <v>0</v>
      </c>
      <c r="L30" s="18">
        <v>0</v>
      </c>
      <c r="M30" s="18">
        <v>0</v>
      </c>
      <c r="N30" s="18">
        <v>0</v>
      </c>
      <c r="O30" s="18">
        <v>0</v>
      </c>
      <c r="P30" s="18">
        <v>0</v>
      </c>
      <c r="Q30" s="18">
        <v>0</v>
      </c>
      <c r="R30" s="18">
        <v>0</v>
      </c>
      <c r="S30" s="18">
        <v>0</v>
      </c>
      <c r="T30" s="18">
        <v>0</v>
      </c>
      <c r="U30" s="18">
        <v>0</v>
      </c>
      <c r="V30" s="18">
        <v>0</v>
      </c>
      <c r="W30" s="18">
        <v>0</v>
      </c>
      <c r="X30" s="18">
        <v>0</v>
      </c>
      <c r="Y30" s="18">
        <v>0</v>
      </c>
      <c r="Z30" s="18">
        <v>0</v>
      </c>
      <c r="AA30" s="18">
        <v>0</v>
      </c>
      <c r="AB30" s="18">
        <v>0</v>
      </c>
      <c r="AC30" s="18">
        <v>0</v>
      </c>
      <c r="AD30" s="18">
        <v>0</v>
      </c>
      <c r="AE30" s="18">
        <v>0</v>
      </c>
      <c r="AF30" s="18">
        <v>0</v>
      </c>
    </row>
    <row r="31" spans="1:32" x14ac:dyDescent="0.2">
      <c r="A31" s="472"/>
      <c r="B31" s="23" t="s">
        <v>53</v>
      </c>
      <c r="C31" s="24" t="e">
        <f>C32+C33+C34+C35+C36</f>
        <v>#REF!</v>
      </c>
      <c r="D31" s="24" t="e">
        <f t="shared" ref="D31:AF31" si="8">D32+D33+D34+D35+D36</f>
        <v>#REF!</v>
      </c>
      <c r="E31" s="24" t="e">
        <f t="shared" si="8"/>
        <v>#REF!</v>
      </c>
      <c r="F31" s="24" t="e">
        <f t="shared" si="8"/>
        <v>#REF!</v>
      </c>
      <c r="G31" s="24" t="e">
        <f t="shared" si="8"/>
        <v>#REF!</v>
      </c>
      <c r="H31" s="24" t="e">
        <f t="shared" si="8"/>
        <v>#REF!</v>
      </c>
      <c r="I31" s="24">
        <f t="shared" si="8"/>
        <v>0</v>
      </c>
      <c r="J31" s="24">
        <f t="shared" si="8"/>
        <v>0</v>
      </c>
      <c r="K31" s="24">
        <f t="shared" si="8"/>
        <v>0</v>
      </c>
      <c r="L31" s="24">
        <f t="shared" si="8"/>
        <v>0</v>
      </c>
      <c r="M31" s="24">
        <f t="shared" si="8"/>
        <v>0</v>
      </c>
      <c r="N31" s="24">
        <f t="shared" si="8"/>
        <v>0</v>
      </c>
      <c r="O31" s="24">
        <f t="shared" si="8"/>
        <v>0</v>
      </c>
      <c r="P31" s="24">
        <f t="shared" si="8"/>
        <v>0</v>
      </c>
      <c r="Q31" s="24">
        <f t="shared" si="8"/>
        <v>0</v>
      </c>
      <c r="R31" s="24">
        <f t="shared" si="8"/>
        <v>0</v>
      </c>
      <c r="S31" s="24">
        <f t="shared" si="8"/>
        <v>0</v>
      </c>
      <c r="T31" s="24">
        <f t="shared" si="8"/>
        <v>0</v>
      </c>
      <c r="U31" s="24">
        <f t="shared" si="8"/>
        <v>0</v>
      </c>
      <c r="V31" s="24">
        <f t="shared" si="8"/>
        <v>0</v>
      </c>
      <c r="W31" s="24">
        <f t="shared" si="8"/>
        <v>0</v>
      </c>
      <c r="X31" s="24">
        <f t="shared" si="8"/>
        <v>0</v>
      </c>
      <c r="Y31" s="24">
        <f t="shared" si="8"/>
        <v>0</v>
      </c>
      <c r="Z31" s="24">
        <f t="shared" si="8"/>
        <v>0</v>
      </c>
      <c r="AA31" s="24">
        <f t="shared" si="8"/>
        <v>0</v>
      </c>
      <c r="AB31" s="24">
        <f t="shared" si="8"/>
        <v>0</v>
      </c>
      <c r="AC31" s="24">
        <f t="shared" si="8"/>
        <v>0</v>
      </c>
      <c r="AD31" s="24">
        <f t="shared" si="8"/>
        <v>0</v>
      </c>
      <c r="AE31" s="24">
        <f t="shared" si="8"/>
        <v>0</v>
      </c>
      <c r="AF31" s="24">
        <f t="shared" si="8"/>
        <v>0</v>
      </c>
    </row>
    <row r="32" spans="1:32" x14ac:dyDescent="0.2">
      <c r="A32" s="472"/>
      <c r="B32" s="17" t="s">
        <v>212</v>
      </c>
      <c r="C32" s="18" t="e">
        <f>#REF!</f>
        <v>#REF!</v>
      </c>
      <c r="D32" s="18">
        <v>0</v>
      </c>
      <c r="E32" s="18">
        <v>0</v>
      </c>
      <c r="F32" s="18">
        <v>0</v>
      </c>
      <c r="G32" s="18">
        <v>0</v>
      </c>
      <c r="H32" s="18">
        <v>0</v>
      </c>
      <c r="I32" s="18">
        <v>0</v>
      </c>
      <c r="J32" s="18">
        <v>0</v>
      </c>
      <c r="K32" s="18">
        <v>0</v>
      </c>
      <c r="L32" s="18">
        <v>0</v>
      </c>
      <c r="M32" s="18">
        <v>0</v>
      </c>
      <c r="N32" s="18">
        <v>0</v>
      </c>
      <c r="O32" s="18">
        <v>0</v>
      </c>
      <c r="P32" s="18">
        <v>0</v>
      </c>
      <c r="Q32" s="18">
        <v>0</v>
      </c>
      <c r="R32" s="18">
        <v>0</v>
      </c>
      <c r="S32" s="18">
        <v>0</v>
      </c>
      <c r="T32" s="18">
        <v>0</v>
      </c>
      <c r="U32" s="18">
        <v>0</v>
      </c>
      <c r="V32" s="18">
        <v>0</v>
      </c>
      <c r="W32" s="18">
        <v>0</v>
      </c>
      <c r="X32" s="18">
        <v>0</v>
      </c>
      <c r="Y32" s="18">
        <v>0</v>
      </c>
      <c r="Z32" s="18">
        <v>0</v>
      </c>
      <c r="AA32" s="18">
        <v>0</v>
      </c>
      <c r="AB32" s="18">
        <v>0</v>
      </c>
      <c r="AC32" s="18">
        <v>0</v>
      </c>
      <c r="AD32" s="18">
        <v>0</v>
      </c>
      <c r="AE32" s="18">
        <v>0</v>
      </c>
      <c r="AF32" s="18">
        <v>0</v>
      </c>
    </row>
    <row r="33" spans="1:32" x14ac:dyDescent="0.2">
      <c r="A33" s="472"/>
      <c r="B33" s="17" t="s">
        <v>213</v>
      </c>
      <c r="C33" s="18" t="e">
        <f>#REF!</f>
        <v>#REF!</v>
      </c>
      <c r="D33" s="18">
        <v>0</v>
      </c>
      <c r="E33" s="18">
        <v>0</v>
      </c>
      <c r="F33" s="18">
        <v>0</v>
      </c>
      <c r="G33" s="18">
        <v>0</v>
      </c>
      <c r="H33" s="18">
        <v>0</v>
      </c>
      <c r="I33" s="18">
        <v>0</v>
      </c>
      <c r="J33" s="18">
        <v>0</v>
      </c>
      <c r="K33" s="18">
        <v>0</v>
      </c>
      <c r="L33" s="18">
        <v>0</v>
      </c>
      <c r="M33" s="18">
        <v>0</v>
      </c>
      <c r="N33" s="18">
        <v>0</v>
      </c>
      <c r="O33" s="18">
        <v>0</v>
      </c>
      <c r="P33" s="18">
        <v>0</v>
      </c>
      <c r="Q33" s="18">
        <v>0</v>
      </c>
      <c r="R33" s="18">
        <v>0</v>
      </c>
      <c r="S33" s="18">
        <v>0</v>
      </c>
      <c r="T33" s="18">
        <v>0</v>
      </c>
      <c r="U33" s="18">
        <v>0</v>
      </c>
      <c r="V33" s="18">
        <v>0</v>
      </c>
      <c r="W33" s="18">
        <v>0</v>
      </c>
      <c r="X33" s="18">
        <v>0</v>
      </c>
      <c r="Y33" s="18">
        <v>0</v>
      </c>
      <c r="Z33" s="18">
        <v>0</v>
      </c>
      <c r="AA33" s="18">
        <v>0</v>
      </c>
      <c r="AB33" s="18">
        <v>0</v>
      </c>
      <c r="AC33" s="18">
        <v>0</v>
      </c>
      <c r="AD33" s="18">
        <v>0</v>
      </c>
      <c r="AE33" s="18">
        <v>0</v>
      </c>
      <c r="AF33" s="18">
        <v>0</v>
      </c>
    </row>
    <row r="34" spans="1:32" x14ac:dyDescent="0.2">
      <c r="A34" s="472"/>
      <c r="B34" s="40" t="s">
        <v>11</v>
      </c>
      <c r="C34" s="18">
        <v>0</v>
      </c>
      <c r="D34" s="18" t="e">
        <f>#REF!/5</f>
        <v>#REF!</v>
      </c>
      <c r="E34" s="18" t="e">
        <f>#REF!/5</f>
        <v>#REF!</v>
      </c>
      <c r="F34" s="18" t="e">
        <f>#REF!/5</f>
        <v>#REF!</v>
      </c>
      <c r="G34" s="18" t="e">
        <f>#REF!/5</f>
        <v>#REF!</v>
      </c>
      <c r="H34" s="18" t="e">
        <f>#REF!/5</f>
        <v>#REF!</v>
      </c>
      <c r="I34" s="18">
        <v>0</v>
      </c>
      <c r="J34" s="18">
        <v>0</v>
      </c>
      <c r="K34" s="18">
        <v>0</v>
      </c>
      <c r="L34" s="18">
        <v>0</v>
      </c>
      <c r="M34" s="18">
        <v>0</v>
      </c>
      <c r="N34" s="18">
        <v>0</v>
      </c>
      <c r="O34" s="18">
        <v>0</v>
      </c>
      <c r="P34" s="18">
        <v>0</v>
      </c>
      <c r="Q34" s="18">
        <v>0</v>
      </c>
      <c r="R34" s="18">
        <v>0</v>
      </c>
      <c r="S34" s="18">
        <v>0</v>
      </c>
      <c r="T34" s="18">
        <v>0</v>
      </c>
      <c r="U34" s="18">
        <v>0</v>
      </c>
      <c r="V34" s="18">
        <v>0</v>
      </c>
      <c r="W34" s="18">
        <v>0</v>
      </c>
      <c r="X34" s="18">
        <v>0</v>
      </c>
      <c r="Y34" s="18">
        <v>0</v>
      </c>
      <c r="Z34" s="18">
        <v>0</v>
      </c>
      <c r="AA34" s="18">
        <v>0</v>
      </c>
      <c r="AB34" s="18">
        <v>0</v>
      </c>
      <c r="AC34" s="18">
        <v>0</v>
      </c>
      <c r="AD34" s="18">
        <v>0</v>
      </c>
      <c r="AE34" s="18">
        <v>0</v>
      </c>
      <c r="AF34" s="18">
        <v>0</v>
      </c>
    </row>
    <row r="35" spans="1:32" x14ac:dyDescent="0.2">
      <c r="A35" s="472"/>
      <c r="B35" s="17" t="s">
        <v>214</v>
      </c>
      <c r="C35" s="18" t="e">
        <f>#REF!</f>
        <v>#REF!</v>
      </c>
      <c r="D35" s="18">
        <v>0</v>
      </c>
      <c r="E35" s="18">
        <v>0</v>
      </c>
      <c r="F35" s="18">
        <v>0</v>
      </c>
      <c r="G35" s="18">
        <v>0</v>
      </c>
      <c r="H35" s="18">
        <v>0</v>
      </c>
      <c r="I35" s="18">
        <v>0</v>
      </c>
      <c r="J35" s="18">
        <v>0</v>
      </c>
      <c r="K35" s="18">
        <v>0</v>
      </c>
      <c r="L35" s="18">
        <v>0</v>
      </c>
      <c r="M35" s="18">
        <v>0</v>
      </c>
      <c r="N35" s="18">
        <v>0</v>
      </c>
      <c r="O35" s="18">
        <v>0</v>
      </c>
      <c r="P35" s="18">
        <v>0</v>
      </c>
      <c r="Q35" s="18">
        <v>0</v>
      </c>
      <c r="R35" s="18">
        <v>0</v>
      </c>
      <c r="S35" s="18">
        <v>0</v>
      </c>
      <c r="T35" s="18">
        <v>0</v>
      </c>
      <c r="U35" s="18">
        <v>0</v>
      </c>
      <c r="V35" s="18">
        <v>0</v>
      </c>
      <c r="W35" s="18">
        <v>0</v>
      </c>
      <c r="X35" s="18">
        <v>0</v>
      </c>
      <c r="Y35" s="18">
        <v>0</v>
      </c>
      <c r="Z35" s="18">
        <v>0</v>
      </c>
      <c r="AA35" s="18">
        <v>0</v>
      </c>
      <c r="AB35" s="18">
        <v>0</v>
      </c>
      <c r="AC35" s="18">
        <v>0</v>
      </c>
      <c r="AD35" s="18">
        <v>0</v>
      </c>
      <c r="AE35" s="18">
        <v>0</v>
      </c>
      <c r="AF35" s="18">
        <v>0</v>
      </c>
    </row>
    <row r="36" spans="1:32" x14ac:dyDescent="0.2">
      <c r="A36" s="472"/>
      <c r="B36" s="17"/>
      <c r="C36" s="18">
        <v>0</v>
      </c>
      <c r="D36" s="18">
        <v>0</v>
      </c>
      <c r="E36" s="18">
        <v>0</v>
      </c>
      <c r="F36" s="18">
        <v>0</v>
      </c>
      <c r="G36" s="18">
        <v>0</v>
      </c>
      <c r="H36" s="18">
        <v>0</v>
      </c>
      <c r="I36" s="18">
        <v>0</v>
      </c>
      <c r="J36" s="18">
        <v>0</v>
      </c>
      <c r="K36" s="18">
        <v>0</v>
      </c>
      <c r="L36" s="18">
        <v>0</v>
      </c>
      <c r="M36" s="18">
        <v>0</v>
      </c>
      <c r="N36" s="18">
        <v>0</v>
      </c>
      <c r="O36" s="18">
        <v>0</v>
      </c>
      <c r="P36" s="18">
        <v>0</v>
      </c>
      <c r="Q36" s="18">
        <v>0</v>
      </c>
      <c r="R36" s="18">
        <v>0</v>
      </c>
      <c r="S36" s="18">
        <v>0</v>
      </c>
      <c r="T36" s="18">
        <v>0</v>
      </c>
      <c r="U36" s="18">
        <v>0</v>
      </c>
      <c r="V36" s="18">
        <v>0</v>
      </c>
      <c r="W36" s="18">
        <v>0</v>
      </c>
      <c r="X36" s="18">
        <v>0</v>
      </c>
      <c r="Y36" s="18">
        <v>0</v>
      </c>
      <c r="Z36" s="18">
        <v>0</v>
      </c>
      <c r="AA36" s="18">
        <v>0</v>
      </c>
      <c r="AB36" s="18">
        <v>0</v>
      </c>
      <c r="AC36" s="18">
        <v>0</v>
      </c>
      <c r="AD36" s="18">
        <v>0</v>
      </c>
      <c r="AE36" s="18">
        <v>0</v>
      </c>
      <c r="AF36" s="18">
        <v>0</v>
      </c>
    </row>
    <row r="37" spans="1:32" x14ac:dyDescent="0.2">
      <c r="B37" s="27" t="s">
        <v>55</v>
      </c>
      <c r="C37" s="38" t="e">
        <f t="shared" ref="C37:AF37" si="9">C20-C23+C28-C31</f>
        <v>#REF!</v>
      </c>
      <c r="D37" s="38" t="e">
        <f t="shared" si="9"/>
        <v>#REF!</v>
      </c>
      <c r="E37" s="38" t="e">
        <f t="shared" si="9"/>
        <v>#REF!</v>
      </c>
      <c r="F37" s="38" t="e">
        <f t="shared" si="9"/>
        <v>#REF!</v>
      </c>
      <c r="G37" s="38" t="e">
        <f t="shared" si="9"/>
        <v>#REF!</v>
      </c>
      <c r="H37" s="38" t="e">
        <f t="shared" si="9"/>
        <v>#REF!</v>
      </c>
      <c r="I37" s="38" t="e">
        <f t="shared" si="9"/>
        <v>#REF!</v>
      </c>
      <c r="J37" s="38" t="e">
        <f t="shared" si="9"/>
        <v>#REF!</v>
      </c>
      <c r="K37" s="38" t="e">
        <f t="shared" si="9"/>
        <v>#REF!</v>
      </c>
      <c r="L37" s="38" t="e">
        <f t="shared" si="9"/>
        <v>#REF!</v>
      </c>
      <c r="M37" s="38" t="e">
        <f t="shared" si="9"/>
        <v>#REF!</v>
      </c>
      <c r="N37" s="38" t="e">
        <f t="shared" si="9"/>
        <v>#REF!</v>
      </c>
      <c r="O37" s="38" t="e">
        <f t="shared" si="9"/>
        <v>#REF!</v>
      </c>
      <c r="P37" s="38" t="e">
        <f t="shared" si="9"/>
        <v>#REF!</v>
      </c>
      <c r="Q37" s="38" t="e">
        <f t="shared" si="9"/>
        <v>#REF!</v>
      </c>
      <c r="R37" s="38" t="e">
        <f t="shared" si="9"/>
        <v>#REF!</v>
      </c>
      <c r="S37" s="38" t="e">
        <f t="shared" si="9"/>
        <v>#REF!</v>
      </c>
      <c r="T37" s="38" t="e">
        <f t="shared" si="9"/>
        <v>#REF!</v>
      </c>
      <c r="U37" s="38" t="e">
        <f t="shared" si="9"/>
        <v>#REF!</v>
      </c>
      <c r="V37" s="38" t="e">
        <f t="shared" si="9"/>
        <v>#REF!</v>
      </c>
      <c r="W37" s="38" t="e">
        <f t="shared" si="9"/>
        <v>#REF!</v>
      </c>
      <c r="X37" s="38" t="e">
        <f t="shared" si="9"/>
        <v>#REF!</v>
      </c>
      <c r="Y37" s="38" t="e">
        <f t="shared" si="9"/>
        <v>#REF!</v>
      </c>
      <c r="Z37" s="38" t="e">
        <f t="shared" si="9"/>
        <v>#REF!</v>
      </c>
      <c r="AA37" s="38" t="e">
        <f t="shared" si="9"/>
        <v>#REF!</v>
      </c>
      <c r="AB37" s="38" t="e">
        <f t="shared" si="9"/>
        <v>#REF!</v>
      </c>
      <c r="AC37" s="38" t="e">
        <f t="shared" si="9"/>
        <v>#REF!</v>
      </c>
      <c r="AD37" s="38" t="e">
        <f t="shared" si="9"/>
        <v>#REF!</v>
      </c>
      <c r="AE37" s="38" t="e">
        <f t="shared" si="9"/>
        <v>#REF!</v>
      </c>
      <c r="AF37" s="38" t="e">
        <f t="shared" si="9"/>
        <v>#REF!</v>
      </c>
    </row>
    <row r="38" spans="1:32" x14ac:dyDescent="0.2">
      <c r="B38" s="27" t="s">
        <v>56</v>
      </c>
      <c r="C38" s="39" t="e">
        <f t="shared" ref="C38:AF38" si="10">+C37*POWER(1+$C$10,-C14)</f>
        <v>#REF!</v>
      </c>
      <c r="D38" s="39" t="e">
        <f t="shared" si="10"/>
        <v>#REF!</v>
      </c>
      <c r="E38" s="39" t="e">
        <f t="shared" si="10"/>
        <v>#REF!</v>
      </c>
      <c r="F38" s="39" t="e">
        <f t="shared" si="10"/>
        <v>#REF!</v>
      </c>
      <c r="G38" s="39" t="e">
        <f t="shared" si="10"/>
        <v>#REF!</v>
      </c>
      <c r="H38" s="39" t="e">
        <f t="shared" si="10"/>
        <v>#REF!</v>
      </c>
      <c r="I38" s="39" t="e">
        <f t="shared" si="10"/>
        <v>#REF!</v>
      </c>
      <c r="J38" s="39" t="e">
        <f t="shared" si="10"/>
        <v>#REF!</v>
      </c>
      <c r="K38" s="39" t="e">
        <f t="shared" si="10"/>
        <v>#REF!</v>
      </c>
      <c r="L38" s="39" t="e">
        <f t="shared" si="10"/>
        <v>#REF!</v>
      </c>
      <c r="M38" s="39" t="e">
        <f t="shared" si="10"/>
        <v>#REF!</v>
      </c>
      <c r="N38" s="39" t="e">
        <f t="shared" si="10"/>
        <v>#REF!</v>
      </c>
      <c r="O38" s="39" t="e">
        <f t="shared" si="10"/>
        <v>#REF!</v>
      </c>
      <c r="P38" s="39" t="e">
        <f t="shared" si="10"/>
        <v>#REF!</v>
      </c>
      <c r="Q38" s="39" t="e">
        <f t="shared" si="10"/>
        <v>#REF!</v>
      </c>
      <c r="R38" s="39" t="e">
        <f t="shared" si="10"/>
        <v>#REF!</v>
      </c>
      <c r="S38" s="39" t="e">
        <f t="shared" si="10"/>
        <v>#REF!</v>
      </c>
      <c r="T38" s="39" t="e">
        <f t="shared" si="10"/>
        <v>#REF!</v>
      </c>
      <c r="U38" s="39" t="e">
        <f t="shared" si="10"/>
        <v>#REF!</v>
      </c>
      <c r="V38" s="39" t="e">
        <f t="shared" si="10"/>
        <v>#REF!</v>
      </c>
      <c r="W38" s="39" t="e">
        <f t="shared" si="10"/>
        <v>#REF!</v>
      </c>
      <c r="X38" s="39" t="e">
        <f t="shared" si="10"/>
        <v>#REF!</v>
      </c>
      <c r="Y38" s="39" t="e">
        <f t="shared" si="10"/>
        <v>#REF!</v>
      </c>
      <c r="Z38" s="39" t="e">
        <f t="shared" si="10"/>
        <v>#REF!</v>
      </c>
      <c r="AA38" s="39" t="e">
        <f t="shared" si="10"/>
        <v>#REF!</v>
      </c>
      <c r="AB38" s="39" t="e">
        <f t="shared" si="10"/>
        <v>#REF!</v>
      </c>
      <c r="AC38" s="39" t="e">
        <f t="shared" si="10"/>
        <v>#REF!</v>
      </c>
      <c r="AD38" s="39" t="e">
        <f t="shared" si="10"/>
        <v>#REF!</v>
      </c>
      <c r="AE38" s="39" t="e">
        <f t="shared" si="10"/>
        <v>#REF!</v>
      </c>
      <c r="AF38" s="39" t="e">
        <f t="shared" si="10"/>
        <v>#REF!</v>
      </c>
    </row>
  </sheetData>
  <mergeCells count="4">
    <mergeCell ref="A19:A26"/>
    <mergeCell ref="A27:A36"/>
    <mergeCell ref="J3:K3"/>
    <mergeCell ref="C16:H16"/>
  </mergeCells>
  <phoneticPr fontId="10" type="noConversion"/>
  <pageMargins left="0.7" right="0.7" top="0.75" bottom="0.75" header="0.3" footer="0.3"/>
  <pageSetup paperSize="9"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C8C8E-9AFF-47CF-8DB2-D25335D5A395}">
  <sheetPr>
    <tabColor rgb="FF92D050"/>
  </sheetPr>
  <dimension ref="A1:Q224"/>
  <sheetViews>
    <sheetView topLeftCell="A10" zoomScaleNormal="100" workbookViewId="0">
      <selection activeCell="F155" sqref="F155"/>
    </sheetView>
  </sheetViews>
  <sheetFormatPr baseColWidth="10" defaultColWidth="11.5703125" defaultRowHeight="12" x14ac:dyDescent="0.2"/>
  <cols>
    <col min="1" max="1" width="5.28515625" style="4" bestFit="1" customWidth="1"/>
    <col min="2" max="2" width="37.5703125" style="4" customWidth="1"/>
    <col min="3" max="3" width="21.5703125" style="4" bestFit="1" customWidth="1"/>
    <col min="4" max="4" width="52.7109375" style="71" bestFit="1" customWidth="1"/>
    <col min="5" max="5" width="7" style="3" bestFit="1" customWidth="1"/>
    <col min="6" max="6" width="18.7109375" style="4" bestFit="1" customWidth="1"/>
    <col min="7" max="7" width="21.140625" style="4" customWidth="1"/>
    <col min="8" max="9" width="16.28515625" style="4" customWidth="1"/>
    <col min="10" max="10" width="21.5703125" style="4" customWidth="1"/>
    <col min="11" max="11" width="24.7109375" style="4" customWidth="1"/>
    <col min="12" max="12" width="11.5703125" style="48"/>
    <col min="13" max="13" width="17.85546875" style="4" bestFit="1" customWidth="1"/>
    <col min="14" max="15" width="15.85546875" style="4" bestFit="1" customWidth="1"/>
    <col min="16" max="16" width="11.5703125" style="4" customWidth="1"/>
    <col min="17" max="16384" width="11.5703125" style="4"/>
  </cols>
  <sheetData>
    <row r="1" spans="1:11" ht="23.25" x14ac:dyDescent="0.2">
      <c r="A1" s="503" t="s">
        <v>206</v>
      </c>
      <c r="B1" s="503"/>
      <c r="C1" s="503"/>
      <c r="D1" s="503"/>
      <c r="E1" s="503"/>
      <c r="F1" s="503"/>
      <c r="G1" s="503"/>
      <c r="H1" s="503"/>
      <c r="I1" s="503"/>
      <c r="J1" s="503"/>
      <c r="K1" s="503"/>
    </row>
    <row r="4" spans="1:11" ht="15" x14ac:dyDescent="0.25">
      <c r="A4" s="504" t="s">
        <v>7</v>
      </c>
      <c r="B4" s="506" t="s">
        <v>90</v>
      </c>
      <c r="C4" s="506"/>
      <c r="F4"/>
      <c r="G4" s="109" t="s">
        <v>74</v>
      </c>
      <c r="H4" s="109" t="s">
        <v>73</v>
      </c>
      <c r="I4" s="109" t="s">
        <v>145</v>
      </c>
    </row>
    <row r="5" spans="1:11" ht="15" x14ac:dyDescent="0.25">
      <c r="A5" s="504"/>
      <c r="B5" s="50" t="s">
        <v>91</v>
      </c>
      <c r="C5" s="51">
        <v>388</v>
      </c>
      <c r="F5" s="114" t="s">
        <v>0</v>
      </c>
      <c r="G5" s="110" t="e">
        <f>SUMIF(A26:A175,"CAPEX",H26:H175)</f>
        <v>#REF!</v>
      </c>
      <c r="H5" s="110" t="e">
        <f>SUMIF(A26:A175,"CAPEX",J26:J175)</f>
        <v>#REF!</v>
      </c>
      <c r="I5" s="111" t="e">
        <f>1-(H5/G5)</f>
        <v>#REF!</v>
      </c>
    </row>
    <row r="6" spans="1:11" ht="15" x14ac:dyDescent="0.25">
      <c r="A6" s="504"/>
      <c r="B6" s="50" t="s">
        <v>92</v>
      </c>
      <c r="C6" s="52">
        <v>0</v>
      </c>
      <c r="F6" s="114" t="s">
        <v>1</v>
      </c>
      <c r="G6" s="110" t="e">
        <f>SUMIF(A26:A175,"OPEX",H26:H175)</f>
        <v>#REF!</v>
      </c>
      <c r="H6" s="110" t="e">
        <f>SUMIF(A26:A175,"OPEX",J26:J175)</f>
        <v>#REF!</v>
      </c>
      <c r="I6" s="111" t="e">
        <f>1-(H6/G6)</f>
        <v>#REF!</v>
      </c>
    </row>
    <row r="7" spans="1:11" ht="15" x14ac:dyDescent="0.25">
      <c r="A7" s="504"/>
      <c r="B7" s="50" t="s">
        <v>93</v>
      </c>
      <c r="C7" s="53">
        <f>C5+C6</f>
        <v>388</v>
      </c>
      <c r="F7"/>
      <c r="G7" s="112" t="e">
        <f>SUM(G5:G6)</f>
        <v>#REF!</v>
      </c>
      <c r="H7" s="112" t="e">
        <f>SUM(H5:H6)</f>
        <v>#REF!</v>
      </c>
      <c r="I7" s="113" t="e">
        <f>1-(H7/G7)</f>
        <v>#REF!</v>
      </c>
      <c r="K7" s="77"/>
    </row>
    <row r="8" spans="1:11" x14ac:dyDescent="0.2">
      <c r="A8" s="504"/>
      <c r="B8" s="50" t="s">
        <v>98</v>
      </c>
      <c r="C8" s="57">
        <v>0.05</v>
      </c>
      <c r="K8" s="77"/>
    </row>
    <row r="9" spans="1:11" x14ac:dyDescent="0.2">
      <c r="A9" s="504"/>
      <c r="B9" s="50" t="s">
        <v>99</v>
      </c>
      <c r="C9" s="54"/>
    </row>
    <row r="10" spans="1:11" x14ac:dyDescent="0.2">
      <c r="A10" s="504"/>
      <c r="B10" s="50" t="s">
        <v>94</v>
      </c>
      <c r="C10" s="51">
        <v>970</v>
      </c>
    </row>
    <row r="11" spans="1:11" x14ac:dyDescent="0.2">
      <c r="A11" s="504"/>
      <c r="B11" s="50" t="s">
        <v>100</v>
      </c>
      <c r="C11" s="51">
        <v>0</v>
      </c>
    </row>
    <row r="12" spans="1:11" ht="15" x14ac:dyDescent="0.2">
      <c r="A12" s="504"/>
      <c r="B12" s="50" t="s">
        <v>101</v>
      </c>
      <c r="C12" s="51">
        <f>C10+C11</f>
        <v>970</v>
      </c>
      <c r="G12" s="109" t="s">
        <v>158</v>
      </c>
      <c r="H12" s="109" t="s">
        <v>159</v>
      </c>
      <c r="I12" s="109" t="s">
        <v>145</v>
      </c>
    </row>
    <row r="13" spans="1:11" ht="15" x14ac:dyDescent="0.2">
      <c r="A13" s="504"/>
      <c r="B13" s="50" t="s">
        <v>95</v>
      </c>
      <c r="C13" s="56">
        <f>C12/C7</f>
        <v>2.5</v>
      </c>
      <c r="G13" s="110" t="e">
        <f>G7/C7/C18</f>
        <v>#REF!</v>
      </c>
      <c r="H13" s="110" t="e">
        <f>H7/C7/C18</f>
        <v>#REF!</v>
      </c>
      <c r="I13" s="111" t="e">
        <f>1-(H13/G13)</f>
        <v>#REF!</v>
      </c>
    </row>
    <row r="14" spans="1:11" x14ac:dyDescent="0.2">
      <c r="A14" s="504"/>
      <c r="B14" s="50" t="s">
        <v>103</v>
      </c>
      <c r="C14" s="55">
        <v>3.8</v>
      </c>
    </row>
    <row r="15" spans="1:11" x14ac:dyDescent="0.2">
      <c r="A15" s="504"/>
      <c r="B15" s="50" t="s">
        <v>96</v>
      </c>
      <c r="C15" s="56">
        <f>G27+G28+G29+G33</f>
        <v>745.41428571428582</v>
      </c>
    </row>
    <row r="16" spans="1:11" x14ac:dyDescent="0.2">
      <c r="A16" s="504"/>
      <c r="B16" s="50" t="s">
        <v>102</v>
      </c>
      <c r="C16" s="51">
        <v>155</v>
      </c>
    </row>
    <row r="17" spans="1:13" x14ac:dyDescent="0.2">
      <c r="A17" s="504"/>
      <c r="B17" s="50" t="s">
        <v>97</v>
      </c>
      <c r="C17" s="51">
        <v>55</v>
      </c>
    </row>
    <row r="18" spans="1:13" x14ac:dyDescent="0.2">
      <c r="A18" s="504"/>
      <c r="B18" s="50" t="s">
        <v>104</v>
      </c>
      <c r="C18" s="51">
        <v>24</v>
      </c>
    </row>
    <row r="19" spans="1:13" x14ac:dyDescent="0.2">
      <c r="A19" s="504"/>
      <c r="B19" s="50" t="s">
        <v>16</v>
      </c>
      <c r="C19" s="57">
        <v>0.01</v>
      </c>
    </row>
    <row r="20" spans="1:13" x14ac:dyDescent="0.2">
      <c r="A20" s="505"/>
      <c r="B20" s="50" t="s">
        <v>14</v>
      </c>
      <c r="C20" s="51">
        <f>4950/C14</f>
        <v>1302.6315789473686</v>
      </c>
    </row>
    <row r="22" spans="1:13" x14ac:dyDescent="0.2">
      <c r="A22" s="507" t="s">
        <v>207</v>
      </c>
      <c r="B22" s="507"/>
      <c r="C22" s="507"/>
      <c r="D22" s="507"/>
      <c r="E22" s="507"/>
      <c r="F22" s="507"/>
      <c r="G22" s="507"/>
      <c r="H22" s="507"/>
      <c r="I22" s="507"/>
      <c r="J22" s="507"/>
      <c r="K22" s="507"/>
      <c r="L22" s="507"/>
    </row>
    <row r="24" spans="1:13" x14ac:dyDescent="0.2">
      <c r="A24" s="502" t="s">
        <v>127</v>
      </c>
      <c r="B24" s="502"/>
      <c r="C24" s="502"/>
      <c r="D24" s="502"/>
      <c r="E24" s="502"/>
      <c r="F24" s="502"/>
      <c r="G24" s="502"/>
      <c r="H24" s="502"/>
      <c r="I24" s="502"/>
      <c r="J24" s="502"/>
      <c r="K24" s="502"/>
      <c r="L24" s="502"/>
    </row>
    <row r="25" spans="1:13" x14ac:dyDescent="0.2">
      <c r="A25" s="58"/>
      <c r="B25" s="58" t="s">
        <v>125</v>
      </c>
      <c r="C25" s="59"/>
      <c r="D25" s="75"/>
      <c r="E25" s="96"/>
      <c r="F25" s="59"/>
      <c r="G25" s="59"/>
      <c r="H25" s="59"/>
      <c r="I25" s="59"/>
      <c r="J25" s="59"/>
      <c r="K25" s="59"/>
      <c r="L25" s="96"/>
    </row>
    <row r="26" spans="1:13" x14ac:dyDescent="0.2">
      <c r="B26" s="60" t="s">
        <v>105</v>
      </c>
      <c r="C26" s="60" t="s">
        <v>106</v>
      </c>
      <c r="D26" s="73" t="s">
        <v>68</v>
      </c>
      <c r="E26" s="2" t="s">
        <v>69</v>
      </c>
      <c r="F26" s="60" t="s">
        <v>107</v>
      </c>
      <c r="G26" s="60" t="s">
        <v>108</v>
      </c>
      <c r="H26" s="60" t="s">
        <v>109</v>
      </c>
      <c r="I26" s="60" t="s">
        <v>110</v>
      </c>
      <c r="J26" s="60" t="s">
        <v>111</v>
      </c>
      <c r="K26" s="60" t="s">
        <v>13</v>
      </c>
      <c r="L26" s="117" t="s">
        <v>194</v>
      </c>
    </row>
    <row r="27" spans="1:13" x14ac:dyDescent="0.2">
      <c r="A27" s="4" t="s">
        <v>0</v>
      </c>
      <c r="B27" s="4" t="s">
        <v>112</v>
      </c>
      <c r="C27" s="4" t="s">
        <v>113</v>
      </c>
      <c r="D27" s="71" t="s">
        <v>114</v>
      </c>
      <c r="E27" s="98">
        <f>$C$7</f>
        <v>388</v>
      </c>
      <c r="F27" s="4" t="s">
        <v>115</v>
      </c>
      <c r="G27" s="61">
        <f>I27/0.7</f>
        <v>109.71428571428572</v>
      </c>
      <c r="H27" s="62">
        <f>E27*G27</f>
        <v>42569.142857142862</v>
      </c>
      <c r="I27" s="4">
        <v>76.8</v>
      </c>
      <c r="J27" s="62">
        <f>E27*I27</f>
        <v>29798.399999999998</v>
      </c>
      <c r="K27" s="63">
        <f>1-(J27/H27)</f>
        <v>0.30000000000000016</v>
      </c>
      <c r="L27" s="48" t="s">
        <v>195</v>
      </c>
      <c r="M27" s="4" t="s">
        <v>203</v>
      </c>
    </row>
    <row r="28" spans="1:13" x14ac:dyDescent="0.2">
      <c r="A28" s="4" t="s">
        <v>0</v>
      </c>
      <c r="B28" s="4" t="s">
        <v>117</v>
      </c>
      <c r="C28" s="4" t="s">
        <v>118</v>
      </c>
      <c r="D28" s="71" t="s">
        <v>119</v>
      </c>
      <c r="E28" s="98">
        <v>0</v>
      </c>
      <c r="F28" s="4" t="s">
        <v>115</v>
      </c>
      <c r="G28" s="61">
        <f>I28/0.7</f>
        <v>426.52857142857147</v>
      </c>
      <c r="H28" s="62">
        <f>E28*G28</f>
        <v>0</v>
      </c>
      <c r="I28" s="4">
        <v>298.57</v>
      </c>
      <c r="J28" s="62">
        <f>E28*I28</f>
        <v>0</v>
      </c>
      <c r="K28" s="63" t="e">
        <f>1-(J28/H28)</f>
        <v>#DIV/0!</v>
      </c>
      <c r="L28" s="48" t="s">
        <v>195</v>
      </c>
      <c r="M28" s="4" t="s">
        <v>203</v>
      </c>
    </row>
    <row r="29" spans="1:13" x14ac:dyDescent="0.2">
      <c r="A29" s="4" t="s">
        <v>0</v>
      </c>
      <c r="B29" s="4" t="s">
        <v>122</v>
      </c>
      <c r="C29" s="4" t="s">
        <v>123</v>
      </c>
      <c r="D29" s="71" t="s">
        <v>116</v>
      </c>
      <c r="E29" s="98">
        <f t="shared" ref="E29" si="0">$C$7</f>
        <v>388</v>
      </c>
      <c r="F29" s="4" t="s">
        <v>115</v>
      </c>
      <c r="G29" s="61">
        <f>I29/0.7</f>
        <v>138.45714285714286</v>
      </c>
      <c r="H29" s="62">
        <f>E29*G29</f>
        <v>53721.37142857143</v>
      </c>
      <c r="I29" s="4">
        <v>96.92</v>
      </c>
      <c r="J29" s="62">
        <f>E29*I29</f>
        <v>37604.959999999999</v>
      </c>
      <c r="K29" s="63">
        <f>1-(J29/H29)</f>
        <v>0.30000000000000004</v>
      </c>
      <c r="L29" s="48" t="s">
        <v>195</v>
      </c>
      <c r="M29" s="4" t="s">
        <v>203</v>
      </c>
    </row>
    <row r="30" spans="1:13" x14ac:dyDescent="0.2">
      <c r="A30" s="4" t="s">
        <v>0</v>
      </c>
      <c r="B30" s="4" t="s">
        <v>186</v>
      </c>
      <c r="C30" s="4" t="s">
        <v>187</v>
      </c>
      <c r="D30" s="71" t="s">
        <v>188</v>
      </c>
      <c r="E30" s="98">
        <v>97</v>
      </c>
      <c r="F30" s="4" t="s">
        <v>115</v>
      </c>
      <c r="G30" s="61">
        <f t="shared" ref="G30:G32" si="1">I30/0.7</f>
        <v>410.3</v>
      </c>
      <c r="H30" s="62">
        <f t="shared" ref="H30:H32" si="2">E30*G30</f>
        <v>39799.1</v>
      </c>
      <c r="I30" s="4">
        <v>287.20999999999998</v>
      </c>
      <c r="J30" s="62">
        <f t="shared" ref="J30:J32" si="3">E30*I30</f>
        <v>27859.37</v>
      </c>
      <c r="K30" s="63">
        <f t="shared" ref="K30:K32" si="4">1-(J30/H30)</f>
        <v>0.30000000000000004</v>
      </c>
      <c r="L30" s="48" t="s">
        <v>195</v>
      </c>
      <c r="M30" s="4" t="s">
        <v>203</v>
      </c>
    </row>
    <row r="31" spans="1:13" x14ac:dyDescent="0.2">
      <c r="A31" s="4" t="s">
        <v>0</v>
      </c>
      <c r="B31" s="4" t="s">
        <v>189</v>
      </c>
      <c r="C31" s="4" t="s">
        <v>190</v>
      </c>
      <c r="D31" s="71" t="s">
        <v>191</v>
      </c>
      <c r="E31" s="98">
        <v>0</v>
      </c>
      <c r="F31" s="4" t="s">
        <v>115</v>
      </c>
      <c r="G31" s="61">
        <f t="shared" si="1"/>
        <v>129.4</v>
      </c>
      <c r="H31" s="62">
        <f t="shared" si="2"/>
        <v>0</v>
      </c>
      <c r="I31" s="4">
        <v>90.58</v>
      </c>
      <c r="J31" s="62">
        <f t="shared" si="3"/>
        <v>0</v>
      </c>
      <c r="K31" s="63" t="e">
        <f t="shared" si="4"/>
        <v>#DIV/0!</v>
      </c>
      <c r="L31" s="48" t="s">
        <v>195</v>
      </c>
      <c r="M31" s="4" t="s">
        <v>203</v>
      </c>
    </row>
    <row r="32" spans="1:13" x14ac:dyDescent="0.2">
      <c r="A32" s="4" t="s">
        <v>0</v>
      </c>
      <c r="C32" s="4" t="s">
        <v>124</v>
      </c>
      <c r="D32" s="71" t="s">
        <v>192</v>
      </c>
      <c r="E32" s="98">
        <v>388</v>
      </c>
      <c r="F32" s="4" t="s">
        <v>115</v>
      </c>
      <c r="G32" s="61">
        <f t="shared" si="1"/>
        <v>20</v>
      </c>
      <c r="H32" s="62">
        <f t="shared" si="2"/>
        <v>7760</v>
      </c>
      <c r="I32" s="4">
        <v>14</v>
      </c>
      <c r="J32" s="62">
        <f t="shared" si="3"/>
        <v>5432</v>
      </c>
      <c r="K32" s="63">
        <f t="shared" si="4"/>
        <v>0.30000000000000004</v>
      </c>
      <c r="L32" s="48" t="s">
        <v>195</v>
      </c>
      <c r="M32" s="4" t="s">
        <v>203</v>
      </c>
    </row>
    <row r="33" spans="1:13" ht="12.75" thickBot="1" x14ac:dyDescent="0.25">
      <c r="A33" s="4" t="s">
        <v>0</v>
      </c>
      <c r="B33" s="64">
        <v>611604104</v>
      </c>
      <c r="C33" s="4" t="s">
        <v>124</v>
      </c>
      <c r="D33" s="71" t="s">
        <v>121</v>
      </c>
      <c r="E33" s="98">
        <v>0</v>
      </c>
      <c r="F33" s="4" t="s">
        <v>115</v>
      </c>
      <c r="G33" s="65">
        <f>I33/0.7</f>
        <v>70.714285714285722</v>
      </c>
      <c r="H33" s="66">
        <f>E33*G33</f>
        <v>0</v>
      </c>
      <c r="I33" s="66">
        <v>49.5</v>
      </c>
      <c r="J33" s="66">
        <f>E33*I33</f>
        <v>0</v>
      </c>
      <c r="K33" s="67" t="e">
        <f>1-(J33/H33)</f>
        <v>#DIV/0!</v>
      </c>
      <c r="L33" s="48" t="s">
        <v>195</v>
      </c>
      <c r="M33" s="4" t="s">
        <v>203</v>
      </c>
    </row>
    <row r="34" spans="1:13" ht="12.75" thickTop="1" x14ac:dyDescent="0.2">
      <c r="G34" s="62"/>
      <c r="H34" s="62">
        <f>SUM(H27:H33)</f>
        <v>143849.61428571428</v>
      </c>
      <c r="I34" s="62"/>
      <c r="J34" s="62">
        <f>SUM(J27:J33)</f>
        <v>100694.73</v>
      </c>
      <c r="K34" s="63">
        <f>1-(J34/H34)</f>
        <v>0.30000000000000004</v>
      </c>
    </row>
    <row r="35" spans="1:13" ht="12.75" thickBot="1" x14ac:dyDescent="0.25">
      <c r="D35" s="71" t="s">
        <v>120</v>
      </c>
      <c r="E35" s="76">
        <v>0</v>
      </c>
      <c r="G35" s="62"/>
      <c r="H35" s="66">
        <f>-H34*E35</f>
        <v>0</v>
      </c>
      <c r="I35" s="62"/>
      <c r="J35" s="62"/>
      <c r="K35" s="63"/>
    </row>
    <row r="36" spans="1:13" ht="12.75" thickTop="1" x14ac:dyDescent="0.2">
      <c r="H36" s="68">
        <f>H34+H35</f>
        <v>143849.61428571428</v>
      </c>
      <c r="I36" s="69"/>
      <c r="J36" s="68">
        <f>J34</f>
        <v>100694.73</v>
      </c>
      <c r="K36" s="70">
        <f>1-(J36/H36)</f>
        <v>0.30000000000000004</v>
      </c>
    </row>
    <row r="37" spans="1:13" x14ac:dyDescent="0.2">
      <c r="H37" s="68"/>
      <c r="I37" s="69"/>
      <c r="J37" s="68"/>
      <c r="K37" s="70"/>
    </row>
    <row r="38" spans="1:13" x14ac:dyDescent="0.2">
      <c r="A38" s="58"/>
      <c r="B38" s="58" t="s">
        <v>126</v>
      </c>
      <c r="C38" s="59"/>
      <c r="D38" s="75"/>
      <c r="E38" s="96"/>
      <c r="F38" s="59"/>
      <c r="G38" s="59"/>
      <c r="H38" s="59"/>
      <c r="I38" s="59"/>
      <c r="J38" s="59"/>
      <c r="K38" s="59"/>
      <c r="L38" s="96"/>
    </row>
    <row r="39" spans="1:13" x14ac:dyDescent="0.2">
      <c r="B39" s="60" t="s">
        <v>105</v>
      </c>
      <c r="C39" s="60" t="s">
        <v>106</v>
      </c>
      <c r="D39" s="73" t="s">
        <v>68</v>
      </c>
      <c r="E39" s="2" t="s">
        <v>69</v>
      </c>
      <c r="F39" s="60" t="s">
        <v>107</v>
      </c>
      <c r="G39" s="60" t="s">
        <v>108</v>
      </c>
      <c r="H39" s="60" t="s">
        <v>109</v>
      </c>
      <c r="I39" s="60" t="s">
        <v>110</v>
      </c>
      <c r="J39" s="60" t="s">
        <v>111</v>
      </c>
      <c r="K39" s="60" t="s">
        <v>13</v>
      </c>
      <c r="L39" s="117" t="s">
        <v>194</v>
      </c>
    </row>
    <row r="40" spans="1:13" x14ac:dyDescent="0.2">
      <c r="A40" s="4" t="s">
        <v>0</v>
      </c>
      <c r="B40" s="4" t="s">
        <v>112</v>
      </c>
      <c r="C40" s="4" t="s">
        <v>113</v>
      </c>
      <c r="D40" s="71" t="s">
        <v>114</v>
      </c>
      <c r="E40" s="98">
        <f>ROUNDUP($C$8*$C$7,0)</f>
        <v>20</v>
      </c>
      <c r="F40" s="4" t="s">
        <v>115</v>
      </c>
      <c r="G40" s="61">
        <f>I40/0.7</f>
        <v>109.71428571428572</v>
      </c>
      <c r="H40" s="62">
        <f>E40*G40</f>
        <v>2194.2857142857147</v>
      </c>
      <c r="I40" s="4">
        <v>76.8</v>
      </c>
      <c r="J40" s="62">
        <f>E40*I40</f>
        <v>1536</v>
      </c>
      <c r="K40" s="63">
        <f>1-(J40/H40)</f>
        <v>0.30000000000000016</v>
      </c>
      <c r="L40" s="48" t="s">
        <v>195</v>
      </c>
      <c r="M40" s="4" t="s">
        <v>203</v>
      </c>
    </row>
    <row r="41" spans="1:13" x14ac:dyDescent="0.2">
      <c r="A41" s="4" t="s">
        <v>0</v>
      </c>
      <c r="B41" s="4" t="s">
        <v>117</v>
      </c>
      <c r="C41" s="4" t="s">
        <v>118</v>
      </c>
      <c r="D41" s="71" t="s">
        <v>119</v>
      </c>
      <c r="E41" s="98">
        <v>0</v>
      </c>
      <c r="F41" s="4" t="s">
        <v>115</v>
      </c>
      <c r="G41" s="61">
        <f>I41/0.7</f>
        <v>426.52857142857147</v>
      </c>
      <c r="H41" s="62">
        <f>E41*G41</f>
        <v>0</v>
      </c>
      <c r="I41" s="4">
        <v>298.57</v>
      </c>
      <c r="J41" s="62">
        <f>E41*I41</f>
        <v>0</v>
      </c>
      <c r="K41" s="63" t="e">
        <f>1-(J41/H41)</f>
        <v>#DIV/0!</v>
      </c>
      <c r="L41" s="48" t="s">
        <v>195</v>
      </c>
      <c r="M41" s="4" t="s">
        <v>203</v>
      </c>
    </row>
    <row r="42" spans="1:13" x14ac:dyDescent="0.2">
      <c r="A42" s="4" t="s">
        <v>0</v>
      </c>
      <c r="B42" s="4" t="s">
        <v>122</v>
      </c>
      <c r="C42" s="4" t="s">
        <v>123</v>
      </c>
      <c r="D42" s="71" t="s">
        <v>116</v>
      </c>
      <c r="E42" s="98">
        <f>ROUNDUP($C$8*$C$7,0)</f>
        <v>20</v>
      </c>
      <c r="F42" s="4" t="s">
        <v>115</v>
      </c>
      <c r="G42" s="61">
        <f>I42/0.7</f>
        <v>138.45714285714286</v>
      </c>
      <c r="H42" s="62">
        <f>E42*G42</f>
        <v>2769.1428571428569</v>
      </c>
      <c r="I42" s="4">
        <v>96.92</v>
      </c>
      <c r="J42" s="62">
        <f>E42*I42</f>
        <v>1938.4</v>
      </c>
      <c r="K42" s="63">
        <f>1-(J42/H42)</f>
        <v>0.29999999999999993</v>
      </c>
      <c r="L42" s="48" t="s">
        <v>195</v>
      </c>
      <c r="M42" s="4" t="s">
        <v>203</v>
      </c>
    </row>
    <row r="43" spans="1:13" x14ac:dyDescent="0.2">
      <c r="A43" s="4" t="s">
        <v>0</v>
      </c>
      <c r="B43" s="4" t="s">
        <v>186</v>
      </c>
      <c r="C43" s="4" t="s">
        <v>187</v>
      </c>
      <c r="D43" s="71" t="s">
        <v>188</v>
      </c>
      <c r="E43" s="98">
        <v>5</v>
      </c>
      <c r="F43" s="4" t="s">
        <v>115</v>
      </c>
      <c r="G43" s="61">
        <f t="shared" ref="G43:G45" si="5">I43/0.7</f>
        <v>410.3</v>
      </c>
      <c r="H43" s="62">
        <f t="shared" ref="H43:H45" si="6">E43*G43</f>
        <v>2051.5</v>
      </c>
      <c r="I43" s="4">
        <v>287.20999999999998</v>
      </c>
      <c r="J43" s="62">
        <f t="shared" ref="J43:J45" si="7">E43*I43</f>
        <v>1436.05</v>
      </c>
      <c r="K43" s="63">
        <f t="shared" ref="K43:K45" si="8">1-(J43/H43)</f>
        <v>0.30000000000000004</v>
      </c>
      <c r="L43" s="48" t="s">
        <v>195</v>
      </c>
      <c r="M43" s="4" t="s">
        <v>203</v>
      </c>
    </row>
    <row r="44" spans="1:13" x14ac:dyDescent="0.2">
      <c r="A44" s="4" t="s">
        <v>0</v>
      </c>
      <c r="B44" s="4" t="s">
        <v>189</v>
      </c>
      <c r="C44" s="4" t="s">
        <v>190</v>
      </c>
      <c r="D44" s="71" t="s">
        <v>191</v>
      </c>
      <c r="E44" s="98">
        <v>0</v>
      </c>
      <c r="F44" s="4" t="s">
        <v>115</v>
      </c>
      <c r="G44" s="61">
        <f t="shared" si="5"/>
        <v>129.4</v>
      </c>
      <c r="H44" s="62">
        <f t="shared" si="6"/>
        <v>0</v>
      </c>
      <c r="I44" s="4">
        <v>90.58</v>
      </c>
      <c r="J44" s="62">
        <f t="shared" si="7"/>
        <v>0</v>
      </c>
      <c r="K44" s="63" t="e">
        <f t="shared" si="8"/>
        <v>#DIV/0!</v>
      </c>
      <c r="L44" s="48" t="s">
        <v>195</v>
      </c>
      <c r="M44" s="4" t="s">
        <v>203</v>
      </c>
    </row>
    <row r="45" spans="1:13" x14ac:dyDescent="0.2">
      <c r="A45" s="4" t="s">
        <v>0</v>
      </c>
      <c r="C45" s="4" t="s">
        <v>124</v>
      </c>
      <c r="D45" s="71" t="s">
        <v>192</v>
      </c>
      <c r="E45" s="98">
        <v>20</v>
      </c>
      <c r="F45" s="4" t="s">
        <v>115</v>
      </c>
      <c r="G45" s="61">
        <f t="shared" si="5"/>
        <v>20</v>
      </c>
      <c r="H45" s="62">
        <f t="shared" si="6"/>
        <v>400</v>
      </c>
      <c r="I45" s="4">
        <v>14</v>
      </c>
      <c r="J45" s="62">
        <f t="shared" si="7"/>
        <v>280</v>
      </c>
      <c r="K45" s="63">
        <f t="shared" si="8"/>
        <v>0.30000000000000004</v>
      </c>
      <c r="L45" s="48" t="s">
        <v>195</v>
      </c>
      <c r="M45" s="4" t="s">
        <v>203</v>
      </c>
    </row>
    <row r="46" spans="1:13" ht="12.75" thickBot="1" x14ac:dyDescent="0.25">
      <c r="A46" s="4" t="s">
        <v>0</v>
      </c>
      <c r="B46" s="64">
        <v>611604104</v>
      </c>
      <c r="C46" s="4" t="s">
        <v>124</v>
      </c>
      <c r="D46" s="71" t="s">
        <v>121</v>
      </c>
      <c r="E46" s="98">
        <v>0</v>
      </c>
      <c r="F46" s="4" t="s">
        <v>115</v>
      </c>
      <c r="G46" s="65">
        <f>I46/0.7</f>
        <v>70.714285714285722</v>
      </c>
      <c r="H46" s="66">
        <f>E46*G46</f>
        <v>0</v>
      </c>
      <c r="I46" s="66">
        <v>49.5</v>
      </c>
      <c r="J46" s="66">
        <f>E46*I46</f>
        <v>0</v>
      </c>
      <c r="K46" s="67" t="e">
        <f>1-(J46/H46)</f>
        <v>#DIV/0!</v>
      </c>
      <c r="L46" s="48" t="s">
        <v>195</v>
      </c>
      <c r="M46" s="4" t="s">
        <v>203</v>
      </c>
    </row>
    <row r="47" spans="1:13" ht="12.75" thickTop="1" x14ac:dyDescent="0.2">
      <c r="G47" s="62"/>
      <c r="H47" s="62">
        <f>SUM(H40:H46)</f>
        <v>7414.9285714285716</v>
      </c>
      <c r="I47" s="62"/>
      <c r="J47" s="62">
        <f>SUM(J40:J46)</f>
        <v>5190.45</v>
      </c>
      <c r="K47" s="63">
        <f>1-(J47/H47)</f>
        <v>0.30000000000000004</v>
      </c>
    </row>
    <row r="48" spans="1:13" ht="12.75" thickBot="1" x14ac:dyDescent="0.25">
      <c r="D48" s="71" t="s">
        <v>120</v>
      </c>
      <c r="E48" s="76">
        <v>0</v>
      </c>
      <c r="G48" s="62"/>
      <c r="H48" s="66">
        <f>-H47*E48</f>
        <v>0</v>
      </c>
      <c r="I48" s="62"/>
      <c r="J48" s="62"/>
      <c r="K48" s="63"/>
    </row>
    <row r="49" spans="1:12" ht="12.75" thickTop="1" x14ac:dyDescent="0.2">
      <c r="H49" s="68">
        <f>H47+H48</f>
        <v>7414.9285714285716</v>
      </c>
      <c r="I49" s="69"/>
      <c r="J49" s="68">
        <f>J47</f>
        <v>5190.45</v>
      </c>
      <c r="K49" s="70">
        <f>1-(J49/H49)</f>
        <v>0.30000000000000004</v>
      </c>
    </row>
    <row r="50" spans="1:12" x14ac:dyDescent="0.2">
      <c r="A50" s="58"/>
      <c r="B50" s="58" t="s">
        <v>149</v>
      </c>
      <c r="C50" s="59"/>
      <c r="D50" s="75"/>
      <c r="E50" s="96"/>
      <c r="F50" s="59"/>
      <c r="G50" s="59"/>
      <c r="H50" s="59"/>
      <c r="I50" s="59"/>
      <c r="J50" s="59"/>
      <c r="K50" s="59"/>
      <c r="L50" s="96"/>
    </row>
    <row r="51" spans="1:12" x14ac:dyDescent="0.2">
      <c r="B51" s="60" t="s">
        <v>128</v>
      </c>
      <c r="C51" s="60" t="s">
        <v>106</v>
      </c>
      <c r="D51" s="73" t="s">
        <v>68</v>
      </c>
      <c r="E51" s="2" t="s">
        <v>69</v>
      </c>
      <c r="F51" s="60" t="s">
        <v>107</v>
      </c>
      <c r="G51" s="60" t="s">
        <v>108</v>
      </c>
      <c r="H51" s="60" t="s">
        <v>109</v>
      </c>
      <c r="I51" s="60" t="s">
        <v>110</v>
      </c>
      <c r="J51" s="60" t="s">
        <v>111</v>
      </c>
      <c r="K51" s="60" t="s">
        <v>13</v>
      </c>
      <c r="L51" s="117" t="s">
        <v>194</v>
      </c>
    </row>
    <row r="52" spans="1:12" x14ac:dyDescent="0.2">
      <c r="A52" s="4" t="s">
        <v>0</v>
      </c>
      <c r="D52" s="71" t="s">
        <v>150</v>
      </c>
      <c r="E52" s="98">
        <f>C7</f>
        <v>388</v>
      </c>
      <c r="F52" s="4" t="s">
        <v>115</v>
      </c>
      <c r="G52" s="61" t="e">
        <f>I52/0.75</f>
        <v>#REF!</v>
      </c>
      <c r="H52" s="62" t="e">
        <f>E52*G52</f>
        <v>#REF!</v>
      </c>
      <c r="I52" s="4" t="e">
        <f>#REF!+#REF!</f>
        <v>#REF!</v>
      </c>
      <c r="J52" s="62" t="e">
        <f>E52*I52</f>
        <v>#REF!</v>
      </c>
      <c r="K52" s="63" t="e">
        <f>1-(J52/H52)</f>
        <v>#REF!</v>
      </c>
      <c r="L52" s="48" t="s">
        <v>196</v>
      </c>
    </row>
    <row r="53" spans="1:12" ht="12.75" thickBot="1" x14ac:dyDescent="0.25">
      <c r="A53" s="4" t="s">
        <v>0</v>
      </c>
      <c r="E53" s="98">
        <f>ROUNDUP($C$8*$C$7,0)</f>
        <v>20</v>
      </c>
      <c r="F53" s="4" t="s">
        <v>115</v>
      </c>
      <c r="G53" s="65" t="e">
        <f>I53/0.75</f>
        <v>#REF!</v>
      </c>
      <c r="H53" s="66" t="e">
        <f>E53*G53</f>
        <v>#REF!</v>
      </c>
      <c r="I53" s="72" t="e">
        <f>#REF!+#REF!</f>
        <v>#REF!</v>
      </c>
      <c r="J53" s="66" t="e">
        <f>E53*I53</f>
        <v>#REF!</v>
      </c>
      <c r="K53" s="67" t="e">
        <f>1-(J53/H53)</f>
        <v>#REF!</v>
      </c>
      <c r="L53" s="48" t="s">
        <v>196</v>
      </c>
    </row>
    <row r="54" spans="1:12" ht="12.75" thickTop="1" x14ac:dyDescent="0.2">
      <c r="G54" s="62"/>
      <c r="H54" s="62" t="e">
        <f>SUM(H50:H53)</f>
        <v>#REF!</v>
      </c>
      <c r="I54" s="62"/>
      <c r="J54" s="62" t="e">
        <f>SUM(J50:J53)</f>
        <v>#REF!</v>
      </c>
      <c r="K54" s="63" t="e">
        <f>1-(J54/H54)</f>
        <v>#REF!</v>
      </c>
    </row>
    <row r="55" spans="1:12" ht="12.75" thickBot="1" x14ac:dyDescent="0.25">
      <c r="D55" s="71" t="s">
        <v>120</v>
      </c>
      <c r="E55" s="76">
        <v>0</v>
      </c>
      <c r="G55" s="62"/>
      <c r="H55" s="66" t="e">
        <f>-H54*E55</f>
        <v>#REF!</v>
      </c>
      <c r="I55" s="62"/>
      <c r="J55" s="62"/>
      <c r="K55" s="63"/>
    </row>
    <row r="56" spans="1:12" ht="12.75" thickTop="1" x14ac:dyDescent="0.2">
      <c r="H56" s="68" t="e">
        <f>H54+H55</f>
        <v>#REF!</v>
      </c>
      <c r="I56" s="69"/>
      <c r="J56" s="68" t="e">
        <f>J54</f>
        <v>#REF!</v>
      </c>
      <c r="K56" s="70" t="e">
        <f>1-(J56/H56)</f>
        <v>#REF!</v>
      </c>
    </row>
    <row r="58" spans="1:12" x14ac:dyDescent="0.2">
      <c r="A58" s="58"/>
      <c r="B58" s="58" t="s">
        <v>129</v>
      </c>
      <c r="C58" s="59"/>
      <c r="D58" s="75"/>
      <c r="E58" s="96"/>
      <c r="F58" s="59"/>
      <c r="G58" s="59"/>
      <c r="H58" s="59"/>
      <c r="I58" s="59"/>
      <c r="J58" s="59"/>
      <c r="K58" s="59"/>
      <c r="L58" s="96"/>
    </row>
    <row r="59" spans="1:12" x14ac:dyDescent="0.2">
      <c r="B59" s="60" t="s">
        <v>128</v>
      </c>
      <c r="C59" s="60" t="s">
        <v>106</v>
      </c>
      <c r="D59" s="73" t="s">
        <v>68</v>
      </c>
      <c r="E59" s="2" t="s">
        <v>69</v>
      </c>
      <c r="F59" s="60" t="s">
        <v>107</v>
      </c>
      <c r="G59" s="60" t="s">
        <v>108</v>
      </c>
      <c r="H59" s="60" t="s">
        <v>109</v>
      </c>
      <c r="I59" s="60" t="s">
        <v>110</v>
      </c>
      <c r="J59" s="60" t="s">
        <v>111</v>
      </c>
      <c r="K59" s="60" t="s">
        <v>13</v>
      </c>
      <c r="L59" s="117" t="s">
        <v>194</v>
      </c>
    </row>
    <row r="60" spans="1:12" x14ac:dyDescent="0.2">
      <c r="A60" s="4" t="s">
        <v>0</v>
      </c>
      <c r="D60" s="71" t="s">
        <v>151</v>
      </c>
      <c r="E60" s="98">
        <f>$C$7</f>
        <v>388</v>
      </c>
      <c r="F60" s="4" t="s">
        <v>115</v>
      </c>
      <c r="G60" s="61" t="e">
        <f>I60/0.75</f>
        <v>#REF!</v>
      </c>
      <c r="H60" s="62" t="e">
        <f>E60*G60</f>
        <v>#REF!</v>
      </c>
      <c r="I60" s="4" t="e">
        <f>#REF!</f>
        <v>#REF!</v>
      </c>
      <c r="J60" s="62" t="e">
        <f>E60*I60</f>
        <v>#REF!</v>
      </c>
      <c r="K60" s="63" t="e">
        <f>1-(J60/H60)</f>
        <v>#REF!</v>
      </c>
      <c r="L60" s="48" t="s">
        <v>196</v>
      </c>
    </row>
    <row r="61" spans="1:12" ht="12.75" thickBot="1" x14ac:dyDescent="0.25">
      <c r="A61" s="4" t="s">
        <v>0</v>
      </c>
      <c r="E61" s="98">
        <f>ROUNDUP($C$8*$C$7,0)</f>
        <v>20</v>
      </c>
      <c r="F61" s="4" t="s">
        <v>115</v>
      </c>
      <c r="G61" s="65" t="e">
        <f>I61/0.75</f>
        <v>#REF!</v>
      </c>
      <c r="H61" s="66" t="e">
        <f>E61*G61</f>
        <v>#REF!</v>
      </c>
      <c r="I61" s="72" t="e">
        <f>#REF!</f>
        <v>#REF!</v>
      </c>
      <c r="J61" s="66" t="e">
        <f>E61*I61</f>
        <v>#REF!</v>
      </c>
      <c r="K61" s="67" t="e">
        <f>1-(J61/H61)</f>
        <v>#REF!</v>
      </c>
      <c r="L61" s="48" t="s">
        <v>196</v>
      </c>
    </row>
    <row r="62" spans="1:12" ht="12.75" thickTop="1" x14ac:dyDescent="0.2">
      <c r="G62" s="62"/>
      <c r="H62" s="62" t="e">
        <f>SUM(H58:H61)</f>
        <v>#REF!</v>
      </c>
      <c r="I62" s="62"/>
      <c r="J62" s="62" t="e">
        <f>SUM(J58:J61)</f>
        <v>#REF!</v>
      </c>
      <c r="K62" s="63" t="e">
        <f>1-(J62/H62)</f>
        <v>#REF!</v>
      </c>
    </row>
    <row r="63" spans="1:12" ht="12.75" thickBot="1" x14ac:dyDescent="0.25">
      <c r="D63" s="71" t="s">
        <v>120</v>
      </c>
      <c r="E63" s="76">
        <v>0</v>
      </c>
      <c r="G63" s="62"/>
      <c r="H63" s="66" t="e">
        <f>-H62*E63</f>
        <v>#REF!</v>
      </c>
      <c r="I63" s="62"/>
      <c r="J63" s="62"/>
      <c r="K63" s="63"/>
    </row>
    <row r="64" spans="1:12" ht="12.75" thickTop="1" x14ac:dyDescent="0.2">
      <c r="H64" s="68" t="e">
        <f>H62+H63</f>
        <v>#REF!</v>
      </c>
      <c r="I64" s="69"/>
      <c r="J64" s="68" t="e">
        <f>J62</f>
        <v>#REF!</v>
      </c>
      <c r="K64" s="70" t="e">
        <f>1-(J64/H64)</f>
        <v>#REF!</v>
      </c>
    </row>
    <row r="66" spans="1:12" x14ac:dyDescent="0.2">
      <c r="A66" s="58"/>
      <c r="B66" s="58" t="s">
        <v>130</v>
      </c>
      <c r="C66" s="59"/>
      <c r="D66" s="75"/>
      <c r="E66" s="96"/>
      <c r="F66" s="59"/>
      <c r="G66" s="59"/>
      <c r="H66" s="59"/>
      <c r="I66" s="59"/>
      <c r="J66" s="59"/>
      <c r="K66" s="59"/>
      <c r="L66" s="96"/>
    </row>
    <row r="67" spans="1:12" x14ac:dyDescent="0.2">
      <c r="B67" s="60" t="s">
        <v>128</v>
      </c>
      <c r="C67" s="60" t="s">
        <v>106</v>
      </c>
      <c r="D67" s="73" t="s">
        <v>68</v>
      </c>
      <c r="E67" s="2" t="s">
        <v>69</v>
      </c>
      <c r="F67" s="60" t="s">
        <v>107</v>
      </c>
      <c r="G67" s="60" t="s">
        <v>108</v>
      </c>
      <c r="H67" s="60" t="s">
        <v>109</v>
      </c>
      <c r="I67" s="60" t="s">
        <v>110</v>
      </c>
      <c r="J67" s="60" t="s">
        <v>111</v>
      </c>
      <c r="K67" s="60" t="s">
        <v>13</v>
      </c>
      <c r="L67" s="117" t="s">
        <v>194</v>
      </c>
    </row>
    <row r="68" spans="1:12" ht="36" x14ac:dyDescent="0.2">
      <c r="A68" s="4" t="s">
        <v>0</v>
      </c>
      <c r="B68" s="4" t="s">
        <v>131</v>
      </c>
      <c r="C68" s="4" t="s">
        <v>132</v>
      </c>
      <c r="D68" s="71" t="s">
        <v>133</v>
      </c>
      <c r="E68" s="98">
        <f>$C$7</f>
        <v>388</v>
      </c>
      <c r="F68" s="4" t="s">
        <v>115</v>
      </c>
      <c r="G68" s="61" t="e">
        <f>I68/0.75</f>
        <v>#REF!</v>
      </c>
      <c r="H68" s="62" t="e">
        <f>E68*G68</f>
        <v>#REF!</v>
      </c>
      <c r="I68" s="4" t="e">
        <f>#REF!</f>
        <v>#REF!</v>
      </c>
      <c r="J68" s="62" t="e">
        <f>E68*I68</f>
        <v>#REF!</v>
      </c>
      <c r="K68" s="63" t="e">
        <f>1-(J68/H68)</f>
        <v>#REF!</v>
      </c>
      <c r="L68" s="48" t="s">
        <v>196</v>
      </c>
    </row>
    <row r="69" spans="1:12" ht="48.75" thickBot="1" x14ac:dyDescent="0.25">
      <c r="A69" s="4" t="s">
        <v>0</v>
      </c>
      <c r="B69" s="4" t="s">
        <v>131</v>
      </c>
      <c r="C69" s="4" t="s">
        <v>132</v>
      </c>
      <c r="D69" s="71" t="s">
        <v>134</v>
      </c>
      <c r="E69" s="98">
        <f>ROUNDUP($C$8*$C$7,0)</f>
        <v>20</v>
      </c>
      <c r="F69" s="4" t="s">
        <v>115</v>
      </c>
      <c r="G69" s="65" t="e">
        <f>I69/0.75</f>
        <v>#REF!</v>
      </c>
      <c r="H69" s="66" t="e">
        <f>E69*G69</f>
        <v>#REF!</v>
      </c>
      <c r="I69" s="72" t="e">
        <f>#REF!</f>
        <v>#REF!</v>
      </c>
      <c r="J69" s="66" t="e">
        <f>E69*I69</f>
        <v>#REF!</v>
      </c>
      <c r="K69" s="67" t="e">
        <f>1-(J69/H69)</f>
        <v>#REF!</v>
      </c>
      <c r="L69" s="48" t="s">
        <v>196</v>
      </c>
    </row>
    <row r="70" spans="1:12" ht="12.75" thickTop="1" x14ac:dyDescent="0.2">
      <c r="G70" s="62"/>
      <c r="H70" s="62" t="e">
        <f>SUM(H66:H69)</f>
        <v>#REF!</v>
      </c>
      <c r="I70" s="62"/>
      <c r="J70" s="62" t="e">
        <f>SUM(J66:J69)</f>
        <v>#REF!</v>
      </c>
      <c r="K70" s="63" t="e">
        <f>1-(J70/H70)</f>
        <v>#REF!</v>
      </c>
    </row>
    <row r="71" spans="1:12" ht="12.75" thickBot="1" x14ac:dyDescent="0.25">
      <c r="D71" s="71" t="s">
        <v>120</v>
      </c>
      <c r="E71" s="76">
        <v>0</v>
      </c>
      <c r="G71" s="62"/>
      <c r="H71" s="66" t="e">
        <f>-H70*E71</f>
        <v>#REF!</v>
      </c>
      <c r="I71" s="62"/>
      <c r="J71" s="62"/>
      <c r="K71" s="63"/>
    </row>
    <row r="72" spans="1:12" ht="12.75" thickTop="1" x14ac:dyDescent="0.2">
      <c r="H72" s="68" t="e">
        <f>H70+H71</f>
        <v>#REF!</v>
      </c>
      <c r="I72" s="69"/>
      <c r="J72" s="68" t="e">
        <f>J70</f>
        <v>#REF!</v>
      </c>
      <c r="K72" s="70" t="e">
        <f>1-(J72/H72)</f>
        <v>#REF!</v>
      </c>
    </row>
    <row r="74" spans="1:12" x14ac:dyDescent="0.2">
      <c r="A74" s="58"/>
      <c r="B74" s="58" t="s">
        <v>135</v>
      </c>
      <c r="C74" s="59"/>
      <c r="D74" s="75"/>
      <c r="E74" s="96"/>
      <c r="F74" s="59"/>
      <c r="G74" s="59"/>
      <c r="H74" s="59"/>
      <c r="I74" s="59"/>
      <c r="J74" s="59"/>
      <c r="K74" s="59"/>
      <c r="L74" s="96"/>
    </row>
    <row r="75" spans="1:12" x14ac:dyDescent="0.2">
      <c r="B75" s="60" t="s">
        <v>128</v>
      </c>
      <c r="C75" s="60" t="s">
        <v>106</v>
      </c>
      <c r="D75" s="73" t="s">
        <v>68</v>
      </c>
      <c r="E75" s="2" t="s">
        <v>69</v>
      </c>
      <c r="F75" s="60" t="s">
        <v>107</v>
      </c>
      <c r="G75" s="60" t="s">
        <v>108</v>
      </c>
      <c r="H75" s="60" t="s">
        <v>109</v>
      </c>
      <c r="I75" s="60" t="s">
        <v>110</v>
      </c>
      <c r="J75" s="60" t="s">
        <v>111</v>
      </c>
      <c r="K75" s="60" t="s">
        <v>13</v>
      </c>
      <c r="L75" s="117" t="s">
        <v>194</v>
      </c>
    </row>
    <row r="76" spans="1:12" ht="12.75" thickBot="1" x14ac:dyDescent="0.25">
      <c r="A76" s="4" t="s">
        <v>0</v>
      </c>
      <c r="D76" s="71" t="s">
        <v>173</v>
      </c>
      <c r="E76" s="98">
        <v>1</v>
      </c>
      <c r="F76" s="4" t="s">
        <v>115</v>
      </c>
      <c r="G76" s="65">
        <f>I76/0.75</f>
        <v>6666.666666666667</v>
      </c>
      <c r="H76" s="66">
        <f>E76*G76</f>
        <v>6666.666666666667</v>
      </c>
      <c r="I76" s="74">
        <v>5000</v>
      </c>
      <c r="J76" s="66">
        <f>E76*I76</f>
        <v>5000</v>
      </c>
      <c r="K76" s="67">
        <f>1-(J76/H76)</f>
        <v>0.25</v>
      </c>
      <c r="L76" s="48" t="s">
        <v>196</v>
      </c>
    </row>
    <row r="77" spans="1:12" ht="12.75" thickTop="1" x14ac:dyDescent="0.2">
      <c r="G77" s="62"/>
      <c r="H77" s="62">
        <f>SUM(H74:H76)</f>
        <v>6666.666666666667</v>
      </c>
      <c r="I77" s="62"/>
      <c r="J77" s="62">
        <f>SUM(J74:J76)</f>
        <v>5000</v>
      </c>
      <c r="K77" s="63">
        <f>1-(J77/H77)</f>
        <v>0.25</v>
      </c>
    </row>
    <row r="78" spans="1:12" ht="12.75" thickBot="1" x14ac:dyDescent="0.25">
      <c r="D78" s="71" t="s">
        <v>120</v>
      </c>
      <c r="E78" s="76">
        <v>0</v>
      </c>
      <c r="G78" s="62"/>
      <c r="H78" s="66">
        <f>-H77*E78</f>
        <v>0</v>
      </c>
      <c r="I78" s="62"/>
      <c r="J78" s="62"/>
      <c r="K78" s="63"/>
    </row>
    <row r="79" spans="1:12" ht="12.75" thickTop="1" x14ac:dyDescent="0.2">
      <c r="H79" s="68">
        <f>H77+H78</f>
        <v>6666.666666666667</v>
      </c>
      <c r="I79" s="69"/>
      <c r="J79" s="68">
        <f>J77</f>
        <v>5000</v>
      </c>
      <c r="K79" s="70">
        <f>1-(J79/H79)</f>
        <v>0.25</v>
      </c>
    </row>
    <row r="81" spans="1:12" x14ac:dyDescent="0.2">
      <c r="A81" s="58"/>
      <c r="B81" s="58" t="s">
        <v>174</v>
      </c>
      <c r="C81" s="59"/>
      <c r="D81" s="75"/>
      <c r="E81" s="96"/>
      <c r="F81" s="59"/>
      <c r="G81" s="59"/>
      <c r="H81" s="59"/>
      <c r="I81" s="59"/>
      <c r="J81" s="59"/>
      <c r="K81" s="59"/>
      <c r="L81" s="96"/>
    </row>
    <row r="82" spans="1:12" x14ac:dyDescent="0.2">
      <c r="B82" s="60" t="s">
        <v>128</v>
      </c>
      <c r="C82" s="60" t="s">
        <v>106</v>
      </c>
      <c r="D82" s="73" t="s">
        <v>68</v>
      </c>
      <c r="E82" s="2" t="s">
        <v>69</v>
      </c>
      <c r="F82" s="60" t="s">
        <v>107</v>
      </c>
      <c r="G82" s="60" t="s">
        <v>108</v>
      </c>
      <c r="H82" s="60" t="s">
        <v>109</v>
      </c>
      <c r="I82" s="60" t="s">
        <v>110</v>
      </c>
      <c r="J82" s="60" t="s">
        <v>111</v>
      </c>
      <c r="K82" s="60" t="s">
        <v>13</v>
      </c>
      <c r="L82" s="117" t="s">
        <v>194</v>
      </c>
    </row>
    <row r="83" spans="1:12" x14ac:dyDescent="0.2">
      <c r="A83" s="4" t="s">
        <v>0</v>
      </c>
      <c r="D83" s="71" t="s">
        <v>175</v>
      </c>
      <c r="E83" s="98">
        <v>1</v>
      </c>
      <c r="F83" s="4" t="s">
        <v>115</v>
      </c>
      <c r="G83" s="61" t="e">
        <f t="shared" ref="G83:G91" si="9">I83/0.75</f>
        <v>#REF!</v>
      </c>
      <c r="H83" s="62" t="e">
        <f>E83*G83</f>
        <v>#REF!</v>
      </c>
      <c r="I83" s="4" t="e">
        <f>#REF!</f>
        <v>#REF!</v>
      </c>
      <c r="J83" s="62" t="e">
        <f>E83*I83</f>
        <v>#REF!</v>
      </c>
      <c r="K83" s="63" t="e">
        <f t="shared" ref="K83:K93" si="10">1-(J83/H83)</f>
        <v>#REF!</v>
      </c>
      <c r="L83" s="48" t="s">
        <v>196</v>
      </c>
    </row>
    <row r="84" spans="1:12" x14ac:dyDescent="0.2">
      <c r="A84" s="4" t="s">
        <v>0</v>
      </c>
      <c r="D84" s="71" t="s">
        <v>176</v>
      </c>
      <c r="E84" s="98">
        <v>0</v>
      </c>
      <c r="F84" s="4" t="s">
        <v>115</v>
      </c>
      <c r="G84" s="61">
        <f t="shared" si="9"/>
        <v>0</v>
      </c>
      <c r="H84" s="62">
        <f>E84*G84*$C$18</f>
        <v>0</v>
      </c>
      <c r="I84" s="4">
        <v>0</v>
      </c>
      <c r="J84" s="62">
        <f>E84*I84*$C$18</f>
        <v>0</v>
      </c>
      <c r="K84" s="63" t="e">
        <f t="shared" si="10"/>
        <v>#DIV/0!</v>
      </c>
      <c r="L84" s="48" t="s">
        <v>196</v>
      </c>
    </row>
    <row r="85" spans="1:12" x14ac:dyDescent="0.2">
      <c r="A85" s="4" t="s">
        <v>0</v>
      </c>
      <c r="D85" s="71" t="s">
        <v>177</v>
      </c>
      <c r="E85" s="98">
        <v>0</v>
      </c>
      <c r="F85" s="4" t="s">
        <v>115</v>
      </c>
      <c r="G85" s="61">
        <f t="shared" si="9"/>
        <v>0</v>
      </c>
      <c r="H85" s="62">
        <f>E85*G85*$C$18</f>
        <v>0</v>
      </c>
      <c r="I85" s="4">
        <v>0</v>
      </c>
      <c r="J85" s="62">
        <f>E85*I85*$C$18</f>
        <v>0</v>
      </c>
      <c r="K85" s="63" t="e">
        <f t="shared" si="10"/>
        <v>#DIV/0!</v>
      </c>
      <c r="L85" s="48" t="s">
        <v>196</v>
      </c>
    </row>
    <row r="86" spans="1:12" x14ac:dyDescent="0.2">
      <c r="A86" s="4" t="s">
        <v>0</v>
      </c>
      <c r="D86" s="71" t="s">
        <v>178</v>
      </c>
      <c r="E86" s="98">
        <v>0</v>
      </c>
      <c r="F86" s="4" t="s">
        <v>115</v>
      </c>
      <c r="G86" s="61">
        <f t="shared" si="9"/>
        <v>0</v>
      </c>
      <c r="H86" s="62">
        <f>E86*G86*$C$18</f>
        <v>0</v>
      </c>
      <c r="I86" s="4">
        <v>0</v>
      </c>
      <c r="J86" s="62">
        <f>E86*I86*$C$18</f>
        <v>0</v>
      </c>
      <c r="K86" s="63" t="e">
        <f t="shared" si="10"/>
        <v>#DIV/0!</v>
      </c>
      <c r="L86" s="48" t="s">
        <v>196</v>
      </c>
    </row>
    <row r="87" spans="1:12" x14ac:dyDescent="0.2">
      <c r="A87" s="4" t="s">
        <v>0</v>
      </c>
      <c r="D87" s="71" t="s">
        <v>179</v>
      </c>
      <c r="E87" s="98">
        <v>0</v>
      </c>
      <c r="F87" s="4" t="s">
        <v>115</v>
      </c>
      <c r="G87" s="61">
        <f t="shared" si="9"/>
        <v>0</v>
      </c>
      <c r="H87" s="62">
        <f>E87*G87*$C$18</f>
        <v>0</v>
      </c>
      <c r="I87" s="4">
        <v>0</v>
      </c>
      <c r="J87" s="62">
        <f>E87*I87*$C$18</f>
        <v>0</v>
      </c>
      <c r="K87" s="63" t="e">
        <f t="shared" si="10"/>
        <v>#DIV/0!</v>
      </c>
      <c r="L87" s="48" t="s">
        <v>196</v>
      </c>
    </row>
    <row r="88" spans="1:12" x14ac:dyDescent="0.2">
      <c r="A88" s="4" t="s">
        <v>0</v>
      </c>
      <c r="D88" s="71" t="s">
        <v>180</v>
      </c>
      <c r="E88" s="98">
        <v>0</v>
      </c>
      <c r="F88" s="4" t="s">
        <v>115</v>
      </c>
      <c r="G88" s="61">
        <f t="shared" si="9"/>
        <v>0</v>
      </c>
      <c r="H88" s="62">
        <f>E88*G88</f>
        <v>0</v>
      </c>
      <c r="I88" s="4">
        <v>0</v>
      </c>
      <c r="J88" s="62">
        <f>E88*I88</f>
        <v>0</v>
      </c>
      <c r="K88" s="63" t="e">
        <f t="shared" si="10"/>
        <v>#DIV/0!</v>
      </c>
      <c r="L88" s="48" t="s">
        <v>196</v>
      </c>
    </row>
    <row r="89" spans="1:12" x14ac:dyDescent="0.2">
      <c r="A89" s="4" t="s">
        <v>0</v>
      </c>
      <c r="E89" s="98"/>
      <c r="F89" s="4" t="s">
        <v>115</v>
      </c>
      <c r="G89" s="61">
        <f t="shared" si="9"/>
        <v>0</v>
      </c>
      <c r="H89" s="62">
        <f t="shared" ref="H89:H92" si="11">E89*G89</f>
        <v>0</v>
      </c>
      <c r="J89" s="62">
        <f t="shared" ref="J89:J92" si="12">E89*I89</f>
        <v>0</v>
      </c>
      <c r="K89" s="63" t="e">
        <f t="shared" si="10"/>
        <v>#DIV/0!</v>
      </c>
      <c r="L89" s="48" t="s">
        <v>196</v>
      </c>
    </row>
    <row r="90" spans="1:12" x14ac:dyDescent="0.2">
      <c r="A90" s="4" t="s">
        <v>0</v>
      </c>
      <c r="E90" s="98"/>
      <c r="F90" s="4" t="s">
        <v>115</v>
      </c>
      <c r="G90" s="61">
        <f t="shared" si="9"/>
        <v>0</v>
      </c>
      <c r="H90" s="62">
        <f t="shared" si="11"/>
        <v>0</v>
      </c>
      <c r="J90" s="62">
        <f t="shared" si="12"/>
        <v>0</v>
      </c>
      <c r="K90" s="63" t="e">
        <f t="shared" si="10"/>
        <v>#DIV/0!</v>
      </c>
      <c r="L90" s="48" t="s">
        <v>196</v>
      </c>
    </row>
    <row r="91" spans="1:12" x14ac:dyDescent="0.2">
      <c r="A91" s="4" t="s">
        <v>0</v>
      </c>
      <c r="E91" s="98"/>
      <c r="F91" s="4" t="s">
        <v>115</v>
      </c>
      <c r="G91" s="61">
        <f t="shared" si="9"/>
        <v>0</v>
      </c>
      <c r="H91" s="62">
        <f t="shared" si="11"/>
        <v>0</v>
      </c>
      <c r="J91" s="62">
        <f t="shared" si="12"/>
        <v>0</v>
      </c>
      <c r="K91" s="63" t="e">
        <f t="shared" si="10"/>
        <v>#DIV/0!</v>
      </c>
      <c r="L91" s="48" t="s">
        <v>196</v>
      </c>
    </row>
    <row r="92" spans="1:12" ht="12.75" thickBot="1" x14ac:dyDescent="0.25">
      <c r="B92" s="64"/>
      <c r="E92" s="98"/>
      <c r="F92" s="4" t="s">
        <v>115</v>
      </c>
      <c r="G92" s="61">
        <f t="shared" ref="G92" si="13">I92/0.6</f>
        <v>0</v>
      </c>
      <c r="H92" s="66">
        <f t="shared" si="11"/>
        <v>0</v>
      </c>
      <c r="I92" s="72">
        <v>0</v>
      </c>
      <c r="J92" s="66">
        <f t="shared" si="12"/>
        <v>0</v>
      </c>
      <c r="K92" s="67" t="e">
        <f t="shared" si="10"/>
        <v>#DIV/0!</v>
      </c>
      <c r="L92" s="48" t="s">
        <v>196</v>
      </c>
    </row>
    <row r="93" spans="1:12" ht="12.75" thickTop="1" x14ac:dyDescent="0.2">
      <c r="G93" s="62"/>
      <c r="H93" s="62" t="e">
        <f>SUM(H83:H92)</f>
        <v>#REF!</v>
      </c>
      <c r="I93" s="62"/>
      <c r="J93" s="62" t="e">
        <f>SUM(J83:J92)</f>
        <v>#REF!</v>
      </c>
      <c r="K93" s="63" t="e">
        <f t="shared" si="10"/>
        <v>#REF!</v>
      </c>
    </row>
    <row r="94" spans="1:12" ht="12.75" thickBot="1" x14ac:dyDescent="0.25">
      <c r="D94" s="71" t="s">
        <v>120</v>
      </c>
      <c r="E94" s="76">
        <v>0</v>
      </c>
      <c r="G94" s="62"/>
      <c r="H94" s="66" t="e">
        <f>-H93*E94</f>
        <v>#REF!</v>
      </c>
      <c r="I94" s="62"/>
      <c r="J94" s="62"/>
      <c r="K94" s="63"/>
    </row>
    <row r="95" spans="1:12" ht="12.75" thickTop="1" x14ac:dyDescent="0.2">
      <c r="H95" s="68" t="e">
        <f>H93+H94</f>
        <v>#REF!</v>
      </c>
      <c r="I95" s="69"/>
      <c r="J95" s="68" t="e">
        <f>J93</f>
        <v>#REF!</v>
      </c>
      <c r="K95" s="70" t="e">
        <f>1-(J95/H95)</f>
        <v>#REF!</v>
      </c>
    </row>
    <row r="96" spans="1:12" x14ac:dyDescent="0.2">
      <c r="A96" s="58"/>
      <c r="B96" s="58" t="s">
        <v>148</v>
      </c>
      <c r="C96" s="59"/>
      <c r="D96" s="75"/>
      <c r="E96" s="96"/>
      <c r="F96" s="59"/>
      <c r="G96" s="59"/>
      <c r="H96" s="59"/>
      <c r="I96" s="59"/>
      <c r="J96" s="59"/>
      <c r="K96" s="59"/>
      <c r="L96" s="96"/>
    </row>
    <row r="97" spans="1:12" x14ac:dyDescent="0.2">
      <c r="B97" s="60" t="s">
        <v>128</v>
      </c>
      <c r="C97" s="60" t="s">
        <v>106</v>
      </c>
      <c r="D97" s="73" t="s">
        <v>68</v>
      </c>
      <c r="E97" s="2" t="s">
        <v>69</v>
      </c>
      <c r="F97" s="60" t="s">
        <v>107</v>
      </c>
      <c r="G97" s="60" t="s">
        <v>108</v>
      </c>
      <c r="H97" s="60" t="s">
        <v>109</v>
      </c>
      <c r="I97" s="60" t="s">
        <v>110</v>
      </c>
      <c r="J97" s="60" t="s">
        <v>111</v>
      </c>
      <c r="K97" s="60" t="s">
        <v>13</v>
      </c>
      <c r="L97" s="117" t="s">
        <v>194</v>
      </c>
    </row>
    <row r="98" spans="1:12" x14ac:dyDescent="0.2">
      <c r="A98" s="4" t="s">
        <v>0</v>
      </c>
      <c r="B98" s="4" t="s">
        <v>171</v>
      </c>
      <c r="D98" s="71" t="s">
        <v>154</v>
      </c>
      <c r="E98" s="98">
        <f>C7*2</f>
        <v>776</v>
      </c>
      <c r="F98" s="4" t="s">
        <v>115</v>
      </c>
      <c r="G98" s="61" t="e">
        <f t="shared" ref="G98:G107" si="14">I98/0.75</f>
        <v>#REF!</v>
      </c>
      <c r="H98" s="62" t="e">
        <f t="shared" ref="H98:H108" si="15">E98*G98</f>
        <v>#REF!</v>
      </c>
      <c r="I98" s="61" t="e">
        <f>#REF!</f>
        <v>#REF!</v>
      </c>
      <c r="J98" s="62" t="e">
        <f t="shared" ref="J98:J108" si="16">E98*I98</f>
        <v>#REF!</v>
      </c>
      <c r="K98" s="63" t="e">
        <f t="shared" ref="K98:K109" si="17">1-(J98/H98)</f>
        <v>#REF!</v>
      </c>
      <c r="L98" s="48" t="s">
        <v>196</v>
      </c>
    </row>
    <row r="99" spans="1:12" ht="25.35" customHeight="1" x14ac:dyDescent="0.2">
      <c r="A99" s="4" t="s">
        <v>0</v>
      </c>
      <c r="B99" s="4" t="s">
        <v>171</v>
      </c>
      <c r="D99" s="71" t="s">
        <v>172</v>
      </c>
      <c r="E99" s="98">
        <f>C7*2</f>
        <v>776</v>
      </c>
      <c r="F99" s="4" t="s">
        <v>115</v>
      </c>
      <c r="G99" s="61" t="e">
        <f t="shared" si="14"/>
        <v>#REF!</v>
      </c>
      <c r="H99" s="62" t="e">
        <f t="shared" si="15"/>
        <v>#REF!</v>
      </c>
      <c r="I99" s="61" t="e">
        <f>#REF!</f>
        <v>#REF!</v>
      </c>
      <c r="J99" s="62" t="e">
        <f t="shared" si="16"/>
        <v>#REF!</v>
      </c>
      <c r="K99" s="63" t="e">
        <f t="shared" si="17"/>
        <v>#REF!</v>
      </c>
      <c r="L99" s="48" t="s">
        <v>196</v>
      </c>
    </row>
    <row r="100" spans="1:12" x14ac:dyDescent="0.2">
      <c r="A100" s="4" t="s">
        <v>0</v>
      </c>
      <c r="B100" s="4" t="s">
        <v>171</v>
      </c>
      <c r="D100" s="71" t="s">
        <v>155</v>
      </c>
      <c r="E100" s="98">
        <f>C7*2</f>
        <v>776</v>
      </c>
      <c r="F100" s="4" t="s">
        <v>115</v>
      </c>
      <c r="G100" s="61" t="e">
        <f t="shared" si="14"/>
        <v>#REF!</v>
      </c>
      <c r="H100" s="62" t="e">
        <f t="shared" si="15"/>
        <v>#REF!</v>
      </c>
      <c r="I100" s="61" t="e">
        <f>#REF!</f>
        <v>#REF!</v>
      </c>
      <c r="J100" s="62" t="e">
        <f t="shared" si="16"/>
        <v>#REF!</v>
      </c>
      <c r="K100" s="63" t="e">
        <f t="shared" si="17"/>
        <v>#REF!</v>
      </c>
      <c r="L100" s="48" t="s">
        <v>196</v>
      </c>
    </row>
    <row r="101" spans="1:12" ht="24" x14ac:dyDescent="0.2">
      <c r="A101" s="4" t="s">
        <v>0</v>
      </c>
      <c r="B101" s="4" t="s">
        <v>171</v>
      </c>
      <c r="D101" s="71" t="s">
        <v>156</v>
      </c>
      <c r="E101" s="98">
        <f>C7*2</f>
        <v>776</v>
      </c>
      <c r="F101" s="4" t="s">
        <v>115</v>
      </c>
      <c r="G101" s="61" t="e">
        <f t="shared" si="14"/>
        <v>#REF!</v>
      </c>
      <c r="H101" s="62" t="e">
        <f t="shared" si="15"/>
        <v>#REF!</v>
      </c>
      <c r="I101" s="61" t="e">
        <f>#REF!</f>
        <v>#REF!</v>
      </c>
      <c r="J101" s="62" t="e">
        <f t="shared" si="16"/>
        <v>#REF!</v>
      </c>
      <c r="K101" s="63" t="e">
        <f t="shared" si="17"/>
        <v>#REF!</v>
      </c>
      <c r="L101" s="48" t="s">
        <v>196</v>
      </c>
    </row>
    <row r="102" spans="1:12" x14ac:dyDescent="0.2">
      <c r="A102" s="4" t="s">
        <v>0</v>
      </c>
      <c r="B102" s="4" t="s">
        <v>171</v>
      </c>
      <c r="D102" s="71" t="s">
        <v>154</v>
      </c>
      <c r="E102" s="98">
        <f>ROUNDUP($C$8*$C$7,0)*2</f>
        <v>40</v>
      </c>
      <c r="F102" s="4" t="s">
        <v>115</v>
      </c>
      <c r="G102" s="61" t="e">
        <f t="shared" si="14"/>
        <v>#REF!</v>
      </c>
      <c r="H102" s="62" t="e">
        <f t="shared" si="15"/>
        <v>#REF!</v>
      </c>
      <c r="I102" s="61" t="e">
        <f>#REF!</f>
        <v>#REF!</v>
      </c>
      <c r="J102" s="62" t="e">
        <f t="shared" si="16"/>
        <v>#REF!</v>
      </c>
      <c r="K102" s="63" t="e">
        <f t="shared" si="17"/>
        <v>#REF!</v>
      </c>
      <c r="L102" s="48" t="s">
        <v>196</v>
      </c>
    </row>
    <row r="103" spans="1:12" ht="24" x14ac:dyDescent="0.2">
      <c r="A103" s="4" t="s">
        <v>0</v>
      </c>
      <c r="B103" s="4" t="s">
        <v>171</v>
      </c>
      <c r="D103" s="71" t="s">
        <v>172</v>
      </c>
      <c r="E103" s="98">
        <f>ROUNDUP($C$8*$C$7,0)*2</f>
        <v>40</v>
      </c>
      <c r="F103" s="4" t="s">
        <v>115</v>
      </c>
      <c r="G103" s="61" t="e">
        <f t="shared" si="14"/>
        <v>#REF!</v>
      </c>
      <c r="H103" s="62" t="e">
        <f t="shared" si="15"/>
        <v>#REF!</v>
      </c>
      <c r="I103" s="61" t="e">
        <f>#REF!</f>
        <v>#REF!</v>
      </c>
      <c r="J103" s="62" t="e">
        <f t="shared" si="16"/>
        <v>#REF!</v>
      </c>
      <c r="K103" s="63" t="e">
        <f t="shared" si="17"/>
        <v>#REF!</v>
      </c>
      <c r="L103" s="48" t="s">
        <v>196</v>
      </c>
    </row>
    <row r="104" spans="1:12" x14ac:dyDescent="0.2">
      <c r="A104" s="4" t="s">
        <v>0</v>
      </c>
      <c r="B104" s="4" t="s">
        <v>171</v>
      </c>
      <c r="D104" s="71" t="s">
        <v>155</v>
      </c>
      <c r="E104" s="98">
        <f>ROUNDUP($C$8*$C$7,0)*2</f>
        <v>40</v>
      </c>
      <c r="F104" s="4" t="s">
        <v>115</v>
      </c>
      <c r="G104" s="61" t="e">
        <f t="shared" si="14"/>
        <v>#REF!</v>
      </c>
      <c r="H104" s="62" t="e">
        <f t="shared" si="15"/>
        <v>#REF!</v>
      </c>
      <c r="I104" s="61" t="e">
        <f>#REF!</f>
        <v>#REF!</v>
      </c>
      <c r="J104" s="62" t="e">
        <f t="shared" si="16"/>
        <v>#REF!</v>
      </c>
      <c r="K104" s="63" t="e">
        <f t="shared" si="17"/>
        <v>#REF!</v>
      </c>
      <c r="L104" s="48" t="s">
        <v>196</v>
      </c>
    </row>
    <row r="105" spans="1:12" x14ac:dyDescent="0.2">
      <c r="E105" s="98">
        <v>0</v>
      </c>
      <c r="F105" s="4" t="s">
        <v>115</v>
      </c>
      <c r="G105" s="61">
        <f t="shared" si="14"/>
        <v>0</v>
      </c>
      <c r="H105" s="62">
        <f t="shared" si="15"/>
        <v>0</v>
      </c>
      <c r="I105" s="61">
        <v>0</v>
      </c>
      <c r="J105" s="62">
        <f t="shared" si="16"/>
        <v>0</v>
      </c>
      <c r="K105" s="63" t="e">
        <f t="shared" si="17"/>
        <v>#DIV/0!</v>
      </c>
      <c r="L105" s="48" t="s">
        <v>196</v>
      </c>
    </row>
    <row r="106" spans="1:12" x14ac:dyDescent="0.2">
      <c r="E106" s="98">
        <v>0</v>
      </c>
      <c r="F106" s="4" t="s">
        <v>115</v>
      </c>
      <c r="G106" s="61">
        <f t="shared" si="14"/>
        <v>0</v>
      </c>
      <c r="H106" s="62">
        <f t="shared" si="15"/>
        <v>0</v>
      </c>
      <c r="I106" s="61">
        <v>0</v>
      </c>
      <c r="J106" s="62">
        <f t="shared" si="16"/>
        <v>0</v>
      </c>
      <c r="K106" s="63" t="e">
        <f t="shared" si="17"/>
        <v>#DIV/0!</v>
      </c>
      <c r="L106" s="48" t="s">
        <v>196</v>
      </c>
    </row>
    <row r="107" spans="1:12" x14ac:dyDescent="0.2">
      <c r="A107" s="3"/>
      <c r="B107" s="3"/>
      <c r="C107" s="3"/>
      <c r="D107" s="41"/>
      <c r="E107" s="98">
        <v>0</v>
      </c>
      <c r="F107" s="4" t="s">
        <v>115</v>
      </c>
      <c r="G107" s="61">
        <f t="shared" si="14"/>
        <v>0</v>
      </c>
      <c r="H107" s="62">
        <f t="shared" si="15"/>
        <v>0</v>
      </c>
      <c r="I107" s="61">
        <v>0</v>
      </c>
      <c r="J107" s="62">
        <f t="shared" si="16"/>
        <v>0</v>
      </c>
      <c r="K107" s="63" t="e">
        <f t="shared" si="17"/>
        <v>#DIV/0!</v>
      </c>
      <c r="L107" s="48" t="s">
        <v>196</v>
      </c>
    </row>
    <row r="108" spans="1:12" ht="12.75" thickBot="1" x14ac:dyDescent="0.25">
      <c r="B108" s="64"/>
      <c r="E108" s="98"/>
      <c r="F108" s="4" t="s">
        <v>115</v>
      </c>
      <c r="G108" s="61">
        <f t="shared" ref="G108" si="18">I108/0.6</f>
        <v>0</v>
      </c>
      <c r="H108" s="66">
        <f t="shared" si="15"/>
        <v>0</v>
      </c>
      <c r="I108" s="72">
        <v>0</v>
      </c>
      <c r="J108" s="66">
        <f t="shared" si="16"/>
        <v>0</v>
      </c>
      <c r="K108" s="67" t="e">
        <f t="shared" si="17"/>
        <v>#DIV/0!</v>
      </c>
      <c r="L108" s="48" t="s">
        <v>196</v>
      </c>
    </row>
    <row r="109" spans="1:12" ht="12.75" thickTop="1" x14ac:dyDescent="0.2">
      <c r="G109" s="62"/>
      <c r="H109" s="62" t="e">
        <f>SUM(H98:H108)</f>
        <v>#REF!</v>
      </c>
      <c r="I109" s="62"/>
      <c r="J109" s="62" t="e">
        <f>SUM(J98:J108)</f>
        <v>#REF!</v>
      </c>
      <c r="K109" s="63" t="e">
        <f t="shared" si="17"/>
        <v>#REF!</v>
      </c>
    </row>
    <row r="110" spans="1:12" ht="12.75" thickBot="1" x14ac:dyDescent="0.25">
      <c r="D110" s="71" t="s">
        <v>120</v>
      </c>
      <c r="E110" s="76">
        <v>0</v>
      </c>
      <c r="G110" s="62"/>
      <c r="H110" s="66" t="e">
        <f>-H109*E110</f>
        <v>#REF!</v>
      </c>
      <c r="I110" s="62"/>
      <c r="J110" s="62"/>
      <c r="K110" s="63"/>
    </row>
    <row r="111" spans="1:12" ht="12.75" thickTop="1" x14ac:dyDescent="0.2">
      <c r="H111" s="68" t="e">
        <f>H109+H110</f>
        <v>#REF!</v>
      </c>
      <c r="I111" s="69"/>
      <c r="J111" s="68" t="e">
        <f>J109</f>
        <v>#REF!</v>
      </c>
      <c r="K111" s="70" t="e">
        <f>1-(J111/H111)</f>
        <v>#REF!</v>
      </c>
    </row>
    <row r="113" spans="1:13" x14ac:dyDescent="0.2">
      <c r="A113" s="502" t="s">
        <v>136</v>
      </c>
      <c r="B113" s="502"/>
      <c r="C113" s="502"/>
      <c r="D113" s="502"/>
      <c r="E113" s="502"/>
      <c r="F113" s="502"/>
      <c r="G113" s="502"/>
      <c r="H113" s="502"/>
      <c r="I113" s="502"/>
      <c r="J113" s="502"/>
      <c r="K113" s="502"/>
      <c r="L113" s="502"/>
    </row>
    <row r="114" spans="1:13" x14ac:dyDescent="0.2">
      <c r="A114" s="58"/>
      <c r="B114" s="58" t="s">
        <v>136</v>
      </c>
      <c r="C114" s="59"/>
      <c r="D114" s="75"/>
      <c r="E114" s="96"/>
      <c r="F114" s="59"/>
      <c r="G114" s="59"/>
      <c r="H114" s="59"/>
      <c r="I114" s="59"/>
      <c r="J114" s="59"/>
      <c r="K114" s="59"/>
      <c r="L114" s="96"/>
    </row>
    <row r="115" spans="1:13" x14ac:dyDescent="0.2">
      <c r="B115" s="60" t="s">
        <v>128</v>
      </c>
      <c r="C115" s="60" t="s">
        <v>106</v>
      </c>
      <c r="D115" s="73" t="s">
        <v>68</v>
      </c>
      <c r="E115" s="2" t="s">
        <v>69</v>
      </c>
      <c r="F115" s="60" t="s">
        <v>107</v>
      </c>
      <c r="G115" s="60" t="s">
        <v>108</v>
      </c>
      <c r="H115" s="60" t="s">
        <v>109</v>
      </c>
      <c r="I115" s="60" t="s">
        <v>110</v>
      </c>
      <c r="J115" s="60" t="s">
        <v>111</v>
      </c>
      <c r="K115" s="60" t="s">
        <v>13</v>
      </c>
      <c r="L115" s="117" t="s">
        <v>194</v>
      </c>
    </row>
    <row r="116" spans="1:13" x14ac:dyDescent="0.2">
      <c r="A116" s="4" t="s">
        <v>0</v>
      </c>
      <c r="D116" s="71" t="s">
        <v>9</v>
      </c>
      <c r="E116" s="98">
        <f>ROUNDUP(10%*$C$7,0)</f>
        <v>39</v>
      </c>
      <c r="F116" s="4" t="s">
        <v>115</v>
      </c>
      <c r="G116" s="61" t="e">
        <f t="shared" ref="G116:G121" si="19">I116/0.75</f>
        <v>#REF!</v>
      </c>
      <c r="H116" s="62" t="e">
        <f>E116*G116</f>
        <v>#REF!</v>
      </c>
      <c r="I116" s="61" t="e">
        <f>#REF!+#REF!</f>
        <v>#REF!</v>
      </c>
      <c r="J116" s="62" t="e">
        <f>E116*I116</f>
        <v>#REF!</v>
      </c>
      <c r="K116" s="63" t="e">
        <f t="shared" ref="K116:K122" si="20">1-(J116/H116)</f>
        <v>#REF!</v>
      </c>
      <c r="L116" s="48" t="s">
        <v>196</v>
      </c>
    </row>
    <row r="117" spans="1:13" x14ac:dyDescent="0.2">
      <c r="A117" s="4" t="s">
        <v>0</v>
      </c>
      <c r="D117" s="71" t="s">
        <v>6</v>
      </c>
      <c r="E117" s="98">
        <f>ROUNDUP(110%*$C$7,0)</f>
        <v>427</v>
      </c>
      <c r="F117" s="4" t="s">
        <v>115</v>
      </c>
      <c r="G117" s="61">
        <f t="shared" si="19"/>
        <v>6.666666666666667</v>
      </c>
      <c r="H117" s="62">
        <f>E117*G117*6</f>
        <v>17080</v>
      </c>
      <c r="I117" s="4">
        <v>5</v>
      </c>
      <c r="J117" s="62">
        <f>E117*I117*6</f>
        <v>12810</v>
      </c>
      <c r="K117" s="63">
        <f t="shared" si="20"/>
        <v>0.25</v>
      </c>
      <c r="L117" s="48" t="s">
        <v>196</v>
      </c>
    </row>
    <row r="118" spans="1:13" ht="24" x14ac:dyDescent="0.2">
      <c r="A118" s="4" t="s">
        <v>0</v>
      </c>
      <c r="D118" s="71" t="s">
        <v>160</v>
      </c>
      <c r="E118" s="98">
        <v>2</v>
      </c>
      <c r="F118" s="4" t="s">
        <v>115</v>
      </c>
      <c r="G118" s="61">
        <f t="shared" si="19"/>
        <v>2133.3333333333335</v>
      </c>
      <c r="H118" s="62">
        <f>E118*G118</f>
        <v>4266.666666666667</v>
      </c>
      <c r="I118" s="4">
        <v>1600</v>
      </c>
      <c r="J118" s="62">
        <f>E118*I118</f>
        <v>3200</v>
      </c>
      <c r="K118" s="63">
        <f t="shared" si="20"/>
        <v>0.25</v>
      </c>
      <c r="L118" s="48" t="s">
        <v>196</v>
      </c>
    </row>
    <row r="119" spans="1:13" x14ac:dyDescent="0.2">
      <c r="A119" s="4" t="s">
        <v>0</v>
      </c>
      <c r="D119" s="71" t="s">
        <v>12</v>
      </c>
      <c r="E119" s="98">
        <v>1</v>
      </c>
      <c r="F119" s="4" t="s">
        <v>115</v>
      </c>
      <c r="G119" s="61">
        <f t="shared" si="19"/>
        <v>4666.666666666667</v>
      </c>
      <c r="H119" s="62">
        <f>E119*G119</f>
        <v>4666.666666666667</v>
      </c>
      <c r="I119" s="4">
        <v>3500</v>
      </c>
      <c r="J119" s="62">
        <f>E119*I119</f>
        <v>3500</v>
      </c>
      <c r="K119" s="63">
        <f t="shared" si="20"/>
        <v>0.25</v>
      </c>
      <c r="L119" s="48" t="s">
        <v>196</v>
      </c>
    </row>
    <row r="120" spans="1:13" x14ac:dyDescent="0.2">
      <c r="A120" s="4" t="s">
        <v>0</v>
      </c>
      <c r="D120" s="71" t="s">
        <v>137</v>
      </c>
      <c r="E120" s="98">
        <f>ROUNDUP(10%*$C$7,0)</f>
        <v>39</v>
      </c>
      <c r="F120" s="4" t="s">
        <v>115</v>
      </c>
      <c r="G120" s="61">
        <f t="shared" si="19"/>
        <v>2000</v>
      </c>
      <c r="H120" s="62">
        <f>E120*G120</f>
        <v>78000</v>
      </c>
      <c r="I120" s="61">
        <v>1500</v>
      </c>
      <c r="J120" s="62">
        <f>E120*I120</f>
        <v>58500</v>
      </c>
      <c r="K120" s="63">
        <f t="shared" si="20"/>
        <v>0.25</v>
      </c>
      <c r="L120" s="48" t="s">
        <v>196</v>
      </c>
    </row>
    <row r="121" spans="1:13" ht="12.75" thickBot="1" x14ac:dyDescent="0.25">
      <c r="A121" s="4" t="s">
        <v>0</v>
      </c>
      <c r="B121" s="64"/>
      <c r="D121" s="71" t="s">
        <v>11</v>
      </c>
      <c r="E121" s="98">
        <f t="shared" ref="E121" si="21">$C$7</f>
        <v>388</v>
      </c>
      <c r="F121" s="4" t="s">
        <v>115</v>
      </c>
      <c r="G121" s="65" t="e">
        <f t="shared" si="19"/>
        <v>#REF!</v>
      </c>
      <c r="H121" s="66" t="e">
        <f>E121*G121</f>
        <v>#REF!</v>
      </c>
      <c r="I121" s="66" t="e">
        <f>#REF!+#REF!+#REF!+#REF!</f>
        <v>#REF!</v>
      </c>
      <c r="J121" s="66" t="e">
        <f>E121*I121</f>
        <v>#REF!</v>
      </c>
      <c r="K121" s="67" t="e">
        <f t="shared" si="20"/>
        <v>#REF!</v>
      </c>
      <c r="L121" s="48" t="s">
        <v>196</v>
      </c>
    </row>
    <row r="122" spans="1:13" ht="12.75" thickTop="1" x14ac:dyDescent="0.2">
      <c r="G122" s="62"/>
      <c r="H122" s="62" t="e">
        <f>SUM(H116:H121)</f>
        <v>#REF!</v>
      </c>
      <c r="I122" s="62"/>
      <c r="J122" s="62" t="e">
        <f>SUM(J116:J121)</f>
        <v>#REF!</v>
      </c>
      <c r="K122" s="63" t="e">
        <f t="shared" si="20"/>
        <v>#REF!</v>
      </c>
    </row>
    <row r="123" spans="1:13" ht="12.75" thickBot="1" x14ac:dyDescent="0.25">
      <c r="D123" s="71" t="s">
        <v>120</v>
      </c>
      <c r="E123" s="76">
        <v>0</v>
      </c>
      <c r="G123" s="62"/>
      <c r="H123" s="66" t="e">
        <f>-H122*E123</f>
        <v>#REF!</v>
      </c>
      <c r="I123" s="62"/>
      <c r="J123" s="62"/>
      <c r="K123" s="63"/>
    </row>
    <row r="124" spans="1:13" ht="12.75" thickTop="1" x14ac:dyDescent="0.2">
      <c r="H124" s="68" t="e">
        <f>H122+H123</f>
        <v>#REF!</v>
      </c>
      <c r="I124" s="69"/>
      <c r="J124" s="68" t="e">
        <f>J122</f>
        <v>#REF!</v>
      </c>
      <c r="K124" s="70" t="e">
        <f>1-(J124/H124)</f>
        <v>#REF!</v>
      </c>
    </row>
    <row r="125" spans="1:13" x14ac:dyDescent="0.2">
      <c r="H125" s="68"/>
      <c r="I125" s="69"/>
      <c r="J125" s="68"/>
      <c r="K125" s="70"/>
    </row>
    <row r="126" spans="1:13" x14ac:dyDescent="0.2">
      <c r="A126" s="58"/>
      <c r="B126" s="58" t="s">
        <v>17</v>
      </c>
      <c r="C126" s="59"/>
      <c r="D126" s="75"/>
      <c r="E126" s="96"/>
      <c r="F126" s="59"/>
      <c r="G126" s="59"/>
      <c r="H126" s="59"/>
      <c r="I126" s="59"/>
      <c r="J126" s="59"/>
      <c r="K126" s="59"/>
      <c r="L126" s="96"/>
    </row>
    <row r="127" spans="1:13" x14ac:dyDescent="0.2">
      <c r="B127" s="60" t="s">
        <v>128</v>
      </c>
      <c r="C127" s="60" t="s">
        <v>106</v>
      </c>
      <c r="D127" s="73" t="s">
        <v>68</v>
      </c>
      <c r="E127" s="2" t="s">
        <v>69</v>
      </c>
      <c r="F127" s="60" t="s">
        <v>107</v>
      </c>
      <c r="G127" s="60" t="s">
        <v>108</v>
      </c>
      <c r="H127" s="60" t="s">
        <v>109</v>
      </c>
      <c r="I127" s="60" t="s">
        <v>110</v>
      </c>
      <c r="J127" s="60" t="s">
        <v>111</v>
      </c>
      <c r="K127" s="60" t="s">
        <v>13</v>
      </c>
      <c r="L127" s="117" t="s">
        <v>194</v>
      </c>
    </row>
    <row r="128" spans="1:13" x14ac:dyDescent="0.2">
      <c r="A128" s="4" t="s">
        <v>0</v>
      </c>
      <c r="D128" s="71" t="s">
        <v>89</v>
      </c>
      <c r="E128" s="98">
        <v>1</v>
      </c>
      <c r="F128" s="4" t="s">
        <v>115</v>
      </c>
      <c r="G128" s="62" t="e">
        <f>I128/0.75</f>
        <v>#REF!</v>
      </c>
      <c r="H128" s="62" t="e">
        <f>E128*G128</f>
        <v>#REF!</v>
      </c>
      <c r="I128" s="62" t="e">
        <f>#REF!*$C$7/1376</f>
        <v>#REF!</v>
      </c>
      <c r="J128" s="62" t="e">
        <f>E128*I128</f>
        <v>#REF!</v>
      </c>
      <c r="K128" s="63" t="e">
        <f t="shared" ref="K128:K133" si="22">1-(J128/H128)</f>
        <v>#REF!</v>
      </c>
      <c r="L128" s="48" t="s">
        <v>195</v>
      </c>
      <c r="M128" s="4" t="s">
        <v>203</v>
      </c>
    </row>
    <row r="129" spans="1:13" x14ac:dyDescent="0.2">
      <c r="A129" s="4" t="s">
        <v>0</v>
      </c>
      <c r="D129" s="71" t="s">
        <v>70</v>
      </c>
      <c r="E129" s="98">
        <v>1</v>
      </c>
      <c r="F129" s="4" t="s">
        <v>115</v>
      </c>
      <c r="G129" s="62">
        <f>I129/0.7</f>
        <v>214285.71428571429</v>
      </c>
      <c r="H129" s="62">
        <f>E129*G129</f>
        <v>214285.71428571429</v>
      </c>
      <c r="I129" s="62">
        <v>150000</v>
      </c>
      <c r="J129" s="62">
        <f>E129*I129</f>
        <v>150000</v>
      </c>
      <c r="K129" s="63">
        <f t="shared" si="22"/>
        <v>0.30000000000000004</v>
      </c>
      <c r="L129" s="48" t="s">
        <v>195</v>
      </c>
      <c r="M129" s="4" t="s">
        <v>204</v>
      </c>
    </row>
    <row r="130" spans="1:13" x14ac:dyDescent="0.2">
      <c r="A130" s="4" t="s">
        <v>0</v>
      </c>
      <c r="D130" s="71" t="s">
        <v>87</v>
      </c>
      <c r="E130" s="98">
        <f>C7</f>
        <v>388</v>
      </c>
      <c r="F130" s="4" t="s">
        <v>115</v>
      </c>
      <c r="G130" s="62" t="e">
        <f>I130/0.75</f>
        <v>#REF!</v>
      </c>
      <c r="H130" s="62" t="e">
        <f t="shared" ref="H130:H132" si="23">E130*G130</f>
        <v>#REF!</v>
      </c>
      <c r="I130" s="62" t="e">
        <f>#REF!</f>
        <v>#REF!</v>
      </c>
      <c r="J130" s="62" t="e">
        <f t="shared" ref="J130:J132" si="24">E130*I130</f>
        <v>#REF!</v>
      </c>
      <c r="K130" s="63" t="e">
        <f t="shared" si="22"/>
        <v>#REF!</v>
      </c>
      <c r="L130" s="48" t="s">
        <v>195</v>
      </c>
      <c r="M130" s="4" t="s">
        <v>204</v>
      </c>
    </row>
    <row r="131" spans="1:13" x14ac:dyDescent="0.2">
      <c r="A131" s="4" t="s">
        <v>0</v>
      </c>
      <c r="D131" s="71" t="s">
        <v>168</v>
      </c>
      <c r="E131" s="98">
        <v>6</v>
      </c>
      <c r="F131" s="4" t="s">
        <v>115</v>
      </c>
      <c r="G131" s="62">
        <f>I131/0.7</f>
        <v>28571.428571428572</v>
      </c>
      <c r="H131" s="62">
        <f t="shared" si="23"/>
        <v>171428.57142857142</v>
      </c>
      <c r="I131" s="62">
        <v>20000</v>
      </c>
      <c r="J131" s="62">
        <f t="shared" si="24"/>
        <v>120000</v>
      </c>
      <c r="K131" s="63">
        <f t="shared" si="22"/>
        <v>0.29999999999999993</v>
      </c>
      <c r="L131" s="48" t="s">
        <v>195</v>
      </c>
      <c r="M131" s="4" t="s">
        <v>204</v>
      </c>
    </row>
    <row r="132" spans="1:13" x14ac:dyDescent="0.2">
      <c r="A132" s="4" t="s">
        <v>0</v>
      </c>
      <c r="D132" s="71" t="s">
        <v>169</v>
      </c>
      <c r="E132" s="98">
        <v>1</v>
      </c>
      <c r="F132" s="4" t="s">
        <v>115</v>
      </c>
      <c r="G132" s="62">
        <f>I132/0.75</f>
        <v>266666.66666666669</v>
      </c>
      <c r="H132" s="62">
        <f t="shared" si="23"/>
        <v>266666.66666666669</v>
      </c>
      <c r="I132" s="62">
        <v>200000</v>
      </c>
      <c r="J132" s="62">
        <f t="shared" si="24"/>
        <v>200000</v>
      </c>
      <c r="K132" s="63">
        <f t="shared" si="22"/>
        <v>0.25</v>
      </c>
      <c r="L132" s="48" t="s">
        <v>195</v>
      </c>
      <c r="M132" s="4" t="s">
        <v>204</v>
      </c>
    </row>
    <row r="133" spans="1:13" x14ac:dyDescent="0.2">
      <c r="A133" s="4" t="s">
        <v>0</v>
      </c>
      <c r="E133" s="98">
        <v>0</v>
      </c>
      <c r="F133" s="4" t="s">
        <v>115</v>
      </c>
      <c r="G133" s="62">
        <f t="shared" ref="G133" si="25">I133/0.6</f>
        <v>0</v>
      </c>
      <c r="H133" s="62">
        <f>E133*G133</f>
        <v>0</v>
      </c>
      <c r="I133" s="62">
        <v>0</v>
      </c>
      <c r="J133" s="62">
        <f>E133*I133</f>
        <v>0</v>
      </c>
      <c r="K133" s="63" t="e">
        <f t="shared" si="22"/>
        <v>#DIV/0!</v>
      </c>
    </row>
    <row r="134" spans="1:13" ht="12.75" thickBot="1" x14ac:dyDescent="0.25">
      <c r="B134" s="64"/>
      <c r="E134" s="98"/>
      <c r="G134" s="65"/>
      <c r="H134" s="66"/>
      <c r="I134" s="66"/>
      <c r="J134" s="66"/>
      <c r="K134" s="67"/>
    </row>
    <row r="135" spans="1:13" ht="12.75" thickTop="1" x14ac:dyDescent="0.2">
      <c r="G135" s="62"/>
      <c r="H135" s="62" t="e">
        <f>SUM(H128:H134)</f>
        <v>#REF!</v>
      </c>
      <c r="I135" s="62"/>
      <c r="J135" s="62" t="e">
        <f>SUM(J128:J134)</f>
        <v>#REF!</v>
      </c>
      <c r="K135" s="63" t="e">
        <f>1-(J135/H135)</f>
        <v>#REF!</v>
      </c>
    </row>
    <row r="136" spans="1:13" ht="12.75" thickBot="1" x14ac:dyDescent="0.25">
      <c r="D136" s="71" t="s">
        <v>120</v>
      </c>
      <c r="E136" s="76">
        <v>0</v>
      </c>
      <c r="G136" s="62"/>
      <c r="H136" s="66" t="e">
        <f>-H135*E136</f>
        <v>#REF!</v>
      </c>
      <c r="I136" s="62"/>
      <c r="J136" s="62"/>
      <c r="K136" s="63"/>
    </row>
    <row r="137" spans="1:13" ht="12.75" thickTop="1" x14ac:dyDescent="0.2">
      <c r="H137" s="68" t="e">
        <f>H135+H136</f>
        <v>#REF!</v>
      </c>
      <c r="I137" s="69"/>
      <c r="J137" s="68" t="e">
        <f>J135</f>
        <v>#REF!</v>
      </c>
      <c r="K137" s="70" t="e">
        <f>1-(J137/H137)</f>
        <v>#REF!</v>
      </c>
    </row>
    <row r="138" spans="1:13" x14ac:dyDescent="0.2">
      <c r="M138" s="48"/>
    </row>
    <row r="139" spans="1:13" x14ac:dyDescent="0.2">
      <c r="A139" s="58"/>
      <c r="B139" s="58" t="s">
        <v>146</v>
      </c>
      <c r="C139" s="59"/>
      <c r="D139" s="75"/>
      <c r="E139" s="96"/>
      <c r="F139" s="59"/>
      <c r="G139" s="59"/>
      <c r="H139" s="59"/>
      <c r="I139" s="59"/>
      <c r="J139" s="59"/>
      <c r="K139" s="59"/>
      <c r="L139" s="96"/>
    </row>
    <row r="140" spans="1:13" x14ac:dyDescent="0.2">
      <c r="B140" s="60" t="s">
        <v>128</v>
      </c>
      <c r="C140" s="60" t="s">
        <v>106</v>
      </c>
      <c r="D140" s="73" t="s">
        <v>68</v>
      </c>
      <c r="E140" s="2" t="s">
        <v>69</v>
      </c>
      <c r="F140" s="60" t="s">
        <v>107</v>
      </c>
      <c r="G140" s="60" t="s">
        <v>108</v>
      </c>
      <c r="H140" s="60" t="s">
        <v>109</v>
      </c>
      <c r="I140" s="60" t="s">
        <v>110</v>
      </c>
      <c r="J140" s="60" t="s">
        <v>111</v>
      </c>
      <c r="K140" s="60" t="s">
        <v>13</v>
      </c>
      <c r="L140" s="117" t="s">
        <v>194</v>
      </c>
    </row>
    <row r="141" spans="1:13" x14ac:dyDescent="0.2">
      <c r="A141" s="4" t="s">
        <v>0</v>
      </c>
      <c r="D141" s="71" t="s">
        <v>181</v>
      </c>
      <c r="E141" s="98">
        <f>$C$7</f>
        <v>388</v>
      </c>
      <c r="F141" s="4" t="s">
        <v>115</v>
      </c>
      <c r="G141" s="62">
        <f>I141/0.75</f>
        <v>333.33333333333331</v>
      </c>
      <c r="H141" s="62">
        <f>E141*G141</f>
        <v>129333.33333333333</v>
      </c>
      <c r="I141" s="62">
        <v>250</v>
      </c>
      <c r="J141" s="62">
        <f>E141*I141</f>
        <v>97000</v>
      </c>
      <c r="K141" s="63">
        <f t="shared" ref="K141:K146" si="26">1-(J141/H141)</f>
        <v>0.25</v>
      </c>
      <c r="L141" s="48" t="s">
        <v>196</v>
      </c>
    </row>
    <row r="142" spans="1:13" x14ac:dyDescent="0.2">
      <c r="A142" s="4" t="s">
        <v>0</v>
      </c>
      <c r="D142" s="71" t="s">
        <v>185</v>
      </c>
      <c r="E142" s="98">
        <f>ROUNDUP($C$8*$C$7,0)</f>
        <v>20</v>
      </c>
      <c r="F142" s="4" t="s">
        <v>115</v>
      </c>
      <c r="G142" s="62">
        <f>I142/0.75</f>
        <v>333.33333333333331</v>
      </c>
      <c r="H142" s="62">
        <f>E142*G142</f>
        <v>6666.6666666666661</v>
      </c>
      <c r="I142" s="62">
        <v>250</v>
      </c>
      <c r="J142" s="62">
        <f>E142*I142</f>
        <v>5000</v>
      </c>
      <c r="K142" s="63">
        <f t="shared" si="26"/>
        <v>0.24999999999999989</v>
      </c>
      <c r="L142" s="48" t="s">
        <v>196</v>
      </c>
    </row>
    <row r="143" spans="1:13" x14ac:dyDescent="0.2">
      <c r="A143" s="4" t="s">
        <v>0</v>
      </c>
      <c r="D143" s="71" t="s">
        <v>182</v>
      </c>
      <c r="E143" s="98">
        <v>1</v>
      </c>
      <c r="F143" s="4" t="s">
        <v>115</v>
      </c>
      <c r="G143" s="62" t="e">
        <f>I143/0.75</f>
        <v>#REF!</v>
      </c>
      <c r="H143" s="62" t="e">
        <f>E143*G143</f>
        <v>#REF!</v>
      </c>
      <c r="I143" s="62" t="e">
        <f>#REF!</f>
        <v>#REF!</v>
      </c>
      <c r="J143" s="62" t="e">
        <f>E143*I143</f>
        <v>#REF!</v>
      </c>
      <c r="K143" s="63" t="e">
        <f t="shared" si="26"/>
        <v>#REF!</v>
      </c>
      <c r="L143" s="48" t="s">
        <v>196</v>
      </c>
    </row>
    <row r="144" spans="1:13" x14ac:dyDescent="0.2">
      <c r="A144" s="4" t="s">
        <v>0</v>
      </c>
      <c r="D144" s="71" t="s">
        <v>183</v>
      </c>
      <c r="E144" s="98">
        <v>1</v>
      </c>
      <c r="F144" s="4" t="s">
        <v>115</v>
      </c>
      <c r="G144" s="62" t="e">
        <f>I144/0.75</f>
        <v>#REF!</v>
      </c>
      <c r="H144" s="62" t="e">
        <f>E144*G144</f>
        <v>#REF!</v>
      </c>
      <c r="I144" s="62" t="e">
        <f>#REF!</f>
        <v>#REF!</v>
      </c>
      <c r="J144" s="62" t="e">
        <f>E144*I144</f>
        <v>#REF!</v>
      </c>
      <c r="K144" s="63" t="e">
        <f t="shared" si="26"/>
        <v>#REF!</v>
      </c>
      <c r="L144" s="48" t="s">
        <v>196</v>
      </c>
    </row>
    <row r="145" spans="1:12" ht="12.75" thickBot="1" x14ac:dyDescent="0.25">
      <c r="A145" s="4" t="s">
        <v>0</v>
      </c>
      <c r="D145" s="71" t="s">
        <v>184</v>
      </c>
      <c r="E145" s="98">
        <v>1</v>
      </c>
      <c r="F145" s="4" t="s">
        <v>115</v>
      </c>
      <c r="G145" s="66" t="e">
        <f>I145/0.75</f>
        <v>#REF!</v>
      </c>
      <c r="H145" s="66" t="e">
        <f>E145*G145</f>
        <v>#REF!</v>
      </c>
      <c r="I145" s="66" t="e">
        <f>#REF!</f>
        <v>#REF!</v>
      </c>
      <c r="J145" s="66" t="e">
        <f>E145*I145</f>
        <v>#REF!</v>
      </c>
      <c r="K145" s="67" t="e">
        <f t="shared" si="26"/>
        <v>#REF!</v>
      </c>
      <c r="L145" s="48" t="s">
        <v>196</v>
      </c>
    </row>
    <row r="146" spans="1:12" ht="12.75" thickTop="1" x14ac:dyDescent="0.2">
      <c r="G146" s="62"/>
      <c r="H146" s="62" t="e">
        <f>SUM(H141:H145)</f>
        <v>#REF!</v>
      </c>
      <c r="I146" s="62"/>
      <c r="J146" s="62" t="e">
        <f>SUM(J141:J145)</f>
        <v>#REF!</v>
      </c>
      <c r="K146" s="63" t="e">
        <f t="shared" si="26"/>
        <v>#REF!</v>
      </c>
    </row>
    <row r="147" spans="1:12" ht="12.75" thickBot="1" x14ac:dyDescent="0.25">
      <c r="D147" s="71" t="s">
        <v>120</v>
      </c>
      <c r="E147" s="76">
        <v>0</v>
      </c>
      <c r="G147" s="62"/>
      <c r="H147" s="66" t="e">
        <f>-H146*E147</f>
        <v>#REF!</v>
      </c>
      <c r="I147" s="62"/>
      <c r="J147" s="62"/>
      <c r="K147" s="63"/>
    </row>
    <row r="148" spans="1:12" ht="12.75" thickTop="1" x14ac:dyDescent="0.2">
      <c r="H148" s="68" t="e">
        <f>H146+H147</f>
        <v>#REF!</v>
      </c>
      <c r="I148" s="69"/>
      <c r="J148" s="68" t="e">
        <f>J146</f>
        <v>#REF!</v>
      </c>
      <c r="K148" s="70" t="e">
        <f>1-(J148/H148)</f>
        <v>#REF!</v>
      </c>
    </row>
    <row r="149" spans="1:12" x14ac:dyDescent="0.2">
      <c r="A149" s="495" t="s">
        <v>139</v>
      </c>
      <c r="B149" s="495"/>
      <c r="C149" s="495"/>
      <c r="D149" s="495"/>
      <c r="E149" s="495"/>
      <c r="F149" s="495"/>
      <c r="G149" s="495"/>
      <c r="H149" s="495"/>
      <c r="I149" s="495"/>
      <c r="J149" s="495"/>
      <c r="K149" s="495"/>
      <c r="L149" s="495"/>
    </row>
    <row r="150" spans="1:12" x14ac:dyDescent="0.2">
      <c r="A150" s="78" t="s">
        <v>5</v>
      </c>
      <c r="B150" s="78" t="s">
        <v>140</v>
      </c>
      <c r="C150" s="79"/>
      <c r="D150" s="80"/>
      <c r="E150" s="97"/>
      <c r="F150" s="79"/>
      <c r="G150" s="79"/>
      <c r="H150" s="79"/>
      <c r="I150" s="79"/>
      <c r="J150" s="79"/>
      <c r="K150" s="79"/>
      <c r="L150" s="97"/>
    </row>
    <row r="151" spans="1:12" x14ac:dyDescent="0.2">
      <c r="B151" s="60" t="s">
        <v>128</v>
      </c>
      <c r="C151" s="60" t="s">
        <v>106</v>
      </c>
      <c r="D151" s="73" t="s">
        <v>68</v>
      </c>
      <c r="E151" s="2" t="s">
        <v>69</v>
      </c>
      <c r="F151" s="60" t="s">
        <v>107</v>
      </c>
      <c r="G151" s="60" t="s">
        <v>108</v>
      </c>
      <c r="H151" s="60" t="s">
        <v>109</v>
      </c>
      <c r="I151" s="60" t="s">
        <v>110</v>
      </c>
      <c r="J151" s="60" t="s">
        <v>111</v>
      </c>
      <c r="K151" s="60" t="s">
        <v>13</v>
      </c>
      <c r="L151" s="117" t="s">
        <v>194</v>
      </c>
    </row>
    <row r="152" spans="1:12" x14ac:dyDescent="0.2">
      <c r="A152" s="4" t="s">
        <v>1</v>
      </c>
      <c r="D152" s="71" t="s">
        <v>193</v>
      </c>
      <c r="E152" s="98">
        <v>30</v>
      </c>
      <c r="F152" s="4" t="s">
        <v>115</v>
      </c>
      <c r="G152" s="61">
        <f>I152/0.7</f>
        <v>10714.285714285716</v>
      </c>
      <c r="H152" s="62">
        <f>E152*G152</f>
        <v>321428.57142857148</v>
      </c>
      <c r="I152" s="61">
        <v>7500</v>
      </c>
      <c r="J152" s="62">
        <f>E152*I152</f>
        <v>225000</v>
      </c>
      <c r="K152" s="63">
        <f t="shared" ref="K152:K156" si="27">1-(J152/H152)</f>
        <v>0.30000000000000016</v>
      </c>
      <c r="L152" s="48" t="s">
        <v>195</v>
      </c>
    </row>
    <row r="153" spans="1:12" x14ac:dyDescent="0.2">
      <c r="A153" s="4" t="s">
        <v>1</v>
      </c>
      <c r="D153" s="71" t="s">
        <v>72</v>
      </c>
      <c r="E153" s="98">
        <v>30</v>
      </c>
      <c r="F153" s="4" t="s">
        <v>115</v>
      </c>
      <c r="G153" s="61" t="e">
        <f>I153/0.7</f>
        <v>#REF!</v>
      </c>
      <c r="H153" s="62" t="e">
        <f>E153*G153</f>
        <v>#REF!</v>
      </c>
      <c r="I153" s="61" t="e">
        <f>#REF!</f>
        <v>#REF!</v>
      </c>
      <c r="J153" s="62" t="e">
        <f>E153*I153</f>
        <v>#REF!</v>
      </c>
      <c r="K153" s="63" t="e">
        <f t="shared" si="27"/>
        <v>#REF!</v>
      </c>
      <c r="L153" s="48" t="s">
        <v>196</v>
      </c>
    </row>
    <row r="154" spans="1:12" ht="24" x14ac:dyDescent="0.2">
      <c r="A154" s="4" t="s">
        <v>1</v>
      </c>
      <c r="D154" s="71" t="s">
        <v>147</v>
      </c>
      <c r="E154" s="98">
        <f>C7</f>
        <v>388</v>
      </c>
      <c r="F154" s="4" t="s">
        <v>115</v>
      </c>
      <c r="G154" s="61">
        <f>I154/0.7</f>
        <v>4.2857142857142856</v>
      </c>
      <c r="H154" s="62">
        <f>E154*G154*24</f>
        <v>39908.571428571428</v>
      </c>
      <c r="I154" s="4">
        <v>3</v>
      </c>
      <c r="J154" s="62">
        <f>E154*I154*24</f>
        <v>27936</v>
      </c>
      <c r="K154" s="63">
        <f t="shared" si="27"/>
        <v>0.29999999999999993</v>
      </c>
      <c r="L154" s="48" t="s">
        <v>195</v>
      </c>
    </row>
    <row r="155" spans="1:12" x14ac:dyDescent="0.2">
      <c r="A155" s="4" t="s">
        <v>1</v>
      </c>
      <c r="D155" s="71" t="s">
        <v>152</v>
      </c>
      <c r="E155" s="98">
        <f>ROUNDUP(30%*$C$7,0)</f>
        <v>117</v>
      </c>
      <c r="F155" s="4" t="s">
        <v>115</v>
      </c>
      <c r="G155" s="61" t="e">
        <f>I155/0.75</f>
        <v>#REF!</v>
      </c>
      <c r="H155" s="62" t="e">
        <f>E155*G155</f>
        <v>#REF!</v>
      </c>
      <c r="I155" s="4" t="e">
        <f>#REF!*2</f>
        <v>#REF!</v>
      </c>
      <c r="J155" s="62" t="e">
        <f>E155*I155</f>
        <v>#REF!</v>
      </c>
      <c r="K155" s="63" t="e">
        <f t="shared" si="27"/>
        <v>#REF!</v>
      </c>
      <c r="L155" s="48" t="s">
        <v>196</v>
      </c>
    </row>
    <row r="156" spans="1:12" x14ac:dyDescent="0.2">
      <c r="A156" s="4" t="s">
        <v>1</v>
      </c>
      <c r="D156" s="71" t="s">
        <v>88</v>
      </c>
      <c r="E156" s="98">
        <f>C7</f>
        <v>388</v>
      </c>
      <c r="F156" s="4" t="s">
        <v>115</v>
      </c>
      <c r="G156" s="61" t="e">
        <f>I156/0.75</f>
        <v>#REF!</v>
      </c>
      <c r="H156" s="62" t="e">
        <f>E156*G156*36</f>
        <v>#REF!</v>
      </c>
      <c r="I156" s="77" t="e">
        <f>#REF!/951</f>
        <v>#REF!</v>
      </c>
      <c r="J156" s="62" t="e">
        <f>E156*I156*36</f>
        <v>#REF!</v>
      </c>
      <c r="K156" s="63" t="e">
        <f t="shared" si="27"/>
        <v>#REF!</v>
      </c>
      <c r="L156" s="48" t="s">
        <v>195</v>
      </c>
    </row>
    <row r="157" spans="1:12" ht="12.75" thickBot="1" x14ac:dyDescent="0.25">
      <c r="B157" s="64"/>
      <c r="E157" s="98"/>
      <c r="G157" s="65"/>
      <c r="H157" s="66"/>
      <c r="I157" s="66"/>
      <c r="J157" s="66"/>
      <c r="K157" s="67"/>
    </row>
    <row r="158" spans="1:12" ht="12.75" thickTop="1" x14ac:dyDescent="0.2">
      <c r="G158" s="62"/>
      <c r="H158" s="62" t="e">
        <f>SUM(H152:H157)</f>
        <v>#REF!</v>
      </c>
      <c r="I158" s="62"/>
      <c r="J158" s="62" t="e">
        <f>SUM(J152:J157)</f>
        <v>#REF!</v>
      </c>
      <c r="K158" s="63" t="e">
        <f>1-(J158/H158)</f>
        <v>#REF!</v>
      </c>
    </row>
    <row r="159" spans="1:12" ht="12.75" thickBot="1" x14ac:dyDescent="0.25">
      <c r="D159" s="71" t="s">
        <v>120</v>
      </c>
      <c r="E159" s="76">
        <v>0</v>
      </c>
      <c r="G159" s="62"/>
      <c r="H159" s="66" t="e">
        <f>-H158*E159</f>
        <v>#REF!</v>
      </c>
      <c r="I159" s="62"/>
      <c r="J159" s="62"/>
      <c r="K159" s="63"/>
    </row>
    <row r="160" spans="1:12" ht="12.75" thickTop="1" x14ac:dyDescent="0.2">
      <c r="H160" s="68" t="e">
        <f>H158+H159</f>
        <v>#REF!</v>
      </c>
      <c r="I160" s="69"/>
      <c r="J160" s="68" t="e">
        <f>J158</f>
        <v>#REF!</v>
      </c>
      <c r="K160" s="70" t="e">
        <f>1-(J160/H160)</f>
        <v>#REF!</v>
      </c>
    </row>
    <row r="162" spans="1:13" x14ac:dyDescent="0.2">
      <c r="A162" s="78"/>
      <c r="B162" s="78" t="s">
        <v>18</v>
      </c>
      <c r="C162" s="79"/>
      <c r="D162" s="80"/>
      <c r="E162" s="97"/>
      <c r="F162" s="79"/>
      <c r="G162" s="79"/>
      <c r="H162" s="79"/>
      <c r="I162" s="79"/>
      <c r="J162" s="79"/>
      <c r="K162" s="79"/>
      <c r="L162" s="97"/>
    </row>
    <row r="163" spans="1:13" x14ac:dyDescent="0.2">
      <c r="B163" s="60" t="s">
        <v>128</v>
      </c>
      <c r="C163" s="60" t="s">
        <v>106</v>
      </c>
      <c r="D163" s="73" t="s">
        <v>68</v>
      </c>
      <c r="E163" s="2" t="s">
        <v>69</v>
      </c>
      <c r="F163" s="60" t="s">
        <v>107</v>
      </c>
      <c r="G163" s="60" t="s">
        <v>108</v>
      </c>
      <c r="H163" s="60" t="s">
        <v>109</v>
      </c>
      <c r="I163" s="60" t="s">
        <v>110</v>
      </c>
      <c r="J163" s="60" t="s">
        <v>111</v>
      </c>
      <c r="K163" s="60" t="s">
        <v>13</v>
      </c>
      <c r="L163" s="117" t="s">
        <v>194</v>
      </c>
      <c r="M163" s="60"/>
    </row>
    <row r="164" spans="1:13" x14ac:dyDescent="0.2">
      <c r="A164" s="4" t="s">
        <v>1</v>
      </c>
      <c r="B164" s="4" t="s">
        <v>141</v>
      </c>
      <c r="D164" s="71" t="s">
        <v>220</v>
      </c>
      <c r="E164" s="98">
        <f>C11</f>
        <v>0</v>
      </c>
      <c r="F164" s="4" t="s">
        <v>115</v>
      </c>
      <c r="G164" s="61">
        <f>I164/0.75</f>
        <v>166.66666666666666</v>
      </c>
      <c r="H164" s="62">
        <f>E164*G164*24</f>
        <v>0</v>
      </c>
      <c r="I164" s="61">
        <v>125</v>
      </c>
      <c r="J164" s="62">
        <f>E164*I164*24</f>
        <v>0</v>
      </c>
      <c r="K164" s="63" t="e">
        <f>1-(J164/H164)</f>
        <v>#DIV/0!</v>
      </c>
      <c r="L164" s="48" t="s">
        <v>195</v>
      </c>
      <c r="M164" s="4" t="s">
        <v>144</v>
      </c>
    </row>
    <row r="165" spans="1:13" ht="24" x14ac:dyDescent="0.2">
      <c r="A165" s="4" t="s">
        <v>1</v>
      </c>
      <c r="B165" s="4" t="s">
        <v>138</v>
      </c>
      <c r="D165" s="71" t="s">
        <v>221</v>
      </c>
      <c r="E165" s="98">
        <f>C10</f>
        <v>970</v>
      </c>
      <c r="F165" s="4" t="s">
        <v>115</v>
      </c>
      <c r="G165" s="61">
        <v>81</v>
      </c>
      <c r="H165" s="62">
        <f>E165*G165*24</f>
        <v>1885680</v>
      </c>
      <c r="I165" s="61">
        <v>52</v>
      </c>
      <c r="J165" s="62">
        <f>E165*I165*24</f>
        <v>1210560</v>
      </c>
      <c r="K165" s="63">
        <f>1-(J165/H165)</f>
        <v>0.35802469135802473</v>
      </c>
      <c r="L165" s="48" t="s">
        <v>195</v>
      </c>
      <c r="M165" s="4" t="s">
        <v>144</v>
      </c>
    </row>
    <row r="166" spans="1:13" ht="12.75" thickBot="1" x14ac:dyDescent="0.25">
      <c r="A166" s="4" t="s">
        <v>1</v>
      </c>
      <c r="B166" s="4" t="s">
        <v>138</v>
      </c>
      <c r="D166" s="71" t="s">
        <v>161</v>
      </c>
      <c r="E166" s="98">
        <v>50</v>
      </c>
      <c r="F166" s="4" t="s">
        <v>115</v>
      </c>
      <c r="G166" s="61">
        <v>81</v>
      </c>
      <c r="H166" s="66">
        <f>E166*G166*7</f>
        <v>28350</v>
      </c>
      <c r="I166" s="65">
        <v>52</v>
      </c>
      <c r="J166" s="66">
        <f>E166*I166*7</f>
        <v>18200</v>
      </c>
      <c r="K166" s="67">
        <f>1-(J166/H166)</f>
        <v>0.35802469135802473</v>
      </c>
      <c r="L166" s="48" t="s">
        <v>195</v>
      </c>
      <c r="M166" s="4" t="s">
        <v>144</v>
      </c>
    </row>
    <row r="167" spans="1:13" ht="12.75" thickTop="1" x14ac:dyDescent="0.2">
      <c r="G167" s="62"/>
      <c r="H167" s="62">
        <f>SUM(H164:H166)</f>
        <v>1914030</v>
      </c>
      <c r="I167" s="62"/>
      <c r="J167" s="62">
        <f>SUM(J164:J166)</f>
        <v>1228760</v>
      </c>
      <c r="K167" s="63">
        <f>1-(J167/H167)</f>
        <v>0.35802469135802473</v>
      </c>
    </row>
    <row r="168" spans="1:13" ht="12.75" thickBot="1" x14ac:dyDescent="0.25">
      <c r="D168" s="71" t="s">
        <v>120</v>
      </c>
      <c r="E168" s="76">
        <v>0</v>
      </c>
      <c r="G168" s="62"/>
      <c r="H168" s="66">
        <f>-H167*E168</f>
        <v>0</v>
      </c>
      <c r="I168" s="62"/>
      <c r="J168" s="62"/>
      <c r="K168" s="63"/>
    </row>
    <row r="169" spans="1:13" ht="12.75" thickTop="1" x14ac:dyDescent="0.2">
      <c r="H169" s="68">
        <f>H167+H168</f>
        <v>1914030</v>
      </c>
      <c r="I169" s="69"/>
      <c r="J169" s="68">
        <f>J167</f>
        <v>1228760</v>
      </c>
      <c r="K169" s="70">
        <f>1-(J169/H169)</f>
        <v>0.35802469135802473</v>
      </c>
    </row>
    <row r="170" spans="1:13" x14ac:dyDescent="0.2">
      <c r="A170" s="78"/>
      <c r="B170" s="78" t="s">
        <v>8</v>
      </c>
      <c r="C170" s="79"/>
      <c r="D170" s="80"/>
      <c r="E170" s="97"/>
      <c r="F170" s="79"/>
      <c r="G170" s="79"/>
      <c r="H170" s="79"/>
      <c r="I170" s="79"/>
      <c r="J170" s="79"/>
      <c r="K170" s="79"/>
      <c r="L170" s="97"/>
    </row>
    <row r="171" spans="1:13" x14ac:dyDescent="0.2">
      <c r="B171" s="60" t="s">
        <v>128</v>
      </c>
      <c r="C171" s="60" t="s">
        <v>106</v>
      </c>
      <c r="D171" s="73" t="s">
        <v>68</v>
      </c>
      <c r="E171" s="2" t="s">
        <v>69</v>
      </c>
      <c r="F171" s="60" t="s">
        <v>107</v>
      </c>
      <c r="G171" s="60" t="s">
        <v>108</v>
      </c>
      <c r="H171" s="60" t="s">
        <v>109</v>
      </c>
      <c r="I171" s="60" t="s">
        <v>110</v>
      </c>
      <c r="J171" s="60" t="s">
        <v>111</v>
      </c>
      <c r="K171" s="60" t="s">
        <v>13</v>
      </c>
    </row>
    <row r="172" spans="1:13" x14ac:dyDescent="0.2">
      <c r="A172" s="4" t="s">
        <v>1</v>
      </c>
      <c r="D172" s="71" t="s">
        <v>15</v>
      </c>
      <c r="E172" s="98">
        <f>ROUNDUP(C19*$C$7,0)</f>
        <v>4</v>
      </c>
      <c r="F172" s="4" t="s">
        <v>115</v>
      </c>
      <c r="G172" s="62">
        <f>I172/0.75</f>
        <v>173.68421052631581</v>
      </c>
      <c r="H172" s="62">
        <v>0</v>
      </c>
      <c r="I172" s="62">
        <f>10%*C20</f>
        <v>130.26315789473685</v>
      </c>
      <c r="J172" s="62">
        <f>E172*I172*24</f>
        <v>12505.263157894737</v>
      </c>
      <c r="K172" s="63" t="e">
        <f>1-(J172/H172)</f>
        <v>#DIV/0!</v>
      </c>
      <c r="L172" s="48" t="s">
        <v>196</v>
      </c>
    </row>
    <row r="173" spans="1:13" ht="12.75" thickBot="1" x14ac:dyDescent="0.25">
      <c r="B173" s="64"/>
      <c r="D173" s="136" t="s">
        <v>225</v>
      </c>
      <c r="E173" s="98">
        <v>1</v>
      </c>
      <c r="G173" s="65">
        <v>0</v>
      </c>
      <c r="H173" s="66">
        <v>0</v>
      </c>
      <c r="I173" s="66">
        <v>100000</v>
      </c>
      <c r="J173" s="66">
        <v>100000</v>
      </c>
      <c r="K173" s="67" t="e">
        <f>1-(J173/H173)</f>
        <v>#DIV/0!</v>
      </c>
    </row>
    <row r="174" spans="1:13" ht="12.75" thickTop="1" x14ac:dyDescent="0.2">
      <c r="G174" s="62"/>
      <c r="H174" s="62">
        <f>SUM(H172:H173)</f>
        <v>0</v>
      </c>
      <c r="I174" s="62"/>
      <c r="J174" s="62">
        <f>SUM(J172:J173)</f>
        <v>112505.26315789473</v>
      </c>
      <c r="K174" s="63" t="e">
        <f>1-(J174/H174)</f>
        <v>#DIV/0!</v>
      </c>
    </row>
    <row r="175" spans="1:13" ht="12.75" thickBot="1" x14ac:dyDescent="0.25">
      <c r="D175" s="71" t="s">
        <v>120</v>
      </c>
      <c r="E175" s="76">
        <v>0</v>
      </c>
      <c r="G175" s="62"/>
      <c r="H175" s="66">
        <f>-H174*E175</f>
        <v>0</v>
      </c>
      <c r="I175" s="62"/>
      <c r="J175" s="62"/>
      <c r="K175" s="63"/>
    </row>
    <row r="176" spans="1:13" ht="12.75" thickTop="1" x14ac:dyDescent="0.2">
      <c r="H176" s="68">
        <f>H174+H175</f>
        <v>0</v>
      </c>
      <c r="I176" s="69"/>
      <c r="J176" s="68">
        <f>J174</f>
        <v>112505.26315789473</v>
      </c>
      <c r="K176" s="70" t="e">
        <f>1-(J176/H176)</f>
        <v>#DIV/0!</v>
      </c>
    </row>
    <row r="178" spans="4:17" ht="15.75" thickBot="1" x14ac:dyDescent="0.3">
      <c r="H178" s="1" t="s">
        <v>4</v>
      </c>
      <c r="J178" s="106" t="s">
        <v>19</v>
      </c>
      <c r="K178" s="108" t="s">
        <v>13</v>
      </c>
    </row>
    <row r="179" spans="4:17" ht="15.75" thickBot="1" x14ac:dyDescent="0.3">
      <c r="D179" s="81" t="s">
        <v>142</v>
      </c>
      <c r="E179" s="99"/>
      <c r="F179" s="82"/>
      <c r="G179" s="82"/>
      <c r="H179" s="105" t="e">
        <f>H36+H49+H56+H64+H72+H79+H95+H124+H137+H148+H160+H169+H176+H111</f>
        <v>#REF!</v>
      </c>
      <c r="I179" s="82"/>
      <c r="J179" s="105" t="e">
        <f>J36+J49+J56+J64+J72+J79+J95+J124+J137+J148+J160+J169+J176+J111</f>
        <v>#REF!</v>
      </c>
      <c r="K179" s="107" t="e">
        <f>1-(J179/H179)</f>
        <v>#REF!</v>
      </c>
    </row>
    <row r="180" spans="4:17" ht="15.75" thickBot="1" x14ac:dyDescent="0.3">
      <c r="D180" s="49"/>
      <c r="E180" s="104"/>
      <c r="F180" s="49"/>
      <c r="G180" s="49"/>
      <c r="H180" s="83"/>
      <c r="I180" s="49"/>
      <c r="J180" s="85"/>
      <c r="K180" s="86"/>
    </row>
    <row r="181" spans="4:17" ht="15.75" thickBot="1" x14ac:dyDescent="0.3">
      <c r="D181" s="81" t="s">
        <v>143</v>
      </c>
      <c r="E181" s="100">
        <v>0</v>
      </c>
      <c r="F181" s="82"/>
      <c r="G181" s="82"/>
      <c r="H181" s="87" t="e">
        <f>-E181*H179</f>
        <v>#REF!</v>
      </c>
      <c r="I181" s="82"/>
      <c r="J181" s="83">
        <v>0</v>
      </c>
      <c r="K181" s="84"/>
    </row>
    <row r="182" spans="4:17" ht="15.75" thickBot="1" x14ac:dyDescent="0.3">
      <c r="D182"/>
      <c r="E182" s="101"/>
      <c r="F182"/>
      <c r="G182"/>
      <c r="H182"/>
      <c r="I182"/>
      <c r="J182"/>
      <c r="K182"/>
    </row>
    <row r="183" spans="4:17" ht="15.75" thickBot="1" x14ac:dyDescent="0.3">
      <c r="D183" s="88" t="s">
        <v>153</v>
      </c>
      <c r="E183" s="102"/>
      <c r="F183" s="89"/>
      <c r="G183" s="89"/>
      <c r="H183" s="90" t="e">
        <f>H179+H181</f>
        <v>#REF!</v>
      </c>
      <c r="I183" s="89"/>
      <c r="J183" s="90" t="e">
        <f>J179+J180</f>
        <v>#REF!</v>
      </c>
      <c r="K183" s="91" t="e">
        <f>1-(J183/H183)</f>
        <v>#REF!</v>
      </c>
    </row>
    <row r="184" spans="4:17" ht="15.75" thickBot="1" x14ac:dyDescent="0.3">
      <c r="D184"/>
      <c r="E184" s="101"/>
      <c r="F184"/>
      <c r="G184"/>
      <c r="H184"/>
      <c r="I184"/>
      <c r="J184"/>
      <c r="K184"/>
    </row>
    <row r="185" spans="4:17" ht="15.75" thickBot="1" x14ac:dyDescent="0.3">
      <c r="D185" s="92" t="s">
        <v>170</v>
      </c>
      <c r="E185" s="103"/>
      <c r="F185" s="93"/>
      <c r="G185" s="93"/>
      <c r="H185" s="94" t="e">
        <f>H183/C7/C18</f>
        <v>#REF!</v>
      </c>
      <c r="I185" s="93"/>
      <c r="J185" s="94" t="e">
        <f>J183/C7/C18</f>
        <v>#REF!</v>
      </c>
      <c r="K185" s="95" t="e">
        <f>1-(J185/H185)</f>
        <v>#REF!</v>
      </c>
      <c r="N185" s="118" t="s">
        <v>19</v>
      </c>
      <c r="O185" s="118" t="s">
        <v>4</v>
      </c>
      <c r="P185" s="118" t="s">
        <v>197</v>
      </c>
      <c r="Q185" s="118" t="s">
        <v>4</v>
      </c>
    </row>
    <row r="186" spans="4:17" ht="15" customHeight="1" thickBot="1" x14ac:dyDescent="0.3">
      <c r="D186"/>
      <c r="E186" s="101"/>
      <c r="F186"/>
      <c r="G186"/>
      <c r="H186"/>
      <c r="I186"/>
      <c r="J186"/>
      <c r="K186"/>
      <c r="M186" s="119" t="s">
        <v>195</v>
      </c>
      <c r="N186" s="120" t="e">
        <f>N187+N189+N190+N188</f>
        <v>#REF!</v>
      </c>
      <c r="O186" s="120" t="e">
        <f>O187+O189+O190+O188</f>
        <v>#REF!</v>
      </c>
      <c r="P186" s="121" t="e">
        <f>1-(N186/O186)</f>
        <v>#REF!</v>
      </c>
      <c r="Q186" s="496" t="e">
        <f>O186/O195</f>
        <v>#REF!</v>
      </c>
    </row>
    <row r="187" spans="4:17" ht="12.75" thickTop="1" x14ac:dyDescent="0.2">
      <c r="M187" s="122" t="s">
        <v>198</v>
      </c>
      <c r="N187" s="123" t="e">
        <f>SUMIFS(J26:J176,A26:A176,"CAPEX",L26:L176,"HNS",M26:M176,"VSAT")</f>
        <v>#REF!</v>
      </c>
      <c r="O187" s="123" t="e">
        <f>SUMIFS(H26:H176,A26:A176,"CAPEX",L26:L176,"HNS",M26:M176,"VSAT")-(SUMIFS(H26:H176,A26:A176,"CAPEX",L26:L176,"HNS",M26:M176,"VSAT"))*E181</f>
        <v>#REF!</v>
      </c>
      <c r="P187" s="124" t="e">
        <f>1-(N187/O187)</f>
        <v>#REF!</v>
      </c>
      <c r="Q187" s="496"/>
    </row>
    <row r="188" spans="4:17" x14ac:dyDescent="0.2">
      <c r="M188" s="122" t="s">
        <v>199</v>
      </c>
      <c r="N188" s="123" t="e">
        <f>SUMIFS(J26:J176,A26:A176,"CAPEX",L26:L176,"HNS",M26:M176,"GW-INFRA")</f>
        <v>#REF!</v>
      </c>
      <c r="O188" s="123" t="e">
        <f>SUMIFS(H26:H176,A26:A176,"CAPEX",L26:L176,"HNS",M26:M176,"GW-INFRA")-(SUMIFS(H26:H176,A26:A176,"CAPEX",L26:L176,"HNS",M26:M176,"GW-INFRA"))*E181</f>
        <v>#REF!</v>
      </c>
      <c r="P188" s="124" t="e">
        <f>1-(N188/O188)</f>
        <v>#REF!</v>
      </c>
      <c r="Q188" s="496"/>
    </row>
    <row r="189" spans="4:17" x14ac:dyDescent="0.2">
      <c r="M189" s="122" t="s">
        <v>200</v>
      </c>
      <c r="N189" s="123" t="e">
        <f>SUMIFS(J26:J176,A26:A176,"OPEX",L26:L176,"HNS",M26:M176,"")</f>
        <v>#REF!</v>
      </c>
      <c r="O189" s="123" t="e">
        <f>SUMIFS(H26:H176,A26:A176,"OPEX",L26:L176,"HNS",M26:M176,"")-(SUMIFS(H26:H176,A26:A176,"OPEX",L26:L176,"HNS",M26:M176,""))*E181</f>
        <v>#REF!</v>
      </c>
      <c r="P189" s="124" t="e">
        <f t="shared" ref="P189:P193" si="28">1-(N189/O189)</f>
        <v>#REF!</v>
      </c>
      <c r="Q189" s="496"/>
    </row>
    <row r="190" spans="4:17" x14ac:dyDescent="0.2">
      <c r="M190" s="122" t="s">
        <v>205</v>
      </c>
      <c r="N190" s="123">
        <f>SUMIFS(J26:J176,A26:A176,"OPEX",L26:L176,"HNS",M26:M176,"T19V")</f>
        <v>1228760</v>
      </c>
      <c r="O190" s="123">
        <f>SUMIFS(H26:H176,A26:A176,"OPEX",L26:L176,"HNS",M26:M176,"T19V")-(SUMIFS(H26:H176,A26:A176,"OPEX",L26:L176,"HNS",M26:M176,"T19V"))*E181</f>
        <v>1914030</v>
      </c>
      <c r="P190" s="124">
        <f t="shared" si="28"/>
        <v>0.35802469135802473</v>
      </c>
      <c r="Q190" s="496"/>
    </row>
    <row r="191" spans="4:17" ht="12.75" thickBot="1" x14ac:dyDescent="0.25">
      <c r="M191" s="125" t="s">
        <v>196</v>
      </c>
      <c r="N191" s="126" t="e">
        <f>N192+N193+N194</f>
        <v>#REF!</v>
      </c>
      <c r="O191" s="126" t="e">
        <f>O192+O193+O194</f>
        <v>#REF!</v>
      </c>
      <c r="P191" s="127" t="e">
        <f t="shared" si="28"/>
        <v>#REF!</v>
      </c>
      <c r="Q191" s="497" t="e">
        <f>O191/O195</f>
        <v>#REF!</v>
      </c>
    </row>
    <row r="192" spans="4:17" ht="12.75" thickTop="1" x14ac:dyDescent="0.2">
      <c r="M192" s="128" t="s">
        <v>201</v>
      </c>
      <c r="N192" s="129" t="e">
        <f>SUMIFS(J26:J176,A26:A176,"CAPEX",L26:L176,"HDP",M26:M176,"")</f>
        <v>#REF!</v>
      </c>
      <c r="O192" s="129" t="e">
        <f>SUMIFS(H26:H176,A26:A176,"CAPEX",L26:L176,"HDP",M26:M176,"")-(SUMIFS(H26:H176,A26:A176,"CAPEX",L26:L176,"HDP",M26:M176,""))*E181</f>
        <v>#REF!</v>
      </c>
      <c r="P192" s="130" t="e">
        <f t="shared" si="28"/>
        <v>#REF!</v>
      </c>
      <c r="Q192" s="497"/>
    </row>
    <row r="193" spans="4:17" x14ac:dyDescent="0.2">
      <c r="M193" s="128" t="s">
        <v>202</v>
      </c>
      <c r="N193" s="129" t="e">
        <f>SUMIFS(J26:J176,A26:A176,"OPEX",L26:L176,"HDP",M26:M176,"")</f>
        <v>#REF!</v>
      </c>
      <c r="O193" s="129" t="e">
        <f>SUMIFS(H26:H176,A26:A176,"OPEX",L26:L176,"HDP",M26:M176,"")-(SUMIFS(H26:H176,A26:A176,"OPEX",L26:L176,"HDP",M26:M176,""))*E181</f>
        <v>#REF!</v>
      </c>
      <c r="P193" s="130" t="e">
        <f t="shared" si="28"/>
        <v>#REF!</v>
      </c>
      <c r="Q193" s="497"/>
    </row>
    <row r="194" spans="4:17" x14ac:dyDescent="0.2">
      <c r="M194" s="128"/>
      <c r="N194" s="129">
        <f>SUMIFS(J26:J176,A26:A176,"OPEX",L26:L176,"HDP",M26:M176,"SES-17")</f>
        <v>0</v>
      </c>
      <c r="O194" s="129">
        <f>SUMIFS(H47:H175,A47:A175,"OPEX",L47:L175,"HDP",P47:P175,"SES-17")-(SUMIFS(H47:H175,A47:A175,"OPEX",L47:L175,"HDP",P47:P175,"SES-17"))*E181</f>
        <v>0</v>
      </c>
      <c r="P194" s="130"/>
      <c r="Q194" s="497"/>
    </row>
    <row r="195" spans="4:17" ht="18.75" x14ac:dyDescent="0.3">
      <c r="D195" s="498" t="s">
        <v>76</v>
      </c>
      <c r="E195" s="498"/>
      <c r="F195" s="498" t="s">
        <v>74</v>
      </c>
      <c r="G195" s="498" t="s">
        <v>73</v>
      </c>
      <c r="H195" s="498" t="s">
        <v>3</v>
      </c>
      <c r="I195" s="500" t="s">
        <v>77</v>
      </c>
      <c r="J195" s="498" t="s">
        <v>78</v>
      </c>
      <c r="K195" s="500" t="s">
        <v>79</v>
      </c>
      <c r="M195" s="131"/>
      <c r="N195" s="132" t="e">
        <f>N186+N191</f>
        <v>#REF!</v>
      </c>
      <c r="O195" s="132" t="e">
        <f>O186+O191</f>
        <v>#REF!</v>
      </c>
      <c r="P195" s="133" t="e">
        <f>1-(N195/O195)</f>
        <v>#REF!</v>
      </c>
    </row>
    <row r="196" spans="4:17" ht="26.85" customHeight="1" x14ac:dyDescent="0.2">
      <c r="D196" s="499"/>
      <c r="E196" s="499"/>
      <c r="F196" s="499"/>
      <c r="G196" s="499"/>
      <c r="H196" s="499"/>
      <c r="I196" s="501"/>
      <c r="J196" s="499"/>
      <c r="K196" s="501"/>
    </row>
    <row r="197" spans="4:17" ht="21" x14ac:dyDescent="0.25">
      <c r="D197" s="42"/>
      <c r="E197" s="42"/>
      <c r="F197" s="42"/>
      <c r="G197" s="42"/>
      <c r="H197" s="42"/>
      <c r="I197" s="43"/>
      <c r="J197" s="43"/>
      <c r="K197" s="43"/>
    </row>
    <row r="198" spans="4:17" ht="23.25" x14ac:dyDescent="0.35">
      <c r="D198" s="494" t="s">
        <v>80</v>
      </c>
      <c r="E198" s="494"/>
      <c r="F198" s="494"/>
      <c r="G198" s="494"/>
      <c r="H198" s="494"/>
      <c r="I198" s="43"/>
      <c r="J198" s="43"/>
      <c r="K198" s="43"/>
      <c r="N198" s="77" t="e">
        <f>J179-N195</f>
        <v>#REF!</v>
      </c>
    </row>
    <row r="199" spans="4:17" x14ac:dyDescent="0.2">
      <c r="D199" s="493" t="s">
        <v>166</v>
      </c>
      <c r="E199" s="493"/>
      <c r="F199" s="489">
        <f>H36+H49-(H36+H49)*E181</f>
        <v>151264.54285714286</v>
      </c>
      <c r="G199" s="489">
        <f>J36+J49</f>
        <v>105885.18</v>
      </c>
      <c r="H199" s="491">
        <f>1-(G199/F199)</f>
        <v>0.30000000000000004</v>
      </c>
      <c r="I199" s="491" t="e">
        <f>G199/$G$218</f>
        <v>#REF!</v>
      </c>
      <c r="J199" s="480">
        <f>G199/$C$7/$C$18</f>
        <v>11.370831185567008</v>
      </c>
      <c r="K199" s="480">
        <f>F199/$C$7/$C$18</f>
        <v>16.244044550810013</v>
      </c>
    </row>
    <row r="200" spans="4:17" x14ac:dyDescent="0.2">
      <c r="D200" s="493"/>
      <c r="E200" s="493"/>
      <c r="F200" s="490"/>
      <c r="G200" s="490"/>
      <c r="H200" s="492"/>
      <c r="I200" s="492"/>
      <c r="J200" s="481"/>
      <c r="K200" s="481"/>
    </row>
    <row r="201" spans="4:17" x14ac:dyDescent="0.2">
      <c r="D201" s="493" t="s">
        <v>81</v>
      </c>
      <c r="E201" s="493"/>
      <c r="F201" s="489">
        <f>H169-H169*E181</f>
        <v>1914030</v>
      </c>
      <c r="G201" s="489">
        <f>J169</f>
        <v>1228760</v>
      </c>
      <c r="H201" s="491">
        <f>1-(G201/F201)</f>
        <v>0.35802469135802473</v>
      </c>
      <c r="I201" s="491" t="e">
        <f>G201/$G$218</f>
        <v>#REF!</v>
      </c>
      <c r="J201" s="480">
        <f>G201/$C$7/$C$18</f>
        <v>131.95446735395188</v>
      </c>
      <c r="K201" s="480">
        <f>F201/$C$7/$C$18</f>
        <v>205.54445876288659</v>
      </c>
    </row>
    <row r="202" spans="4:17" x14ac:dyDescent="0.2">
      <c r="D202" s="493"/>
      <c r="E202" s="493"/>
      <c r="F202" s="490"/>
      <c r="G202" s="490"/>
      <c r="H202" s="492"/>
      <c r="I202" s="492"/>
      <c r="J202" s="481"/>
      <c r="K202" s="481"/>
    </row>
    <row r="203" spans="4:17" x14ac:dyDescent="0.2">
      <c r="D203" s="493" t="s">
        <v>162</v>
      </c>
      <c r="E203" s="493"/>
      <c r="F203" s="489" t="e">
        <f>H160+H176-(H160+H176)*E181</f>
        <v>#REF!</v>
      </c>
      <c r="G203" s="489" t="e">
        <f>J160+J176</f>
        <v>#REF!</v>
      </c>
      <c r="H203" s="491" t="e">
        <f>1-(G203/F203)</f>
        <v>#REF!</v>
      </c>
      <c r="I203" s="491" t="e">
        <f>G203/$G$218</f>
        <v>#REF!</v>
      </c>
      <c r="J203" s="480" t="e">
        <f>G203/$C$7/$C$18</f>
        <v>#REF!</v>
      </c>
      <c r="K203" s="480" t="e">
        <f>F203/$C$7/$C$18</f>
        <v>#REF!</v>
      </c>
    </row>
    <row r="204" spans="4:17" x14ac:dyDescent="0.2">
      <c r="D204" s="493"/>
      <c r="E204" s="493"/>
      <c r="F204" s="490"/>
      <c r="G204" s="490"/>
      <c r="H204" s="492"/>
      <c r="I204" s="492"/>
      <c r="J204" s="481"/>
      <c r="K204" s="481"/>
    </row>
    <row r="205" spans="4:17" x14ac:dyDescent="0.2">
      <c r="D205" s="476" t="s">
        <v>163</v>
      </c>
      <c r="E205" s="476"/>
      <c r="F205" s="482" t="e">
        <f>SUM(F199:F204)</f>
        <v>#REF!</v>
      </c>
      <c r="G205" s="482" t="e">
        <f>SUM(G199:G204)</f>
        <v>#REF!</v>
      </c>
      <c r="H205" s="484" t="e">
        <f>1-(G205/F205)</f>
        <v>#REF!</v>
      </c>
      <c r="I205" s="484" t="e">
        <f>G205/$G$218</f>
        <v>#REF!</v>
      </c>
      <c r="J205" s="486" t="e">
        <f>G205/$C$7/$C$18</f>
        <v>#REF!</v>
      </c>
      <c r="K205" s="486" t="e">
        <f>F205/$C$7/$C$18</f>
        <v>#REF!</v>
      </c>
    </row>
    <row r="206" spans="4:17" x14ac:dyDescent="0.2">
      <c r="D206" s="476"/>
      <c r="E206" s="476"/>
      <c r="F206" s="483"/>
      <c r="G206" s="483"/>
      <c r="H206" s="485"/>
      <c r="I206" s="485"/>
      <c r="J206" s="487"/>
      <c r="K206" s="487"/>
    </row>
    <row r="207" spans="4:17" x14ac:dyDescent="0.2">
      <c r="D207" s="4"/>
      <c r="E207" s="4"/>
    </row>
    <row r="208" spans="4:17" x14ac:dyDescent="0.2">
      <c r="D208" s="4"/>
      <c r="E208" s="4"/>
    </row>
    <row r="209" spans="4:11" x14ac:dyDescent="0.2">
      <c r="D209" s="493" t="s">
        <v>84</v>
      </c>
      <c r="E209" s="493"/>
      <c r="F209" s="489" t="e">
        <f>H64+H72+H79+H95+H111+H148-(H64+H72+H79+H95+H111+H148)*E181</f>
        <v>#REF!</v>
      </c>
      <c r="G209" s="489" t="e">
        <f>J64+J72+J79+J95+J111+J148</f>
        <v>#REF!</v>
      </c>
      <c r="H209" s="491" t="e">
        <f>1-(G209/F209)</f>
        <v>#REF!</v>
      </c>
      <c r="I209" s="491" t="e">
        <f>G209/$G$218</f>
        <v>#REF!</v>
      </c>
      <c r="J209" s="480" t="e">
        <f>G209/$C$7/$C$18</f>
        <v>#REF!</v>
      </c>
      <c r="K209" s="480" t="e">
        <f>F209/$C$7/$C$18</f>
        <v>#REF!</v>
      </c>
    </row>
    <row r="210" spans="4:11" x14ac:dyDescent="0.2">
      <c r="D210" s="493"/>
      <c r="E210" s="493"/>
      <c r="F210" s="490"/>
      <c r="G210" s="490"/>
      <c r="H210" s="492"/>
      <c r="I210" s="492"/>
      <c r="J210" s="481"/>
      <c r="K210" s="481"/>
    </row>
    <row r="211" spans="4:11" x14ac:dyDescent="0.2">
      <c r="D211" s="493" t="s">
        <v>86</v>
      </c>
      <c r="E211" s="493"/>
      <c r="F211" s="489" t="e">
        <f>H124+H137-(H124+H137)*E181</f>
        <v>#REF!</v>
      </c>
      <c r="G211" s="489" t="e">
        <f>J124+J137</f>
        <v>#REF!</v>
      </c>
      <c r="H211" s="491" t="e">
        <f>1-(G211/F211)</f>
        <v>#REF!</v>
      </c>
      <c r="I211" s="491" t="e">
        <f>G211/$G$218</f>
        <v>#REF!</v>
      </c>
      <c r="J211" s="480" t="e">
        <f>G211/$C$7/$C$18</f>
        <v>#REF!</v>
      </c>
      <c r="K211" s="480" t="e">
        <f>F211/$C$7/$C$18</f>
        <v>#REF!</v>
      </c>
    </row>
    <row r="212" spans="4:11" x14ac:dyDescent="0.2">
      <c r="D212" s="493"/>
      <c r="E212" s="493"/>
      <c r="F212" s="490"/>
      <c r="G212" s="490"/>
      <c r="H212" s="492"/>
      <c r="I212" s="492"/>
      <c r="J212" s="481"/>
      <c r="K212" s="481"/>
    </row>
    <row r="213" spans="4:11" x14ac:dyDescent="0.2">
      <c r="D213" s="488" t="s">
        <v>164</v>
      </c>
      <c r="E213" s="488"/>
      <c r="F213" s="489" t="e">
        <f>H56-H56*E181</f>
        <v>#REF!</v>
      </c>
      <c r="G213" s="489" t="e">
        <f>J56</f>
        <v>#REF!</v>
      </c>
      <c r="H213" s="491" t="e">
        <f>1-(G213/F213)</f>
        <v>#REF!</v>
      </c>
      <c r="I213" s="491" t="e">
        <f>G213/$G$218</f>
        <v>#REF!</v>
      </c>
      <c r="J213" s="480" t="e">
        <f>G213/$C$7/$C$18</f>
        <v>#REF!</v>
      </c>
      <c r="K213" s="480" t="e">
        <f>F213/$C$7/$C$18</f>
        <v>#REF!</v>
      </c>
    </row>
    <row r="214" spans="4:11" x14ac:dyDescent="0.2">
      <c r="D214" s="488"/>
      <c r="E214" s="488"/>
      <c r="F214" s="490"/>
      <c r="G214" s="490"/>
      <c r="H214" s="492"/>
      <c r="I214" s="492"/>
      <c r="J214" s="481"/>
      <c r="K214" s="481"/>
    </row>
    <row r="215" spans="4:11" x14ac:dyDescent="0.2">
      <c r="D215" s="476" t="s">
        <v>163</v>
      </c>
      <c r="E215" s="476"/>
      <c r="F215" s="482" t="e">
        <f>SUM(F209:F214)</f>
        <v>#REF!</v>
      </c>
      <c r="G215" s="482" t="e">
        <f>SUM(G209:G214)</f>
        <v>#REF!</v>
      </c>
      <c r="H215" s="484" t="e">
        <f>1-(G215/F215)</f>
        <v>#REF!</v>
      </c>
      <c r="I215" s="484" t="e">
        <f>G215/$G$218</f>
        <v>#REF!</v>
      </c>
      <c r="J215" s="486" t="e">
        <f>G215/$C$7/$C$18</f>
        <v>#REF!</v>
      </c>
      <c r="K215" s="486" t="e">
        <f>F215/$C$7/$C$18</f>
        <v>#REF!</v>
      </c>
    </row>
    <row r="216" spans="4:11" x14ac:dyDescent="0.2">
      <c r="D216" s="476"/>
      <c r="E216" s="476"/>
      <c r="F216" s="483"/>
      <c r="G216" s="483"/>
      <c r="H216" s="485"/>
      <c r="I216" s="485"/>
      <c r="J216" s="487"/>
      <c r="K216" s="487"/>
    </row>
    <row r="217" spans="4:11" ht="15" x14ac:dyDescent="0.25">
      <c r="D217"/>
      <c r="E217"/>
      <c r="F217"/>
      <c r="G217"/>
      <c r="H217"/>
      <c r="I217"/>
      <c r="J217"/>
      <c r="K217"/>
    </row>
    <row r="218" spans="4:11" ht="21" x14ac:dyDescent="0.35">
      <c r="D218" s="479" t="s">
        <v>167</v>
      </c>
      <c r="E218" s="479"/>
      <c r="F218" s="44" t="e">
        <f>F205+F215</f>
        <v>#REF!</v>
      </c>
      <c r="G218" s="44" t="e">
        <f>G205+G215</f>
        <v>#REF!</v>
      </c>
      <c r="H218" s="45" t="e">
        <f>1-(G218/F218)</f>
        <v>#REF!</v>
      </c>
      <c r="I218" s="45" t="e">
        <f>I205+I215</f>
        <v>#REF!</v>
      </c>
      <c r="J218" s="46" t="e">
        <f>J205+J215</f>
        <v>#REF!</v>
      </c>
      <c r="K218" s="46" t="e">
        <f>K205+K215</f>
        <v>#REF!</v>
      </c>
    </row>
    <row r="219" spans="4:11" ht="15" x14ac:dyDescent="0.25">
      <c r="D219" s="476" t="s">
        <v>82</v>
      </c>
      <c r="E219" s="476"/>
      <c r="F219" s="477">
        <f>E164+E165</f>
        <v>970</v>
      </c>
      <c r="G219" s="477" t="s">
        <v>71</v>
      </c>
      <c r="H219"/>
      <c r="I219"/>
      <c r="J219"/>
      <c r="K219"/>
    </row>
    <row r="220" spans="4:11" ht="15" x14ac:dyDescent="0.25">
      <c r="D220" s="476"/>
      <c r="E220" s="476"/>
      <c r="F220" s="478"/>
      <c r="G220" s="478"/>
      <c r="H220"/>
      <c r="I220"/>
      <c r="J220"/>
      <c r="K220"/>
    </row>
    <row r="221" spans="4:11" ht="15" x14ac:dyDescent="0.25">
      <c r="D221" s="476" t="s">
        <v>83</v>
      </c>
      <c r="E221" s="476"/>
      <c r="F221" s="477">
        <f>C7</f>
        <v>388</v>
      </c>
      <c r="G221" s="477" t="s">
        <v>2</v>
      </c>
      <c r="H221"/>
      <c r="I221"/>
      <c r="J221"/>
      <c r="K221" s="47"/>
    </row>
    <row r="222" spans="4:11" ht="15" x14ac:dyDescent="0.25">
      <c r="D222" s="476"/>
      <c r="E222" s="476"/>
      <c r="F222" s="478"/>
      <c r="G222" s="478"/>
      <c r="H222"/>
      <c r="I222"/>
      <c r="J222"/>
      <c r="K222"/>
    </row>
    <row r="223" spans="4:11" ht="15" x14ac:dyDescent="0.25">
      <c r="D223" s="476" t="s">
        <v>85</v>
      </c>
      <c r="E223" s="476"/>
      <c r="F223" s="477">
        <f>C18</f>
        <v>24</v>
      </c>
      <c r="G223" s="477" t="s">
        <v>165</v>
      </c>
      <c r="H223"/>
      <c r="I223"/>
      <c r="J223"/>
      <c r="K223"/>
    </row>
    <row r="224" spans="4:11" x14ac:dyDescent="0.2">
      <c r="D224" s="476"/>
      <c r="E224" s="476"/>
      <c r="F224" s="478"/>
      <c r="G224" s="478"/>
      <c r="H224" s="5"/>
      <c r="I224" s="5"/>
      <c r="J224" s="5"/>
      <c r="K224" s="5"/>
    </row>
  </sheetData>
  <mergeCells count="83">
    <mergeCell ref="A113:L113"/>
    <mergeCell ref="A1:K1"/>
    <mergeCell ref="A4:A20"/>
    <mergeCell ref="B4:C4"/>
    <mergeCell ref="A22:L22"/>
    <mergeCell ref="A24:L24"/>
    <mergeCell ref="A149:L149"/>
    <mergeCell ref="Q186:Q190"/>
    <mergeCell ref="Q191:Q194"/>
    <mergeCell ref="D195:E196"/>
    <mergeCell ref="F195:F196"/>
    <mergeCell ref="G195:G196"/>
    <mergeCell ref="H195:H196"/>
    <mergeCell ref="I195:I196"/>
    <mergeCell ref="J195:J196"/>
    <mergeCell ref="K195:K196"/>
    <mergeCell ref="D198:H198"/>
    <mergeCell ref="D199:E200"/>
    <mergeCell ref="F199:F200"/>
    <mergeCell ref="G199:G200"/>
    <mergeCell ref="H199:H200"/>
    <mergeCell ref="J199:J200"/>
    <mergeCell ref="K199:K200"/>
    <mergeCell ref="D201:E202"/>
    <mergeCell ref="F201:F202"/>
    <mergeCell ref="G201:G202"/>
    <mergeCell ref="H201:H202"/>
    <mergeCell ref="I201:I202"/>
    <mergeCell ref="J201:J202"/>
    <mergeCell ref="K201:K202"/>
    <mergeCell ref="I199:I200"/>
    <mergeCell ref="K203:K204"/>
    <mergeCell ref="D205:E206"/>
    <mergeCell ref="F205:F206"/>
    <mergeCell ref="G205:G206"/>
    <mergeCell ref="H205:H206"/>
    <mergeCell ref="I205:I206"/>
    <mergeCell ref="J205:J206"/>
    <mergeCell ref="K205:K206"/>
    <mergeCell ref="D203:E204"/>
    <mergeCell ref="F203:F204"/>
    <mergeCell ref="G203:G204"/>
    <mergeCell ref="H203:H204"/>
    <mergeCell ref="I203:I204"/>
    <mergeCell ref="J203:J204"/>
    <mergeCell ref="K209:K210"/>
    <mergeCell ref="D211:E212"/>
    <mergeCell ref="F211:F212"/>
    <mergeCell ref="G211:G212"/>
    <mergeCell ref="H211:H212"/>
    <mergeCell ref="I211:I212"/>
    <mergeCell ref="J211:J212"/>
    <mergeCell ref="K211:K212"/>
    <mergeCell ref="D209:E210"/>
    <mergeCell ref="F209:F210"/>
    <mergeCell ref="G209:G210"/>
    <mergeCell ref="H209:H210"/>
    <mergeCell ref="I209:I210"/>
    <mergeCell ref="J209:J210"/>
    <mergeCell ref="K213:K214"/>
    <mergeCell ref="D215:E216"/>
    <mergeCell ref="F215:F216"/>
    <mergeCell ref="G215:G216"/>
    <mergeCell ref="H215:H216"/>
    <mergeCell ref="I215:I216"/>
    <mergeCell ref="J215:J216"/>
    <mergeCell ref="K215:K216"/>
    <mergeCell ref="D213:E214"/>
    <mergeCell ref="F213:F214"/>
    <mergeCell ref="G213:G214"/>
    <mergeCell ref="H213:H214"/>
    <mergeCell ref="I213:I214"/>
    <mergeCell ref="J213:J214"/>
    <mergeCell ref="D223:E224"/>
    <mergeCell ref="F223:F224"/>
    <mergeCell ref="G223:G224"/>
    <mergeCell ref="D218:E218"/>
    <mergeCell ref="D219:E220"/>
    <mergeCell ref="F219:F220"/>
    <mergeCell ref="G219:G220"/>
    <mergeCell ref="D221:E222"/>
    <mergeCell ref="F221:F222"/>
    <mergeCell ref="G221:G222"/>
  </mergeCells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6C6FB-5A6C-41C5-A63B-23BFAB14E68A}">
  <sheetPr>
    <tabColor rgb="FF92D050"/>
  </sheetPr>
  <dimension ref="A1:Q224"/>
  <sheetViews>
    <sheetView topLeftCell="C1" zoomScaleNormal="100" workbookViewId="0">
      <selection activeCell="D173" sqref="D173:E173"/>
    </sheetView>
  </sheetViews>
  <sheetFormatPr baseColWidth="10" defaultColWidth="11.5703125" defaultRowHeight="12" x14ac:dyDescent="0.2"/>
  <cols>
    <col min="1" max="1" width="5.28515625" style="4" bestFit="1" customWidth="1"/>
    <col min="2" max="2" width="37.5703125" style="4" customWidth="1"/>
    <col min="3" max="3" width="21.5703125" style="4" bestFit="1" customWidth="1"/>
    <col min="4" max="4" width="52.7109375" style="71" bestFit="1" customWidth="1"/>
    <col min="5" max="5" width="7" style="3" bestFit="1" customWidth="1"/>
    <col min="6" max="6" width="18.7109375" style="4" bestFit="1" customWidth="1"/>
    <col min="7" max="7" width="21.140625" style="4" customWidth="1"/>
    <col min="8" max="9" width="16.28515625" style="4" customWidth="1"/>
    <col min="10" max="10" width="21.5703125" style="4" customWidth="1"/>
    <col min="11" max="11" width="24.7109375" style="4" customWidth="1"/>
    <col min="12" max="12" width="11.5703125" style="48"/>
    <col min="13" max="13" width="17.85546875" style="4" bestFit="1" customWidth="1"/>
    <col min="14" max="15" width="15.85546875" style="4" bestFit="1" customWidth="1"/>
    <col min="16" max="16" width="11.5703125" style="4" customWidth="1"/>
    <col min="17" max="16384" width="11.5703125" style="4"/>
  </cols>
  <sheetData>
    <row r="1" spans="1:11" ht="23.25" x14ac:dyDescent="0.2">
      <c r="A1" s="503" t="s">
        <v>208</v>
      </c>
      <c r="B1" s="503"/>
      <c r="C1" s="503"/>
      <c r="D1" s="503"/>
      <c r="E1" s="503"/>
      <c r="F1" s="503"/>
      <c r="G1" s="503"/>
      <c r="H1" s="503"/>
      <c r="I1" s="503"/>
      <c r="J1" s="503"/>
      <c r="K1" s="503"/>
    </row>
    <row r="4" spans="1:11" ht="15" x14ac:dyDescent="0.25">
      <c r="A4" s="504" t="s">
        <v>7</v>
      </c>
      <c r="B4" s="506" t="s">
        <v>90</v>
      </c>
      <c r="C4" s="506"/>
      <c r="F4"/>
      <c r="G4" s="109" t="s">
        <v>74</v>
      </c>
      <c r="H4" s="109" t="s">
        <v>73</v>
      </c>
      <c r="I4" s="109" t="s">
        <v>145</v>
      </c>
    </row>
    <row r="5" spans="1:11" ht="15" x14ac:dyDescent="0.25">
      <c r="A5" s="504"/>
      <c r="B5" s="50" t="s">
        <v>91</v>
      </c>
      <c r="C5" s="51">
        <v>270</v>
      </c>
      <c r="F5" s="114" t="s">
        <v>0</v>
      </c>
      <c r="G5" s="110" t="e">
        <f>SUMIF(A26:A175,"CAPEX",H26:H175)</f>
        <v>#REF!</v>
      </c>
      <c r="H5" s="110" t="e">
        <f>SUMIF(A26:A175,"CAPEX",J26:J175)</f>
        <v>#REF!</v>
      </c>
      <c r="I5" s="111" t="e">
        <f>1-(H5/G5)</f>
        <v>#REF!</v>
      </c>
    </row>
    <row r="6" spans="1:11" ht="15" x14ac:dyDescent="0.25">
      <c r="A6" s="504"/>
      <c r="B6" s="50" t="s">
        <v>92</v>
      </c>
      <c r="C6" s="52">
        <v>0</v>
      </c>
      <c r="F6" s="114" t="s">
        <v>1</v>
      </c>
      <c r="G6" s="110" t="e">
        <f>SUMIF(A26:A175,"OPEX",H26:H175)</f>
        <v>#REF!</v>
      </c>
      <c r="H6" s="110" t="e">
        <f>SUMIF(A26:A175,"OPEX",J26:J175)</f>
        <v>#REF!</v>
      </c>
      <c r="I6" s="111" t="e">
        <f>1-(H6/G6)</f>
        <v>#REF!</v>
      </c>
    </row>
    <row r="7" spans="1:11" ht="15" x14ac:dyDescent="0.25">
      <c r="A7" s="504"/>
      <c r="B7" s="50" t="s">
        <v>93</v>
      </c>
      <c r="C7" s="53">
        <f>C5+C6</f>
        <v>270</v>
      </c>
      <c r="F7"/>
      <c r="G7" s="112" t="e">
        <f>SUM(G5:G6)</f>
        <v>#REF!</v>
      </c>
      <c r="H7" s="112" t="e">
        <f>SUM(H5:H6)</f>
        <v>#REF!</v>
      </c>
      <c r="I7" s="113" t="e">
        <f>1-(H7/G7)</f>
        <v>#REF!</v>
      </c>
      <c r="K7" s="77"/>
    </row>
    <row r="8" spans="1:11" x14ac:dyDescent="0.2">
      <c r="A8" s="504"/>
      <c r="B8" s="50" t="s">
        <v>98</v>
      </c>
      <c r="C8" s="57">
        <v>0.05</v>
      </c>
      <c r="K8" s="77"/>
    </row>
    <row r="9" spans="1:11" x14ac:dyDescent="0.2">
      <c r="A9" s="504"/>
      <c r="B9" s="50" t="s">
        <v>99</v>
      </c>
      <c r="C9" s="54"/>
    </row>
    <row r="10" spans="1:11" x14ac:dyDescent="0.2">
      <c r="A10" s="504"/>
      <c r="B10" s="50" t="s">
        <v>94</v>
      </c>
      <c r="C10" s="51">
        <v>675</v>
      </c>
    </row>
    <row r="11" spans="1:11" x14ac:dyDescent="0.2">
      <c r="A11" s="504"/>
      <c r="B11" s="50" t="s">
        <v>100</v>
      </c>
      <c r="C11" s="51">
        <v>0</v>
      </c>
    </row>
    <row r="12" spans="1:11" ht="15" x14ac:dyDescent="0.2">
      <c r="A12" s="504"/>
      <c r="B12" s="50" t="s">
        <v>101</v>
      </c>
      <c r="C12" s="51">
        <f>C10+C11</f>
        <v>675</v>
      </c>
      <c r="G12" s="109" t="s">
        <v>158</v>
      </c>
      <c r="H12" s="109" t="s">
        <v>159</v>
      </c>
      <c r="I12" s="109" t="s">
        <v>145</v>
      </c>
    </row>
    <row r="13" spans="1:11" ht="15" x14ac:dyDescent="0.2">
      <c r="A13" s="504"/>
      <c r="B13" s="50" t="s">
        <v>95</v>
      </c>
      <c r="C13" s="56">
        <f>C12/C7</f>
        <v>2.5</v>
      </c>
      <c r="G13" s="110" t="e">
        <f>G7/C7/C18</f>
        <v>#REF!</v>
      </c>
      <c r="H13" s="110" t="e">
        <f>H7/C7/C18</f>
        <v>#REF!</v>
      </c>
      <c r="I13" s="111" t="e">
        <f>1-(H13/G13)</f>
        <v>#REF!</v>
      </c>
    </row>
    <row r="14" spans="1:11" x14ac:dyDescent="0.2">
      <c r="A14" s="504"/>
      <c r="B14" s="50" t="s">
        <v>103</v>
      </c>
      <c r="C14" s="55">
        <v>3.8</v>
      </c>
    </row>
    <row r="15" spans="1:11" x14ac:dyDescent="0.2">
      <c r="A15" s="504"/>
      <c r="B15" s="50" t="s">
        <v>96</v>
      </c>
      <c r="C15" s="56">
        <f>G27+G28+G29+G33</f>
        <v>745.41428571428582</v>
      </c>
    </row>
    <row r="16" spans="1:11" x14ac:dyDescent="0.2">
      <c r="A16" s="504"/>
      <c r="B16" s="50" t="s">
        <v>102</v>
      </c>
      <c r="C16" s="51">
        <v>155</v>
      </c>
    </row>
    <row r="17" spans="1:13" x14ac:dyDescent="0.2">
      <c r="A17" s="504"/>
      <c r="B17" s="50" t="s">
        <v>97</v>
      </c>
      <c r="C17" s="51">
        <v>55</v>
      </c>
    </row>
    <row r="18" spans="1:13" x14ac:dyDescent="0.2">
      <c r="A18" s="504"/>
      <c r="B18" s="50" t="s">
        <v>104</v>
      </c>
      <c r="C18" s="51">
        <v>24</v>
      </c>
    </row>
    <row r="19" spans="1:13" x14ac:dyDescent="0.2">
      <c r="A19" s="504"/>
      <c r="B19" s="50" t="s">
        <v>16</v>
      </c>
      <c r="C19" s="57">
        <v>0.01</v>
      </c>
    </row>
    <row r="20" spans="1:13" x14ac:dyDescent="0.2">
      <c r="A20" s="505"/>
      <c r="B20" s="50" t="s">
        <v>14</v>
      </c>
      <c r="C20" s="51">
        <f>4950/C14</f>
        <v>1302.6315789473686</v>
      </c>
    </row>
    <row r="22" spans="1:13" x14ac:dyDescent="0.2">
      <c r="A22" s="507" t="s">
        <v>209</v>
      </c>
      <c r="B22" s="507"/>
      <c r="C22" s="507"/>
      <c r="D22" s="507"/>
      <c r="E22" s="507"/>
      <c r="F22" s="507"/>
      <c r="G22" s="507"/>
      <c r="H22" s="507"/>
      <c r="I22" s="507"/>
      <c r="J22" s="507"/>
      <c r="K22" s="507"/>
      <c r="L22" s="507"/>
    </row>
    <row r="24" spans="1:13" x14ac:dyDescent="0.2">
      <c r="A24" s="502" t="s">
        <v>127</v>
      </c>
      <c r="B24" s="502"/>
      <c r="C24" s="502"/>
      <c r="D24" s="502"/>
      <c r="E24" s="502"/>
      <c r="F24" s="502"/>
      <c r="G24" s="502"/>
      <c r="H24" s="502"/>
      <c r="I24" s="502"/>
      <c r="J24" s="502"/>
      <c r="K24" s="502"/>
      <c r="L24" s="502"/>
    </row>
    <row r="25" spans="1:13" x14ac:dyDescent="0.2">
      <c r="A25" s="58"/>
      <c r="B25" s="58" t="s">
        <v>125</v>
      </c>
      <c r="C25" s="59"/>
      <c r="D25" s="75"/>
      <c r="E25" s="96"/>
      <c r="F25" s="59"/>
      <c r="G25" s="59"/>
      <c r="H25" s="59"/>
      <c r="I25" s="59"/>
      <c r="J25" s="59"/>
      <c r="K25" s="59"/>
      <c r="L25" s="96"/>
    </row>
    <row r="26" spans="1:13" x14ac:dyDescent="0.2">
      <c r="B26" s="60" t="s">
        <v>105</v>
      </c>
      <c r="C26" s="60" t="s">
        <v>106</v>
      </c>
      <c r="D26" s="73" t="s">
        <v>68</v>
      </c>
      <c r="E26" s="2" t="s">
        <v>69</v>
      </c>
      <c r="F26" s="60" t="s">
        <v>107</v>
      </c>
      <c r="G26" s="60" t="s">
        <v>108</v>
      </c>
      <c r="H26" s="60" t="s">
        <v>109</v>
      </c>
      <c r="I26" s="60" t="s">
        <v>110</v>
      </c>
      <c r="J26" s="60" t="s">
        <v>111</v>
      </c>
      <c r="K26" s="60" t="s">
        <v>13</v>
      </c>
      <c r="L26" s="117" t="s">
        <v>194</v>
      </c>
    </row>
    <row r="27" spans="1:13" x14ac:dyDescent="0.2">
      <c r="A27" s="4" t="s">
        <v>0</v>
      </c>
      <c r="B27" s="4" t="s">
        <v>112</v>
      </c>
      <c r="C27" s="4" t="s">
        <v>113</v>
      </c>
      <c r="D27" s="71" t="s">
        <v>114</v>
      </c>
      <c r="E27" s="98">
        <f>$C$7</f>
        <v>270</v>
      </c>
      <c r="F27" s="4" t="s">
        <v>115</v>
      </c>
      <c r="G27" s="61">
        <f>I27/0.7</f>
        <v>109.71428571428572</v>
      </c>
      <c r="H27" s="62">
        <f>E27*G27</f>
        <v>29622.857142857145</v>
      </c>
      <c r="I27" s="4">
        <v>76.8</v>
      </c>
      <c r="J27" s="62">
        <f>E27*I27</f>
        <v>20736</v>
      </c>
      <c r="K27" s="63">
        <f>1-(J27/H27)</f>
        <v>0.30000000000000004</v>
      </c>
      <c r="L27" s="48" t="s">
        <v>195</v>
      </c>
      <c r="M27" s="4" t="s">
        <v>203</v>
      </c>
    </row>
    <row r="28" spans="1:13" x14ac:dyDescent="0.2">
      <c r="A28" s="4" t="s">
        <v>0</v>
      </c>
      <c r="B28" s="4" t="s">
        <v>117</v>
      </c>
      <c r="C28" s="4" t="s">
        <v>118</v>
      </c>
      <c r="D28" s="71" t="s">
        <v>119</v>
      </c>
      <c r="E28" s="98">
        <v>0</v>
      </c>
      <c r="F28" s="4" t="s">
        <v>115</v>
      </c>
      <c r="G28" s="61">
        <f>I28/0.7</f>
        <v>426.52857142857147</v>
      </c>
      <c r="H28" s="62">
        <f>E28*G28</f>
        <v>0</v>
      </c>
      <c r="I28" s="4">
        <v>298.57</v>
      </c>
      <c r="J28" s="62">
        <f>E28*I28</f>
        <v>0</v>
      </c>
      <c r="K28" s="63" t="e">
        <f>1-(J28/H28)</f>
        <v>#DIV/0!</v>
      </c>
      <c r="L28" s="48" t="s">
        <v>195</v>
      </c>
      <c r="M28" s="4" t="s">
        <v>203</v>
      </c>
    </row>
    <row r="29" spans="1:13" x14ac:dyDescent="0.2">
      <c r="A29" s="4" t="s">
        <v>0</v>
      </c>
      <c r="B29" s="4" t="s">
        <v>122</v>
      </c>
      <c r="C29" s="4" t="s">
        <v>123</v>
      </c>
      <c r="D29" s="71" t="s">
        <v>116</v>
      </c>
      <c r="E29" s="98">
        <f t="shared" ref="E29" si="0">$C$7</f>
        <v>270</v>
      </c>
      <c r="F29" s="4" t="s">
        <v>115</v>
      </c>
      <c r="G29" s="61">
        <f>I29/0.7</f>
        <v>138.45714285714286</v>
      </c>
      <c r="H29" s="62">
        <f>E29*G29</f>
        <v>37383.428571428572</v>
      </c>
      <c r="I29" s="4">
        <v>96.92</v>
      </c>
      <c r="J29" s="62">
        <f>E29*I29</f>
        <v>26168.400000000001</v>
      </c>
      <c r="K29" s="63">
        <f>1-(J29/H29)</f>
        <v>0.29999999999999993</v>
      </c>
      <c r="L29" s="48" t="s">
        <v>195</v>
      </c>
      <c r="M29" s="4" t="s">
        <v>203</v>
      </c>
    </row>
    <row r="30" spans="1:13" x14ac:dyDescent="0.2">
      <c r="A30" s="4" t="s">
        <v>0</v>
      </c>
      <c r="B30" s="4" t="s">
        <v>186</v>
      </c>
      <c r="C30" s="4" t="s">
        <v>187</v>
      </c>
      <c r="D30" s="71" t="s">
        <v>188</v>
      </c>
      <c r="E30" s="98">
        <v>67</v>
      </c>
      <c r="F30" s="4" t="s">
        <v>115</v>
      </c>
      <c r="G30" s="61">
        <f t="shared" ref="G30:G32" si="1">I30/0.7</f>
        <v>410.3</v>
      </c>
      <c r="H30" s="62">
        <f t="shared" ref="H30:H32" si="2">E30*G30</f>
        <v>27490.100000000002</v>
      </c>
      <c r="I30" s="4">
        <v>287.20999999999998</v>
      </c>
      <c r="J30" s="62">
        <f t="shared" ref="J30:J32" si="3">E30*I30</f>
        <v>19243.07</v>
      </c>
      <c r="K30" s="63">
        <f t="shared" ref="K30:K32" si="4">1-(J30/H30)</f>
        <v>0.30000000000000004</v>
      </c>
      <c r="L30" s="48" t="s">
        <v>195</v>
      </c>
      <c r="M30" s="4" t="s">
        <v>203</v>
      </c>
    </row>
    <row r="31" spans="1:13" x14ac:dyDescent="0.2">
      <c r="A31" s="4" t="s">
        <v>0</v>
      </c>
      <c r="B31" s="4" t="s">
        <v>189</v>
      </c>
      <c r="C31" s="4" t="s">
        <v>190</v>
      </c>
      <c r="D31" s="71" t="s">
        <v>191</v>
      </c>
      <c r="E31" s="98">
        <v>2</v>
      </c>
      <c r="F31" s="4" t="s">
        <v>115</v>
      </c>
      <c r="G31" s="61">
        <f t="shared" si="1"/>
        <v>129.4</v>
      </c>
      <c r="H31" s="62">
        <f t="shared" si="2"/>
        <v>258.8</v>
      </c>
      <c r="I31" s="4">
        <v>90.58</v>
      </c>
      <c r="J31" s="62">
        <f t="shared" si="3"/>
        <v>181.16</v>
      </c>
      <c r="K31" s="63">
        <f t="shared" si="4"/>
        <v>0.30000000000000004</v>
      </c>
      <c r="L31" s="48" t="s">
        <v>195</v>
      </c>
      <c r="M31" s="4" t="s">
        <v>203</v>
      </c>
    </row>
    <row r="32" spans="1:13" x14ac:dyDescent="0.2">
      <c r="A32" s="4" t="s">
        <v>0</v>
      </c>
      <c r="C32" s="4" t="s">
        <v>124</v>
      </c>
      <c r="D32" s="71" t="s">
        <v>192</v>
      </c>
      <c r="E32" s="98">
        <v>270</v>
      </c>
      <c r="F32" s="4" t="s">
        <v>115</v>
      </c>
      <c r="G32" s="61">
        <f t="shared" si="1"/>
        <v>20</v>
      </c>
      <c r="H32" s="62">
        <f t="shared" si="2"/>
        <v>5400</v>
      </c>
      <c r="I32" s="4">
        <v>14</v>
      </c>
      <c r="J32" s="62">
        <f t="shared" si="3"/>
        <v>3780</v>
      </c>
      <c r="K32" s="63">
        <f t="shared" si="4"/>
        <v>0.30000000000000004</v>
      </c>
      <c r="L32" s="48" t="s">
        <v>195</v>
      </c>
      <c r="M32" s="4" t="s">
        <v>203</v>
      </c>
    </row>
    <row r="33" spans="1:13" ht="12.75" thickBot="1" x14ac:dyDescent="0.25">
      <c r="A33" s="4" t="s">
        <v>0</v>
      </c>
      <c r="B33" s="64">
        <v>611604104</v>
      </c>
      <c r="C33" s="4" t="s">
        <v>124</v>
      </c>
      <c r="D33" s="71" t="s">
        <v>121</v>
      </c>
      <c r="E33" s="98">
        <v>0</v>
      </c>
      <c r="F33" s="4" t="s">
        <v>115</v>
      </c>
      <c r="G33" s="65">
        <f>I33/0.7</f>
        <v>70.714285714285722</v>
      </c>
      <c r="H33" s="66">
        <f>E33*G33</f>
        <v>0</v>
      </c>
      <c r="I33" s="66">
        <v>49.5</v>
      </c>
      <c r="J33" s="66">
        <f>E33*I33</f>
        <v>0</v>
      </c>
      <c r="K33" s="67" t="e">
        <f>1-(J33/H33)</f>
        <v>#DIV/0!</v>
      </c>
      <c r="L33" s="48" t="s">
        <v>195</v>
      </c>
      <c r="M33" s="4" t="s">
        <v>203</v>
      </c>
    </row>
    <row r="34" spans="1:13" ht="12.75" thickTop="1" x14ac:dyDescent="0.2">
      <c r="G34" s="62"/>
      <c r="H34" s="62">
        <f>SUM(H27:H33)</f>
        <v>100155.18571428572</v>
      </c>
      <c r="I34" s="62"/>
      <c r="J34" s="62">
        <f>SUM(J27:J33)</f>
        <v>70108.63</v>
      </c>
      <c r="K34" s="63">
        <f>1-(J34/H34)</f>
        <v>0.29999999999999993</v>
      </c>
    </row>
    <row r="35" spans="1:13" ht="12.75" thickBot="1" x14ac:dyDescent="0.25">
      <c r="D35" s="71" t="s">
        <v>120</v>
      </c>
      <c r="E35" s="76">
        <v>0</v>
      </c>
      <c r="G35" s="62"/>
      <c r="H35" s="66">
        <f>-H34*E35</f>
        <v>0</v>
      </c>
      <c r="I35" s="62"/>
      <c r="J35" s="62"/>
      <c r="K35" s="63"/>
    </row>
    <row r="36" spans="1:13" ht="12.75" thickTop="1" x14ac:dyDescent="0.2">
      <c r="H36" s="68">
        <f>H34+H35</f>
        <v>100155.18571428572</v>
      </c>
      <c r="I36" s="69"/>
      <c r="J36" s="68">
        <f>J34</f>
        <v>70108.63</v>
      </c>
      <c r="K36" s="70">
        <f>1-(J36/H36)</f>
        <v>0.29999999999999993</v>
      </c>
    </row>
    <row r="37" spans="1:13" x14ac:dyDescent="0.2">
      <c r="H37" s="68"/>
      <c r="I37" s="69"/>
      <c r="J37" s="68"/>
      <c r="K37" s="70"/>
    </row>
    <row r="38" spans="1:13" x14ac:dyDescent="0.2">
      <c r="A38" s="58"/>
      <c r="B38" s="58" t="s">
        <v>126</v>
      </c>
      <c r="C38" s="59"/>
      <c r="D38" s="75"/>
      <c r="E38" s="96"/>
      <c r="F38" s="59"/>
      <c r="G38" s="59"/>
      <c r="H38" s="59"/>
      <c r="I38" s="59"/>
      <c r="J38" s="59"/>
      <c r="K38" s="59"/>
      <c r="L38" s="96"/>
    </row>
    <row r="39" spans="1:13" x14ac:dyDescent="0.2">
      <c r="B39" s="60" t="s">
        <v>105</v>
      </c>
      <c r="C39" s="60" t="s">
        <v>106</v>
      </c>
      <c r="D39" s="73" t="s">
        <v>68</v>
      </c>
      <c r="E39" s="2" t="s">
        <v>69</v>
      </c>
      <c r="F39" s="60" t="s">
        <v>107</v>
      </c>
      <c r="G39" s="60" t="s">
        <v>108</v>
      </c>
      <c r="H39" s="60" t="s">
        <v>109</v>
      </c>
      <c r="I39" s="60" t="s">
        <v>110</v>
      </c>
      <c r="J39" s="60" t="s">
        <v>111</v>
      </c>
      <c r="K39" s="60" t="s">
        <v>13</v>
      </c>
      <c r="L39" s="117" t="s">
        <v>194</v>
      </c>
    </row>
    <row r="40" spans="1:13" x14ac:dyDescent="0.2">
      <c r="A40" s="4" t="s">
        <v>0</v>
      </c>
      <c r="B40" s="4" t="s">
        <v>112</v>
      </c>
      <c r="C40" s="4" t="s">
        <v>113</v>
      </c>
      <c r="D40" s="71" t="s">
        <v>114</v>
      </c>
      <c r="E40" s="98">
        <f>ROUNDUP($C$8*$C$7,0)</f>
        <v>14</v>
      </c>
      <c r="F40" s="4" t="s">
        <v>115</v>
      </c>
      <c r="G40" s="61">
        <f>I40/0.7</f>
        <v>109.71428571428572</v>
      </c>
      <c r="H40" s="62">
        <f>E40*G40</f>
        <v>1536</v>
      </c>
      <c r="I40" s="4">
        <v>76.8</v>
      </c>
      <c r="J40" s="62">
        <f>E40*I40</f>
        <v>1075.2</v>
      </c>
      <c r="K40" s="63">
        <f>1-(J40/H40)</f>
        <v>0.29999999999999993</v>
      </c>
      <c r="L40" s="48" t="s">
        <v>195</v>
      </c>
      <c r="M40" s="4" t="s">
        <v>203</v>
      </c>
    </row>
    <row r="41" spans="1:13" x14ac:dyDescent="0.2">
      <c r="A41" s="4" t="s">
        <v>0</v>
      </c>
      <c r="B41" s="4" t="s">
        <v>117</v>
      </c>
      <c r="C41" s="4" t="s">
        <v>118</v>
      </c>
      <c r="D41" s="71" t="s">
        <v>119</v>
      </c>
      <c r="E41" s="98">
        <v>0</v>
      </c>
      <c r="F41" s="4" t="s">
        <v>115</v>
      </c>
      <c r="G41" s="61">
        <f>I41/0.7</f>
        <v>426.52857142857147</v>
      </c>
      <c r="H41" s="62">
        <f>E41*G41</f>
        <v>0</v>
      </c>
      <c r="I41" s="4">
        <v>298.57</v>
      </c>
      <c r="J41" s="62">
        <f>E41*I41</f>
        <v>0</v>
      </c>
      <c r="K41" s="63" t="e">
        <f>1-(J41/H41)</f>
        <v>#DIV/0!</v>
      </c>
      <c r="L41" s="48" t="s">
        <v>195</v>
      </c>
      <c r="M41" s="4" t="s">
        <v>203</v>
      </c>
    </row>
    <row r="42" spans="1:13" x14ac:dyDescent="0.2">
      <c r="A42" s="4" t="s">
        <v>0</v>
      </c>
      <c r="B42" s="4" t="s">
        <v>122</v>
      </c>
      <c r="C42" s="4" t="s">
        <v>123</v>
      </c>
      <c r="D42" s="71" t="s">
        <v>116</v>
      </c>
      <c r="E42" s="98">
        <f>ROUNDUP($C$8*$C$7,0)</f>
        <v>14</v>
      </c>
      <c r="F42" s="4" t="s">
        <v>115</v>
      </c>
      <c r="G42" s="61">
        <f>I42/0.7</f>
        <v>138.45714285714286</v>
      </c>
      <c r="H42" s="62">
        <f>E42*G42</f>
        <v>1938.4</v>
      </c>
      <c r="I42" s="4">
        <v>96.92</v>
      </c>
      <c r="J42" s="62">
        <f>E42*I42</f>
        <v>1356.88</v>
      </c>
      <c r="K42" s="63">
        <f>1-(J42/H42)</f>
        <v>0.29999999999999993</v>
      </c>
      <c r="L42" s="48" t="s">
        <v>195</v>
      </c>
      <c r="M42" s="4" t="s">
        <v>203</v>
      </c>
    </row>
    <row r="43" spans="1:13" x14ac:dyDescent="0.2">
      <c r="A43" s="4" t="s">
        <v>0</v>
      </c>
      <c r="B43" s="4" t="s">
        <v>186</v>
      </c>
      <c r="C43" s="4" t="s">
        <v>187</v>
      </c>
      <c r="D43" s="71" t="s">
        <v>188</v>
      </c>
      <c r="E43" s="98">
        <v>3</v>
      </c>
      <c r="F43" s="4" t="s">
        <v>115</v>
      </c>
      <c r="G43" s="61">
        <f t="shared" ref="G43:G45" si="5">I43/0.7</f>
        <v>410.3</v>
      </c>
      <c r="H43" s="62">
        <f t="shared" ref="H43:H45" si="6">E43*G43</f>
        <v>1230.9000000000001</v>
      </c>
      <c r="I43" s="4">
        <v>287.20999999999998</v>
      </c>
      <c r="J43" s="62">
        <f t="shared" ref="J43:J45" si="7">E43*I43</f>
        <v>861.62999999999988</v>
      </c>
      <c r="K43" s="63">
        <f t="shared" ref="K43:K45" si="8">1-(J43/H43)</f>
        <v>0.30000000000000016</v>
      </c>
      <c r="L43" s="48" t="s">
        <v>195</v>
      </c>
      <c r="M43" s="4" t="s">
        <v>203</v>
      </c>
    </row>
    <row r="44" spans="1:13" x14ac:dyDescent="0.2">
      <c r="A44" s="4" t="s">
        <v>0</v>
      </c>
      <c r="B44" s="4" t="s">
        <v>189</v>
      </c>
      <c r="C44" s="4" t="s">
        <v>190</v>
      </c>
      <c r="D44" s="71" t="s">
        <v>191</v>
      </c>
      <c r="E44" s="98">
        <v>2</v>
      </c>
      <c r="F44" s="4" t="s">
        <v>115</v>
      </c>
      <c r="G44" s="61">
        <f t="shared" si="5"/>
        <v>129.4</v>
      </c>
      <c r="H44" s="62">
        <f t="shared" si="6"/>
        <v>258.8</v>
      </c>
      <c r="I44" s="4">
        <v>90.58</v>
      </c>
      <c r="J44" s="62">
        <f t="shared" si="7"/>
        <v>181.16</v>
      </c>
      <c r="K44" s="63">
        <f t="shared" si="8"/>
        <v>0.30000000000000004</v>
      </c>
      <c r="L44" s="48" t="s">
        <v>195</v>
      </c>
      <c r="M44" s="4" t="s">
        <v>203</v>
      </c>
    </row>
    <row r="45" spans="1:13" x14ac:dyDescent="0.2">
      <c r="A45" s="4" t="s">
        <v>0</v>
      </c>
      <c r="C45" s="4" t="s">
        <v>124</v>
      </c>
      <c r="D45" s="71" t="s">
        <v>192</v>
      </c>
      <c r="E45" s="98">
        <v>14</v>
      </c>
      <c r="F45" s="4" t="s">
        <v>115</v>
      </c>
      <c r="G45" s="61">
        <f t="shared" si="5"/>
        <v>20</v>
      </c>
      <c r="H45" s="62">
        <f t="shared" si="6"/>
        <v>280</v>
      </c>
      <c r="I45" s="4">
        <v>14</v>
      </c>
      <c r="J45" s="62">
        <f t="shared" si="7"/>
        <v>196</v>
      </c>
      <c r="K45" s="63">
        <f t="shared" si="8"/>
        <v>0.30000000000000004</v>
      </c>
      <c r="L45" s="48" t="s">
        <v>195</v>
      </c>
      <c r="M45" s="4" t="s">
        <v>203</v>
      </c>
    </row>
    <row r="46" spans="1:13" ht="12.75" thickBot="1" x14ac:dyDescent="0.25">
      <c r="A46" s="4" t="s">
        <v>0</v>
      </c>
      <c r="B46" s="64">
        <v>611604104</v>
      </c>
      <c r="C46" s="4" t="s">
        <v>124</v>
      </c>
      <c r="D46" s="71" t="s">
        <v>121</v>
      </c>
      <c r="E46" s="98">
        <v>0</v>
      </c>
      <c r="F46" s="4" t="s">
        <v>115</v>
      </c>
      <c r="G46" s="65">
        <f>I46/0.7</f>
        <v>70.714285714285722</v>
      </c>
      <c r="H46" s="66">
        <f>E46*G46</f>
        <v>0</v>
      </c>
      <c r="I46" s="66">
        <v>49.5</v>
      </c>
      <c r="J46" s="66">
        <f>E46*I46</f>
        <v>0</v>
      </c>
      <c r="K46" s="67" t="e">
        <f>1-(J46/H46)</f>
        <v>#DIV/0!</v>
      </c>
      <c r="L46" s="48" t="s">
        <v>195</v>
      </c>
      <c r="M46" s="4" t="s">
        <v>203</v>
      </c>
    </row>
    <row r="47" spans="1:13" ht="12.75" thickTop="1" x14ac:dyDescent="0.2">
      <c r="G47" s="62"/>
      <c r="H47" s="62">
        <f>SUM(H40:H46)</f>
        <v>5244.1</v>
      </c>
      <c r="I47" s="62"/>
      <c r="J47" s="62">
        <f>SUM(J40:J46)</f>
        <v>3670.87</v>
      </c>
      <c r="K47" s="63">
        <f>1-(J47/H47)</f>
        <v>0.30000000000000004</v>
      </c>
    </row>
    <row r="48" spans="1:13" ht="12.75" thickBot="1" x14ac:dyDescent="0.25">
      <c r="D48" s="71" t="s">
        <v>120</v>
      </c>
      <c r="E48" s="76">
        <v>0</v>
      </c>
      <c r="G48" s="62"/>
      <c r="H48" s="66">
        <f>-H47*E48</f>
        <v>0</v>
      </c>
      <c r="I48" s="62"/>
      <c r="J48" s="62"/>
      <c r="K48" s="63"/>
    </row>
    <row r="49" spans="1:12" ht="12.75" thickTop="1" x14ac:dyDescent="0.2">
      <c r="H49" s="68">
        <f>H47+H48</f>
        <v>5244.1</v>
      </c>
      <c r="I49" s="69"/>
      <c r="J49" s="68">
        <f>J47</f>
        <v>3670.87</v>
      </c>
      <c r="K49" s="70">
        <f>1-(J49/H49)</f>
        <v>0.30000000000000004</v>
      </c>
    </row>
    <row r="50" spans="1:12" x14ac:dyDescent="0.2">
      <c r="A50" s="58"/>
      <c r="B50" s="58" t="s">
        <v>149</v>
      </c>
      <c r="C50" s="59"/>
      <c r="D50" s="75"/>
      <c r="E50" s="96"/>
      <c r="F50" s="59"/>
      <c r="G50" s="59"/>
      <c r="H50" s="59"/>
      <c r="I50" s="59"/>
      <c r="J50" s="59"/>
      <c r="K50" s="59"/>
      <c r="L50" s="96"/>
    </row>
    <row r="51" spans="1:12" x14ac:dyDescent="0.2">
      <c r="B51" s="60" t="s">
        <v>128</v>
      </c>
      <c r="C51" s="60" t="s">
        <v>106</v>
      </c>
      <c r="D51" s="73" t="s">
        <v>68</v>
      </c>
      <c r="E51" s="2" t="s">
        <v>69</v>
      </c>
      <c r="F51" s="60" t="s">
        <v>107</v>
      </c>
      <c r="G51" s="60" t="s">
        <v>108</v>
      </c>
      <c r="H51" s="60" t="s">
        <v>109</v>
      </c>
      <c r="I51" s="60" t="s">
        <v>110</v>
      </c>
      <c r="J51" s="60" t="s">
        <v>111</v>
      </c>
      <c r="K51" s="60" t="s">
        <v>13</v>
      </c>
      <c r="L51" s="117" t="s">
        <v>194</v>
      </c>
    </row>
    <row r="52" spans="1:12" x14ac:dyDescent="0.2">
      <c r="A52" s="4" t="s">
        <v>0</v>
      </c>
      <c r="D52" s="71" t="s">
        <v>150</v>
      </c>
      <c r="E52" s="98">
        <f>C7</f>
        <v>270</v>
      </c>
      <c r="F52" s="4" t="s">
        <v>115</v>
      </c>
      <c r="G52" s="61" t="e">
        <f>I52/0.75</f>
        <v>#REF!</v>
      </c>
      <c r="H52" s="62" t="e">
        <f>E52*G52</f>
        <v>#REF!</v>
      </c>
      <c r="I52" s="4" t="e">
        <f>#REF!+#REF!</f>
        <v>#REF!</v>
      </c>
      <c r="J52" s="62" t="e">
        <f>E52*I52</f>
        <v>#REF!</v>
      </c>
      <c r="K52" s="63" t="e">
        <f>1-(J52/H52)</f>
        <v>#REF!</v>
      </c>
      <c r="L52" s="48" t="s">
        <v>196</v>
      </c>
    </row>
    <row r="53" spans="1:12" ht="12.75" thickBot="1" x14ac:dyDescent="0.25">
      <c r="A53" s="4" t="s">
        <v>0</v>
      </c>
      <c r="E53" s="98">
        <f>ROUNDUP($C$8*$C$7,0)</f>
        <v>14</v>
      </c>
      <c r="F53" s="4" t="s">
        <v>115</v>
      </c>
      <c r="G53" s="65" t="e">
        <f>I53/0.75</f>
        <v>#REF!</v>
      </c>
      <c r="H53" s="66" t="e">
        <f>E53*G53</f>
        <v>#REF!</v>
      </c>
      <c r="I53" s="72" t="e">
        <f>#REF!+#REF!</f>
        <v>#REF!</v>
      </c>
      <c r="J53" s="66" t="e">
        <f>E53*I53</f>
        <v>#REF!</v>
      </c>
      <c r="K53" s="67" t="e">
        <f>1-(J53/H53)</f>
        <v>#REF!</v>
      </c>
      <c r="L53" s="48" t="s">
        <v>196</v>
      </c>
    </row>
    <row r="54" spans="1:12" ht="12.75" thickTop="1" x14ac:dyDescent="0.2">
      <c r="G54" s="62"/>
      <c r="H54" s="62" t="e">
        <f>SUM(H50:H53)</f>
        <v>#REF!</v>
      </c>
      <c r="I54" s="62"/>
      <c r="J54" s="62" t="e">
        <f>SUM(J50:J53)</f>
        <v>#REF!</v>
      </c>
      <c r="K54" s="63" t="e">
        <f>1-(J54/H54)</f>
        <v>#REF!</v>
      </c>
    </row>
    <row r="55" spans="1:12" ht="12.75" thickBot="1" x14ac:dyDescent="0.25">
      <c r="D55" s="71" t="s">
        <v>120</v>
      </c>
      <c r="E55" s="76">
        <v>0</v>
      </c>
      <c r="G55" s="62"/>
      <c r="H55" s="66" t="e">
        <f>-H54*E55</f>
        <v>#REF!</v>
      </c>
      <c r="I55" s="62"/>
      <c r="J55" s="62"/>
      <c r="K55" s="63"/>
    </row>
    <row r="56" spans="1:12" ht="12.75" thickTop="1" x14ac:dyDescent="0.2">
      <c r="H56" s="68" t="e">
        <f>H54+H55</f>
        <v>#REF!</v>
      </c>
      <c r="I56" s="69"/>
      <c r="J56" s="68" t="e">
        <f>J54</f>
        <v>#REF!</v>
      </c>
      <c r="K56" s="70" t="e">
        <f>1-(J56/H56)</f>
        <v>#REF!</v>
      </c>
    </row>
    <row r="58" spans="1:12" x14ac:dyDescent="0.2">
      <c r="A58" s="58"/>
      <c r="B58" s="58" t="s">
        <v>129</v>
      </c>
      <c r="C58" s="59"/>
      <c r="D58" s="75"/>
      <c r="E58" s="96"/>
      <c r="F58" s="59"/>
      <c r="G58" s="59"/>
      <c r="H58" s="59"/>
      <c r="I58" s="59"/>
      <c r="J58" s="59"/>
      <c r="K58" s="59"/>
      <c r="L58" s="96"/>
    </row>
    <row r="59" spans="1:12" x14ac:dyDescent="0.2">
      <c r="B59" s="60" t="s">
        <v>128</v>
      </c>
      <c r="C59" s="60" t="s">
        <v>106</v>
      </c>
      <c r="D59" s="73" t="s">
        <v>68</v>
      </c>
      <c r="E59" s="2" t="s">
        <v>69</v>
      </c>
      <c r="F59" s="60" t="s">
        <v>107</v>
      </c>
      <c r="G59" s="60" t="s">
        <v>108</v>
      </c>
      <c r="H59" s="60" t="s">
        <v>109</v>
      </c>
      <c r="I59" s="60" t="s">
        <v>110</v>
      </c>
      <c r="J59" s="60" t="s">
        <v>111</v>
      </c>
      <c r="K59" s="60" t="s">
        <v>13</v>
      </c>
      <c r="L59" s="117" t="s">
        <v>194</v>
      </c>
    </row>
    <row r="60" spans="1:12" x14ac:dyDescent="0.2">
      <c r="A60" s="4" t="s">
        <v>0</v>
      </c>
      <c r="D60" s="71" t="s">
        <v>151</v>
      </c>
      <c r="E60" s="98">
        <f>$C$7</f>
        <v>270</v>
      </c>
      <c r="F60" s="4" t="s">
        <v>115</v>
      </c>
      <c r="G60" s="61" t="e">
        <f>I60/0.75</f>
        <v>#REF!</v>
      </c>
      <c r="H60" s="62" t="e">
        <f>E60*G60</f>
        <v>#REF!</v>
      </c>
      <c r="I60" s="4" t="e">
        <f>#REF!</f>
        <v>#REF!</v>
      </c>
      <c r="J60" s="62" t="e">
        <f>E60*I60</f>
        <v>#REF!</v>
      </c>
      <c r="K60" s="63" t="e">
        <f>1-(J60/H60)</f>
        <v>#REF!</v>
      </c>
      <c r="L60" s="48" t="s">
        <v>196</v>
      </c>
    </row>
    <row r="61" spans="1:12" ht="12.75" thickBot="1" x14ac:dyDescent="0.25">
      <c r="A61" s="4" t="s">
        <v>0</v>
      </c>
      <c r="E61" s="98">
        <f>ROUNDUP($C$8*$C$7,0)</f>
        <v>14</v>
      </c>
      <c r="F61" s="4" t="s">
        <v>115</v>
      </c>
      <c r="G61" s="65" t="e">
        <f>I61/0.75</f>
        <v>#REF!</v>
      </c>
      <c r="H61" s="66" t="e">
        <f>E61*G61</f>
        <v>#REF!</v>
      </c>
      <c r="I61" s="72" t="e">
        <f>#REF!</f>
        <v>#REF!</v>
      </c>
      <c r="J61" s="66" t="e">
        <f>E61*I61</f>
        <v>#REF!</v>
      </c>
      <c r="K61" s="67" t="e">
        <f>1-(J61/H61)</f>
        <v>#REF!</v>
      </c>
      <c r="L61" s="48" t="s">
        <v>196</v>
      </c>
    </row>
    <row r="62" spans="1:12" ht="12.75" thickTop="1" x14ac:dyDescent="0.2">
      <c r="G62" s="62"/>
      <c r="H62" s="62" t="e">
        <f>SUM(H58:H61)</f>
        <v>#REF!</v>
      </c>
      <c r="I62" s="62"/>
      <c r="J62" s="62" t="e">
        <f>SUM(J58:J61)</f>
        <v>#REF!</v>
      </c>
      <c r="K62" s="63" t="e">
        <f>1-(J62/H62)</f>
        <v>#REF!</v>
      </c>
    </row>
    <row r="63" spans="1:12" ht="12.75" thickBot="1" x14ac:dyDescent="0.25">
      <c r="D63" s="71" t="s">
        <v>120</v>
      </c>
      <c r="E63" s="76">
        <v>0</v>
      </c>
      <c r="G63" s="62"/>
      <c r="H63" s="66" t="e">
        <f>-H62*E63</f>
        <v>#REF!</v>
      </c>
      <c r="I63" s="62"/>
      <c r="J63" s="62"/>
      <c r="K63" s="63"/>
    </row>
    <row r="64" spans="1:12" ht="12.75" thickTop="1" x14ac:dyDescent="0.2">
      <c r="H64" s="68" t="e">
        <f>H62+H63</f>
        <v>#REF!</v>
      </c>
      <c r="I64" s="69"/>
      <c r="J64" s="68" t="e">
        <f>J62</f>
        <v>#REF!</v>
      </c>
      <c r="K64" s="70" t="e">
        <f>1-(J64/H64)</f>
        <v>#REF!</v>
      </c>
    </row>
    <row r="66" spans="1:12" x14ac:dyDescent="0.2">
      <c r="A66" s="58"/>
      <c r="B66" s="58" t="s">
        <v>130</v>
      </c>
      <c r="C66" s="59"/>
      <c r="D66" s="75"/>
      <c r="E66" s="96"/>
      <c r="F66" s="59"/>
      <c r="G66" s="59"/>
      <c r="H66" s="59"/>
      <c r="I66" s="59"/>
      <c r="J66" s="59"/>
      <c r="K66" s="59"/>
      <c r="L66" s="96"/>
    </row>
    <row r="67" spans="1:12" x14ac:dyDescent="0.2">
      <c r="B67" s="60" t="s">
        <v>128</v>
      </c>
      <c r="C67" s="60" t="s">
        <v>106</v>
      </c>
      <c r="D67" s="73" t="s">
        <v>68</v>
      </c>
      <c r="E67" s="2" t="s">
        <v>69</v>
      </c>
      <c r="F67" s="60" t="s">
        <v>107</v>
      </c>
      <c r="G67" s="60" t="s">
        <v>108</v>
      </c>
      <c r="H67" s="60" t="s">
        <v>109</v>
      </c>
      <c r="I67" s="60" t="s">
        <v>110</v>
      </c>
      <c r="J67" s="60" t="s">
        <v>111</v>
      </c>
      <c r="K67" s="60" t="s">
        <v>13</v>
      </c>
      <c r="L67" s="117" t="s">
        <v>194</v>
      </c>
    </row>
    <row r="68" spans="1:12" ht="36" x14ac:dyDescent="0.2">
      <c r="A68" s="4" t="s">
        <v>0</v>
      </c>
      <c r="B68" s="4" t="s">
        <v>131</v>
      </c>
      <c r="C68" s="4" t="s">
        <v>132</v>
      </c>
      <c r="D68" s="71" t="s">
        <v>133</v>
      </c>
      <c r="E68" s="98">
        <f>$C$7</f>
        <v>270</v>
      </c>
      <c r="F68" s="4" t="s">
        <v>115</v>
      </c>
      <c r="G68" s="61" t="e">
        <f>I68/0.75</f>
        <v>#REF!</v>
      </c>
      <c r="H68" s="62" t="e">
        <f>E68*G68</f>
        <v>#REF!</v>
      </c>
      <c r="I68" s="4" t="e">
        <f>#REF!</f>
        <v>#REF!</v>
      </c>
      <c r="J68" s="62" t="e">
        <f>E68*I68</f>
        <v>#REF!</v>
      </c>
      <c r="K68" s="63" t="e">
        <f>1-(J68/H68)</f>
        <v>#REF!</v>
      </c>
      <c r="L68" s="48" t="s">
        <v>196</v>
      </c>
    </row>
    <row r="69" spans="1:12" ht="48.75" thickBot="1" x14ac:dyDescent="0.25">
      <c r="A69" s="4" t="s">
        <v>0</v>
      </c>
      <c r="B69" s="4" t="s">
        <v>131</v>
      </c>
      <c r="C69" s="4" t="s">
        <v>132</v>
      </c>
      <c r="D69" s="71" t="s">
        <v>134</v>
      </c>
      <c r="E69" s="98">
        <f>ROUNDUP($C$8*$C$7,0)</f>
        <v>14</v>
      </c>
      <c r="F69" s="4" t="s">
        <v>115</v>
      </c>
      <c r="G69" s="65" t="e">
        <f>I69/0.75</f>
        <v>#REF!</v>
      </c>
      <c r="H69" s="66" t="e">
        <f>E69*G69</f>
        <v>#REF!</v>
      </c>
      <c r="I69" s="72" t="e">
        <f>#REF!</f>
        <v>#REF!</v>
      </c>
      <c r="J69" s="66" t="e">
        <f>E69*I69</f>
        <v>#REF!</v>
      </c>
      <c r="K69" s="67" t="e">
        <f>1-(J69/H69)</f>
        <v>#REF!</v>
      </c>
      <c r="L69" s="48" t="s">
        <v>196</v>
      </c>
    </row>
    <row r="70" spans="1:12" ht="12.75" thickTop="1" x14ac:dyDescent="0.2">
      <c r="G70" s="62"/>
      <c r="H70" s="62" t="e">
        <f>SUM(H66:H69)</f>
        <v>#REF!</v>
      </c>
      <c r="I70" s="62"/>
      <c r="J70" s="62" t="e">
        <f>SUM(J66:J69)</f>
        <v>#REF!</v>
      </c>
      <c r="K70" s="63" t="e">
        <f>1-(J70/H70)</f>
        <v>#REF!</v>
      </c>
    </row>
    <row r="71" spans="1:12" ht="12.75" thickBot="1" x14ac:dyDescent="0.25">
      <c r="D71" s="71" t="s">
        <v>120</v>
      </c>
      <c r="E71" s="76">
        <v>0</v>
      </c>
      <c r="G71" s="62"/>
      <c r="H71" s="66" t="e">
        <f>-H70*E71</f>
        <v>#REF!</v>
      </c>
      <c r="I71" s="62"/>
      <c r="J71" s="62"/>
      <c r="K71" s="63"/>
    </row>
    <row r="72" spans="1:12" ht="12.75" thickTop="1" x14ac:dyDescent="0.2">
      <c r="H72" s="68" t="e">
        <f>H70+H71</f>
        <v>#REF!</v>
      </c>
      <c r="I72" s="69"/>
      <c r="J72" s="68" t="e">
        <f>J70</f>
        <v>#REF!</v>
      </c>
      <c r="K72" s="70" t="e">
        <f>1-(J72/H72)</f>
        <v>#REF!</v>
      </c>
    </row>
    <row r="74" spans="1:12" x14ac:dyDescent="0.2">
      <c r="A74" s="58"/>
      <c r="B74" s="58" t="s">
        <v>135</v>
      </c>
      <c r="C74" s="59"/>
      <c r="D74" s="75"/>
      <c r="E74" s="96"/>
      <c r="F74" s="59"/>
      <c r="G74" s="59"/>
      <c r="H74" s="59"/>
      <c r="I74" s="59"/>
      <c r="J74" s="59"/>
      <c r="K74" s="59"/>
      <c r="L74" s="96"/>
    </row>
    <row r="75" spans="1:12" x14ac:dyDescent="0.2">
      <c r="B75" s="60" t="s">
        <v>128</v>
      </c>
      <c r="C75" s="60" t="s">
        <v>106</v>
      </c>
      <c r="D75" s="73" t="s">
        <v>68</v>
      </c>
      <c r="E75" s="2" t="s">
        <v>69</v>
      </c>
      <c r="F75" s="60" t="s">
        <v>107</v>
      </c>
      <c r="G75" s="60" t="s">
        <v>108</v>
      </c>
      <c r="H75" s="60" t="s">
        <v>109</v>
      </c>
      <c r="I75" s="60" t="s">
        <v>110</v>
      </c>
      <c r="J75" s="60" t="s">
        <v>111</v>
      </c>
      <c r="K75" s="60" t="s">
        <v>13</v>
      </c>
      <c r="L75" s="117" t="s">
        <v>194</v>
      </c>
    </row>
    <row r="76" spans="1:12" ht="12.75" thickBot="1" x14ac:dyDescent="0.25">
      <c r="A76" s="4" t="s">
        <v>0</v>
      </c>
      <c r="D76" s="71" t="s">
        <v>173</v>
      </c>
      <c r="E76" s="98">
        <v>1</v>
      </c>
      <c r="F76" s="4" t="s">
        <v>115</v>
      </c>
      <c r="G76" s="65">
        <f>I76/0.75</f>
        <v>6666.666666666667</v>
      </c>
      <c r="H76" s="66">
        <f>E76*G76</f>
        <v>6666.666666666667</v>
      </c>
      <c r="I76" s="74">
        <v>5000</v>
      </c>
      <c r="J76" s="66">
        <f>E76*I76</f>
        <v>5000</v>
      </c>
      <c r="K76" s="67">
        <f>1-(J76/H76)</f>
        <v>0.25</v>
      </c>
      <c r="L76" s="48" t="s">
        <v>196</v>
      </c>
    </row>
    <row r="77" spans="1:12" ht="12.75" thickTop="1" x14ac:dyDescent="0.2">
      <c r="G77" s="62"/>
      <c r="H77" s="62">
        <f>SUM(H74:H76)</f>
        <v>6666.666666666667</v>
      </c>
      <c r="I77" s="62"/>
      <c r="J77" s="62">
        <f>SUM(J74:J76)</f>
        <v>5000</v>
      </c>
      <c r="K77" s="63">
        <f>1-(J77/H77)</f>
        <v>0.25</v>
      </c>
    </row>
    <row r="78" spans="1:12" ht="12.75" thickBot="1" x14ac:dyDescent="0.25">
      <c r="D78" s="71" t="s">
        <v>120</v>
      </c>
      <c r="E78" s="76">
        <v>0</v>
      </c>
      <c r="G78" s="62"/>
      <c r="H78" s="66">
        <f>-H77*E78</f>
        <v>0</v>
      </c>
      <c r="I78" s="62"/>
      <c r="J78" s="62"/>
      <c r="K78" s="63"/>
    </row>
    <row r="79" spans="1:12" ht="12.75" thickTop="1" x14ac:dyDescent="0.2">
      <c r="H79" s="68">
        <f>H77+H78</f>
        <v>6666.666666666667</v>
      </c>
      <c r="I79" s="69"/>
      <c r="J79" s="68">
        <f>J77</f>
        <v>5000</v>
      </c>
      <c r="K79" s="70">
        <f>1-(J79/H79)</f>
        <v>0.25</v>
      </c>
    </row>
    <row r="81" spans="1:12" x14ac:dyDescent="0.2">
      <c r="A81" s="58"/>
      <c r="B81" s="58" t="s">
        <v>174</v>
      </c>
      <c r="C81" s="59"/>
      <c r="D81" s="75"/>
      <c r="E81" s="96"/>
      <c r="F81" s="59"/>
      <c r="G81" s="59"/>
      <c r="H81" s="59"/>
      <c r="I81" s="59"/>
      <c r="J81" s="59"/>
      <c r="K81" s="59"/>
      <c r="L81" s="96"/>
    </row>
    <row r="82" spans="1:12" x14ac:dyDescent="0.2">
      <c r="B82" s="60" t="s">
        <v>128</v>
      </c>
      <c r="C82" s="60" t="s">
        <v>106</v>
      </c>
      <c r="D82" s="73" t="s">
        <v>68</v>
      </c>
      <c r="E82" s="2" t="s">
        <v>69</v>
      </c>
      <c r="F82" s="60" t="s">
        <v>107</v>
      </c>
      <c r="G82" s="60" t="s">
        <v>108</v>
      </c>
      <c r="H82" s="60" t="s">
        <v>109</v>
      </c>
      <c r="I82" s="60" t="s">
        <v>110</v>
      </c>
      <c r="J82" s="60" t="s">
        <v>111</v>
      </c>
      <c r="K82" s="60" t="s">
        <v>13</v>
      </c>
      <c r="L82" s="117" t="s">
        <v>194</v>
      </c>
    </row>
    <row r="83" spans="1:12" x14ac:dyDescent="0.2">
      <c r="A83" s="4" t="s">
        <v>0</v>
      </c>
      <c r="D83" s="71" t="s">
        <v>175</v>
      </c>
      <c r="E83" s="98">
        <v>0</v>
      </c>
      <c r="F83" s="4" t="s">
        <v>115</v>
      </c>
      <c r="G83" s="61">
        <f t="shared" ref="G83:G91" si="9">I83/0.75</f>
        <v>0</v>
      </c>
      <c r="H83" s="62">
        <f>E83*G83*$C$18</f>
        <v>0</v>
      </c>
      <c r="I83" s="4">
        <v>0</v>
      </c>
      <c r="J83" s="62">
        <f>E83*I83*$C$18</f>
        <v>0</v>
      </c>
      <c r="K83" s="63" t="e">
        <f t="shared" ref="K83:K93" si="10">1-(J83/H83)</f>
        <v>#DIV/0!</v>
      </c>
      <c r="L83" s="48" t="s">
        <v>196</v>
      </c>
    </row>
    <row r="84" spans="1:12" x14ac:dyDescent="0.2">
      <c r="A84" s="4" t="s">
        <v>0</v>
      </c>
      <c r="D84" s="71" t="s">
        <v>176</v>
      </c>
      <c r="E84" s="98">
        <v>1</v>
      </c>
      <c r="F84" s="4" t="s">
        <v>115</v>
      </c>
      <c r="G84" s="61" t="e">
        <f t="shared" si="9"/>
        <v>#REF!</v>
      </c>
      <c r="H84" s="62" t="e">
        <f>E84*G84</f>
        <v>#REF!</v>
      </c>
      <c r="I84" s="4" t="e">
        <f>#REF!</f>
        <v>#REF!</v>
      </c>
      <c r="J84" s="62" t="e">
        <f>E84*I84</f>
        <v>#REF!</v>
      </c>
      <c r="K84" s="63" t="e">
        <f t="shared" si="10"/>
        <v>#REF!</v>
      </c>
      <c r="L84" s="48" t="s">
        <v>196</v>
      </c>
    </row>
    <row r="85" spans="1:12" x14ac:dyDescent="0.2">
      <c r="A85" s="4" t="s">
        <v>0</v>
      </c>
      <c r="D85" s="71" t="s">
        <v>177</v>
      </c>
      <c r="E85" s="98">
        <v>0</v>
      </c>
      <c r="F85" s="4" t="s">
        <v>115</v>
      </c>
      <c r="G85" s="61">
        <f t="shared" si="9"/>
        <v>0</v>
      </c>
      <c r="H85" s="62">
        <f>E85*G85*$C$18</f>
        <v>0</v>
      </c>
      <c r="I85" s="4">
        <v>0</v>
      </c>
      <c r="J85" s="62">
        <f>E85*I85*$C$18</f>
        <v>0</v>
      </c>
      <c r="K85" s="63" t="e">
        <f t="shared" si="10"/>
        <v>#DIV/0!</v>
      </c>
      <c r="L85" s="48" t="s">
        <v>196</v>
      </c>
    </row>
    <row r="86" spans="1:12" x14ac:dyDescent="0.2">
      <c r="A86" s="4" t="s">
        <v>0</v>
      </c>
      <c r="D86" s="71" t="s">
        <v>178</v>
      </c>
      <c r="E86" s="98">
        <v>0</v>
      </c>
      <c r="F86" s="4" t="s">
        <v>115</v>
      </c>
      <c r="G86" s="61">
        <f t="shared" si="9"/>
        <v>0</v>
      </c>
      <c r="H86" s="62">
        <f>E86*G86*$C$18</f>
        <v>0</v>
      </c>
      <c r="I86" s="4">
        <v>0</v>
      </c>
      <c r="J86" s="62">
        <f>E86*I86*$C$18</f>
        <v>0</v>
      </c>
      <c r="K86" s="63" t="e">
        <f t="shared" si="10"/>
        <v>#DIV/0!</v>
      </c>
      <c r="L86" s="48" t="s">
        <v>196</v>
      </c>
    </row>
    <row r="87" spans="1:12" x14ac:dyDescent="0.2">
      <c r="A87" s="4" t="s">
        <v>0</v>
      </c>
      <c r="D87" s="71" t="s">
        <v>179</v>
      </c>
      <c r="E87" s="98">
        <v>0</v>
      </c>
      <c r="F87" s="4" t="s">
        <v>115</v>
      </c>
      <c r="G87" s="61">
        <f t="shared" si="9"/>
        <v>0</v>
      </c>
      <c r="H87" s="62">
        <f>E87*G87*$C$18</f>
        <v>0</v>
      </c>
      <c r="I87" s="4">
        <v>0</v>
      </c>
      <c r="J87" s="62">
        <f>E87*I87*$C$18</f>
        <v>0</v>
      </c>
      <c r="K87" s="63" t="e">
        <f t="shared" si="10"/>
        <v>#DIV/0!</v>
      </c>
      <c r="L87" s="48" t="s">
        <v>196</v>
      </c>
    </row>
    <row r="88" spans="1:12" x14ac:dyDescent="0.2">
      <c r="A88" s="4" t="s">
        <v>0</v>
      </c>
      <c r="D88" s="71" t="s">
        <v>180</v>
      </c>
      <c r="E88" s="98">
        <v>0</v>
      </c>
      <c r="F88" s="4" t="s">
        <v>115</v>
      </c>
      <c r="G88" s="61">
        <f t="shared" si="9"/>
        <v>0</v>
      </c>
      <c r="H88" s="62">
        <f>E88*G88</f>
        <v>0</v>
      </c>
      <c r="I88" s="4">
        <v>0</v>
      </c>
      <c r="J88" s="62">
        <f>E88*I88</f>
        <v>0</v>
      </c>
      <c r="K88" s="63" t="e">
        <f t="shared" si="10"/>
        <v>#DIV/0!</v>
      </c>
      <c r="L88" s="48" t="s">
        <v>196</v>
      </c>
    </row>
    <row r="89" spans="1:12" x14ac:dyDescent="0.2">
      <c r="A89" s="4" t="s">
        <v>0</v>
      </c>
      <c r="E89" s="98"/>
      <c r="F89" s="4" t="s">
        <v>115</v>
      </c>
      <c r="G89" s="61">
        <f t="shared" si="9"/>
        <v>0</v>
      </c>
      <c r="H89" s="62">
        <f t="shared" ref="H89:H92" si="11">E89*G89</f>
        <v>0</v>
      </c>
      <c r="J89" s="62">
        <f t="shared" ref="J89:J92" si="12">E89*I89</f>
        <v>0</v>
      </c>
      <c r="K89" s="63" t="e">
        <f t="shared" si="10"/>
        <v>#DIV/0!</v>
      </c>
      <c r="L89" s="48" t="s">
        <v>196</v>
      </c>
    </row>
    <row r="90" spans="1:12" x14ac:dyDescent="0.2">
      <c r="A90" s="4" t="s">
        <v>0</v>
      </c>
      <c r="E90" s="98"/>
      <c r="F90" s="4" t="s">
        <v>115</v>
      </c>
      <c r="G90" s="61">
        <f t="shared" si="9"/>
        <v>0</v>
      </c>
      <c r="H90" s="62">
        <f t="shared" si="11"/>
        <v>0</v>
      </c>
      <c r="J90" s="62">
        <f t="shared" si="12"/>
        <v>0</v>
      </c>
      <c r="K90" s="63" t="e">
        <f t="shared" si="10"/>
        <v>#DIV/0!</v>
      </c>
      <c r="L90" s="48" t="s">
        <v>196</v>
      </c>
    </row>
    <row r="91" spans="1:12" x14ac:dyDescent="0.2">
      <c r="A91" s="4" t="s">
        <v>0</v>
      </c>
      <c r="E91" s="98"/>
      <c r="F91" s="4" t="s">
        <v>115</v>
      </c>
      <c r="G91" s="61">
        <f t="shared" si="9"/>
        <v>0</v>
      </c>
      <c r="H91" s="62">
        <f t="shared" si="11"/>
        <v>0</v>
      </c>
      <c r="J91" s="62">
        <f t="shared" si="12"/>
        <v>0</v>
      </c>
      <c r="K91" s="63" t="e">
        <f t="shared" si="10"/>
        <v>#DIV/0!</v>
      </c>
      <c r="L91" s="48" t="s">
        <v>196</v>
      </c>
    </row>
    <row r="92" spans="1:12" ht="12.75" thickBot="1" x14ac:dyDescent="0.25">
      <c r="B92" s="64"/>
      <c r="E92" s="98"/>
      <c r="F92" s="4" t="s">
        <v>115</v>
      </c>
      <c r="G92" s="61">
        <f t="shared" ref="G92" si="13">I92/0.6</f>
        <v>0</v>
      </c>
      <c r="H92" s="66">
        <f t="shared" si="11"/>
        <v>0</v>
      </c>
      <c r="I92" s="72">
        <v>0</v>
      </c>
      <c r="J92" s="66">
        <f t="shared" si="12"/>
        <v>0</v>
      </c>
      <c r="K92" s="67" t="e">
        <f t="shared" si="10"/>
        <v>#DIV/0!</v>
      </c>
      <c r="L92" s="48" t="s">
        <v>196</v>
      </c>
    </row>
    <row r="93" spans="1:12" ht="12.75" thickTop="1" x14ac:dyDescent="0.2">
      <c r="G93" s="62"/>
      <c r="H93" s="62" t="e">
        <f>SUM(H83:H92)</f>
        <v>#REF!</v>
      </c>
      <c r="I93" s="62"/>
      <c r="J93" s="62" t="e">
        <f>SUM(J83:J92)</f>
        <v>#REF!</v>
      </c>
      <c r="K93" s="63" t="e">
        <f t="shared" si="10"/>
        <v>#REF!</v>
      </c>
    </row>
    <row r="94" spans="1:12" ht="12.75" thickBot="1" x14ac:dyDescent="0.25">
      <c r="D94" s="71" t="s">
        <v>120</v>
      </c>
      <c r="E94" s="76">
        <v>0</v>
      </c>
      <c r="G94" s="62"/>
      <c r="H94" s="66" t="e">
        <f>-H93*E94</f>
        <v>#REF!</v>
      </c>
      <c r="I94" s="62"/>
      <c r="J94" s="62"/>
      <c r="K94" s="63"/>
    </row>
    <row r="95" spans="1:12" ht="12.75" thickTop="1" x14ac:dyDescent="0.2">
      <c r="H95" s="68" t="e">
        <f>H93+H94</f>
        <v>#REF!</v>
      </c>
      <c r="I95" s="69"/>
      <c r="J95" s="68" t="e">
        <f>J93</f>
        <v>#REF!</v>
      </c>
      <c r="K95" s="70" t="e">
        <f>1-(J95/H95)</f>
        <v>#REF!</v>
      </c>
    </row>
    <row r="96" spans="1:12" x14ac:dyDescent="0.2">
      <c r="A96" s="58"/>
      <c r="B96" s="58" t="s">
        <v>148</v>
      </c>
      <c r="C96" s="59"/>
      <c r="D96" s="75"/>
      <c r="E96" s="96"/>
      <c r="F96" s="59"/>
      <c r="G96" s="59"/>
      <c r="H96" s="59"/>
      <c r="I96" s="59"/>
      <c r="J96" s="59"/>
      <c r="K96" s="59"/>
      <c r="L96" s="96"/>
    </row>
    <row r="97" spans="1:12" x14ac:dyDescent="0.2">
      <c r="B97" s="60" t="s">
        <v>128</v>
      </c>
      <c r="C97" s="60" t="s">
        <v>106</v>
      </c>
      <c r="D97" s="73" t="s">
        <v>68</v>
      </c>
      <c r="E97" s="2" t="s">
        <v>69</v>
      </c>
      <c r="F97" s="60" t="s">
        <v>107</v>
      </c>
      <c r="G97" s="60" t="s">
        <v>108</v>
      </c>
      <c r="H97" s="60" t="s">
        <v>109</v>
      </c>
      <c r="I97" s="60" t="s">
        <v>110</v>
      </c>
      <c r="J97" s="60" t="s">
        <v>111</v>
      </c>
      <c r="K97" s="60" t="s">
        <v>13</v>
      </c>
      <c r="L97" s="117" t="s">
        <v>194</v>
      </c>
    </row>
    <row r="98" spans="1:12" x14ac:dyDescent="0.2">
      <c r="A98" s="4" t="s">
        <v>0</v>
      </c>
      <c r="B98" s="4" t="s">
        <v>171</v>
      </c>
      <c r="D98" s="71" t="s">
        <v>154</v>
      </c>
      <c r="E98" s="98">
        <f>C7*2</f>
        <v>540</v>
      </c>
      <c r="F98" s="4" t="s">
        <v>115</v>
      </c>
      <c r="G98" s="61" t="e">
        <f t="shared" ref="G98:G107" si="14">I98/0.75</f>
        <v>#REF!</v>
      </c>
      <c r="H98" s="62" t="e">
        <f t="shared" ref="H98:H108" si="15">E98*G98</f>
        <v>#REF!</v>
      </c>
      <c r="I98" s="61" t="e">
        <f>#REF!</f>
        <v>#REF!</v>
      </c>
      <c r="J98" s="62" t="e">
        <f t="shared" ref="J98:J108" si="16">E98*I98</f>
        <v>#REF!</v>
      </c>
      <c r="K98" s="63" t="e">
        <f t="shared" ref="K98:K109" si="17">1-(J98/H98)</f>
        <v>#REF!</v>
      </c>
      <c r="L98" s="48" t="s">
        <v>196</v>
      </c>
    </row>
    <row r="99" spans="1:12" ht="25.35" customHeight="1" x14ac:dyDescent="0.2">
      <c r="A99" s="4" t="s">
        <v>0</v>
      </c>
      <c r="B99" s="4" t="s">
        <v>171</v>
      </c>
      <c r="D99" s="71" t="s">
        <v>172</v>
      </c>
      <c r="E99" s="98">
        <f>C7*2</f>
        <v>540</v>
      </c>
      <c r="F99" s="4" t="s">
        <v>115</v>
      </c>
      <c r="G99" s="61" t="e">
        <f t="shared" si="14"/>
        <v>#REF!</v>
      </c>
      <c r="H99" s="62" t="e">
        <f t="shared" si="15"/>
        <v>#REF!</v>
      </c>
      <c r="I99" s="61" t="e">
        <f>#REF!</f>
        <v>#REF!</v>
      </c>
      <c r="J99" s="62" t="e">
        <f t="shared" si="16"/>
        <v>#REF!</v>
      </c>
      <c r="K99" s="63" t="e">
        <f t="shared" si="17"/>
        <v>#REF!</v>
      </c>
      <c r="L99" s="48" t="s">
        <v>196</v>
      </c>
    </row>
    <row r="100" spans="1:12" x14ac:dyDescent="0.2">
      <c r="A100" s="4" t="s">
        <v>0</v>
      </c>
      <c r="B100" s="4" t="s">
        <v>171</v>
      </c>
      <c r="D100" s="71" t="s">
        <v>155</v>
      </c>
      <c r="E100" s="98">
        <f>C7*2</f>
        <v>540</v>
      </c>
      <c r="F100" s="4" t="s">
        <v>115</v>
      </c>
      <c r="G100" s="61" t="e">
        <f t="shared" si="14"/>
        <v>#REF!</v>
      </c>
      <c r="H100" s="62" t="e">
        <f t="shared" si="15"/>
        <v>#REF!</v>
      </c>
      <c r="I100" s="61" t="e">
        <f>#REF!</f>
        <v>#REF!</v>
      </c>
      <c r="J100" s="62" t="e">
        <f t="shared" si="16"/>
        <v>#REF!</v>
      </c>
      <c r="K100" s="63" t="e">
        <f t="shared" si="17"/>
        <v>#REF!</v>
      </c>
      <c r="L100" s="48" t="s">
        <v>196</v>
      </c>
    </row>
    <row r="101" spans="1:12" ht="24" x14ac:dyDescent="0.2">
      <c r="A101" s="4" t="s">
        <v>0</v>
      </c>
      <c r="B101" s="4" t="s">
        <v>171</v>
      </c>
      <c r="D101" s="71" t="s">
        <v>156</v>
      </c>
      <c r="E101" s="98">
        <f>C7*2</f>
        <v>540</v>
      </c>
      <c r="F101" s="4" t="s">
        <v>115</v>
      </c>
      <c r="G101" s="61" t="e">
        <f t="shared" si="14"/>
        <v>#REF!</v>
      </c>
      <c r="H101" s="62" t="e">
        <f t="shared" si="15"/>
        <v>#REF!</v>
      </c>
      <c r="I101" s="61" t="e">
        <f>#REF!</f>
        <v>#REF!</v>
      </c>
      <c r="J101" s="62" t="e">
        <f t="shared" si="16"/>
        <v>#REF!</v>
      </c>
      <c r="K101" s="63" t="e">
        <f t="shared" si="17"/>
        <v>#REF!</v>
      </c>
      <c r="L101" s="48" t="s">
        <v>196</v>
      </c>
    </row>
    <row r="102" spans="1:12" x14ac:dyDescent="0.2">
      <c r="A102" s="4" t="s">
        <v>0</v>
      </c>
      <c r="B102" s="4" t="s">
        <v>171</v>
      </c>
      <c r="D102" s="71" t="s">
        <v>154</v>
      </c>
      <c r="E102" s="98">
        <f>ROUNDUP($C$8*$C$7,0)*2</f>
        <v>28</v>
      </c>
      <c r="F102" s="4" t="s">
        <v>115</v>
      </c>
      <c r="G102" s="61" t="e">
        <f t="shared" si="14"/>
        <v>#REF!</v>
      </c>
      <c r="H102" s="62" t="e">
        <f t="shared" si="15"/>
        <v>#REF!</v>
      </c>
      <c r="I102" s="61" t="e">
        <f>#REF!</f>
        <v>#REF!</v>
      </c>
      <c r="J102" s="62" t="e">
        <f t="shared" si="16"/>
        <v>#REF!</v>
      </c>
      <c r="K102" s="63" t="e">
        <f t="shared" si="17"/>
        <v>#REF!</v>
      </c>
      <c r="L102" s="48" t="s">
        <v>196</v>
      </c>
    </row>
    <row r="103" spans="1:12" ht="24" x14ac:dyDescent="0.2">
      <c r="A103" s="4" t="s">
        <v>0</v>
      </c>
      <c r="B103" s="4" t="s">
        <v>171</v>
      </c>
      <c r="D103" s="71" t="s">
        <v>172</v>
      </c>
      <c r="E103" s="98">
        <f>ROUNDUP($C$8*$C$7,0)*2</f>
        <v>28</v>
      </c>
      <c r="F103" s="4" t="s">
        <v>115</v>
      </c>
      <c r="G103" s="61" t="e">
        <f t="shared" si="14"/>
        <v>#REF!</v>
      </c>
      <c r="H103" s="62" t="e">
        <f t="shared" si="15"/>
        <v>#REF!</v>
      </c>
      <c r="I103" s="61" t="e">
        <f>#REF!</f>
        <v>#REF!</v>
      </c>
      <c r="J103" s="62" t="e">
        <f t="shared" si="16"/>
        <v>#REF!</v>
      </c>
      <c r="K103" s="63" t="e">
        <f t="shared" si="17"/>
        <v>#REF!</v>
      </c>
      <c r="L103" s="48" t="s">
        <v>196</v>
      </c>
    </row>
    <row r="104" spans="1:12" x14ac:dyDescent="0.2">
      <c r="A104" s="4" t="s">
        <v>0</v>
      </c>
      <c r="B104" s="4" t="s">
        <v>171</v>
      </c>
      <c r="D104" s="71" t="s">
        <v>155</v>
      </c>
      <c r="E104" s="98">
        <f>ROUNDUP($C$8*$C$7,0)*2</f>
        <v>28</v>
      </c>
      <c r="F104" s="4" t="s">
        <v>115</v>
      </c>
      <c r="G104" s="61" t="e">
        <f t="shared" si="14"/>
        <v>#REF!</v>
      </c>
      <c r="H104" s="62" t="e">
        <f t="shared" si="15"/>
        <v>#REF!</v>
      </c>
      <c r="I104" s="61" t="e">
        <f>#REF!</f>
        <v>#REF!</v>
      </c>
      <c r="J104" s="62" t="e">
        <f t="shared" si="16"/>
        <v>#REF!</v>
      </c>
      <c r="K104" s="63" t="e">
        <f t="shared" si="17"/>
        <v>#REF!</v>
      </c>
      <c r="L104" s="48" t="s">
        <v>196</v>
      </c>
    </row>
    <row r="105" spans="1:12" x14ac:dyDescent="0.2">
      <c r="E105" s="98">
        <v>0</v>
      </c>
      <c r="F105" s="4" t="s">
        <v>115</v>
      </c>
      <c r="G105" s="61">
        <f t="shared" si="14"/>
        <v>0</v>
      </c>
      <c r="H105" s="62">
        <f t="shared" si="15"/>
        <v>0</v>
      </c>
      <c r="I105" s="61">
        <v>0</v>
      </c>
      <c r="J105" s="62">
        <f t="shared" si="16"/>
        <v>0</v>
      </c>
      <c r="K105" s="63" t="e">
        <f t="shared" si="17"/>
        <v>#DIV/0!</v>
      </c>
      <c r="L105" s="48" t="s">
        <v>196</v>
      </c>
    </row>
    <row r="106" spans="1:12" x14ac:dyDescent="0.2">
      <c r="E106" s="98">
        <v>0</v>
      </c>
      <c r="F106" s="4" t="s">
        <v>115</v>
      </c>
      <c r="G106" s="61">
        <f t="shared" si="14"/>
        <v>0</v>
      </c>
      <c r="H106" s="62">
        <f t="shared" si="15"/>
        <v>0</v>
      </c>
      <c r="I106" s="61">
        <v>0</v>
      </c>
      <c r="J106" s="62">
        <f t="shared" si="16"/>
        <v>0</v>
      </c>
      <c r="K106" s="63" t="e">
        <f t="shared" si="17"/>
        <v>#DIV/0!</v>
      </c>
      <c r="L106" s="48" t="s">
        <v>196</v>
      </c>
    </row>
    <row r="107" spans="1:12" x14ac:dyDescent="0.2">
      <c r="A107" s="3"/>
      <c r="B107" s="3"/>
      <c r="C107" s="3"/>
      <c r="D107" s="41"/>
      <c r="E107" s="98">
        <v>0</v>
      </c>
      <c r="F107" s="4" t="s">
        <v>115</v>
      </c>
      <c r="G107" s="61">
        <f t="shared" si="14"/>
        <v>0</v>
      </c>
      <c r="H107" s="62">
        <f t="shared" si="15"/>
        <v>0</v>
      </c>
      <c r="I107" s="61">
        <v>0</v>
      </c>
      <c r="J107" s="62">
        <f t="shared" si="16"/>
        <v>0</v>
      </c>
      <c r="K107" s="63" t="e">
        <f t="shared" si="17"/>
        <v>#DIV/0!</v>
      </c>
      <c r="L107" s="48" t="s">
        <v>196</v>
      </c>
    </row>
    <row r="108" spans="1:12" ht="12.75" thickBot="1" x14ac:dyDescent="0.25">
      <c r="B108" s="64"/>
      <c r="E108" s="98"/>
      <c r="F108" s="4" t="s">
        <v>115</v>
      </c>
      <c r="G108" s="61">
        <f t="shared" ref="G108" si="18">I108/0.6</f>
        <v>0</v>
      </c>
      <c r="H108" s="66">
        <f t="shared" si="15"/>
        <v>0</v>
      </c>
      <c r="I108" s="72">
        <v>0</v>
      </c>
      <c r="J108" s="66">
        <f t="shared" si="16"/>
        <v>0</v>
      </c>
      <c r="K108" s="67" t="e">
        <f t="shared" si="17"/>
        <v>#DIV/0!</v>
      </c>
      <c r="L108" s="48" t="s">
        <v>196</v>
      </c>
    </row>
    <row r="109" spans="1:12" ht="12.75" thickTop="1" x14ac:dyDescent="0.2">
      <c r="G109" s="62"/>
      <c r="H109" s="62" t="e">
        <f>SUM(H98:H108)</f>
        <v>#REF!</v>
      </c>
      <c r="I109" s="62"/>
      <c r="J109" s="62" t="e">
        <f>SUM(J98:J108)</f>
        <v>#REF!</v>
      </c>
      <c r="K109" s="63" t="e">
        <f t="shared" si="17"/>
        <v>#REF!</v>
      </c>
    </row>
    <row r="110" spans="1:12" ht="12.75" thickBot="1" x14ac:dyDescent="0.25">
      <c r="D110" s="71" t="s">
        <v>120</v>
      </c>
      <c r="E110" s="76">
        <v>0</v>
      </c>
      <c r="G110" s="62"/>
      <c r="H110" s="66" t="e">
        <f>-H109*E110</f>
        <v>#REF!</v>
      </c>
      <c r="I110" s="62"/>
      <c r="J110" s="62"/>
      <c r="K110" s="63"/>
    </row>
    <row r="111" spans="1:12" ht="12.75" thickTop="1" x14ac:dyDescent="0.2">
      <c r="H111" s="68" t="e">
        <f>H109+H110</f>
        <v>#REF!</v>
      </c>
      <c r="I111" s="69"/>
      <c r="J111" s="68" t="e">
        <f>J109</f>
        <v>#REF!</v>
      </c>
      <c r="K111" s="70" t="e">
        <f>1-(J111/H111)</f>
        <v>#REF!</v>
      </c>
    </row>
    <row r="113" spans="1:13" x14ac:dyDescent="0.2">
      <c r="A113" s="502" t="s">
        <v>136</v>
      </c>
      <c r="B113" s="502"/>
      <c r="C113" s="502"/>
      <c r="D113" s="502"/>
      <c r="E113" s="502"/>
      <c r="F113" s="502"/>
      <c r="G113" s="502"/>
      <c r="H113" s="502"/>
      <c r="I113" s="502"/>
      <c r="J113" s="502"/>
      <c r="K113" s="502"/>
      <c r="L113" s="502"/>
    </row>
    <row r="114" spans="1:13" x14ac:dyDescent="0.2">
      <c r="A114" s="58"/>
      <c r="B114" s="58" t="s">
        <v>136</v>
      </c>
      <c r="C114" s="59"/>
      <c r="D114" s="75"/>
      <c r="E114" s="96"/>
      <c r="F114" s="59"/>
      <c r="G114" s="59"/>
      <c r="H114" s="59"/>
      <c r="I114" s="59"/>
      <c r="J114" s="59"/>
      <c r="K114" s="59"/>
      <c r="L114" s="96"/>
    </row>
    <row r="115" spans="1:13" x14ac:dyDescent="0.2">
      <c r="B115" s="60" t="s">
        <v>128</v>
      </c>
      <c r="C115" s="60" t="s">
        <v>106</v>
      </c>
      <c r="D115" s="73" t="s">
        <v>68</v>
      </c>
      <c r="E115" s="2" t="s">
        <v>69</v>
      </c>
      <c r="F115" s="60" t="s">
        <v>107</v>
      </c>
      <c r="G115" s="60" t="s">
        <v>108</v>
      </c>
      <c r="H115" s="60" t="s">
        <v>109</v>
      </c>
      <c r="I115" s="60" t="s">
        <v>110</v>
      </c>
      <c r="J115" s="60" t="s">
        <v>111</v>
      </c>
      <c r="K115" s="60" t="s">
        <v>13</v>
      </c>
      <c r="L115" s="117" t="s">
        <v>194</v>
      </c>
    </row>
    <row r="116" spans="1:13" x14ac:dyDescent="0.2">
      <c r="A116" s="4" t="s">
        <v>0</v>
      </c>
      <c r="D116" s="71" t="s">
        <v>9</v>
      </c>
      <c r="E116" s="98">
        <f>ROUNDUP(10%*$C$7,0)</f>
        <v>27</v>
      </c>
      <c r="F116" s="4" t="s">
        <v>115</v>
      </c>
      <c r="G116" s="61" t="e">
        <f t="shared" ref="G116:G121" si="19">I116/0.75</f>
        <v>#REF!</v>
      </c>
      <c r="H116" s="62" t="e">
        <f>E116*G116</f>
        <v>#REF!</v>
      </c>
      <c r="I116" s="61" t="e">
        <f>#REF!+#REF!</f>
        <v>#REF!</v>
      </c>
      <c r="J116" s="62" t="e">
        <f>E116*I116</f>
        <v>#REF!</v>
      </c>
      <c r="K116" s="63" t="e">
        <f t="shared" ref="K116:K122" si="20">1-(J116/H116)</f>
        <v>#REF!</v>
      </c>
      <c r="L116" s="48" t="s">
        <v>196</v>
      </c>
    </row>
    <row r="117" spans="1:13" x14ac:dyDescent="0.2">
      <c r="A117" s="4" t="s">
        <v>0</v>
      </c>
      <c r="D117" s="71" t="s">
        <v>6</v>
      </c>
      <c r="E117" s="98">
        <f>ROUNDUP(110%*$C$7,0)</f>
        <v>297</v>
      </c>
      <c r="F117" s="4" t="s">
        <v>115</v>
      </c>
      <c r="G117" s="61">
        <f t="shared" si="19"/>
        <v>6.666666666666667</v>
      </c>
      <c r="H117" s="62">
        <f>E117*G117*6</f>
        <v>11880</v>
      </c>
      <c r="I117" s="4">
        <v>5</v>
      </c>
      <c r="J117" s="62">
        <f>E117*I117*6</f>
        <v>8910</v>
      </c>
      <c r="K117" s="63">
        <f t="shared" si="20"/>
        <v>0.25</v>
      </c>
      <c r="L117" s="48" t="s">
        <v>196</v>
      </c>
    </row>
    <row r="118" spans="1:13" ht="24" x14ac:dyDescent="0.2">
      <c r="A118" s="4" t="s">
        <v>0</v>
      </c>
      <c r="D118" s="71" t="s">
        <v>160</v>
      </c>
      <c r="E118" s="98">
        <v>2</v>
      </c>
      <c r="F118" s="4" t="s">
        <v>115</v>
      </c>
      <c r="G118" s="61">
        <f t="shared" si="19"/>
        <v>2133.3333333333335</v>
      </c>
      <c r="H118" s="62">
        <f>E118*G118</f>
        <v>4266.666666666667</v>
      </c>
      <c r="I118" s="4">
        <v>1600</v>
      </c>
      <c r="J118" s="62">
        <f>E118*I118</f>
        <v>3200</v>
      </c>
      <c r="K118" s="63">
        <f t="shared" si="20"/>
        <v>0.25</v>
      </c>
      <c r="L118" s="48" t="s">
        <v>196</v>
      </c>
    </row>
    <row r="119" spans="1:13" x14ac:dyDescent="0.2">
      <c r="A119" s="4" t="s">
        <v>0</v>
      </c>
      <c r="D119" s="71" t="s">
        <v>12</v>
      </c>
      <c r="E119" s="98">
        <v>1</v>
      </c>
      <c r="F119" s="4" t="s">
        <v>115</v>
      </c>
      <c r="G119" s="61">
        <f t="shared" si="19"/>
        <v>4666.666666666667</v>
      </c>
      <c r="H119" s="62">
        <f>E119*G119</f>
        <v>4666.666666666667</v>
      </c>
      <c r="I119" s="4">
        <v>3500</v>
      </c>
      <c r="J119" s="62">
        <f>E119*I119</f>
        <v>3500</v>
      </c>
      <c r="K119" s="63">
        <f t="shared" si="20"/>
        <v>0.25</v>
      </c>
      <c r="L119" s="48" t="s">
        <v>196</v>
      </c>
    </row>
    <row r="120" spans="1:13" x14ac:dyDescent="0.2">
      <c r="A120" s="4" t="s">
        <v>0</v>
      </c>
      <c r="D120" s="71" t="s">
        <v>137</v>
      </c>
      <c r="E120" s="98">
        <f>ROUNDUP(10%*$C$7,0)</f>
        <v>27</v>
      </c>
      <c r="F120" s="4" t="s">
        <v>115</v>
      </c>
      <c r="G120" s="61">
        <f t="shared" si="19"/>
        <v>2000</v>
      </c>
      <c r="H120" s="62">
        <f>E120*G120</f>
        <v>54000</v>
      </c>
      <c r="I120" s="61">
        <v>1500</v>
      </c>
      <c r="J120" s="62">
        <f>E120*I120</f>
        <v>40500</v>
      </c>
      <c r="K120" s="63">
        <f t="shared" si="20"/>
        <v>0.25</v>
      </c>
      <c r="L120" s="48" t="s">
        <v>196</v>
      </c>
    </row>
    <row r="121" spans="1:13" ht="12.75" thickBot="1" x14ac:dyDescent="0.25">
      <c r="A121" s="4" t="s">
        <v>0</v>
      </c>
      <c r="B121" s="64"/>
      <c r="D121" s="71" t="s">
        <v>11</v>
      </c>
      <c r="E121" s="98">
        <f t="shared" ref="E121" si="21">$C$7</f>
        <v>270</v>
      </c>
      <c r="F121" s="4" t="s">
        <v>115</v>
      </c>
      <c r="G121" s="65" t="e">
        <f t="shared" si="19"/>
        <v>#REF!</v>
      </c>
      <c r="H121" s="66" t="e">
        <f>E121*G121</f>
        <v>#REF!</v>
      </c>
      <c r="I121" s="66" t="e">
        <f>#REF!+#REF!+#REF!+#REF!</f>
        <v>#REF!</v>
      </c>
      <c r="J121" s="66" t="e">
        <f>E121*I121</f>
        <v>#REF!</v>
      </c>
      <c r="K121" s="67" t="e">
        <f t="shared" si="20"/>
        <v>#REF!</v>
      </c>
      <c r="L121" s="48" t="s">
        <v>196</v>
      </c>
    </row>
    <row r="122" spans="1:13" ht="12.75" thickTop="1" x14ac:dyDescent="0.2">
      <c r="G122" s="62"/>
      <c r="H122" s="62" t="e">
        <f>SUM(H116:H121)</f>
        <v>#REF!</v>
      </c>
      <c r="I122" s="62"/>
      <c r="J122" s="62" t="e">
        <f>SUM(J116:J121)</f>
        <v>#REF!</v>
      </c>
      <c r="K122" s="63" t="e">
        <f t="shared" si="20"/>
        <v>#REF!</v>
      </c>
    </row>
    <row r="123" spans="1:13" ht="12.75" thickBot="1" x14ac:dyDescent="0.25">
      <c r="D123" s="71" t="s">
        <v>120</v>
      </c>
      <c r="E123" s="76">
        <v>0</v>
      </c>
      <c r="G123" s="62"/>
      <c r="H123" s="66" t="e">
        <f>-H122*E123</f>
        <v>#REF!</v>
      </c>
      <c r="I123" s="62"/>
      <c r="J123" s="62"/>
      <c r="K123" s="63"/>
    </row>
    <row r="124" spans="1:13" ht="12.75" thickTop="1" x14ac:dyDescent="0.2">
      <c r="H124" s="68" t="e">
        <f>H122+H123</f>
        <v>#REF!</v>
      </c>
      <c r="I124" s="69"/>
      <c r="J124" s="68" t="e">
        <f>J122</f>
        <v>#REF!</v>
      </c>
      <c r="K124" s="70" t="e">
        <f>1-(J124/H124)</f>
        <v>#REF!</v>
      </c>
    </row>
    <row r="125" spans="1:13" x14ac:dyDescent="0.2">
      <c r="H125" s="68"/>
      <c r="I125" s="69"/>
      <c r="J125" s="68"/>
      <c r="K125" s="70"/>
    </row>
    <row r="126" spans="1:13" x14ac:dyDescent="0.2">
      <c r="A126" s="58"/>
      <c r="B126" s="58" t="s">
        <v>17</v>
      </c>
      <c r="C126" s="59"/>
      <c r="D126" s="75"/>
      <c r="E126" s="96"/>
      <c r="F126" s="59"/>
      <c r="G126" s="59"/>
      <c r="H126" s="59"/>
      <c r="I126" s="59"/>
      <c r="J126" s="59"/>
      <c r="K126" s="59"/>
      <c r="L126" s="96"/>
    </row>
    <row r="127" spans="1:13" x14ac:dyDescent="0.2">
      <c r="B127" s="60" t="s">
        <v>128</v>
      </c>
      <c r="C127" s="60" t="s">
        <v>106</v>
      </c>
      <c r="D127" s="73" t="s">
        <v>68</v>
      </c>
      <c r="E127" s="2" t="s">
        <v>69</v>
      </c>
      <c r="F127" s="60" t="s">
        <v>107</v>
      </c>
      <c r="G127" s="60" t="s">
        <v>108</v>
      </c>
      <c r="H127" s="60" t="s">
        <v>109</v>
      </c>
      <c r="I127" s="60" t="s">
        <v>110</v>
      </c>
      <c r="J127" s="60" t="s">
        <v>111</v>
      </c>
      <c r="K127" s="60" t="s">
        <v>13</v>
      </c>
      <c r="L127" s="117" t="s">
        <v>194</v>
      </c>
    </row>
    <row r="128" spans="1:13" x14ac:dyDescent="0.2">
      <c r="A128" s="4" t="s">
        <v>0</v>
      </c>
      <c r="D128" s="71" t="s">
        <v>89</v>
      </c>
      <c r="E128" s="98">
        <v>1</v>
      </c>
      <c r="F128" s="4" t="s">
        <v>115</v>
      </c>
      <c r="G128" s="62" t="e">
        <f>I128/0.75</f>
        <v>#REF!</v>
      </c>
      <c r="H128" s="62" t="e">
        <f>E128*G128</f>
        <v>#REF!</v>
      </c>
      <c r="I128" s="62" t="e">
        <f>#REF!*$C$7/1376</f>
        <v>#REF!</v>
      </c>
      <c r="J128" s="62" t="e">
        <f>E128*I128</f>
        <v>#REF!</v>
      </c>
      <c r="K128" s="63" t="e">
        <f t="shared" ref="K128:K133" si="22">1-(J128/H128)</f>
        <v>#REF!</v>
      </c>
      <c r="L128" s="48" t="s">
        <v>195</v>
      </c>
      <c r="M128" s="4" t="s">
        <v>203</v>
      </c>
    </row>
    <row r="129" spans="1:13" x14ac:dyDescent="0.2">
      <c r="A129" s="4" t="s">
        <v>0</v>
      </c>
      <c r="D129" s="71" t="s">
        <v>70</v>
      </c>
      <c r="E129" s="98">
        <v>1</v>
      </c>
      <c r="F129" s="4" t="s">
        <v>115</v>
      </c>
      <c r="G129" s="62">
        <f>I129/0.7</f>
        <v>214285.71428571429</v>
      </c>
      <c r="H129" s="62">
        <f>E129*G129</f>
        <v>214285.71428571429</v>
      </c>
      <c r="I129" s="62">
        <v>150000</v>
      </c>
      <c r="J129" s="62">
        <f>E129*I129</f>
        <v>150000</v>
      </c>
      <c r="K129" s="63">
        <f t="shared" si="22"/>
        <v>0.30000000000000004</v>
      </c>
      <c r="L129" s="48" t="s">
        <v>195</v>
      </c>
      <c r="M129" s="4" t="s">
        <v>204</v>
      </c>
    </row>
    <row r="130" spans="1:13" x14ac:dyDescent="0.2">
      <c r="A130" s="4" t="s">
        <v>0</v>
      </c>
      <c r="D130" s="71" t="s">
        <v>87</v>
      </c>
      <c r="E130" s="98">
        <f>C7</f>
        <v>270</v>
      </c>
      <c r="F130" s="4" t="s">
        <v>115</v>
      </c>
      <c r="G130" s="62" t="e">
        <f>I130/0.75</f>
        <v>#REF!</v>
      </c>
      <c r="H130" s="62" t="e">
        <f t="shared" ref="H130:H132" si="23">E130*G130</f>
        <v>#REF!</v>
      </c>
      <c r="I130" s="62" t="e">
        <f>#REF!</f>
        <v>#REF!</v>
      </c>
      <c r="J130" s="62" t="e">
        <f t="shared" ref="J130:J132" si="24">E130*I130</f>
        <v>#REF!</v>
      </c>
      <c r="K130" s="63" t="e">
        <f t="shared" si="22"/>
        <v>#REF!</v>
      </c>
      <c r="L130" s="48" t="s">
        <v>195</v>
      </c>
      <c r="M130" s="4" t="s">
        <v>204</v>
      </c>
    </row>
    <row r="131" spans="1:13" x14ac:dyDescent="0.2">
      <c r="A131" s="4" t="s">
        <v>0</v>
      </c>
      <c r="D131" s="71" t="s">
        <v>168</v>
      </c>
      <c r="E131" s="98">
        <v>6</v>
      </c>
      <c r="F131" s="4" t="s">
        <v>115</v>
      </c>
      <c r="G131" s="62">
        <f>I131/0.7</f>
        <v>28571.428571428572</v>
      </c>
      <c r="H131" s="62">
        <f t="shared" si="23"/>
        <v>171428.57142857142</v>
      </c>
      <c r="I131" s="62">
        <v>20000</v>
      </c>
      <c r="J131" s="62">
        <f t="shared" si="24"/>
        <v>120000</v>
      </c>
      <c r="K131" s="63">
        <f t="shared" si="22"/>
        <v>0.29999999999999993</v>
      </c>
      <c r="L131" s="48" t="s">
        <v>195</v>
      </c>
      <c r="M131" s="4" t="s">
        <v>204</v>
      </c>
    </row>
    <row r="132" spans="1:13" x14ac:dyDescent="0.2">
      <c r="A132" s="4" t="s">
        <v>0</v>
      </c>
      <c r="D132" s="71" t="s">
        <v>169</v>
      </c>
      <c r="E132" s="98">
        <v>1</v>
      </c>
      <c r="F132" s="4" t="s">
        <v>115</v>
      </c>
      <c r="G132" s="62">
        <f>I132/0.75</f>
        <v>266666.66666666669</v>
      </c>
      <c r="H132" s="62">
        <f t="shared" si="23"/>
        <v>266666.66666666669</v>
      </c>
      <c r="I132" s="62">
        <v>200000</v>
      </c>
      <c r="J132" s="62">
        <f t="shared" si="24"/>
        <v>200000</v>
      </c>
      <c r="K132" s="63">
        <f t="shared" si="22"/>
        <v>0.25</v>
      </c>
      <c r="L132" s="48" t="s">
        <v>195</v>
      </c>
      <c r="M132" s="4" t="s">
        <v>204</v>
      </c>
    </row>
    <row r="133" spans="1:13" x14ac:dyDescent="0.2">
      <c r="A133" s="4" t="s">
        <v>0</v>
      </c>
      <c r="E133" s="98">
        <v>0</v>
      </c>
      <c r="F133" s="4" t="s">
        <v>115</v>
      </c>
      <c r="G133" s="62">
        <f t="shared" ref="G133" si="25">I133/0.6</f>
        <v>0</v>
      </c>
      <c r="H133" s="62">
        <f>E133*G133</f>
        <v>0</v>
      </c>
      <c r="I133" s="62">
        <v>0</v>
      </c>
      <c r="J133" s="62">
        <f>E133*I133</f>
        <v>0</v>
      </c>
      <c r="K133" s="63" t="e">
        <f t="shared" si="22"/>
        <v>#DIV/0!</v>
      </c>
    </row>
    <row r="134" spans="1:13" ht="12.75" thickBot="1" x14ac:dyDescent="0.25">
      <c r="B134" s="64"/>
      <c r="E134" s="98"/>
      <c r="G134" s="65"/>
      <c r="H134" s="66"/>
      <c r="I134" s="66"/>
      <c r="J134" s="66"/>
      <c r="K134" s="67"/>
    </row>
    <row r="135" spans="1:13" ht="12.75" thickTop="1" x14ac:dyDescent="0.2">
      <c r="G135" s="62"/>
      <c r="H135" s="62" t="e">
        <f>SUM(H128:H134)</f>
        <v>#REF!</v>
      </c>
      <c r="I135" s="62"/>
      <c r="J135" s="62" t="e">
        <f>SUM(J128:J134)</f>
        <v>#REF!</v>
      </c>
      <c r="K135" s="63" t="e">
        <f>1-(J135/H135)</f>
        <v>#REF!</v>
      </c>
    </row>
    <row r="136" spans="1:13" ht="12.75" thickBot="1" x14ac:dyDescent="0.25">
      <c r="D136" s="71" t="s">
        <v>120</v>
      </c>
      <c r="E136" s="76">
        <v>0</v>
      </c>
      <c r="G136" s="62"/>
      <c r="H136" s="66" t="e">
        <f>-H135*E136</f>
        <v>#REF!</v>
      </c>
      <c r="I136" s="62"/>
      <c r="J136" s="62"/>
      <c r="K136" s="63"/>
    </row>
    <row r="137" spans="1:13" ht="12.75" thickTop="1" x14ac:dyDescent="0.2">
      <c r="H137" s="68" t="e">
        <f>H135+H136</f>
        <v>#REF!</v>
      </c>
      <c r="I137" s="69"/>
      <c r="J137" s="68" t="e">
        <f>J135</f>
        <v>#REF!</v>
      </c>
      <c r="K137" s="70" t="e">
        <f>1-(J137/H137)</f>
        <v>#REF!</v>
      </c>
    </row>
    <row r="138" spans="1:13" x14ac:dyDescent="0.2">
      <c r="M138" s="48"/>
    </row>
    <row r="139" spans="1:13" x14ac:dyDescent="0.2">
      <c r="A139" s="58"/>
      <c r="B139" s="58" t="s">
        <v>146</v>
      </c>
      <c r="C139" s="59"/>
      <c r="D139" s="75"/>
      <c r="E139" s="96"/>
      <c r="F139" s="59"/>
      <c r="G139" s="59"/>
      <c r="H139" s="59"/>
      <c r="I139" s="59"/>
      <c r="J139" s="59"/>
      <c r="K139" s="59"/>
      <c r="L139" s="96"/>
    </row>
    <row r="140" spans="1:13" x14ac:dyDescent="0.2">
      <c r="B140" s="60" t="s">
        <v>128</v>
      </c>
      <c r="C140" s="60" t="s">
        <v>106</v>
      </c>
      <c r="D140" s="73" t="s">
        <v>68</v>
      </c>
      <c r="E140" s="2" t="s">
        <v>69</v>
      </c>
      <c r="F140" s="60" t="s">
        <v>107</v>
      </c>
      <c r="G140" s="60" t="s">
        <v>108</v>
      </c>
      <c r="H140" s="60" t="s">
        <v>109</v>
      </c>
      <c r="I140" s="60" t="s">
        <v>110</v>
      </c>
      <c r="J140" s="60" t="s">
        <v>111</v>
      </c>
      <c r="K140" s="60" t="s">
        <v>13</v>
      </c>
      <c r="L140" s="117" t="s">
        <v>194</v>
      </c>
    </row>
    <row r="141" spans="1:13" x14ac:dyDescent="0.2">
      <c r="A141" s="4" t="s">
        <v>0</v>
      </c>
      <c r="D141" s="71" t="s">
        <v>181</v>
      </c>
      <c r="E141" s="98">
        <f>$C$7</f>
        <v>270</v>
      </c>
      <c r="F141" s="4" t="s">
        <v>115</v>
      </c>
      <c r="G141" s="62">
        <f>I141/0.75</f>
        <v>333.33333333333331</v>
      </c>
      <c r="H141" s="62">
        <f>E141*G141</f>
        <v>90000</v>
      </c>
      <c r="I141" s="62">
        <v>250</v>
      </c>
      <c r="J141" s="62">
        <f>E141*I141</f>
        <v>67500</v>
      </c>
      <c r="K141" s="63">
        <f t="shared" ref="K141:K146" si="26">1-(J141/H141)</f>
        <v>0.25</v>
      </c>
      <c r="L141" s="48" t="s">
        <v>196</v>
      </c>
    </row>
    <row r="142" spans="1:13" x14ac:dyDescent="0.2">
      <c r="A142" s="4" t="s">
        <v>0</v>
      </c>
      <c r="D142" s="71" t="s">
        <v>185</v>
      </c>
      <c r="E142" s="98">
        <f>ROUNDUP($C$8*$C$7,0)</f>
        <v>14</v>
      </c>
      <c r="F142" s="4" t="s">
        <v>115</v>
      </c>
      <c r="G142" s="62">
        <f>I142/0.75</f>
        <v>333.33333333333331</v>
      </c>
      <c r="H142" s="62">
        <f>E142*G142</f>
        <v>4666.6666666666661</v>
      </c>
      <c r="I142" s="62">
        <v>250</v>
      </c>
      <c r="J142" s="62">
        <f>E142*I142</f>
        <v>3500</v>
      </c>
      <c r="K142" s="63">
        <f t="shared" si="26"/>
        <v>0.24999999999999989</v>
      </c>
      <c r="L142" s="48" t="s">
        <v>196</v>
      </c>
    </row>
    <row r="143" spans="1:13" x14ac:dyDescent="0.2">
      <c r="A143" s="4" t="s">
        <v>0</v>
      </c>
      <c r="D143" s="71" t="s">
        <v>182</v>
      </c>
      <c r="E143" s="98">
        <v>1</v>
      </c>
      <c r="F143" s="4" t="s">
        <v>115</v>
      </c>
      <c r="G143" s="62" t="e">
        <f>I143/0.75</f>
        <v>#REF!</v>
      </c>
      <c r="H143" s="62" t="e">
        <f>E143*G143</f>
        <v>#REF!</v>
      </c>
      <c r="I143" s="62" t="e">
        <f>#REF!</f>
        <v>#REF!</v>
      </c>
      <c r="J143" s="62" t="e">
        <f>E143*I143</f>
        <v>#REF!</v>
      </c>
      <c r="K143" s="63" t="e">
        <f t="shared" si="26"/>
        <v>#REF!</v>
      </c>
      <c r="L143" s="48" t="s">
        <v>196</v>
      </c>
    </row>
    <row r="144" spans="1:13" x14ac:dyDescent="0.2">
      <c r="A144" s="4" t="s">
        <v>0</v>
      </c>
      <c r="D144" s="71" t="s">
        <v>183</v>
      </c>
      <c r="E144" s="98">
        <v>1</v>
      </c>
      <c r="F144" s="4" t="s">
        <v>115</v>
      </c>
      <c r="G144" s="62" t="e">
        <f>I144/0.75</f>
        <v>#REF!</v>
      </c>
      <c r="H144" s="62" t="e">
        <f>E144*G144</f>
        <v>#REF!</v>
      </c>
      <c r="I144" s="62" t="e">
        <f>#REF!</f>
        <v>#REF!</v>
      </c>
      <c r="J144" s="62" t="e">
        <f>E144*I144</f>
        <v>#REF!</v>
      </c>
      <c r="K144" s="63" t="e">
        <f t="shared" si="26"/>
        <v>#REF!</v>
      </c>
      <c r="L144" s="48" t="s">
        <v>196</v>
      </c>
    </row>
    <row r="145" spans="1:12" ht="12.75" thickBot="1" x14ac:dyDescent="0.25">
      <c r="A145" s="4" t="s">
        <v>0</v>
      </c>
      <c r="D145" s="71" t="s">
        <v>184</v>
      </c>
      <c r="E145" s="98">
        <v>1</v>
      </c>
      <c r="F145" s="4" t="s">
        <v>115</v>
      </c>
      <c r="G145" s="66" t="e">
        <f>I145/0.75</f>
        <v>#REF!</v>
      </c>
      <c r="H145" s="66" t="e">
        <f>E145*G145</f>
        <v>#REF!</v>
      </c>
      <c r="I145" s="66" t="e">
        <f>#REF!</f>
        <v>#REF!</v>
      </c>
      <c r="J145" s="66" t="e">
        <f>E145*I145</f>
        <v>#REF!</v>
      </c>
      <c r="K145" s="67" t="e">
        <f t="shared" si="26"/>
        <v>#REF!</v>
      </c>
      <c r="L145" s="48" t="s">
        <v>196</v>
      </c>
    </row>
    <row r="146" spans="1:12" ht="12.75" thickTop="1" x14ac:dyDescent="0.2">
      <c r="G146" s="62"/>
      <c r="H146" s="62" t="e">
        <f>SUM(H141:H145)</f>
        <v>#REF!</v>
      </c>
      <c r="I146" s="62"/>
      <c r="J146" s="62" t="e">
        <f>SUM(J141:J145)</f>
        <v>#REF!</v>
      </c>
      <c r="K146" s="63" t="e">
        <f t="shared" si="26"/>
        <v>#REF!</v>
      </c>
    </row>
    <row r="147" spans="1:12" ht="12.75" thickBot="1" x14ac:dyDescent="0.25">
      <c r="D147" s="71" t="s">
        <v>120</v>
      </c>
      <c r="E147" s="76">
        <v>0</v>
      </c>
      <c r="G147" s="62"/>
      <c r="H147" s="66" t="e">
        <f>-H146*E147</f>
        <v>#REF!</v>
      </c>
      <c r="I147" s="62"/>
      <c r="J147" s="62"/>
      <c r="K147" s="63"/>
    </row>
    <row r="148" spans="1:12" ht="12.75" thickTop="1" x14ac:dyDescent="0.2">
      <c r="H148" s="68" t="e">
        <f>H146+H147</f>
        <v>#REF!</v>
      </c>
      <c r="I148" s="69"/>
      <c r="J148" s="68" t="e">
        <f>J146</f>
        <v>#REF!</v>
      </c>
      <c r="K148" s="70" t="e">
        <f>1-(J148/H148)</f>
        <v>#REF!</v>
      </c>
    </row>
    <row r="149" spans="1:12" x14ac:dyDescent="0.2">
      <c r="A149" s="495" t="s">
        <v>139</v>
      </c>
      <c r="B149" s="495"/>
      <c r="C149" s="495"/>
      <c r="D149" s="495"/>
      <c r="E149" s="495"/>
      <c r="F149" s="495"/>
      <c r="G149" s="495"/>
      <c r="H149" s="495"/>
      <c r="I149" s="495"/>
      <c r="J149" s="495"/>
      <c r="K149" s="495"/>
      <c r="L149" s="495"/>
    </row>
    <row r="150" spans="1:12" x14ac:dyDescent="0.2">
      <c r="A150" s="78" t="s">
        <v>5</v>
      </c>
      <c r="B150" s="78" t="s">
        <v>140</v>
      </c>
      <c r="C150" s="79"/>
      <c r="D150" s="80"/>
      <c r="E150" s="97"/>
      <c r="F150" s="79"/>
      <c r="G150" s="79"/>
      <c r="H150" s="79"/>
      <c r="I150" s="79"/>
      <c r="J150" s="79"/>
      <c r="K150" s="79"/>
      <c r="L150" s="97"/>
    </row>
    <row r="151" spans="1:12" x14ac:dyDescent="0.2">
      <c r="B151" s="60" t="s">
        <v>128</v>
      </c>
      <c r="C151" s="60" t="s">
        <v>106</v>
      </c>
      <c r="D151" s="73" t="s">
        <v>68</v>
      </c>
      <c r="E151" s="2" t="s">
        <v>69</v>
      </c>
      <c r="F151" s="60" t="s">
        <v>107</v>
      </c>
      <c r="G151" s="60" t="s">
        <v>108</v>
      </c>
      <c r="H151" s="60" t="s">
        <v>109</v>
      </c>
      <c r="I151" s="60" t="s">
        <v>110</v>
      </c>
      <c r="J151" s="60" t="s">
        <v>111</v>
      </c>
      <c r="K151" s="60" t="s">
        <v>13</v>
      </c>
      <c r="L151" s="117" t="s">
        <v>194</v>
      </c>
    </row>
    <row r="152" spans="1:12" x14ac:dyDescent="0.2">
      <c r="A152" s="4" t="s">
        <v>1</v>
      </c>
      <c r="D152" s="71" t="s">
        <v>193</v>
      </c>
      <c r="E152" s="98">
        <v>30</v>
      </c>
      <c r="F152" s="4" t="s">
        <v>115</v>
      </c>
      <c r="G152" s="61">
        <f>I152/0.7</f>
        <v>10714.285714285716</v>
      </c>
      <c r="H152" s="62">
        <f>E152*G152</f>
        <v>321428.57142857148</v>
      </c>
      <c r="I152" s="61">
        <v>7500</v>
      </c>
      <c r="J152" s="62">
        <f>E152*I152</f>
        <v>225000</v>
      </c>
      <c r="K152" s="63">
        <f t="shared" ref="K152:K156" si="27">1-(J152/H152)</f>
        <v>0.30000000000000016</v>
      </c>
      <c r="L152" s="48" t="s">
        <v>195</v>
      </c>
    </row>
    <row r="153" spans="1:12" x14ac:dyDescent="0.2">
      <c r="A153" s="4" t="s">
        <v>1</v>
      </c>
      <c r="D153" s="71" t="s">
        <v>72</v>
      </c>
      <c r="E153" s="98">
        <v>30</v>
      </c>
      <c r="F153" s="4" t="s">
        <v>115</v>
      </c>
      <c r="G153" s="61" t="e">
        <f>I153/0.7</f>
        <v>#REF!</v>
      </c>
      <c r="H153" s="62" t="e">
        <f>E153*G153</f>
        <v>#REF!</v>
      </c>
      <c r="I153" s="61" t="e">
        <f>#REF!</f>
        <v>#REF!</v>
      </c>
      <c r="J153" s="62" t="e">
        <f>E153*I153</f>
        <v>#REF!</v>
      </c>
      <c r="K153" s="63" t="e">
        <f t="shared" si="27"/>
        <v>#REF!</v>
      </c>
      <c r="L153" s="48" t="s">
        <v>196</v>
      </c>
    </row>
    <row r="154" spans="1:12" ht="24" x14ac:dyDescent="0.2">
      <c r="A154" s="4" t="s">
        <v>1</v>
      </c>
      <c r="D154" s="71" t="s">
        <v>147</v>
      </c>
      <c r="E154" s="98">
        <f>C7</f>
        <v>270</v>
      </c>
      <c r="F154" s="4" t="s">
        <v>115</v>
      </c>
      <c r="G154" s="61">
        <f>I154/0.7</f>
        <v>4.2857142857142856</v>
      </c>
      <c r="H154" s="62">
        <f>E154*G154*24</f>
        <v>27771.428571428572</v>
      </c>
      <c r="I154" s="4">
        <v>3</v>
      </c>
      <c r="J154" s="62">
        <f>E154*I154*24</f>
        <v>19440</v>
      </c>
      <c r="K154" s="63">
        <f t="shared" si="27"/>
        <v>0.30000000000000004</v>
      </c>
      <c r="L154" s="48" t="s">
        <v>195</v>
      </c>
    </row>
    <row r="155" spans="1:12" x14ac:dyDescent="0.2">
      <c r="A155" s="4" t="s">
        <v>1</v>
      </c>
      <c r="D155" s="71" t="s">
        <v>152</v>
      </c>
      <c r="E155" s="98">
        <f>ROUNDUP(30%*$C$7,0)</f>
        <v>81</v>
      </c>
      <c r="F155" s="4" t="s">
        <v>115</v>
      </c>
      <c r="G155" s="61" t="e">
        <f>I155/0.75</f>
        <v>#REF!</v>
      </c>
      <c r="H155" s="62" t="e">
        <f>E155*G155</f>
        <v>#REF!</v>
      </c>
      <c r="I155" s="4" t="e">
        <f>#REF!*2</f>
        <v>#REF!</v>
      </c>
      <c r="J155" s="62" t="e">
        <f>E155*I155</f>
        <v>#REF!</v>
      </c>
      <c r="K155" s="63" t="e">
        <f t="shared" si="27"/>
        <v>#REF!</v>
      </c>
      <c r="L155" s="48" t="s">
        <v>196</v>
      </c>
    </row>
    <row r="156" spans="1:12" x14ac:dyDescent="0.2">
      <c r="A156" s="4" t="s">
        <v>1</v>
      </c>
      <c r="D156" s="71" t="s">
        <v>88</v>
      </c>
      <c r="E156" s="98">
        <f>C7</f>
        <v>270</v>
      </c>
      <c r="F156" s="4" t="s">
        <v>115</v>
      </c>
      <c r="G156" s="61" t="e">
        <f>I156/0.75</f>
        <v>#REF!</v>
      </c>
      <c r="H156" s="62" t="e">
        <f>E156*G156*36</f>
        <v>#REF!</v>
      </c>
      <c r="I156" s="77" t="e">
        <f>#REF!/951</f>
        <v>#REF!</v>
      </c>
      <c r="J156" s="62" t="e">
        <f>E156*I156*36</f>
        <v>#REF!</v>
      </c>
      <c r="K156" s="63" t="e">
        <f t="shared" si="27"/>
        <v>#REF!</v>
      </c>
      <c r="L156" s="48" t="s">
        <v>195</v>
      </c>
    </row>
    <row r="157" spans="1:12" ht="12.75" thickBot="1" x14ac:dyDescent="0.25">
      <c r="B157" s="64"/>
      <c r="E157" s="98"/>
      <c r="G157" s="65"/>
      <c r="H157" s="66"/>
      <c r="I157" s="66"/>
      <c r="J157" s="66"/>
      <c r="K157" s="67"/>
    </row>
    <row r="158" spans="1:12" ht="12.75" thickTop="1" x14ac:dyDescent="0.2">
      <c r="G158" s="62"/>
      <c r="H158" s="62" t="e">
        <f>SUM(H152:H157)</f>
        <v>#REF!</v>
      </c>
      <c r="I158" s="62"/>
      <c r="J158" s="62" t="e">
        <f>SUM(J152:J157)</f>
        <v>#REF!</v>
      </c>
      <c r="K158" s="63" t="e">
        <f>1-(J158/H158)</f>
        <v>#REF!</v>
      </c>
    </row>
    <row r="159" spans="1:12" ht="12.75" thickBot="1" x14ac:dyDescent="0.25">
      <c r="D159" s="71" t="s">
        <v>120</v>
      </c>
      <c r="E159" s="76">
        <v>0</v>
      </c>
      <c r="G159" s="62"/>
      <c r="H159" s="66" t="e">
        <f>-H158*E159</f>
        <v>#REF!</v>
      </c>
      <c r="I159" s="62"/>
      <c r="J159" s="62"/>
      <c r="K159" s="63"/>
    </row>
    <row r="160" spans="1:12" ht="12.75" thickTop="1" x14ac:dyDescent="0.2">
      <c r="H160" s="68" t="e">
        <f>H158+H159</f>
        <v>#REF!</v>
      </c>
      <c r="I160" s="69"/>
      <c r="J160" s="68" t="e">
        <f>J158</f>
        <v>#REF!</v>
      </c>
      <c r="K160" s="70" t="e">
        <f>1-(J160/H160)</f>
        <v>#REF!</v>
      </c>
    </row>
    <row r="162" spans="1:13" x14ac:dyDescent="0.2">
      <c r="A162" s="78"/>
      <c r="B162" s="78" t="s">
        <v>18</v>
      </c>
      <c r="C162" s="79"/>
      <c r="D162" s="80"/>
      <c r="E162" s="97"/>
      <c r="F162" s="79"/>
      <c r="G162" s="79"/>
      <c r="H162" s="79"/>
      <c r="I162" s="79"/>
      <c r="J162" s="79"/>
      <c r="K162" s="79"/>
      <c r="L162" s="97"/>
    </row>
    <row r="163" spans="1:13" x14ac:dyDescent="0.2">
      <c r="B163" s="60" t="s">
        <v>128</v>
      </c>
      <c r="C163" s="60" t="s">
        <v>106</v>
      </c>
      <c r="D163" s="73" t="s">
        <v>68</v>
      </c>
      <c r="E163" s="2" t="s">
        <v>69</v>
      </c>
      <c r="F163" s="60" t="s">
        <v>107</v>
      </c>
      <c r="G163" s="60" t="s">
        <v>108</v>
      </c>
      <c r="H163" s="60" t="s">
        <v>109</v>
      </c>
      <c r="I163" s="60" t="s">
        <v>110</v>
      </c>
      <c r="J163" s="60" t="s">
        <v>111</v>
      </c>
      <c r="K163" s="60" t="s">
        <v>13</v>
      </c>
      <c r="L163" s="117" t="s">
        <v>194</v>
      </c>
      <c r="M163" s="60"/>
    </row>
    <row r="164" spans="1:13" x14ac:dyDescent="0.2">
      <c r="A164" s="4" t="s">
        <v>1</v>
      </c>
      <c r="B164" s="4" t="s">
        <v>141</v>
      </c>
      <c r="D164" s="71" t="s">
        <v>220</v>
      </c>
      <c r="E164" s="98">
        <f>C11</f>
        <v>0</v>
      </c>
      <c r="F164" s="4" t="s">
        <v>115</v>
      </c>
      <c r="G164" s="61">
        <f>I164/0.75</f>
        <v>206.66666666666666</v>
      </c>
      <c r="H164" s="62">
        <f>E164*G164*24</f>
        <v>0</v>
      </c>
      <c r="I164" s="61">
        <f>C16</f>
        <v>155</v>
      </c>
      <c r="J164" s="62">
        <f>E164*I164*24</f>
        <v>0</v>
      </c>
      <c r="K164" s="63" t="e">
        <f>1-(J164/H164)</f>
        <v>#DIV/0!</v>
      </c>
      <c r="L164" s="48" t="s">
        <v>195</v>
      </c>
      <c r="M164" s="4" t="s">
        <v>144</v>
      </c>
    </row>
    <row r="165" spans="1:13" ht="24" x14ac:dyDescent="0.2">
      <c r="A165" s="4" t="s">
        <v>1</v>
      </c>
      <c r="B165" s="4" t="s">
        <v>138</v>
      </c>
      <c r="D165" s="71" t="s">
        <v>222</v>
      </c>
      <c r="E165" s="98">
        <f>C10</f>
        <v>675</v>
      </c>
      <c r="F165" s="4" t="s">
        <v>115</v>
      </c>
      <c r="G165" s="61">
        <v>81</v>
      </c>
      <c r="H165" s="62">
        <f>E165*G165*24</f>
        <v>1312200</v>
      </c>
      <c r="I165" s="61">
        <v>52</v>
      </c>
      <c r="J165" s="62">
        <f>E165*I165*24</f>
        <v>842400</v>
      </c>
      <c r="K165" s="63">
        <f>1-(J165/H165)</f>
        <v>0.35802469135802473</v>
      </c>
      <c r="L165" s="48" t="s">
        <v>195</v>
      </c>
      <c r="M165" s="4" t="s">
        <v>144</v>
      </c>
    </row>
    <row r="166" spans="1:13" ht="12.75" thickBot="1" x14ac:dyDescent="0.25">
      <c r="A166" s="4" t="s">
        <v>1</v>
      </c>
      <c r="B166" s="4" t="s">
        <v>138</v>
      </c>
      <c r="D166" s="71" t="s">
        <v>161</v>
      </c>
      <c r="E166" s="98">
        <v>50</v>
      </c>
      <c r="F166" s="4" t="s">
        <v>115</v>
      </c>
      <c r="G166" s="61">
        <v>81</v>
      </c>
      <c r="H166" s="66">
        <f>E166*G166*7</f>
        <v>28350</v>
      </c>
      <c r="I166" s="65">
        <v>52</v>
      </c>
      <c r="J166" s="66">
        <f>E166*I166*7</f>
        <v>18200</v>
      </c>
      <c r="K166" s="67">
        <f>1-(J166/H166)</f>
        <v>0.35802469135802473</v>
      </c>
      <c r="L166" s="48" t="s">
        <v>195</v>
      </c>
      <c r="M166" s="4" t="s">
        <v>144</v>
      </c>
    </row>
    <row r="167" spans="1:13" ht="12.75" thickTop="1" x14ac:dyDescent="0.2">
      <c r="G167" s="62"/>
      <c r="H167" s="62">
        <f>SUM(H164:H166)</f>
        <v>1340550</v>
      </c>
      <c r="I167" s="62"/>
      <c r="J167" s="62">
        <f>SUM(J164:J166)</f>
        <v>860600</v>
      </c>
      <c r="K167" s="63">
        <f>1-(J167/H167)</f>
        <v>0.35802469135802473</v>
      </c>
    </row>
    <row r="168" spans="1:13" ht="12.75" thickBot="1" x14ac:dyDescent="0.25">
      <c r="D168" s="71" t="s">
        <v>120</v>
      </c>
      <c r="E168" s="76">
        <v>0</v>
      </c>
      <c r="G168" s="62"/>
      <c r="H168" s="66">
        <f>-H167*E168</f>
        <v>0</v>
      </c>
      <c r="I168" s="62"/>
      <c r="J168" s="62"/>
      <c r="K168" s="63"/>
    </row>
    <row r="169" spans="1:13" ht="12.75" thickTop="1" x14ac:dyDescent="0.2">
      <c r="H169" s="68">
        <f>H167+H168</f>
        <v>1340550</v>
      </c>
      <c r="I169" s="69"/>
      <c r="J169" s="68">
        <f>J167</f>
        <v>860600</v>
      </c>
      <c r="K169" s="70">
        <f>1-(J169/H169)</f>
        <v>0.35802469135802473</v>
      </c>
    </row>
    <row r="170" spans="1:13" x14ac:dyDescent="0.2">
      <c r="A170" s="78"/>
      <c r="B170" s="78" t="s">
        <v>8</v>
      </c>
      <c r="C170" s="79"/>
      <c r="D170" s="80"/>
      <c r="E170" s="97"/>
      <c r="F170" s="79"/>
      <c r="G170" s="79"/>
      <c r="H170" s="79"/>
      <c r="I170" s="79"/>
      <c r="J170" s="79"/>
      <c r="K170" s="79"/>
      <c r="L170" s="97"/>
    </row>
    <row r="171" spans="1:13" x14ac:dyDescent="0.2">
      <c r="B171" s="60" t="s">
        <v>128</v>
      </c>
      <c r="C171" s="60" t="s">
        <v>106</v>
      </c>
      <c r="D171" s="73" t="s">
        <v>68</v>
      </c>
      <c r="E171" s="2" t="s">
        <v>69</v>
      </c>
      <c r="F171" s="60" t="s">
        <v>107</v>
      </c>
      <c r="G171" s="60" t="s">
        <v>108</v>
      </c>
      <c r="H171" s="60" t="s">
        <v>109</v>
      </c>
      <c r="I171" s="60" t="s">
        <v>110</v>
      </c>
      <c r="J171" s="60" t="s">
        <v>111</v>
      </c>
      <c r="K171" s="60" t="s">
        <v>13</v>
      </c>
    </row>
    <row r="172" spans="1:13" x14ac:dyDescent="0.2">
      <c r="A172" s="4" t="s">
        <v>1</v>
      </c>
      <c r="D172" s="71" t="s">
        <v>15</v>
      </c>
      <c r="E172" s="98">
        <f>ROUNDUP(C19*$C$7,0)</f>
        <v>3</v>
      </c>
      <c r="F172" s="4" t="s">
        <v>115</v>
      </c>
      <c r="G172" s="62">
        <f>I172/0.75</f>
        <v>173.68421052631581</v>
      </c>
      <c r="H172" s="62">
        <v>0</v>
      </c>
      <c r="I172" s="62">
        <f>10%*C20</f>
        <v>130.26315789473685</v>
      </c>
      <c r="J172" s="62">
        <f>E172*I172*24</f>
        <v>9378.9473684210534</v>
      </c>
      <c r="K172" s="63" t="e">
        <f>1-(J172/H172)</f>
        <v>#DIV/0!</v>
      </c>
      <c r="L172" s="48" t="s">
        <v>196</v>
      </c>
    </row>
    <row r="173" spans="1:13" ht="12.75" thickBot="1" x14ac:dyDescent="0.25">
      <c r="B173" s="64"/>
      <c r="D173" s="136" t="s">
        <v>225</v>
      </c>
      <c r="E173" s="98">
        <v>1</v>
      </c>
      <c r="G173" s="65"/>
      <c r="H173" s="66"/>
      <c r="I173" s="66">
        <v>100000</v>
      </c>
      <c r="J173" s="66">
        <v>100000</v>
      </c>
      <c r="K173" s="67"/>
    </row>
    <row r="174" spans="1:13" ht="12.75" thickTop="1" x14ac:dyDescent="0.2">
      <c r="G174" s="62"/>
      <c r="H174" s="62">
        <f>SUM(H172:H173)</f>
        <v>0</v>
      </c>
      <c r="I174" s="62"/>
      <c r="J174" s="62">
        <f>SUM(J172:J173)</f>
        <v>109378.94736842105</v>
      </c>
      <c r="K174" s="63" t="e">
        <f>1-(J174/H174)</f>
        <v>#DIV/0!</v>
      </c>
    </row>
    <row r="175" spans="1:13" ht="12.75" thickBot="1" x14ac:dyDescent="0.25">
      <c r="D175" s="71" t="s">
        <v>120</v>
      </c>
      <c r="E175" s="76">
        <v>0</v>
      </c>
      <c r="G175" s="62"/>
      <c r="H175" s="66">
        <f>-H174*E175</f>
        <v>0</v>
      </c>
      <c r="I175" s="62"/>
      <c r="J175" s="62"/>
      <c r="K175" s="63"/>
    </row>
    <row r="176" spans="1:13" ht="12.75" thickTop="1" x14ac:dyDescent="0.2">
      <c r="H176" s="68">
        <f>H174+H175</f>
        <v>0</v>
      </c>
      <c r="I176" s="69"/>
      <c r="J176" s="68">
        <f>J174</f>
        <v>109378.94736842105</v>
      </c>
      <c r="K176" s="70" t="e">
        <f>1-(J176/H176)</f>
        <v>#DIV/0!</v>
      </c>
    </row>
    <row r="178" spans="4:17" ht="15.75" thickBot="1" x14ac:dyDescent="0.3">
      <c r="H178" s="1" t="s">
        <v>4</v>
      </c>
      <c r="J178" s="106" t="s">
        <v>19</v>
      </c>
      <c r="K178" s="108" t="s">
        <v>13</v>
      </c>
    </row>
    <row r="179" spans="4:17" ht="15.75" thickBot="1" x14ac:dyDescent="0.3">
      <c r="D179" s="81" t="s">
        <v>142</v>
      </c>
      <c r="E179" s="99"/>
      <c r="F179" s="82"/>
      <c r="G179" s="82"/>
      <c r="H179" s="105" t="e">
        <f>H36+H49+H56+H64+H72+H79+H95+H124+H137+H148+H160+H169+H176+H111</f>
        <v>#REF!</v>
      </c>
      <c r="I179" s="82"/>
      <c r="J179" s="105" t="e">
        <f>J36+J49+J56+J64+J72+J79+J95+J124+J137+J148+J160+J169+J176+J111</f>
        <v>#REF!</v>
      </c>
      <c r="K179" s="107" t="e">
        <f>1-(J179/H179)</f>
        <v>#REF!</v>
      </c>
    </row>
    <row r="180" spans="4:17" ht="15.75" thickBot="1" x14ac:dyDescent="0.3">
      <c r="D180" s="49"/>
      <c r="E180" s="104"/>
      <c r="F180" s="49"/>
      <c r="G180" s="49"/>
      <c r="H180" s="83"/>
      <c r="I180" s="49"/>
      <c r="J180" s="85"/>
      <c r="K180" s="86"/>
    </row>
    <row r="181" spans="4:17" ht="15.75" thickBot="1" x14ac:dyDescent="0.3">
      <c r="D181" s="81" t="s">
        <v>143</v>
      </c>
      <c r="E181" s="100">
        <v>0</v>
      </c>
      <c r="F181" s="82"/>
      <c r="G181" s="82"/>
      <c r="H181" s="87" t="e">
        <f>-E181*H179</f>
        <v>#REF!</v>
      </c>
      <c r="I181" s="82"/>
      <c r="J181" s="83">
        <v>0</v>
      </c>
      <c r="K181" s="84"/>
    </row>
    <row r="182" spans="4:17" ht="15.75" thickBot="1" x14ac:dyDescent="0.3">
      <c r="D182"/>
      <c r="E182" s="101"/>
      <c r="F182"/>
      <c r="G182"/>
      <c r="H182"/>
      <c r="I182"/>
      <c r="J182"/>
      <c r="K182"/>
    </row>
    <row r="183" spans="4:17" ht="15.75" thickBot="1" x14ac:dyDescent="0.3">
      <c r="D183" s="88" t="s">
        <v>153</v>
      </c>
      <c r="E183" s="102"/>
      <c r="F183" s="89"/>
      <c r="G183" s="89"/>
      <c r="H183" s="90" t="e">
        <f>H179+H181</f>
        <v>#REF!</v>
      </c>
      <c r="I183" s="89"/>
      <c r="J183" s="90" t="e">
        <f>J179+J180</f>
        <v>#REF!</v>
      </c>
      <c r="K183" s="91" t="e">
        <f>1-(J183/H183)</f>
        <v>#REF!</v>
      </c>
    </row>
    <row r="184" spans="4:17" ht="15.75" thickBot="1" x14ac:dyDescent="0.3">
      <c r="D184"/>
      <c r="E184" s="101"/>
      <c r="F184"/>
      <c r="G184"/>
      <c r="H184"/>
      <c r="I184"/>
      <c r="J184"/>
      <c r="K184"/>
    </row>
    <row r="185" spans="4:17" ht="15.75" thickBot="1" x14ac:dyDescent="0.3">
      <c r="D185" s="92" t="s">
        <v>170</v>
      </c>
      <c r="E185" s="103"/>
      <c r="F185" s="93"/>
      <c r="G185" s="93"/>
      <c r="H185" s="94" t="e">
        <f>H183/C7/C18</f>
        <v>#REF!</v>
      </c>
      <c r="I185" s="93"/>
      <c r="J185" s="94" t="e">
        <f>J183/C7/C18</f>
        <v>#REF!</v>
      </c>
      <c r="K185" s="95" t="e">
        <f>1-(J185/H185)</f>
        <v>#REF!</v>
      </c>
      <c r="N185" s="118" t="s">
        <v>19</v>
      </c>
      <c r="O185" s="118" t="s">
        <v>4</v>
      </c>
      <c r="P185" s="118" t="s">
        <v>197</v>
      </c>
      <c r="Q185" s="118" t="s">
        <v>4</v>
      </c>
    </row>
    <row r="186" spans="4:17" ht="15" customHeight="1" thickBot="1" x14ac:dyDescent="0.3">
      <c r="D186"/>
      <c r="E186" s="101"/>
      <c r="F186"/>
      <c r="G186"/>
      <c r="H186"/>
      <c r="I186"/>
      <c r="J186"/>
      <c r="K186"/>
      <c r="M186" s="119" t="s">
        <v>195</v>
      </c>
      <c r="N186" s="120" t="e">
        <f>N187+N189+N190+N188</f>
        <v>#REF!</v>
      </c>
      <c r="O186" s="120" t="e">
        <f>O187+O189+O190+O188</f>
        <v>#REF!</v>
      </c>
      <c r="P186" s="121" t="e">
        <f>1-(N186/O186)</f>
        <v>#REF!</v>
      </c>
      <c r="Q186" s="496" t="e">
        <f>O186/O195</f>
        <v>#REF!</v>
      </c>
    </row>
    <row r="187" spans="4:17" ht="12.75" thickTop="1" x14ac:dyDescent="0.2">
      <c r="M187" s="122" t="s">
        <v>198</v>
      </c>
      <c r="N187" s="123" t="e">
        <f>SUMIFS(J26:J176,A26:A176,"CAPEX",L26:L176,"HNS",M26:M176,"VSAT")</f>
        <v>#REF!</v>
      </c>
      <c r="O187" s="123" t="e">
        <f>SUMIFS(H26:H176,A26:A176,"CAPEX",L26:L176,"HNS",M26:M176,"VSAT")-(SUMIFS(H26:H176,A26:A176,"CAPEX",L26:L176,"HNS",M26:M176,"VSAT"))*E181</f>
        <v>#REF!</v>
      </c>
      <c r="P187" s="124" t="e">
        <f>1-(N187/O187)</f>
        <v>#REF!</v>
      </c>
      <c r="Q187" s="496"/>
    </row>
    <row r="188" spans="4:17" x14ac:dyDescent="0.2">
      <c r="M188" s="122" t="s">
        <v>199</v>
      </c>
      <c r="N188" s="123" t="e">
        <f>SUMIFS(J26:J176,A26:A176,"CAPEX",L26:L176,"HNS",M26:M176,"GW-INFRA")</f>
        <v>#REF!</v>
      </c>
      <c r="O188" s="123" t="e">
        <f>SUMIFS(H26:H176,A26:A176,"CAPEX",L26:L176,"HNS",M26:M176,"GW-INFRA")-(SUMIFS(H26:H176,A26:A176,"CAPEX",L26:L176,"HNS",M26:M176,"GW-INFRA"))*E181</f>
        <v>#REF!</v>
      </c>
      <c r="P188" s="124" t="e">
        <f>1-(N188/O188)</f>
        <v>#REF!</v>
      </c>
      <c r="Q188" s="496"/>
    </row>
    <row r="189" spans="4:17" x14ac:dyDescent="0.2">
      <c r="M189" s="122" t="s">
        <v>200</v>
      </c>
      <c r="N189" s="123" t="e">
        <f>SUMIFS(J26:J176,A26:A176,"OPEX",L26:L176,"HNS",M26:M176,"")</f>
        <v>#REF!</v>
      </c>
      <c r="O189" s="123" t="e">
        <f>SUMIFS(H26:H176,A26:A176,"OPEX",L26:L176,"HNS",M26:M176,"")-(SUMIFS(H26:H176,A26:A176,"OPEX",L26:L176,"HNS",M26:M176,""))*E181</f>
        <v>#REF!</v>
      </c>
      <c r="P189" s="124" t="e">
        <f t="shared" ref="P189:P193" si="28">1-(N189/O189)</f>
        <v>#REF!</v>
      </c>
      <c r="Q189" s="496"/>
    </row>
    <row r="190" spans="4:17" x14ac:dyDescent="0.2">
      <c r="M190" s="122" t="s">
        <v>205</v>
      </c>
      <c r="N190" s="123">
        <f>SUMIFS(J26:J176,A26:A176,"OPEX",L26:L176,"HNS",M26:M176,"T19V")</f>
        <v>860600</v>
      </c>
      <c r="O190" s="123">
        <f>SUMIFS(H26:H176,A26:A176,"OPEX",L26:L176,"HNS",M26:M176,"T19V")-(SUMIFS(H26:H176,A26:A176,"OPEX",L26:L176,"HNS",M26:M176,"T19V"))*E181</f>
        <v>1340550</v>
      </c>
      <c r="P190" s="124">
        <f t="shared" si="28"/>
        <v>0.35802469135802473</v>
      </c>
      <c r="Q190" s="496"/>
    </row>
    <row r="191" spans="4:17" ht="12.75" thickBot="1" x14ac:dyDescent="0.25">
      <c r="M191" s="125" t="s">
        <v>196</v>
      </c>
      <c r="N191" s="126" t="e">
        <f>N192+N193+N194</f>
        <v>#REF!</v>
      </c>
      <c r="O191" s="126" t="e">
        <f>O192+O193+O194</f>
        <v>#REF!</v>
      </c>
      <c r="P191" s="127" t="e">
        <f t="shared" si="28"/>
        <v>#REF!</v>
      </c>
      <c r="Q191" s="497" t="e">
        <f>O191/O195</f>
        <v>#REF!</v>
      </c>
    </row>
    <row r="192" spans="4:17" ht="12.75" thickTop="1" x14ac:dyDescent="0.2">
      <c r="M192" s="128" t="s">
        <v>201</v>
      </c>
      <c r="N192" s="129" t="e">
        <f>SUMIFS(J26:J176,A26:A176,"CAPEX",L26:L176,"HDP",M26:M176,"")</f>
        <v>#REF!</v>
      </c>
      <c r="O192" s="129" t="e">
        <f>SUMIFS(H26:H176,A26:A176,"CAPEX",L26:L176,"HDP",M26:M176,"")-(SUMIFS(H26:H176,A26:A176,"CAPEX",L26:L176,"HDP",M26:M176,""))*E181</f>
        <v>#REF!</v>
      </c>
      <c r="P192" s="130" t="e">
        <f t="shared" si="28"/>
        <v>#REF!</v>
      </c>
      <c r="Q192" s="497"/>
    </row>
    <row r="193" spans="4:17" x14ac:dyDescent="0.2">
      <c r="M193" s="128" t="s">
        <v>202</v>
      </c>
      <c r="N193" s="129" t="e">
        <f>SUMIFS(J26:J176,A26:A176,"OPEX",L26:L176,"HDP",M26:M176,"")</f>
        <v>#REF!</v>
      </c>
      <c r="O193" s="129" t="e">
        <f>SUMIFS(H26:H176,A26:A176,"OPEX",L26:L176,"HDP",M26:M176,"")-(SUMIFS(H26:H176,A26:A176,"OPEX",L26:L176,"HDP",M26:M176,""))*E181</f>
        <v>#REF!</v>
      </c>
      <c r="P193" s="130" t="e">
        <f t="shared" si="28"/>
        <v>#REF!</v>
      </c>
      <c r="Q193" s="497"/>
    </row>
    <row r="194" spans="4:17" x14ac:dyDescent="0.2">
      <c r="M194" s="128"/>
      <c r="N194" s="129">
        <f>SUMIFS(J26:J176,A26:A176,"OPEX",L26:L176,"HDP",M26:M176,"SES-17")</f>
        <v>0</v>
      </c>
      <c r="O194" s="129">
        <f>SUMIFS(H47:H175,A47:A175,"OPEX",L47:L175,"HDP",P47:P175,"SES-17")-(SUMIFS(H47:H175,A47:A175,"OPEX",L47:L175,"HDP",P47:P175,"SES-17"))*E181</f>
        <v>0</v>
      </c>
      <c r="P194" s="130"/>
      <c r="Q194" s="497"/>
    </row>
    <row r="195" spans="4:17" ht="18.75" x14ac:dyDescent="0.3">
      <c r="D195" s="498" t="s">
        <v>76</v>
      </c>
      <c r="E195" s="498"/>
      <c r="F195" s="498" t="s">
        <v>74</v>
      </c>
      <c r="G195" s="498" t="s">
        <v>73</v>
      </c>
      <c r="H195" s="498" t="s">
        <v>3</v>
      </c>
      <c r="I195" s="500" t="s">
        <v>77</v>
      </c>
      <c r="J195" s="498" t="s">
        <v>78</v>
      </c>
      <c r="K195" s="500" t="s">
        <v>79</v>
      </c>
      <c r="M195" s="131"/>
      <c r="N195" s="132" t="e">
        <f>N186+N191</f>
        <v>#REF!</v>
      </c>
      <c r="O195" s="132" t="e">
        <f>O186+O191</f>
        <v>#REF!</v>
      </c>
      <c r="P195" s="133" t="e">
        <f>1-(N195/O195)</f>
        <v>#REF!</v>
      </c>
    </row>
    <row r="196" spans="4:17" ht="26.85" customHeight="1" x14ac:dyDescent="0.2">
      <c r="D196" s="499"/>
      <c r="E196" s="499"/>
      <c r="F196" s="499"/>
      <c r="G196" s="499"/>
      <c r="H196" s="499"/>
      <c r="I196" s="501"/>
      <c r="J196" s="499"/>
      <c r="K196" s="501"/>
    </row>
    <row r="197" spans="4:17" ht="21" x14ac:dyDescent="0.25">
      <c r="D197" s="42"/>
      <c r="E197" s="42"/>
      <c r="F197" s="42"/>
      <c r="G197" s="42"/>
      <c r="H197" s="42"/>
      <c r="I197" s="43"/>
      <c r="J197" s="43"/>
      <c r="K197" s="43"/>
    </row>
    <row r="198" spans="4:17" ht="23.25" x14ac:dyDescent="0.35">
      <c r="D198" s="494" t="s">
        <v>80</v>
      </c>
      <c r="E198" s="494"/>
      <c r="F198" s="494"/>
      <c r="G198" s="494"/>
      <c r="H198" s="494"/>
      <c r="I198" s="43"/>
      <c r="J198" s="43"/>
      <c r="K198" s="43"/>
      <c r="N198" s="77" t="e">
        <f>J179-N195</f>
        <v>#REF!</v>
      </c>
    </row>
    <row r="199" spans="4:17" x14ac:dyDescent="0.2">
      <c r="D199" s="493" t="s">
        <v>166</v>
      </c>
      <c r="E199" s="493"/>
      <c r="F199" s="489">
        <f>H36+H49-(H36+H49)*E181</f>
        <v>105399.28571428572</v>
      </c>
      <c r="G199" s="489">
        <f>J36+J49</f>
        <v>73779.5</v>
      </c>
      <c r="H199" s="491">
        <f>1-(G199/F199)</f>
        <v>0.30000000000000004</v>
      </c>
      <c r="I199" s="491" t="e">
        <f>G199/$G$218</f>
        <v>#REF!</v>
      </c>
      <c r="J199" s="480">
        <f>G199/$C$7/$C$18</f>
        <v>11.385725308641975</v>
      </c>
      <c r="K199" s="480">
        <f>F199/$C$7/$C$18</f>
        <v>16.265321869488538</v>
      </c>
    </row>
    <row r="200" spans="4:17" x14ac:dyDescent="0.2">
      <c r="D200" s="493"/>
      <c r="E200" s="493"/>
      <c r="F200" s="490"/>
      <c r="G200" s="490"/>
      <c r="H200" s="492"/>
      <c r="I200" s="492"/>
      <c r="J200" s="481"/>
      <c r="K200" s="481"/>
    </row>
    <row r="201" spans="4:17" x14ac:dyDescent="0.2">
      <c r="D201" s="493" t="s">
        <v>81</v>
      </c>
      <c r="E201" s="493"/>
      <c r="F201" s="489">
        <f>H169-H169*E181</f>
        <v>1340550</v>
      </c>
      <c r="G201" s="489">
        <f>J169</f>
        <v>860600</v>
      </c>
      <c r="H201" s="491">
        <f>1-(G201/F201)</f>
        <v>0.35802469135802473</v>
      </c>
      <c r="I201" s="491" t="e">
        <f>G201/$G$218</f>
        <v>#REF!</v>
      </c>
      <c r="J201" s="480">
        <f>G201/$C$7/$C$18</f>
        <v>132.80864197530863</v>
      </c>
      <c r="K201" s="480">
        <f>F201/$C$7/$C$18</f>
        <v>206.875</v>
      </c>
    </row>
    <row r="202" spans="4:17" x14ac:dyDescent="0.2">
      <c r="D202" s="493"/>
      <c r="E202" s="493"/>
      <c r="F202" s="490"/>
      <c r="G202" s="490"/>
      <c r="H202" s="492"/>
      <c r="I202" s="492"/>
      <c r="J202" s="481"/>
      <c r="K202" s="481"/>
    </row>
    <row r="203" spans="4:17" x14ac:dyDescent="0.2">
      <c r="D203" s="493" t="s">
        <v>162</v>
      </c>
      <c r="E203" s="493"/>
      <c r="F203" s="489" t="e">
        <f>H160+H176-(H160+H176)*E181</f>
        <v>#REF!</v>
      </c>
      <c r="G203" s="489" t="e">
        <f>J160+J176</f>
        <v>#REF!</v>
      </c>
      <c r="H203" s="491" t="e">
        <f>1-(G203/F203)</f>
        <v>#REF!</v>
      </c>
      <c r="I203" s="491" t="e">
        <f>G203/$G$218</f>
        <v>#REF!</v>
      </c>
      <c r="J203" s="480" t="e">
        <f>G203/$C$7/$C$18</f>
        <v>#REF!</v>
      </c>
      <c r="K203" s="480" t="e">
        <f>F203/$C$7/$C$18</f>
        <v>#REF!</v>
      </c>
    </row>
    <row r="204" spans="4:17" x14ac:dyDescent="0.2">
      <c r="D204" s="493"/>
      <c r="E204" s="493"/>
      <c r="F204" s="490"/>
      <c r="G204" s="490"/>
      <c r="H204" s="492"/>
      <c r="I204" s="492"/>
      <c r="J204" s="481"/>
      <c r="K204" s="481"/>
    </row>
    <row r="205" spans="4:17" x14ac:dyDescent="0.2">
      <c r="D205" s="476" t="s">
        <v>163</v>
      </c>
      <c r="E205" s="476"/>
      <c r="F205" s="482" t="e">
        <f>SUM(F199:F204)</f>
        <v>#REF!</v>
      </c>
      <c r="G205" s="482" t="e">
        <f>SUM(G199:G204)</f>
        <v>#REF!</v>
      </c>
      <c r="H205" s="484" t="e">
        <f>1-(G205/F205)</f>
        <v>#REF!</v>
      </c>
      <c r="I205" s="484" t="e">
        <f>G205/$G$218</f>
        <v>#REF!</v>
      </c>
      <c r="J205" s="486" t="e">
        <f>G205/$C$7/$C$18</f>
        <v>#REF!</v>
      </c>
      <c r="K205" s="486" t="e">
        <f>F205/$C$7/$C$18</f>
        <v>#REF!</v>
      </c>
    </row>
    <row r="206" spans="4:17" x14ac:dyDescent="0.2">
      <c r="D206" s="476"/>
      <c r="E206" s="476"/>
      <c r="F206" s="483"/>
      <c r="G206" s="483"/>
      <c r="H206" s="485"/>
      <c r="I206" s="485"/>
      <c r="J206" s="487"/>
      <c r="K206" s="487"/>
    </row>
    <row r="207" spans="4:17" x14ac:dyDescent="0.2">
      <c r="D207" s="4"/>
      <c r="E207" s="4"/>
    </row>
    <row r="208" spans="4:17" x14ac:dyDescent="0.2">
      <c r="D208" s="4"/>
      <c r="E208" s="4"/>
    </row>
    <row r="209" spans="4:11" x14ac:dyDescent="0.2">
      <c r="D209" s="493" t="s">
        <v>84</v>
      </c>
      <c r="E209" s="493"/>
      <c r="F209" s="489" t="e">
        <f>H64+H72+H79+H95+H111+H148-(H64+H72+H79+H95+H111+H148)*E181</f>
        <v>#REF!</v>
      </c>
      <c r="G209" s="489" t="e">
        <f>J64+J72+J79+J95+J111+J148</f>
        <v>#REF!</v>
      </c>
      <c r="H209" s="491" t="e">
        <f>1-(G209/F209)</f>
        <v>#REF!</v>
      </c>
      <c r="I209" s="491" t="e">
        <f>G209/$G$218</f>
        <v>#REF!</v>
      </c>
      <c r="J209" s="480" t="e">
        <f>G209/$C$7/$C$18</f>
        <v>#REF!</v>
      </c>
      <c r="K209" s="480" t="e">
        <f>F209/$C$7/$C$18</f>
        <v>#REF!</v>
      </c>
    </row>
    <row r="210" spans="4:11" x14ac:dyDescent="0.2">
      <c r="D210" s="493"/>
      <c r="E210" s="493"/>
      <c r="F210" s="490"/>
      <c r="G210" s="490"/>
      <c r="H210" s="492"/>
      <c r="I210" s="492"/>
      <c r="J210" s="481"/>
      <c r="K210" s="481"/>
    </row>
    <row r="211" spans="4:11" x14ac:dyDescent="0.2">
      <c r="D211" s="493" t="s">
        <v>86</v>
      </c>
      <c r="E211" s="493"/>
      <c r="F211" s="489" t="e">
        <f>H124+H137-(H124+H137)*E181</f>
        <v>#REF!</v>
      </c>
      <c r="G211" s="489" t="e">
        <f>J124+J137</f>
        <v>#REF!</v>
      </c>
      <c r="H211" s="491" t="e">
        <f>1-(G211/F211)</f>
        <v>#REF!</v>
      </c>
      <c r="I211" s="491" t="e">
        <f>G211/$G$218</f>
        <v>#REF!</v>
      </c>
      <c r="J211" s="480" t="e">
        <f>G211/$C$7/$C$18</f>
        <v>#REF!</v>
      </c>
      <c r="K211" s="480" t="e">
        <f>F211/$C$7/$C$18</f>
        <v>#REF!</v>
      </c>
    </row>
    <row r="212" spans="4:11" x14ac:dyDescent="0.2">
      <c r="D212" s="493"/>
      <c r="E212" s="493"/>
      <c r="F212" s="490"/>
      <c r="G212" s="490"/>
      <c r="H212" s="492"/>
      <c r="I212" s="492"/>
      <c r="J212" s="481"/>
      <c r="K212" s="481"/>
    </row>
    <row r="213" spans="4:11" x14ac:dyDescent="0.2">
      <c r="D213" s="488" t="s">
        <v>164</v>
      </c>
      <c r="E213" s="488"/>
      <c r="F213" s="489" t="e">
        <f>H56-H56*E181</f>
        <v>#REF!</v>
      </c>
      <c r="G213" s="489" t="e">
        <f>J56</f>
        <v>#REF!</v>
      </c>
      <c r="H213" s="491" t="e">
        <f>1-(G213/F213)</f>
        <v>#REF!</v>
      </c>
      <c r="I213" s="491" t="e">
        <f>G213/$G$218</f>
        <v>#REF!</v>
      </c>
      <c r="J213" s="480" t="e">
        <f>G213/$C$7/$C$18</f>
        <v>#REF!</v>
      </c>
      <c r="K213" s="480" t="e">
        <f>F213/$C$7/$C$18</f>
        <v>#REF!</v>
      </c>
    </row>
    <row r="214" spans="4:11" x14ac:dyDescent="0.2">
      <c r="D214" s="488"/>
      <c r="E214" s="488"/>
      <c r="F214" s="490"/>
      <c r="G214" s="490"/>
      <c r="H214" s="492"/>
      <c r="I214" s="492"/>
      <c r="J214" s="481"/>
      <c r="K214" s="481"/>
    </row>
    <row r="215" spans="4:11" x14ac:dyDescent="0.2">
      <c r="D215" s="476" t="s">
        <v>163</v>
      </c>
      <c r="E215" s="476"/>
      <c r="F215" s="482" t="e">
        <f>SUM(F209:F214)</f>
        <v>#REF!</v>
      </c>
      <c r="G215" s="482" t="e">
        <f>SUM(G209:G214)</f>
        <v>#REF!</v>
      </c>
      <c r="H215" s="484" t="e">
        <f>1-(G215/F215)</f>
        <v>#REF!</v>
      </c>
      <c r="I215" s="484" t="e">
        <f>G215/$G$218</f>
        <v>#REF!</v>
      </c>
      <c r="J215" s="486" t="e">
        <f>G215/$C$7/$C$18</f>
        <v>#REF!</v>
      </c>
      <c r="K215" s="486" t="e">
        <f>F215/$C$7/$C$18</f>
        <v>#REF!</v>
      </c>
    </row>
    <row r="216" spans="4:11" x14ac:dyDescent="0.2">
      <c r="D216" s="476"/>
      <c r="E216" s="476"/>
      <c r="F216" s="483"/>
      <c r="G216" s="483"/>
      <c r="H216" s="485"/>
      <c r="I216" s="485"/>
      <c r="J216" s="487"/>
      <c r="K216" s="487"/>
    </row>
    <row r="217" spans="4:11" ht="15" x14ac:dyDescent="0.25">
      <c r="D217"/>
      <c r="E217"/>
      <c r="F217"/>
      <c r="G217"/>
      <c r="H217"/>
      <c r="I217"/>
      <c r="J217"/>
      <c r="K217"/>
    </row>
    <row r="218" spans="4:11" ht="21" x14ac:dyDescent="0.35">
      <c r="D218" s="479" t="s">
        <v>167</v>
      </c>
      <c r="E218" s="479"/>
      <c r="F218" s="44" t="e">
        <f>F205+F215</f>
        <v>#REF!</v>
      </c>
      <c r="G218" s="44" t="e">
        <f>G205+G215</f>
        <v>#REF!</v>
      </c>
      <c r="H218" s="45" t="e">
        <f>1-(G218/F218)</f>
        <v>#REF!</v>
      </c>
      <c r="I218" s="45" t="e">
        <f>I205+I215</f>
        <v>#REF!</v>
      </c>
      <c r="J218" s="46" t="e">
        <f>J205+J215</f>
        <v>#REF!</v>
      </c>
      <c r="K218" s="46" t="e">
        <f>K205+K215</f>
        <v>#REF!</v>
      </c>
    </row>
    <row r="219" spans="4:11" ht="15" x14ac:dyDescent="0.25">
      <c r="D219" s="476" t="s">
        <v>82</v>
      </c>
      <c r="E219" s="476"/>
      <c r="F219" s="477">
        <f>E164+E165</f>
        <v>675</v>
      </c>
      <c r="G219" s="477" t="s">
        <v>71</v>
      </c>
      <c r="H219"/>
      <c r="I219"/>
      <c r="J219"/>
      <c r="K219"/>
    </row>
    <row r="220" spans="4:11" ht="15" x14ac:dyDescent="0.25">
      <c r="D220" s="476"/>
      <c r="E220" s="476"/>
      <c r="F220" s="478"/>
      <c r="G220" s="478"/>
      <c r="H220"/>
      <c r="I220"/>
      <c r="J220"/>
      <c r="K220"/>
    </row>
    <row r="221" spans="4:11" ht="15" x14ac:dyDescent="0.25">
      <c r="D221" s="476" t="s">
        <v>83</v>
      </c>
      <c r="E221" s="476"/>
      <c r="F221" s="477">
        <f>C7</f>
        <v>270</v>
      </c>
      <c r="G221" s="477" t="s">
        <v>2</v>
      </c>
      <c r="H221"/>
      <c r="I221"/>
      <c r="J221"/>
      <c r="K221" s="47"/>
    </row>
    <row r="222" spans="4:11" ht="15" x14ac:dyDescent="0.25">
      <c r="D222" s="476"/>
      <c r="E222" s="476"/>
      <c r="F222" s="478"/>
      <c r="G222" s="478"/>
      <c r="H222"/>
      <c r="I222"/>
      <c r="J222"/>
      <c r="K222"/>
    </row>
    <row r="223" spans="4:11" ht="15" x14ac:dyDescent="0.25">
      <c r="D223" s="476" t="s">
        <v>85</v>
      </c>
      <c r="E223" s="476"/>
      <c r="F223" s="477">
        <f>C18</f>
        <v>24</v>
      </c>
      <c r="G223" s="477" t="s">
        <v>165</v>
      </c>
      <c r="H223"/>
      <c r="I223"/>
      <c r="J223"/>
      <c r="K223"/>
    </row>
    <row r="224" spans="4:11" x14ac:dyDescent="0.2">
      <c r="D224" s="476"/>
      <c r="E224" s="476"/>
      <c r="F224" s="478"/>
      <c r="G224" s="478"/>
      <c r="H224" s="5"/>
      <c r="I224" s="5"/>
      <c r="J224" s="5"/>
      <c r="K224" s="5"/>
    </row>
  </sheetData>
  <mergeCells count="83">
    <mergeCell ref="A113:L113"/>
    <mergeCell ref="A1:K1"/>
    <mergeCell ref="A4:A20"/>
    <mergeCell ref="B4:C4"/>
    <mergeCell ref="A22:L22"/>
    <mergeCell ref="A24:L24"/>
    <mergeCell ref="A149:L149"/>
    <mergeCell ref="Q186:Q190"/>
    <mergeCell ref="Q191:Q194"/>
    <mergeCell ref="D195:E196"/>
    <mergeCell ref="F195:F196"/>
    <mergeCell ref="G195:G196"/>
    <mergeCell ref="H195:H196"/>
    <mergeCell ref="I195:I196"/>
    <mergeCell ref="J195:J196"/>
    <mergeCell ref="K195:K196"/>
    <mergeCell ref="D198:H198"/>
    <mergeCell ref="D199:E200"/>
    <mergeCell ref="F199:F200"/>
    <mergeCell ref="G199:G200"/>
    <mergeCell ref="H199:H200"/>
    <mergeCell ref="J199:J200"/>
    <mergeCell ref="K199:K200"/>
    <mergeCell ref="D201:E202"/>
    <mergeCell ref="F201:F202"/>
    <mergeCell ref="G201:G202"/>
    <mergeCell ref="H201:H202"/>
    <mergeCell ref="I201:I202"/>
    <mergeCell ref="J201:J202"/>
    <mergeCell ref="K201:K202"/>
    <mergeCell ref="I199:I200"/>
    <mergeCell ref="K203:K204"/>
    <mergeCell ref="D205:E206"/>
    <mergeCell ref="F205:F206"/>
    <mergeCell ref="G205:G206"/>
    <mergeCell ref="H205:H206"/>
    <mergeCell ref="I205:I206"/>
    <mergeCell ref="J205:J206"/>
    <mergeCell ref="K205:K206"/>
    <mergeCell ref="D203:E204"/>
    <mergeCell ref="F203:F204"/>
    <mergeCell ref="G203:G204"/>
    <mergeCell ref="H203:H204"/>
    <mergeCell ref="I203:I204"/>
    <mergeCell ref="J203:J204"/>
    <mergeCell ref="K209:K210"/>
    <mergeCell ref="D211:E212"/>
    <mergeCell ref="F211:F212"/>
    <mergeCell ref="G211:G212"/>
    <mergeCell ref="H211:H212"/>
    <mergeCell ref="I211:I212"/>
    <mergeCell ref="J211:J212"/>
    <mergeCell ref="K211:K212"/>
    <mergeCell ref="D209:E210"/>
    <mergeCell ref="F209:F210"/>
    <mergeCell ref="G209:G210"/>
    <mergeCell ref="H209:H210"/>
    <mergeCell ref="I209:I210"/>
    <mergeCell ref="J209:J210"/>
    <mergeCell ref="K213:K214"/>
    <mergeCell ref="D215:E216"/>
    <mergeCell ref="F215:F216"/>
    <mergeCell ref="G215:G216"/>
    <mergeCell ref="H215:H216"/>
    <mergeCell ref="I215:I216"/>
    <mergeCell ref="J215:J216"/>
    <mergeCell ref="K215:K216"/>
    <mergeCell ref="D213:E214"/>
    <mergeCell ref="F213:F214"/>
    <mergeCell ref="G213:G214"/>
    <mergeCell ref="H213:H214"/>
    <mergeCell ref="I213:I214"/>
    <mergeCell ref="J213:J214"/>
    <mergeCell ref="D223:E224"/>
    <mergeCell ref="F223:F224"/>
    <mergeCell ref="G223:G224"/>
    <mergeCell ref="D218:E218"/>
    <mergeCell ref="D219:E220"/>
    <mergeCell ref="F219:F220"/>
    <mergeCell ref="G219:G220"/>
    <mergeCell ref="D221:E222"/>
    <mergeCell ref="F221:F222"/>
    <mergeCell ref="G221:G222"/>
  </mergeCell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58F68-F6D2-4DFA-933C-E7B5A3EFB276}">
  <sheetPr>
    <tabColor rgb="FF92D050"/>
  </sheetPr>
  <dimension ref="A1:Q224"/>
  <sheetViews>
    <sheetView topLeftCell="C1" zoomScaleNormal="100" workbookViewId="0">
      <selection activeCell="D173" sqref="D173:E173"/>
    </sheetView>
  </sheetViews>
  <sheetFormatPr baseColWidth="10" defaultColWidth="11.5703125" defaultRowHeight="12" x14ac:dyDescent="0.2"/>
  <cols>
    <col min="1" max="1" width="5.28515625" style="4" bestFit="1" customWidth="1"/>
    <col min="2" max="2" width="37.5703125" style="4" customWidth="1"/>
    <col min="3" max="3" width="21.5703125" style="4" bestFit="1" customWidth="1"/>
    <col min="4" max="4" width="52.7109375" style="71" bestFit="1" customWidth="1"/>
    <col min="5" max="5" width="7" style="3" bestFit="1" customWidth="1"/>
    <col min="6" max="6" width="18.7109375" style="4" bestFit="1" customWidth="1"/>
    <col min="7" max="7" width="21.140625" style="4" customWidth="1"/>
    <col min="8" max="9" width="16.28515625" style="4" customWidth="1"/>
    <col min="10" max="10" width="21.5703125" style="4" customWidth="1"/>
    <col min="11" max="11" width="24.7109375" style="4" customWidth="1"/>
    <col min="12" max="12" width="11.5703125" style="48"/>
    <col min="13" max="13" width="17.85546875" style="4" bestFit="1" customWidth="1"/>
    <col min="14" max="15" width="15.85546875" style="4" bestFit="1" customWidth="1"/>
    <col min="16" max="16" width="11.5703125" style="4" customWidth="1"/>
    <col min="17" max="16384" width="11.5703125" style="4"/>
  </cols>
  <sheetData>
    <row r="1" spans="1:11" ht="23.25" x14ac:dyDescent="0.2">
      <c r="A1" s="503" t="s">
        <v>210</v>
      </c>
      <c r="B1" s="503"/>
      <c r="C1" s="503"/>
      <c r="D1" s="503"/>
      <c r="E1" s="503"/>
      <c r="F1" s="503"/>
      <c r="G1" s="503"/>
      <c r="H1" s="503"/>
      <c r="I1" s="503"/>
      <c r="J1" s="503"/>
      <c r="K1" s="503"/>
    </row>
    <row r="4" spans="1:11" ht="15" x14ac:dyDescent="0.25">
      <c r="A4" s="504" t="s">
        <v>7</v>
      </c>
      <c r="B4" s="506" t="s">
        <v>90</v>
      </c>
      <c r="C4" s="506"/>
      <c r="F4"/>
      <c r="G4" s="109" t="s">
        <v>74</v>
      </c>
      <c r="H4" s="109" t="s">
        <v>73</v>
      </c>
      <c r="I4" s="109" t="s">
        <v>145</v>
      </c>
    </row>
    <row r="5" spans="1:11" ht="15" x14ac:dyDescent="0.25">
      <c r="A5" s="504"/>
      <c r="B5" s="50" t="s">
        <v>91</v>
      </c>
      <c r="C5" s="51">
        <v>21</v>
      </c>
      <c r="F5" s="114" t="s">
        <v>0</v>
      </c>
      <c r="G5" s="110" t="e">
        <f>SUMIF(A26:A175,"CAPEX",H26:H175)</f>
        <v>#REF!</v>
      </c>
      <c r="H5" s="110" t="e">
        <f>SUMIF(A26:A175,"CAPEX",J26:J175)</f>
        <v>#REF!</v>
      </c>
      <c r="I5" s="111" t="e">
        <f>1-(H5/G5)</f>
        <v>#REF!</v>
      </c>
    </row>
    <row r="6" spans="1:11" ht="15" x14ac:dyDescent="0.25">
      <c r="A6" s="504"/>
      <c r="B6" s="50" t="s">
        <v>92</v>
      </c>
      <c r="C6" s="52">
        <v>341</v>
      </c>
      <c r="F6" s="114" t="s">
        <v>1</v>
      </c>
      <c r="G6" s="110" t="e">
        <f>SUMIF(A26:A175,"OPEX",H26:H175)</f>
        <v>#REF!</v>
      </c>
      <c r="H6" s="110" t="e">
        <f>SUMIF(A26:A175,"OPEX",J26:J175)</f>
        <v>#REF!</v>
      </c>
      <c r="I6" s="111" t="e">
        <f>1-(H6/G6)</f>
        <v>#REF!</v>
      </c>
    </row>
    <row r="7" spans="1:11" ht="15" x14ac:dyDescent="0.25">
      <c r="A7" s="504"/>
      <c r="B7" s="50" t="s">
        <v>93</v>
      </c>
      <c r="C7" s="53">
        <f>C5+C6</f>
        <v>362</v>
      </c>
      <c r="F7"/>
      <c r="G7" s="112" t="e">
        <f>SUM(G5:G6)</f>
        <v>#REF!</v>
      </c>
      <c r="H7" s="112" t="e">
        <f>SUM(H5:H6)</f>
        <v>#REF!</v>
      </c>
      <c r="I7" s="113" t="e">
        <f>1-(H7/G7)</f>
        <v>#REF!</v>
      </c>
      <c r="K7" s="77"/>
    </row>
    <row r="8" spans="1:11" x14ac:dyDescent="0.2">
      <c r="A8" s="504"/>
      <c r="B8" s="50" t="s">
        <v>98</v>
      </c>
      <c r="C8" s="57">
        <v>0.05</v>
      </c>
      <c r="K8" s="77"/>
    </row>
    <row r="9" spans="1:11" x14ac:dyDescent="0.2">
      <c r="A9" s="504"/>
      <c r="B9" s="50" t="s">
        <v>99</v>
      </c>
      <c r="C9" s="54"/>
    </row>
    <row r="10" spans="1:11" x14ac:dyDescent="0.2">
      <c r="A10" s="504"/>
      <c r="B10" s="50" t="s">
        <v>94</v>
      </c>
      <c r="C10" s="51">
        <v>52.5</v>
      </c>
    </row>
    <row r="11" spans="1:11" x14ac:dyDescent="0.2">
      <c r="A11" s="504"/>
      <c r="B11" s="50" t="s">
        <v>100</v>
      </c>
      <c r="C11" s="51">
        <v>852.5</v>
      </c>
    </row>
    <row r="12" spans="1:11" ht="15" x14ac:dyDescent="0.2">
      <c r="A12" s="504"/>
      <c r="B12" s="50" t="s">
        <v>101</v>
      </c>
      <c r="C12" s="51">
        <f>C10+C11</f>
        <v>905</v>
      </c>
      <c r="G12" s="109" t="s">
        <v>158</v>
      </c>
      <c r="H12" s="109" t="s">
        <v>159</v>
      </c>
      <c r="I12" s="109" t="s">
        <v>145</v>
      </c>
    </row>
    <row r="13" spans="1:11" ht="15" x14ac:dyDescent="0.2">
      <c r="A13" s="504"/>
      <c r="B13" s="50" t="s">
        <v>95</v>
      </c>
      <c r="C13" s="56">
        <f>C12/C7</f>
        <v>2.5</v>
      </c>
      <c r="G13" s="110" t="e">
        <f>G7/C7/C18</f>
        <v>#REF!</v>
      </c>
      <c r="H13" s="110" t="e">
        <f>H7/C7/C18</f>
        <v>#REF!</v>
      </c>
      <c r="I13" s="111" t="e">
        <f>1-(H13/G13)</f>
        <v>#REF!</v>
      </c>
    </row>
    <row r="14" spans="1:11" x14ac:dyDescent="0.2">
      <c r="A14" s="504"/>
      <c r="B14" s="50" t="s">
        <v>103</v>
      </c>
      <c r="C14" s="55">
        <v>3.8</v>
      </c>
    </row>
    <row r="15" spans="1:11" x14ac:dyDescent="0.2">
      <c r="A15" s="504"/>
      <c r="B15" s="50" t="s">
        <v>96</v>
      </c>
      <c r="C15" s="56">
        <f>G27+G28+G29+G33</f>
        <v>745.41428571428582</v>
      </c>
    </row>
    <row r="16" spans="1:11" x14ac:dyDescent="0.2">
      <c r="A16" s="504"/>
      <c r="B16" s="50" t="s">
        <v>102</v>
      </c>
      <c r="C16" s="51">
        <v>155</v>
      </c>
    </row>
    <row r="17" spans="1:13" x14ac:dyDescent="0.2">
      <c r="A17" s="504"/>
      <c r="B17" s="50" t="s">
        <v>97</v>
      </c>
      <c r="C17" s="51">
        <v>55</v>
      </c>
    </row>
    <row r="18" spans="1:13" x14ac:dyDescent="0.2">
      <c r="A18" s="504"/>
      <c r="B18" s="50" t="s">
        <v>104</v>
      </c>
      <c r="C18" s="51">
        <v>24</v>
      </c>
    </row>
    <row r="19" spans="1:13" x14ac:dyDescent="0.2">
      <c r="A19" s="504"/>
      <c r="B19" s="50" t="s">
        <v>16</v>
      </c>
      <c r="C19" s="57">
        <v>0.01</v>
      </c>
    </row>
    <row r="20" spans="1:13" x14ac:dyDescent="0.2">
      <c r="A20" s="505"/>
      <c r="B20" s="50" t="s">
        <v>14</v>
      </c>
      <c r="C20" s="51">
        <f>4950/C14</f>
        <v>1302.6315789473686</v>
      </c>
    </row>
    <row r="22" spans="1:13" x14ac:dyDescent="0.2">
      <c r="A22" s="507" t="s">
        <v>211</v>
      </c>
      <c r="B22" s="507"/>
      <c r="C22" s="507"/>
      <c r="D22" s="507"/>
      <c r="E22" s="507"/>
      <c r="F22" s="507"/>
      <c r="G22" s="507"/>
      <c r="H22" s="507"/>
      <c r="I22" s="507"/>
      <c r="J22" s="507"/>
      <c r="K22" s="507"/>
      <c r="L22" s="507"/>
    </row>
    <row r="24" spans="1:13" x14ac:dyDescent="0.2">
      <c r="A24" s="502" t="s">
        <v>127</v>
      </c>
      <c r="B24" s="502"/>
      <c r="C24" s="502"/>
      <c r="D24" s="502"/>
      <c r="E24" s="502"/>
      <c r="F24" s="502"/>
      <c r="G24" s="502"/>
      <c r="H24" s="502"/>
      <c r="I24" s="502"/>
      <c r="J24" s="502"/>
      <c r="K24" s="502"/>
      <c r="L24" s="502"/>
    </row>
    <row r="25" spans="1:13" x14ac:dyDescent="0.2">
      <c r="A25" s="58"/>
      <c r="B25" s="58" t="s">
        <v>125</v>
      </c>
      <c r="C25" s="59"/>
      <c r="D25" s="75"/>
      <c r="E25" s="96"/>
      <c r="F25" s="59"/>
      <c r="G25" s="59"/>
      <c r="H25" s="59"/>
      <c r="I25" s="59"/>
      <c r="J25" s="59"/>
      <c r="K25" s="59"/>
      <c r="L25" s="96"/>
    </row>
    <row r="26" spans="1:13" x14ac:dyDescent="0.2">
      <c r="B26" s="60" t="s">
        <v>105</v>
      </c>
      <c r="C26" s="60" t="s">
        <v>106</v>
      </c>
      <c r="D26" s="73" t="s">
        <v>68</v>
      </c>
      <c r="E26" s="2" t="s">
        <v>69</v>
      </c>
      <c r="F26" s="60" t="s">
        <v>107</v>
      </c>
      <c r="G26" s="60" t="s">
        <v>108</v>
      </c>
      <c r="H26" s="60" t="s">
        <v>109</v>
      </c>
      <c r="I26" s="60" t="s">
        <v>110</v>
      </c>
      <c r="J26" s="60" t="s">
        <v>111</v>
      </c>
      <c r="K26" s="60" t="s">
        <v>13</v>
      </c>
      <c r="L26" s="117" t="s">
        <v>194</v>
      </c>
    </row>
    <row r="27" spans="1:13" x14ac:dyDescent="0.2">
      <c r="A27" s="4" t="s">
        <v>0</v>
      </c>
      <c r="B27" s="4" t="s">
        <v>112</v>
      </c>
      <c r="C27" s="4" t="s">
        <v>113</v>
      </c>
      <c r="D27" s="71" t="s">
        <v>114</v>
      </c>
      <c r="E27" s="98">
        <f>$C$7</f>
        <v>362</v>
      </c>
      <c r="F27" s="4" t="s">
        <v>115</v>
      </c>
      <c r="G27" s="61">
        <f>I27/0.7</f>
        <v>109.71428571428572</v>
      </c>
      <c r="H27" s="62">
        <f>E27*G27</f>
        <v>39716.571428571435</v>
      </c>
      <c r="I27" s="4">
        <v>76.8</v>
      </c>
      <c r="J27" s="62">
        <f>E27*I27</f>
        <v>27801.599999999999</v>
      </c>
      <c r="K27" s="63">
        <f>1-(J27/H27)</f>
        <v>0.30000000000000016</v>
      </c>
      <c r="L27" s="48" t="s">
        <v>195</v>
      </c>
      <c r="M27" s="4" t="s">
        <v>203</v>
      </c>
    </row>
    <row r="28" spans="1:13" x14ac:dyDescent="0.2">
      <c r="A28" s="4" t="s">
        <v>0</v>
      </c>
      <c r="B28" s="4" t="s">
        <v>117</v>
      </c>
      <c r="C28" s="4" t="s">
        <v>118</v>
      </c>
      <c r="D28" s="71" t="s">
        <v>119</v>
      </c>
      <c r="E28" s="98">
        <v>0</v>
      </c>
      <c r="F28" s="4" t="s">
        <v>115</v>
      </c>
      <c r="G28" s="61">
        <f>I28/0.7</f>
        <v>426.52857142857147</v>
      </c>
      <c r="H28" s="62">
        <f>E28*G28</f>
        <v>0</v>
      </c>
      <c r="I28" s="4">
        <v>298.57</v>
      </c>
      <c r="J28" s="62">
        <f>E28*I28</f>
        <v>0</v>
      </c>
      <c r="K28" s="63" t="e">
        <f>1-(J28/H28)</f>
        <v>#DIV/0!</v>
      </c>
      <c r="L28" s="48" t="s">
        <v>195</v>
      </c>
      <c r="M28" s="4" t="s">
        <v>203</v>
      </c>
    </row>
    <row r="29" spans="1:13" x14ac:dyDescent="0.2">
      <c r="A29" s="4" t="s">
        <v>0</v>
      </c>
      <c r="B29" s="4" t="s">
        <v>122</v>
      </c>
      <c r="C29" s="4" t="s">
        <v>123</v>
      </c>
      <c r="D29" s="71" t="s">
        <v>116</v>
      </c>
      <c r="E29" s="98">
        <f t="shared" ref="E29" si="0">$C$7</f>
        <v>362</v>
      </c>
      <c r="F29" s="4" t="s">
        <v>115</v>
      </c>
      <c r="G29" s="61">
        <f>I29/0.7</f>
        <v>138.45714285714286</v>
      </c>
      <c r="H29" s="62">
        <f>E29*G29</f>
        <v>50121.485714285714</v>
      </c>
      <c r="I29" s="4">
        <v>96.92</v>
      </c>
      <c r="J29" s="62">
        <f>E29*I29</f>
        <v>35085.040000000001</v>
      </c>
      <c r="K29" s="63">
        <f>1-(J29/H29)</f>
        <v>0.29999999999999993</v>
      </c>
      <c r="L29" s="48" t="s">
        <v>195</v>
      </c>
      <c r="M29" s="4" t="s">
        <v>203</v>
      </c>
    </row>
    <row r="30" spans="1:13" x14ac:dyDescent="0.2">
      <c r="A30" s="4" t="s">
        <v>0</v>
      </c>
      <c r="B30" s="4" t="s">
        <v>186</v>
      </c>
      <c r="C30" s="4" t="s">
        <v>187</v>
      </c>
      <c r="D30" s="71" t="s">
        <v>188</v>
      </c>
      <c r="E30" s="98">
        <v>90</v>
      </c>
      <c r="F30" s="4" t="s">
        <v>115</v>
      </c>
      <c r="G30" s="61">
        <f t="shared" ref="G30:G32" si="1">I30/0.7</f>
        <v>410.3</v>
      </c>
      <c r="H30" s="62">
        <f t="shared" ref="H30:H32" si="2">E30*G30</f>
        <v>36927</v>
      </c>
      <c r="I30" s="4">
        <v>287.20999999999998</v>
      </c>
      <c r="J30" s="62">
        <f t="shared" ref="J30:J32" si="3">E30*I30</f>
        <v>25848.899999999998</v>
      </c>
      <c r="K30" s="63">
        <f t="shared" ref="K30:K32" si="4">1-(J30/H30)</f>
        <v>0.30000000000000004</v>
      </c>
      <c r="L30" s="48" t="s">
        <v>195</v>
      </c>
      <c r="M30" s="4" t="s">
        <v>203</v>
      </c>
    </row>
    <row r="31" spans="1:13" x14ac:dyDescent="0.2">
      <c r="A31" s="4" t="s">
        <v>0</v>
      </c>
      <c r="B31" s="4" t="s">
        <v>189</v>
      </c>
      <c r="C31" s="4" t="s">
        <v>190</v>
      </c>
      <c r="D31" s="71" t="s">
        <v>191</v>
      </c>
      <c r="E31" s="98">
        <v>2</v>
      </c>
      <c r="F31" s="4" t="s">
        <v>115</v>
      </c>
      <c r="G31" s="61">
        <f t="shared" si="1"/>
        <v>129.4</v>
      </c>
      <c r="H31" s="62">
        <f t="shared" si="2"/>
        <v>258.8</v>
      </c>
      <c r="I31" s="4">
        <v>90.58</v>
      </c>
      <c r="J31" s="62">
        <f t="shared" si="3"/>
        <v>181.16</v>
      </c>
      <c r="K31" s="63">
        <f t="shared" si="4"/>
        <v>0.30000000000000004</v>
      </c>
      <c r="L31" s="48" t="s">
        <v>195</v>
      </c>
      <c r="M31" s="4" t="s">
        <v>203</v>
      </c>
    </row>
    <row r="32" spans="1:13" x14ac:dyDescent="0.2">
      <c r="A32" s="4" t="s">
        <v>0</v>
      </c>
      <c r="C32" s="4" t="s">
        <v>124</v>
      </c>
      <c r="D32" s="71" t="s">
        <v>192</v>
      </c>
      <c r="E32" s="98">
        <v>362</v>
      </c>
      <c r="F32" s="4" t="s">
        <v>115</v>
      </c>
      <c r="G32" s="61">
        <f t="shared" si="1"/>
        <v>20</v>
      </c>
      <c r="H32" s="62">
        <f t="shared" si="2"/>
        <v>7240</v>
      </c>
      <c r="I32" s="4">
        <v>14</v>
      </c>
      <c r="J32" s="62">
        <f t="shared" si="3"/>
        <v>5068</v>
      </c>
      <c r="K32" s="63">
        <f t="shared" si="4"/>
        <v>0.30000000000000004</v>
      </c>
      <c r="L32" s="48" t="s">
        <v>195</v>
      </c>
      <c r="M32" s="4" t="s">
        <v>203</v>
      </c>
    </row>
    <row r="33" spans="1:13" ht="12.75" thickBot="1" x14ac:dyDescent="0.25">
      <c r="A33" s="4" t="s">
        <v>0</v>
      </c>
      <c r="B33" s="64">
        <v>611604104</v>
      </c>
      <c r="C33" s="4" t="s">
        <v>124</v>
      </c>
      <c r="D33" s="71" t="s">
        <v>121</v>
      </c>
      <c r="E33" s="98">
        <v>0</v>
      </c>
      <c r="F33" s="4" t="s">
        <v>115</v>
      </c>
      <c r="G33" s="65">
        <f>I33/0.7</f>
        <v>70.714285714285722</v>
      </c>
      <c r="H33" s="66">
        <f>E33*G33</f>
        <v>0</v>
      </c>
      <c r="I33" s="66">
        <v>49.5</v>
      </c>
      <c r="J33" s="66">
        <f>E33*I33</f>
        <v>0</v>
      </c>
      <c r="K33" s="67" t="e">
        <f>1-(J33/H33)</f>
        <v>#DIV/0!</v>
      </c>
      <c r="L33" s="48" t="s">
        <v>195</v>
      </c>
      <c r="M33" s="4" t="s">
        <v>203</v>
      </c>
    </row>
    <row r="34" spans="1:13" ht="12.75" thickTop="1" x14ac:dyDescent="0.2">
      <c r="G34" s="62"/>
      <c r="H34" s="62">
        <f>SUM(H27:H33)</f>
        <v>134263.85714285716</v>
      </c>
      <c r="I34" s="62"/>
      <c r="J34" s="62">
        <f>SUM(J27:J33)</f>
        <v>93984.7</v>
      </c>
      <c r="K34" s="63">
        <f>1-(J34/H34)</f>
        <v>0.30000000000000016</v>
      </c>
    </row>
    <row r="35" spans="1:13" ht="12.75" thickBot="1" x14ac:dyDescent="0.25">
      <c r="D35" s="71" t="s">
        <v>120</v>
      </c>
      <c r="E35" s="76">
        <v>0</v>
      </c>
      <c r="G35" s="62"/>
      <c r="H35" s="66">
        <f>-H34*E35</f>
        <v>0</v>
      </c>
      <c r="I35" s="62"/>
      <c r="J35" s="62"/>
      <c r="K35" s="63"/>
    </row>
    <row r="36" spans="1:13" ht="12.75" thickTop="1" x14ac:dyDescent="0.2">
      <c r="H36" s="68">
        <f>H34+H35</f>
        <v>134263.85714285716</v>
      </c>
      <c r="I36" s="69"/>
      <c r="J36" s="68">
        <f>J34</f>
        <v>93984.7</v>
      </c>
      <c r="K36" s="70">
        <f>1-(J36/H36)</f>
        <v>0.30000000000000016</v>
      </c>
    </row>
    <row r="37" spans="1:13" x14ac:dyDescent="0.2">
      <c r="H37" s="68"/>
      <c r="I37" s="69"/>
      <c r="J37" s="68"/>
      <c r="K37" s="70"/>
    </row>
    <row r="38" spans="1:13" x14ac:dyDescent="0.2">
      <c r="A38" s="58"/>
      <c r="B38" s="58" t="s">
        <v>126</v>
      </c>
      <c r="C38" s="59"/>
      <c r="D38" s="75"/>
      <c r="E38" s="96"/>
      <c r="F38" s="59"/>
      <c r="G38" s="59"/>
      <c r="H38" s="59"/>
      <c r="I38" s="59"/>
      <c r="J38" s="59"/>
      <c r="K38" s="59"/>
      <c r="L38" s="96"/>
    </row>
    <row r="39" spans="1:13" x14ac:dyDescent="0.2">
      <c r="B39" s="60" t="s">
        <v>105</v>
      </c>
      <c r="C39" s="60" t="s">
        <v>106</v>
      </c>
      <c r="D39" s="73" t="s">
        <v>68</v>
      </c>
      <c r="E39" s="2" t="s">
        <v>69</v>
      </c>
      <c r="F39" s="60" t="s">
        <v>107</v>
      </c>
      <c r="G39" s="60" t="s">
        <v>108</v>
      </c>
      <c r="H39" s="60" t="s">
        <v>109</v>
      </c>
      <c r="I39" s="60" t="s">
        <v>110</v>
      </c>
      <c r="J39" s="60" t="s">
        <v>111</v>
      </c>
      <c r="K39" s="60" t="s">
        <v>13</v>
      </c>
      <c r="L39" s="117" t="s">
        <v>194</v>
      </c>
    </row>
    <row r="40" spans="1:13" x14ac:dyDescent="0.2">
      <c r="A40" s="4" t="s">
        <v>0</v>
      </c>
      <c r="B40" s="4" t="s">
        <v>112</v>
      </c>
      <c r="C40" s="4" t="s">
        <v>113</v>
      </c>
      <c r="D40" s="71" t="s">
        <v>114</v>
      </c>
      <c r="E40" s="98">
        <f>ROUNDUP($C$8*$C$7,0)</f>
        <v>19</v>
      </c>
      <c r="F40" s="4" t="s">
        <v>115</v>
      </c>
      <c r="G40" s="61">
        <f>I40/0.7</f>
        <v>109.71428571428572</v>
      </c>
      <c r="H40" s="62">
        <f>E40*G40</f>
        <v>2084.5714285714289</v>
      </c>
      <c r="I40" s="4">
        <v>76.8</v>
      </c>
      <c r="J40" s="62">
        <f>E40*I40</f>
        <v>1459.2</v>
      </c>
      <c r="K40" s="63">
        <f>1-(J40/H40)</f>
        <v>0.30000000000000004</v>
      </c>
      <c r="L40" s="48" t="s">
        <v>195</v>
      </c>
      <c r="M40" s="4" t="s">
        <v>203</v>
      </c>
    </row>
    <row r="41" spans="1:13" x14ac:dyDescent="0.2">
      <c r="A41" s="4" t="s">
        <v>0</v>
      </c>
      <c r="B41" s="4" t="s">
        <v>117</v>
      </c>
      <c r="C41" s="4" t="s">
        <v>118</v>
      </c>
      <c r="D41" s="71" t="s">
        <v>119</v>
      </c>
      <c r="E41" s="98">
        <v>0</v>
      </c>
      <c r="F41" s="4" t="s">
        <v>115</v>
      </c>
      <c r="G41" s="61">
        <f>I41/0.7</f>
        <v>426.52857142857147</v>
      </c>
      <c r="H41" s="62">
        <f>E41*G41</f>
        <v>0</v>
      </c>
      <c r="I41" s="4">
        <v>298.57</v>
      </c>
      <c r="J41" s="62">
        <f>E41*I41</f>
        <v>0</v>
      </c>
      <c r="K41" s="63" t="e">
        <f>1-(J41/H41)</f>
        <v>#DIV/0!</v>
      </c>
      <c r="L41" s="48" t="s">
        <v>195</v>
      </c>
      <c r="M41" s="4" t="s">
        <v>203</v>
      </c>
    </row>
    <row r="42" spans="1:13" x14ac:dyDescent="0.2">
      <c r="A42" s="4" t="s">
        <v>0</v>
      </c>
      <c r="B42" s="4" t="s">
        <v>122</v>
      </c>
      <c r="C42" s="4" t="s">
        <v>123</v>
      </c>
      <c r="D42" s="71" t="s">
        <v>116</v>
      </c>
      <c r="E42" s="98">
        <f>ROUNDUP($C$8*$C$7,0)</f>
        <v>19</v>
      </c>
      <c r="F42" s="4" t="s">
        <v>115</v>
      </c>
      <c r="G42" s="61">
        <f>I42/0.7</f>
        <v>138.45714285714286</v>
      </c>
      <c r="H42" s="62">
        <f>E42*G42</f>
        <v>2630.6857142857143</v>
      </c>
      <c r="I42" s="4">
        <v>96.92</v>
      </c>
      <c r="J42" s="62">
        <f>E42*I42</f>
        <v>1841.48</v>
      </c>
      <c r="K42" s="63">
        <f>1-(J42/H42)</f>
        <v>0.30000000000000004</v>
      </c>
      <c r="L42" s="48" t="s">
        <v>195</v>
      </c>
      <c r="M42" s="4" t="s">
        <v>203</v>
      </c>
    </row>
    <row r="43" spans="1:13" x14ac:dyDescent="0.2">
      <c r="A43" s="4" t="s">
        <v>0</v>
      </c>
      <c r="B43" s="4" t="s">
        <v>186</v>
      </c>
      <c r="C43" s="4" t="s">
        <v>187</v>
      </c>
      <c r="D43" s="71" t="s">
        <v>188</v>
      </c>
      <c r="E43" s="98">
        <v>4</v>
      </c>
      <c r="F43" s="4" t="s">
        <v>115</v>
      </c>
      <c r="G43" s="61">
        <f t="shared" ref="G43:G45" si="5">I43/0.7</f>
        <v>410.3</v>
      </c>
      <c r="H43" s="62">
        <f t="shared" ref="H43:H45" si="6">E43*G43</f>
        <v>1641.2</v>
      </c>
      <c r="I43" s="4">
        <v>287.20999999999998</v>
      </c>
      <c r="J43" s="62">
        <f t="shared" ref="J43:J45" si="7">E43*I43</f>
        <v>1148.8399999999999</v>
      </c>
      <c r="K43" s="63">
        <f t="shared" ref="K43:K45" si="8">1-(J43/H43)</f>
        <v>0.30000000000000004</v>
      </c>
      <c r="L43" s="48" t="s">
        <v>195</v>
      </c>
      <c r="M43" s="4" t="s">
        <v>203</v>
      </c>
    </row>
    <row r="44" spans="1:13" x14ac:dyDescent="0.2">
      <c r="A44" s="4" t="s">
        <v>0</v>
      </c>
      <c r="B44" s="4" t="s">
        <v>189</v>
      </c>
      <c r="C44" s="4" t="s">
        <v>190</v>
      </c>
      <c r="D44" s="71" t="s">
        <v>191</v>
      </c>
      <c r="E44" s="98">
        <v>3</v>
      </c>
      <c r="F44" s="4" t="s">
        <v>115</v>
      </c>
      <c r="G44" s="61">
        <f t="shared" si="5"/>
        <v>129.4</v>
      </c>
      <c r="H44" s="62">
        <f t="shared" si="6"/>
        <v>388.20000000000005</v>
      </c>
      <c r="I44" s="4">
        <v>90.58</v>
      </c>
      <c r="J44" s="62">
        <f t="shared" si="7"/>
        <v>271.74</v>
      </c>
      <c r="K44" s="63">
        <f t="shared" si="8"/>
        <v>0.30000000000000004</v>
      </c>
      <c r="L44" s="48" t="s">
        <v>195</v>
      </c>
      <c r="M44" s="4" t="s">
        <v>203</v>
      </c>
    </row>
    <row r="45" spans="1:13" x14ac:dyDescent="0.2">
      <c r="A45" s="4" t="s">
        <v>0</v>
      </c>
      <c r="C45" s="4" t="s">
        <v>124</v>
      </c>
      <c r="D45" s="71" t="s">
        <v>192</v>
      </c>
      <c r="E45" s="98">
        <v>19</v>
      </c>
      <c r="F45" s="4" t="s">
        <v>115</v>
      </c>
      <c r="G45" s="61">
        <f t="shared" si="5"/>
        <v>20</v>
      </c>
      <c r="H45" s="62">
        <f t="shared" si="6"/>
        <v>380</v>
      </c>
      <c r="I45" s="4">
        <v>14</v>
      </c>
      <c r="J45" s="62">
        <f t="shared" si="7"/>
        <v>266</v>
      </c>
      <c r="K45" s="63">
        <f t="shared" si="8"/>
        <v>0.30000000000000004</v>
      </c>
      <c r="L45" s="48" t="s">
        <v>195</v>
      </c>
      <c r="M45" s="4" t="s">
        <v>203</v>
      </c>
    </row>
    <row r="46" spans="1:13" ht="12.75" thickBot="1" x14ac:dyDescent="0.25">
      <c r="A46" s="4" t="s">
        <v>0</v>
      </c>
      <c r="B46" s="64">
        <v>611604104</v>
      </c>
      <c r="C46" s="4" t="s">
        <v>124</v>
      </c>
      <c r="D46" s="71" t="s">
        <v>121</v>
      </c>
      <c r="E46" s="98">
        <v>0</v>
      </c>
      <c r="F46" s="4" t="s">
        <v>115</v>
      </c>
      <c r="G46" s="65">
        <f>I46/0.7</f>
        <v>70.714285714285722</v>
      </c>
      <c r="H46" s="66">
        <f>E46*G46</f>
        <v>0</v>
      </c>
      <c r="I46" s="66">
        <v>49.5</v>
      </c>
      <c r="J46" s="66">
        <f>E46*I46</f>
        <v>0</v>
      </c>
      <c r="K46" s="67" t="e">
        <f>1-(J46/H46)</f>
        <v>#DIV/0!</v>
      </c>
      <c r="L46" s="48" t="s">
        <v>195</v>
      </c>
      <c r="M46" s="4" t="s">
        <v>203</v>
      </c>
    </row>
    <row r="47" spans="1:13" ht="12.75" thickTop="1" x14ac:dyDescent="0.2">
      <c r="G47" s="62"/>
      <c r="H47" s="62">
        <f>SUM(H40:H46)</f>
        <v>7124.6571428571424</v>
      </c>
      <c r="I47" s="62"/>
      <c r="J47" s="62">
        <f>SUM(J40:J46)</f>
        <v>4987.26</v>
      </c>
      <c r="K47" s="63">
        <f>1-(J47/H47)</f>
        <v>0.29999999999999993</v>
      </c>
    </row>
    <row r="48" spans="1:13" ht="12.75" thickBot="1" x14ac:dyDescent="0.25">
      <c r="D48" s="71" t="s">
        <v>120</v>
      </c>
      <c r="E48" s="76">
        <v>0</v>
      </c>
      <c r="G48" s="62"/>
      <c r="H48" s="66">
        <f>-H47*E48</f>
        <v>0</v>
      </c>
      <c r="I48" s="62"/>
      <c r="J48" s="62"/>
      <c r="K48" s="63"/>
    </row>
    <row r="49" spans="1:12" ht="12.75" thickTop="1" x14ac:dyDescent="0.2">
      <c r="H49" s="68">
        <f>H47+H48</f>
        <v>7124.6571428571424</v>
      </c>
      <c r="I49" s="69"/>
      <c r="J49" s="68">
        <f>J47</f>
        <v>4987.26</v>
      </c>
      <c r="K49" s="70">
        <f>1-(J49/H49)</f>
        <v>0.29999999999999993</v>
      </c>
    </row>
    <row r="50" spans="1:12" x14ac:dyDescent="0.2">
      <c r="A50" s="58"/>
      <c r="B50" s="58" t="s">
        <v>149</v>
      </c>
      <c r="C50" s="59"/>
      <c r="D50" s="75"/>
      <c r="E50" s="96"/>
      <c r="F50" s="59"/>
      <c r="G50" s="59"/>
      <c r="H50" s="59"/>
      <c r="I50" s="59"/>
      <c r="J50" s="59"/>
      <c r="K50" s="59"/>
      <c r="L50" s="96"/>
    </row>
    <row r="51" spans="1:12" x14ac:dyDescent="0.2">
      <c r="B51" s="60" t="s">
        <v>128</v>
      </c>
      <c r="C51" s="60" t="s">
        <v>106</v>
      </c>
      <c r="D51" s="73" t="s">
        <v>68</v>
      </c>
      <c r="E51" s="2" t="s">
        <v>69</v>
      </c>
      <c r="F51" s="60" t="s">
        <v>107</v>
      </c>
      <c r="G51" s="60" t="s">
        <v>108</v>
      </c>
      <c r="H51" s="60" t="s">
        <v>109</v>
      </c>
      <c r="I51" s="60" t="s">
        <v>110</v>
      </c>
      <c r="J51" s="60" t="s">
        <v>111</v>
      </c>
      <c r="K51" s="60" t="s">
        <v>13</v>
      </c>
      <c r="L51" s="117" t="s">
        <v>194</v>
      </c>
    </row>
    <row r="52" spans="1:12" x14ac:dyDescent="0.2">
      <c r="A52" s="4" t="s">
        <v>0</v>
      </c>
      <c r="D52" s="71" t="s">
        <v>150</v>
      </c>
      <c r="E52" s="98">
        <f>C7</f>
        <v>362</v>
      </c>
      <c r="F52" s="4" t="s">
        <v>115</v>
      </c>
      <c r="G52" s="61" t="e">
        <f>I52/0.75</f>
        <v>#REF!</v>
      </c>
      <c r="H52" s="62" t="e">
        <f>E52*G52</f>
        <v>#REF!</v>
      </c>
      <c r="I52" s="4" t="e">
        <f>#REF!+#REF!</f>
        <v>#REF!</v>
      </c>
      <c r="J52" s="62" t="e">
        <f>E52*I52</f>
        <v>#REF!</v>
      </c>
      <c r="K52" s="63" t="e">
        <f>1-(J52/H52)</f>
        <v>#REF!</v>
      </c>
      <c r="L52" s="48" t="s">
        <v>196</v>
      </c>
    </row>
    <row r="53" spans="1:12" ht="12.75" thickBot="1" x14ac:dyDescent="0.25">
      <c r="A53" s="4" t="s">
        <v>0</v>
      </c>
      <c r="E53" s="98">
        <f>ROUNDUP($C$8*$C$7,0)</f>
        <v>19</v>
      </c>
      <c r="F53" s="4" t="s">
        <v>115</v>
      </c>
      <c r="G53" s="65" t="e">
        <f>I53/0.75</f>
        <v>#REF!</v>
      </c>
      <c r="H53" s="66" t="e">
        <f>E53*G53</f>
        <v>#REF!</v>
      </c>
      <c r="I53" s="72" t="e">
        <f>#REF!+#REF!</f>
        <v>#REF!</v>
      </c>
      <c r="J53" s="66" t="e">
        <f>E53*I53</f>
        <v>#REF!</v>
      </c>
      <c r="K53" s="67" t="e">
        <f>1-(J53/H53)</f>
        <v>#REF!</v>
      </c>
      <c r="L53" s="48" t="s">
        <v>196</v>
      </c>
    </row>
    <row r="54" spans="1:12" ht="12.75" thickTop="1" x14ac:dyDescent="0.2">
      <c r="G54" s="62"/>
      <c r="H54" s="62" t="e">
        <f>SUM(H50:H53)</f>
        <v>#REF!</v>
      </c>
      <c r="I54" s="62"/>
      <c r="J54" s="62" t="e">
        <f>SUM(J50:J53)</f>
        <v>#REF!</v>
      </c>
      <c r="K54" s="63" t="e">
        <f>1-(J54/H54)</f>
        <v>#REF!</v>
      </c>
    </row>
    <row r="55" spans="1:12" ht="12.75" thickBot="1" x14ac:dyDescent="0.25">
      <c r="D55" s="71" t="s">
        <v>120</v>
      </c>
      <c r="E55" s="76">
        <v>0</v>
      </c>
      <c r="G55" s="62"/>
      <c r="H55" s="66" t="e">
        <f>-H54*E55</f>
        <v>#REF!</v>
      </c>
      <c r="I55" s="62"/>
      <c r="J55" s="62"/>
      <c r="K55" s="63"/>
    </row>
    <row r="56" spans="1:12" ht="12.75" thickTop="1" x14ac:dyDescent="0.2">
      <c r="H56" s="68" t="e">
        <f>H54+H55</f>
        <v>#REF!</v>
      </c>
      <c r="I56" s="69"/>
      <c r="J56" s="68" t="e">
        <f>J54</f>
        <v>#REF!</v>
      </c>
      <c r="K56" s="70" t="e">
        <f>1-(J56/H56)</f>
        <v>#REF!</v>
      </c>
    </row>
    <row r="58" spans="1:12" x14ac:dyDescent="0.2">
      <c r="A58" s="58"/>
      <c r="B58" s="58" t="s">
        <v>129</v>
      </c>
      <c r="C58" s="59"/>
      <c r="D58" s="75"/>
      <c r="E58" s="96"/>
      <c r="F58" s="59"/>
      <c r="G58" s="59"/>
      <c r="H58" s="59"/>
      <c r="I58" s="59"/>
      <c r="J58" s="59"/>
      <c r="K58" s="59"/>
      <c r="L58" s="96"/>
    </row>
    <row r="59" spans="1:12" x14ac:dyDescent="0.2">
      <c r="B59" s="60" t="s">
        <v>128</v>
      </c>
      <c r="C59" s="60" t="s">
        <v>106</v>
      </c>
      <c r="D59" s="73" t="s">
        <v>68</v>
      </c>
      <c r="E59" s="2" t="s">
        <v>69</v>
      </c>
      <c r="F59" s="60" t="s">
        <v>107</v>
      </c>
      <c r="G59" s="60" t="s">
        <v>108</v>
      </c>
      <c r="H59" s="60" t="s">
        <v>109</v>
      </c>
      <c r="I59" s="60" t="s">
        <v>110</v>
      </c>
      <c r="J59" s="60" t="s">
        <v>111</v>
      </c>
      <c r="K59" s="60" t="s">
        <v>13</v>
      </c>
      <c r="L59" s="117" t="s">
        <v>194</v>
      </c>
    </row>
    <row r="60" spans="1:12" x14ac:dyDescent="0.2">
      <c r="A60" s="4" t="s">
        <v>0</v>
      </c>
      <c r="D60" s="71" t="s">
        <v>151</v>
      </c>
      <c r="E60" s="98">
        <f>$C$7</f>
        <v>362</v>
      </c>
      <c r="F60" s="4" t="s">
        <v>115</v>
      </c>
      <c r="G60" s="61" t="e">
        <f>I60/0.75</f>
        <v>#REF!</v>
      </c>
      <c r="H60" s="62" t="e">
        <f>E60*G60</f>
        <v>#REF!</v>
      </c>
      <c r="I60" s="4" t="e">
        <f>#REF!</f>
        <v>#REF!</v>
      </c>
      <c r="J60" s="62" t="e">
        <f>E60*I60</f>
        <v>#REF!</v>
      </c>
      <c r="K60" s="63" t="e">
        <f>1-(J60/H60)</f>
        <v>#REF!</v>
      </c>
      <c r="L60" s="48" t="s">
        <v>196</v>
      </c>
    </row>
    <row r="61" spans="1:12" ht="12.75" thickBot="1" x14ac:dyDescent="0.25">
      <c r="A61" s="4" t="s">
        <v>0</v>
      </c>
      <c r="E61" s="98">
        <f>ROUNDUP($C$8*$C$7,0)</f>
        <v>19</v>
      </c>
      <c r="F61" s="4" t="s">
        <v>115</v>
      </c>
      <c r="G61" s="65" t="e">
        <f>I61/0.75</f>
        <v>#REF!</v>
      </c>
      <c r="H61" s="66" t="e">
        <f>E61*G61</f>
        <v>#REF!</v>
      </c>
      <c r="I61" s="72" t="e">
        <f>#REF!</f>
        <v>#REF!</v>
      </c>
      <c r="J61" s="66" t="e">
        <f>E61*I61</f>
        <v>#REF!</v>
      </c>
      <c r="K61" s="67" t="e">
        <f>1-(J61/H61)</f>
        <v>#REF!</v>
      </c>
      <c r="L61" s="48" t="s">
        <v>196</v>
      </c>
    </row>
    <row r="62" spans="1:12" ht="12.75" thickTop="1" x14ac:dyDescent="0.2">
      <c r="G62" s="62"/>
      <c r="H62" s="62" t="e">
        <f>SUM(H58:H61)</f>
        <v>#REF!</v>
      </c>
      <c r="I62" s="62"/>
      <c r="J62" s="62" t="e">
        <f>SUM(J58:J61)</f>
        <v>#REF!</v>
      </c>
      <c r="K62" s="63" t="e">
        <f>1-(J62/H62)</f>
        <v>#REF!</v>
      </c>
    </row>
    <row r="63" spans="1:12" ht="12.75" thickBot="1" x14ac:dyDescent="0.25">
      <c r="D63" s="71" t="s">
        <v>120</v>
      </c>
      <c r="E63" s="76">
        <v>0</v>
      </c>
      <c r="G63" s="62"/>
      <c r="H63" s="66" t="e">
        <f>-H62*E63</f>
        <v>#REF!</v>
      </c>
      <c r="I63" s="62"/>
      <c r="J63" s="62"/>
      <c r="K63" s="63"/>
    </row>
    <row r="64" spans="1:12" ht="12.75" thickTop="1" x14ac:dyDescent="0.2">
      <c r="H64" s="68" t="e">
        <f>H62+H63</f>
        <v>#REF!</v>
      </c>
      <c r="I64" s="69"/>
      <c r="J64" s="68" t="e">
        <f>J62</f>
        <v>#REF!</v>
      </c>
      <c r="K64" s="70" t="e">
        <f>1-(J64/H64)</f>
        <v>#REF!</v>
      </c>
    </row>
    <row r="66" spans="1:12" x14ac:dyDescent="0.2">
      <c r="A66" s="58"/>
      <c r="B66" s="58" t="s">
        <v>130</v>
      </c>
      <c r="C66" s="59"/>
      <c r="D66" s="75"/>
      <c r="E66" s="96"/>
      <c r="F66" s="59"/>
      <c r="G66" s="59"/>
      <c r="H66" s="59"/>
      <c r="I66" s="59"/>
      <c r="J66" s="59"/>
      <c r="K66" s="59"/>
      <c r="L66" s="96"/>
    </row>
    <row r="67" spans="1:12" x14ac:dyDescent="0.2">
      <c r="B67" s="60" t="s">
        <v>128</v>
      </c>
      <c r="C67" s="60" t="s">
        <v>106</v>
      </c>
      <c r="D67" s="73" t="s">
        <v>68</v>
      </c>
      <c r="E67" s="2" t="s">
        <v>69</v>
      </c>
      <c r="F67" s="60" t="s">
        <v>107</v>
      </c>
      <c r="G67" s="60" t="s">
        <v>108</v>
      </c>
      <c r="H67" s="60" t="s">
        <v>109</v>
      </c>
      <c r="I67" s="60" t="s">
        <v>110</v>
      </c>
      <c r="J67" s="60" t="s">
        <v>111</v>
      </c>
      <c r="K67" s="60" t="s">
        <v>13</v>
      </c>
      <c r="L67" s="117" t="s">
        <v>194</v>
      </c>
    </row>
    <row r="68" spans="1:12" ht="36" x14ac:dyDescent="0.2">
      <c r="A68" s="4" t="s">
        <v>0</v>
      </c>
      <c r="B68" s="4" t="s">
        <v>131</v>
      </c>
      <c r="C68" s="4" t="s">
        <v>132</v>
      </c>
      <c r="D68" s="71" t="s">
        <v>133</v>
      </c>
      <c r="E68" s="98">
        <f>$C$7</f>
        <v>362</v>
      </c>
      <c r="F68" s="4" t="s">
        <v>115</v>
      </c>
      <c r="G68" s="61" t="e">
        <f>I68/0.75</f>
        <v>#REF!</v>
      </c>
      <c r="H68" s="62" t="e">
        <f>E68*G68</f>
        <v>#REF!</v>
      </c>
      <c r="I68" s="4" t="e">
        <f>#REF!</f>
        <v>#REF!</v>
      </c>
      <c r="J68" s="62" t="e">
        <f>E68*I68</f>
        <v>#REF!</v>
      </c>
      <c r="K68" s="63" t="e">
        <f>1-(J68/H68)</f>
        <v>#REF!</v>
      </c>
      <c r="L68" s="48" t="s">
        <v>196</v>
      </c>
    </row>
    <row r="69" spans="1:12" ht="48.75" thickBot="1" x14ac:dyDescent="0.25">
      <c r="A69" s="4" t="s">
        <v>0</v>
      </c>
      <c r="B69" s="4" t="s">
        <v>131</v>
      </c>
      <c r="C69" s="4" t="s">
        <v>132</v>
      </c>
      <c r="D69" s="71" t="s">
        <v>134</v>
      </c>
      <c r="E69" s="98">
        <f>ROUNDUP($C$8*$C$7,0)</f>
        <v>19</v>
      </c>
      <c r="F69" s="4" t="s">
        <v>115</v>
      </c>
      <c r="G69" s="65" t="e">
        <f>I69/0.75</f>
        <v>#REF!</v>
      </c>
      <c r="H69" s="66" t="e">
        <f>E69*G69</f>
        <v>#REF!</v>
      </c>
      <c r="I69" s="72" t="e">
        <f>#REF!</f>
        <v>#REF!</v>
      </c>
      <c r="J69" s="66" t="e">
        <f>E69*I69</f>
        <v>#REF!</v>
      </c>
      <c r="K69" s="67" t="e">
        <f>1-(J69/H69)</f>
        <v>#REF!</v>
      </c>
      <c r="L69" s="48" t="s">
        <v>196</v>
      </c>
    </row>
    <row r="70" spans="1:12" ht="12.75" thickTop="1" x14ac:dyDescent="0.2">
      <c r="G70" s="62"/>
      <c r="H70" s="62" t="e">
        <f>SUM(H66:H69)</f>
        <v>#REF!</v>
      </c>
      <c r="I70" s="62"/>
      <c r="J70" s="62" t="e">
        <f>SUM(J66:J69)</f>
        <v>#REF!</v>
      </c>
      <c r="K70" s="63" t="e">
        <f>1-(J70/H70)</f>
        <v>#REF!</v>
      </c>
    </row>
    <row r="71" spans="1:12" ht="12.75" thickBot="1" x14ac:dyDescent="0.25">
      <c r="D71" s="71" t="s">
        <v>120</v>
      </c>
      <c r="E71" s="76">
        <v>0</v>
      </c>
      <c r="G71" s="62"/>
      <c r="H71" s="66" t="e">
        <f>-H70*E71</f>
        <v>#REF!</v>
      </c>
      <c r="I71" s="62"/>
      <c r="J71" s="62"/>
      <c r="K71" s="63"/>
    </row>
    <row r="72" spans="1:12" ht="12.75" thickTop="1" x14ac:dyDescent="0.2">
      <c r="H72" s="68" t="e">
        <f>H70+H71</f>
        <v>#REF!</v>
      </c>
      <c r="I72" s="69"/>
      <c r="J72" s="68" t="e">
        <f>J70</f>
        <v>#REF!</v>
      </c>
      <c r="K72" s="70" t="e">
        <f>1-(J72/H72)</f>
        <v>#REF!</v>
      </c>
    </row>
    <row r="74" spans="1:12" x14ac:dyDescent="0.2">
      <c r="A74" s="58"/>
      <c r="B74" s="58" t="s">
        <v>135</v>
      </c>
      <c r="C74" s="59"/>
      <c r="D74" s="75"/>
      <c r="E74" s="96"/>
      <c r="F74" s="59"/>
      <c r="G74" s="59"/>
      <c r="H74" s="59"/>
      <c r="I74" s="59"/>
      <c r="J74" s="59"/>
      <c r="K74" s="59"/>
      <c r="L74" s="96"/>
    </row>
    <row r="75" spans="1:12" x14ac:dyDescent="0.2">
      <c r="B75" s="60" t="s">
        <v>128</v>
      </c>
      <c r="C75" s="60" t="s">
        <v>106</v>
      </c>
      <c r="D75" s="73" t="s">
        <v>68</v>
      </c>
      <c r="E75" s="2" t="s">
        <v>69</v>
      </c>
      <c r="F75" s="60" t="s">
        <v>107</v>
      </c>
      <c r="G75" s="60" t="s">
        <v>108</v>
      </c>
      <c r="H75" s="60" t="s">
        <v>109</v>
      </c>
      <c r="I75" s="60" t="s">
        <v>110</v>
      </c>
      <c r="J75" s="60" t="s">
        <v>111</v>
      </c>
      <c r="K75" s="60" t="s">
        <v>13</v>
      </c>
      <c r="L75" s="117" t="s">
        <v>194</v>
      </c>
    </row>
    <row r="76" spans="1:12" ht="12.75" thickBot="1" x14ac:dyDescent="0.25">
      <c r="A76" s="4" t="s">
        <v>0</v>
      </c>
      <c r="D76" s="71" t="s">
        <v>173</v>
      </c>
      <c r="E76" s="98">
        <v>1</v>
      </c>
      <c r="F76" s="4" t="s">
        <v>115</v>
      </c>
      <c r="G76" s="65">
        <f>I76/0.75</f>
        <v>6666.666666666667</v>
      </c>
      <c r="H76" s="66">
        <f>E76*G76</f>
        <v>6666.666666666667</v>
      </c>
      <c r="I76" s="74">
        <v>5000</v>
      </c>
      <c r="J76" s="66">
        <f>E76*I76</f>
        <v>5000</v>
      </c>
      <c r="K76" s="67">
        <f>1-(J76/H76)</f>
        <v>0.25</v>
      </c>
      <c r="L76" s="48" t="s">
        <v>196</v>
      </c>
    </row>
    <row r="77" spans="1:12" ht="12.75" thickTop="1" x14ac:dyDescent="0.2">
      <c r="G77" s="62"/>
      <c r="H77" s="62">
        <f>SUM(H74:H76)</f>
        <v>6666.666666666667</v>
      </c>
      <c r="I77" s="62"/>
      <c r="J77" s="62">
        <f>SUM(J74:J76)</f>
        <v>5000</v>
      </c>
      <c r="K77" s="63">
        <f>1-(J77/H77)</f>
        <v>0.25</v>
      </c>
    </row>
    <row r="78" spans="1:12" ht="12.75" thickBot="1" x14ac:dyDescent="0.25">
      <c r="D78" s="71" t="s">
        <v>120</v>
      </c>
      <c r="E78" s="76">
        <v>0</v>
      </c>
      <c r="G78" s="62"/>
      <c r="H78" s="66">
        <f>-H77*E78</f>
        <v>0</v>
      </c>
      <c r="I78" s="62"/>
      <c r="J78" s="62"/>
      <c r="K78" s="63"/>
    </row>
    <row r="79" spans="1:12" ht="12.75" thickTop="1" x14ac:dyDescent="0.2">
      <c r="H79" s="68">
        <f>H77+H78</f>
        <v>6666.666666666667</v>
      </c>
      <c r="I79" s="69"/>
      <c r="J79" s="68">
        <f>J77</f>
        <v>5000</v>
      </c>
      <c r="K79" s="70">
        <f>1-(J79/H79)</f>
        <v>0.25</v>
      </c>
    </row>
    <row r="81" spans="1:12" x14ac:dyDescent="0.2">
      <c r="A81" s="58"/>
      <c r="B81" s="58" t="s">
        <v>174</v>
      </c>
      <c r="C81" s="59"/>
      <c r="D81" s="75"/>
      <c r="E81" s="96"/>
      <c r="F81" s="59"/>
      <c r="G81" s="59"/>
      <c r="H81" s="59"/>
      <c r="I81" s="59"/>
      <c r="J81" s="59"/>
      <c r="K81" s="59"/>
      <c r="L81" s="96"/>
    </row>
    <row r="82" spans="1:12" x14ac:dyDescent="0.2">
      <c r="B82" s="60" t="s">
        <v>128</v>
      </c>
      <c r="C82" s="60" t="s">
        <v>106</v>
      </c>
      <c r="D82" s="73" t="s">
        <v>68</v>
      </c>
      <c r="E82" s="2" t="s">
        <v>69</v>
      </c>
      <c r="F82" s="60" t="s">
        <v>107</v>
      </c>
      <c r="G82" s="60" t="s">
        <v>108</v>
      </c>
      <c r="H82" s="60" t="s">
        <v>109</v>
      </c>
      <c r="I82" s="60" t="s">
        <v>110</v>
      </c>
      <c r="J82" s="60" t="s">
        <v>111</v>
      </c>
      <c r="K82" s="60" t="s">
        <v>13</v>
      </c>
      <c r="L82" s="117" t="s">
        <v>194</v>
      </c>
    </row>
    <row r="83" spans="1:12" x14ac:dyDescent="0.2">
      <c r="A83" s="4" t="s">
        <v>0</v>
      </c>
      <c r="D83" s="71" t="s">
        <v>175</v>
      </c>
      <c r="E83" s="98">
        <v>0</v>
      </c>
      <c r="F83" s="4" t="s">
        <v>115</v>
      </c>
      <c r="G83" s="61">
        <f t="shared" ref="G83:G91" si="9">I83/0.75</f>
        <v>0</v>
      </c>
      <c r="H83" s="62">
        <f>E83*G83*$C$18</f>
        <v>0</v>
      </c>
      <c r="I83" s="4">
        <v>0</v>
      </c>
      <c r="J83" s="62">
        <f>E83*I83*$C$18</f>
        <v>0</v>
      </c>
      <c r="K83" s="63" t="e">
        <f t="shared" ref="K83:K93" si="10">1-(J83/H83)</f>
        <v>#DIV/0!</v>
      </c>
      <c r="L83" s="48" t="s">
        <v>196</v>
      </c>
    </row>
    <row r="84" spans="1:12" x14ac:dyDescent="0.2">
      <c r="A84" s="4" t="s">
        <v>0</v>
      </c>
      <c r="D84" s="71" t="s">
        <v>176</v>
      </c>
      <c r="E84" s="98">
        <v>0</v>
      </c>
      <c r="F84" s="4" t="s">
        <v>115</v>
      </c>
      <c r="G84" s="61">
        <f t="shared" si="9"/>
        <v>0</v>
      </c>
      <c r="H84" s="62">
        <f>E84*G84</f>
        <v>0</v>
      </c>
      <c r="I84" s="4">
        <v>0</v>
      </c>
      <c r="J84" s="62">
        <f>E84*I84</f>
        <v>0</v>
      </c>
      <c r="K84" s="63" t="e">
        <f t="shared" si="10"/>
        <v>#DIV/0!</v>
      </c>
      <c r="L84" s="48" t="s">
        <v>196</v>
      </c>
    </row>
    <row r="85" spans="1:12" x14ac:dyDescent="0.2">
      <c r="A85" s="4" t="s">
        <v>0</v>
      </c>
      <c r="D85" s="71" t="s">
        <v>177</v>
      </c>
      <c r="E85" s="98">
        <v>1</v>
      </c>
      <c r="F85" s="4" t="s">
        <v>115</v>
      </c>
      <c r="G85" s="61" t="e">
        <f t="shared" si="9"/>
        <v>#REF!</v>
      </c>
      <c r="H85" s="62" t="e">
        <f>E85*G85</f>
        <v>#REF!</v>
      </c>
      <c r="I85" s="4" t="e">
        <f>#REF!</f>
        <v>#REF!</v>
      </c>
      <c r="J85" s="62" t="e">
        <f>E85*I85</f>
        <v>#REF!</v>
      </c>
      <c r="K85" s="63" t="e">
        <f t="shared" si="10"/>
        <v>#REF!</v>
      </c>
      <c r="L85" s="48" t="s">
        <v>196</v>
      </c>
    </row>
    <row r="86" spans="1:12" x14ac:dyDescent="0.2">
      <c r="A86" s="4" t="s">
        <v>0</v>
      </c>
      <c r="D86" s="71" t="s">
        <v>178</v>
      </c>
      <c r="E86" s="98">
        <v>0</v>
      </c>
      <c r="F86" s="4" t="s">
        <v>115</v>
      </c>
      <c r="G86" s="61">
        <f t="shared" si="9"/>
        <v>0</v>
      </c>
      <c r="H86" s="62">
        <f>E86*G86*$C$18</f>
        <v>0</v>
      </c>
      <c r="I86" s="4">
        <v>0</v>
      </c>
      <c r="J86" s="62">
        <f>E86*I86*$C$18</f>
        <v>0</v>
      </c>
      <c r="K86" s="63" t="e">
        <f t="shared" si="10"/>
        <v>#DIV/0!</v>
      </c>
      <c r="L86" s="48" t="s">
        <v>196</v>
      </c>
    </row>
    <row r="87" spans="1:12" x14ac:dyDescent="0.2">
      <c r="A87" s="4" t="s">
        <v>0</v>
      </c>
      <c r="D87" s="71" t="s">
        <v>179</v>
      </c>
      <c r="E87" s="98">
        <v>0</v>
      </c>
      <c r="F87" s="4" t="s">
        <v>115</v>
      </c>
      <c r="G87" s="61">
        <f t="shared" si="9"/>
        <v>0</v>
      </c>
      <c r="H87" s="62">
        <f>E87*G87*$C$18</f>
        <v>0</v>
      </c>
      <c r="I87" s="4">
        <v>0</v>
      </c>
      <c r="J87" s="62">
        <f>E87*I87*$C$18</f>
        <v>0</v>
      </c>
      <c r="K87" s="63" t="e">
        <f t="shared" si="10"/>
        <v>#DIV/0!</v>
      </c>
      <c r="L87" s="48" t="s">
        <v>196</v>
      </c>
    </row>
    <row r="88" spans="1:12" x14ac:dyDescent="0.2">
      <c r="A88" s="4" t="s">
        <v>0</v>
      </c>
      <c r="D88" s="71" t="s">
        <v>180</v>
      </c>
      <c r="E88" s="98">
        <v>0</v>
      </c>
      <c r="F88" s="4" t="s">
        <v>115</v>
      </c>
      <c r="G88" s="61">
        <f t="shared" si="9"/>
        <v>0</v>
      </c>
      <c r="H88" s="62">
        <f>E88*G88</f>
        <v>0</v>
      </c>
      <c r="I88" s="4">
        <v>0</v>
      </c>
      <c r="J88" s="62">
        <f>E88*I88</f>
        <v>0</v>
      </c>
      <c r="K88" s="63" t="e">
        <f t="shared" si="10"/>
        <v>#DIV/0!</v>
      </c>
      <c r="L88" s="48" t="s">
        <v>196</v>
      </c>
    </row>
    <row r="89" spans="1:12" x14ac:dyDescent="0.2">
      <c r="A89" s="4" t="s">
        <v>0</v>
      </c>
      <c r="E89" s="98"/>
      <c r="F89" s="4" t="s">
        <v>115</v>
      </c>
      <c r="G89" s="61">
        <f t="shared" si="9"/>
        <v>0</v>
      </c>
      <c r="H89" s="62">
        <f t="shared" ref="H89:H92" si="11">E89*G89</f>
        <v>0</v>
      </c>
      <c r="J89" s="62">
        <f t="shared" ref="J89:J92" si="12">E89*I89</f>
        <v>0</v>
      </c>
      <c r="K89" s="63" t="e">
        <f t="shared" si="10"/>
        <v>#DIV/0!</v>
      </c>
      <c r="L89" s="48" t="s">
        <v>196</v>
      </c>
    </row>
    <row r="90" spans="1:12" x14ac:dyDescent="0.2">
      <c r="A90" s="4" t="s">
        <v>0</v>
      </c>
      <c r="E90" s="98"/>
      <c r="F90" s="4" t="s">
        <v>115</v>
      </c>
      <c r="G90" s="61">
        <f t="shared" si="9"/>
        <v>0</v>
      </c>
      <c r="H90" s="62">
        <f t="shared" si="11"/>
        <v>0</v>
      </c>
      <c r="J90" s="62">
        <f t="shared" si="12"/>
        <v>0</v>
      </c>
      <c r="K90" s="63" t="e">
        <f t="shared" si="10"/>
        <v>#DIV/0!</v>
      </c>
      <c r="L90" s="48" t="s">
        <v>196</v>
      </c>
    </row>
    <row r="91" spans="1:12" x14ac:dyDescent="0.2">
      <c r="A91" s="4" t="s">
        <v>0</v>
      </c>
      <c r="E91" s="98"/>
      <c r="F91" s="4" t="s">
        <v>115</v>
      </c>
      <c r="G91" s="61">
        <f t="shared" si="9"/>
        <v>0</v>
      </c>
      <c r="H91" s="62">
        <f t="shared" si="11"/>
        <v>0</v>
      </c>
      <c r="J91" s="62">
        <f t="shared" si="12"/>
        <v>0</v>
      </c>
      <c r="K91" s="63" t="e">
        <f t="shared" si="10"/>
        <v>#DIV/0!</v>
      </c>
      <c r="L91" s="48" t="s">
        <v>196</v>
      </c>
    </row>
    <row r="92" spans="1:12" ht="12.75" thickBot="1" x14ac:dyDescent="0.25">
      <c r="B92" s="64"/>
      <c r="E92" s="98"/>
      <c r="F92" s="4" t="s">
        <v>115</v>
      </c>
      <c r="G92" s="61">
        <f t="shared" ref="G92" si="13">I92/0.6</f>
        <v>0</v>
      </c>
      <c r="H92" s="66">
        <f t="shared" si="11"/>
        <v>0</v>
      </c>
      <c r="I92" s="72">
        <v>0</v>
      </c>
      <c r="J92" s="66">
        <f t="shared" si="12"/>
        <v>0</v>
      </c>
      <c r="K92" s="67" t="e">
        <f t="shared" si="10"/>
        <v>#DIV/0!</v>
      </c>
      <c r="L92" s="48" t="s">
        <v>196</v>
      </c>
    </row>
    <row r="93" spans="1:12" ht="12.75" thickTop="1" x14ac:dyDescent="0.2">
      <c r="G93" s="62"/>
      <c r="H93" s="62" t="e">
        <f>SUM(H83:H92)</f>
        <v>#REF!</v>
      </c>
      <c r="I93" s="62"/>
      <c r="J93" s="62" t="e">
        <f>SUM(J83:J92)</f>
        <v>#REF!</v>
      </c>
      <c r="K93" s="63" t="e">
        <f t="shared" si="10"/>
        <v>#REF!</v>
      </c>
    </row>
    <row r="94" spans="1:12" ht="12.75" thickBot="1" x14ac:dyDescent="0.25">
      <c r="D94" s="71" t="s">
        <v>120</v>
      </c>
      <c r="E94" s="76">
        <v>0</v>
      </c>
      <c r="G94" s="62"/>
      <c r="H94" s="66" t="e">
        <f>-H93*E94</f>
        <v>#REF!</v>
      </c>
      <c r="I94" s="62"/>
      <c r="J94" s="62"/>
      <c r="K94" s="63"/>
    </row>
    <row r="95" spans="1:12" ht="12.75" thickTop="1" x14ac:dyDescent="0.2">
      <c r="H95" s="68" t="e">
        <f>H93+H94</f>
        <v>#REF!</v>
      </c>
      <c r="I95" s="69"/>
      <c r="J95" s="68" t="e">
        <f>J93</f>
        <v>#REF!</v>
      </c>
      <c r="K95" s="70" t="e">
        <f>1-(J95/H95)</f>
        <v>#REF!</v>
      </c>
    </row>
    <row r="96" spans="1:12" x14ac:dyDescent="0.2">
      <c r="A96" s="58"/>
      <c r="B96" s="58" t="s">
        <v>148</v>
      </c>
      <c r="C96" s="59"/>
      <c r="D96" s="75"/>
      <c r="E96" s="96"/>
      <c r="F96" s="59"/>
      <c r="G96" s="59"/>
      <c r="H96" s="59"/>
      <c r="I96" s="59"/>
      <c r="J96" s="59"/>
      <c r="K96" s="59"/>
      <c r="L96" s="96"/>
    </row>
    <row r="97" spans="1:12" x14ac:dyDescent="0.2">
      <c r="B97" s="60" t="s">
        <v>128</v>
      </c>
      <c r="C97" s="60" t="s">
        <v>106</v>
      </c>
      <c r="D97" s="73" t="s">
        <v>68</v>
      </c>
      <c r="E97" s="2" t="s">
        <v>69</v>
      </c>
      <c r="F97" s="60" t="s">
        <v>107</v>
      </c>
      <c r="G97" s="60" t="s">
        <v>108</v>
      </c>
      <c r="H97" s="60" t="s">
        <v>109</v>
      </c>
      <c r="I97" s="60" t="s">
        <v>110</v>
      </c>
      <c r="J97" s="60" t="s">
        <v>111</v>
      </c>
      <c r="K97" s="60" t="s">
        <v>13</v>
      </c>
      <c r="L97" s="117" t="s">
        <v>194</v>
      </c>
    </row>
    <row r="98" spans="1:12" x14ac:dyDescent="0.2">
      <c r="A98" s="4" t="s">
        <v>0</v>
      </c>
      <c r="B98" s="4" t="s">
        <v>171</v>
      </c>
      <c r="D98" s="71" t="s">
        <v>154</v>
      </c>
      <c r="E98" s="98">
        <f>C7*2</f>
        <v>724</v>
      </c>
      <c r="F98" s="4" t="s">
        <v>115</v>
      </c>
      <c r="G98" s="61" t="e">
        <f t="shared" ref="G98:G107" si="14">I98/0.75</f>
        <v>#REF!</v>
      </c>
      <c r="H98" s="62" t="e">
        <f t="shared" ref="H98:H108" si="15">E98*G98</f>
        <v>#REF!</v>
      </c>
      <c r="I98" s="61" t="e">
        <f>#REF!</f>
        <v>#REF!</v>
      </c>
      <c r="J98" s="62" t="e">
        <f t="shared" ref="J98:J108" si="16">E98*I98</f>
        <v>#REF!</v>
      </c>
      <c r="K98" s="63" t="e">
        <f t="shared" ref="K98:K109" si="17">1-(J98/H98)</f>
        <v>#REF!</v>
      </c>
      <c r="L98" s="48" t="s">
        <v>196</v>
      </c>
    </row>
    <row r="99" spans="1:12" ht="25.35" customHeight="1" x14ac:dyDescent="0.2">
      <c r="A99" s="4" t="s">
        <v>0</v>
      </c>
      <c r="B99" s="4" t="s">
        <v>171</v>
      </c>
      <c r="D99" s="71" t="s">
        <v>172</v>
      </c>
      <c r="E99" s="98">
        <f>C7*2</f>
        <v>724</v>
      </c>
      <c r="F99" s="4" t="s">
        <v>115</v>
      </c>
      <c r="G99" s="61" t="e">
        <f t="shared" si="14"/>
        <v>#REF!</v>
      </c>
      <c r="H99" s="62" t="e">
        <f t="shared" si="15"/>
        <v>#REF!</v>
      </c>
      <c r="I99" s="61" t="e">
        <f>#REF!</f>
        <v>#REF!</v>
      </c>
      <c r="J99" s="62" t="e">
        <f t="shared" si="16"/>
        <v>#REF!</v>
      </c>
      <c r="K99" s="63" t="e">
        <f t="shared" si="17"/>
        <v>#REF!</v>
      </c>
      <c r="L99" s="48" t="s">
        <v>196</v>
      </c>
    </row>
    <row r="100" spans="1:12" x14ac:dyDescent="0.2">
      <c r="A100" s="4" t="s">
        <v>0</v>
      </c>
      <c r="B100" s="4" t="s">
        <v>171</v>
      </c>
      <c r="D100" s="71" t="s">
        <v>155</v>
      </c>
      <c r="E100" s="98">
        <f>C7*2</f>
        <v>724</v>
      </c>
      <c r="F100" s="4" t="s">
        <v>115</v>
      </c>
      <c r="G100" s="61" t="e">
        <f t="shared" si="14"/>
        <v>#REF!</v>
      </c>
      <c r="H100" s="62" t="e">
        <f t="shared" si="15"/>
        <v>#REF!</v>
      </c>
      <c r="I100" s="61" t="e">
        <f>#REF!</f>
        <v>#REF!</v>
      </c>
      <c r="J100" s="62" t="e">
        <f t="shared" si="16"/>
        <v>#REF!</v>
      </c>
      <c r="K100" s="63" t="e">
        <f t="shared" si="17"/>
        <v>#REF!</v>
      </c>
      <c r="L100" s="48" t="s">
        <v>196</v>
      </c>
    </row>
    <row r="101" spans="1:12" ht="24" x14ac:dyDescent="0.2">
      <c r="A101" s="4" t="s">
        <v>0</v>
      </c>
      <c r="B101" s="4" t="s">
        <v>171</v>
      </c>
      <c r="D101" s="71" t="s">
        <v>156</v>
      </c>
      <c r="E101" s="98">
        <f>C7*2</f>
        <v>724</v>
      </c>
      <c r="F101" s="4" t="s">
        <v>115</v>
      </c>
      <c r="G101" s="61" t="e">
        <f t="shared" si="14"/>
        <v>#REF!</v>
      </c>
      <c r="H101" s="62" t="e">
        <f t="shared" si="15"/>
        <v>#REF!</v>
      </c>
      <c r="I101" s="61" t="e">
        <f>#REF!</f>
        <v>#REF!</v>
      </c>
      <c r="J101" s="62" t="e">
        <f t="shared" si="16"/>
        <v>#REF!</v>
      </c>
      <c r="K101" s="63" t="e">
        <f t="shared" si="17"/>
        <v>#REF!</v>
      </c>
      <c r="L101" s="48" t="s">
        <v>196</v>
      </c>
    </row>
    <row r="102" spans="1:12" x14ac:dyDescent="0.2">
      <c r="A102" s="4" t="s">
        <v>0</v>
      </c>
      <c r="B102" s="4" t="s">
        <v>171</v>
      </c>
      <c r="D102" s="71" t="s">
        <v>154</v>
      </c>
      <c r="E102" s="98">
        <f>ROUNDUP($C$8*$C$7,0)*2</f>
        <v>38</v>
      </c>
      <c r="F102" s="4" t="s">
        <v>115</v>
      </c>
      <c r="G102" s="61" t="e">
        <f t="shared" si="14"/>
        <v>#REF!</v>
      </c>
      <c r="H102" s="62" t="e">
        <f t="shared" si="15"/>
        <v>#REF!</v>
      </c>
      <c r="I102" s="61" t="e">
        <f>#REF!</f>
        <v>#REF!</v>
      </c>
      <c r="J102" s="62" t="e">
        <f t="shared" si="16"/>
        <v>#REF!</v>
      </c>
      <c r="K102" s="63" t="e">
        <f t="shared" si="17"/>
        <v>#REF!</v>
      </c>
      <c r="L102" s="48" t="s">
        <v>196</v>
      </c>
    </row>
    <row r="103" spans="1:12" ht="24" x14ac:dyDescent="0.2">
      <c r="A103" s="4" t="s">
        <v>0</v>
      </c>
      <c r="B103" s="4" t="s">
        <v>171</v>
      </c>
      <c r="D103" s="71" t="s">
        <v>172</v>
      </c>
      <c r="E103" s="98">
        <f>ROUNDUP($C$8*$C$7,0)*2</f>
        <v>38</v>
      </c>
      <c r="F103" s="4" t="s">
        <v>115</v>
      </c>
      <c r="G103" s="61" t="e">
        <f t="shared" si="14"/>
        <v>#REF!</v>
      </c>
      <c r="H103" s="62" t="e">
        <f t="shared" si="15"/>
        <v>#REF!</v>
      </c>
      <c r="I103" s="61" t="e">
        <f>#REF!</f>
        <v>#REF!</v>
      </c>
      <c r="J103" s="62" t="e">
        <f t="shared" si="16"/>
        <v>#REF!</v>
      </c>
      <c r="K103" s="63" t="e">
        <f t="shared" si="17"/>
        <v>#REF!</v>
      </c>
      <c r="L103" s="48" t="s">
        <v>196</v>
      </c>
    </row>
    <row r="104" spans="1:12" x14ac:dyDescent="0.2">
      <c r="A104" s="4" t="s">
        <v>0</v>
      </c>
      <c r="B104" s="4" t="s">
        <v>171</v>
      </c>
      <c r="D104" s="71" t="s">
        <v>155</v>
      </c>
      <c r="E104" s="98">
        <f>ROUNDUP($C$8*$C$7,0)*2</f>
        <v>38</v>
      </c>
      <c r="F104" s="4" t="s">
        <v>115</v>
      </c>
      <c r="G104" s="61" t="e">
        <f t="shared" si="14"/>
        <v>#REF!</v>
      </c>
      <c r="H104" s="62" t="e">
        <f t="shared" si="15"/>
        <v>#REF!</v>
      </c>
      <c r="I104" s="61" t="e">
        <f>#REF!</f>
        <v>#REF!</v>
      </c>
      <c r="J104" s="62" t="e">
        <f t="shared" si="16"/>
        <v>#REF!</v>
      </c>
      <c r="K104" s="63" t="e">
        <f t="shared" si="17"/>
        <v>#REF!</v>
      </c>
      <c r="L104" s="48" t="s">
        <v>196</v>
      </c>
    </row>
    <row r="105" spans="1:12" x14ac:dyDescent="0.2">
      <c r="E105" s="98">
        <v>0</v>
      </c>
      <c r="F105" s="4" t="s">
        <v>115</v>
      </c>
      <c r="G105" s="61">
        <f t="shared" si="14"/>
        <v>0</v>
      </c>
      <c r="H105" s="62">
        <f t="shared" si="15"/>
        <v>0</v>
      </c>
      <c r="I105" s="61">
        <v>0</v>
      </c>
      <c r="J105" s="62">
        <f t="shared" si="16"/>
        <v>0</v>
      </c>
      <c r="K105" s="63" t="e">
        <f t="shared" si="17"/>
        <v>#DIV/0!</v>
      </c>
      <c r="L105" s="48" t="s">
        <v>196</v>
      </c>
    </row>
    <row r="106" spans="1:12" x14ac:dyDescent="0.2">
      <c r="E106" s="98">
        <v>0</v>
      </c>
      <c r="F106" s="4" t="s">
        <v>115</v>
      </c>
      <c r="G106" s="61">
        <f t="shared" si="14"/>
        <v>0</v>
      </c>
      <c r="H106" s="62">
        <f t="shared" si="15"/>
        <v>0</v>
      </c>
      <c r="I106" s="61">
        <v>0</v>
      </c>
      <c r="J106" s="62">
        <f t="shared" si="16"/>
        <v>0</v>
      </c>
      <c r="K106" s="63" t="e">
        <f t="shared" si="17"/>
        <v>#DIV/0!</v>
      </c>
      <c r="L106" s="48" t="s">
        <v>196</v>
      </c>
    </row>
    <row r="107" spans="1:12" x14ac:dyDescent="0.2">
      <c r="A107" s="3"/>
      <c r="B107" s="3"/>
      <c r="C107" s="3"/>
      <c r="D107" s="41"/>
      <c r="E107" s="98">
        <v>0</v>
      </c>
      <c r="F107" s="4" t="s">
        <v>115</v>
      </c>
      <c r="G107" s="61">
        <f t="shared" si="14"/>
        <v>0</v>
      </c>
      <c r="H107" s="62">
        <f t="shared" si="15"/>
        <v>0</v>
      </c>
      <c r="I107" s="61">
        <v>0</v>
      </c>
      <c r="J107" s="62">
        <f t="shared" si="16"/>
        <v>0</v>
      </c>
      <c r="K107" s="63" t="e">
        <f t="shared" si="17"/>
        <v>#DIV/0!</v>
      </c>
      <c r="L107" s="48" t="s">
        <v>196</v>
      </c>
    </row>
    <row r="108" spans="1:12" ht="12.75" thickBot="1" x14ac:dyDescent="0.25">
      <c r="B108" s="64"/>
      <c r="E108" s="98"/>
      <c r="F108" s="4" t="s">
        <v>115</v>
      </c>
      <c r="G108" s="61">
        <f t="shared" ref="G108" si="18">I108/0.6</f>
        <v>0</v>
      </c>
      <c r="H108" s="66">
        <f t="shared" si="15"/>
        <v>0</v>
      </c>
      <c r="I108" s="72">
        <v>0</v>
      </c>
      <c r="J108" s="66">
        <f t="shared" si="16"/>
        <v>0</v>
      </c>
      <c r="K108" s="67" t="e">
        <f t="shared" si="17"/>
        <v>#DIV/0!</v>
      </c>
      <c r="L108" s="48" t="s">
        <v>196</v>
      </c>
    </row>
    <row r="109" spans="1:12" ht="12.75" thickTop="1" x14ac:dyDescent="0.2">
      <c r="G109" s="62"/>
      <c r="H109" s="62" t="e">
        <f>SUM(H98:H108)</f>
        <v>#REF!</v>
      </c>
      <c r="I109" s="62"/>
      <c r="J109" s="62" t="e">
        <f>SUM(J98:J108)</f>
        <v>#REF!</v>
      </c>
      <c r="K109" s="63" t="e">
        <f t="shared" si="17"/>
        <v>#REF!</v>
      </c>
    </row>
    <row r="110" spans="1:12" ht="12.75" thickBot="1" x14ac:dyDescent="0.25">
      <c r="D110" s="71" t="s">
        <v>120</v>
      </c>
      <c r="E110" s="76">
        <v>0</v>
      </c>
      <c r="G110" s="62"/>
      <c r="H110" s="66" t="e">
        <f>-H109*E110</f>
        <v>#REF!</v>
      </c>
      <c r="I110" s="62"/>
      <c r="J110" s="62"/>
      <c r="K110" s="63"/>
    </row>
    <row r="111" spans="1:12" ht="12.75" thickTop="1" x14ac:dyDescent="0.2">
      <c r="H111" s="68" t="e">
        <f>H109+H110</f>
        <v>#REF!</v>
      </c>
      <c r="I111" s="69"/>
      <c r="J111" s="68" t="e">
        <f>J109</f>
        <v>#REF!</v>
      </c>
      <c r="K111" s="70" t="e">
        <f>1-(J111/H111)</f>
        <v>#REF!</v>
      </c>
    </row>
    <row r="113" spans="1:13" x14ac:dyDescent="0.2">
      <c r="A113" s="502" t="s">
        <v>136</v>
      </c>
      <c r="B113" s="502"/>
      <c r="C113" s="502"/>
      <c r="D113" s="502"/>
      <c r="E113" s="502"/>
      <c r="F113" s="502"/>
      <c r="G113" s="502"/>
      <c r="H113" s="502"/>
      <c r="I113" s="502"/>
      <c r="J113" s="502"/>
      <c r="K113" s="502"/>
      <c r="L113" s="502"/>
    </row>
    <row r="114" spans="1:13" x14ac:dyDescent="0.2">
      <c r="A114" s="58"/>
      <c r="B114" s="58" t="s">
        <v>136</v>
      </c>
      <c r="C114" s="59"/>
      <c r="D114" s="75"/>
      <c r="E114" s="96"/>
      <c r="F114" s="59"/>
      <c r="G114" s="59"/>
      <c r="H114" s="59"/>
      <c r="I114" s="59"/>
      <c r="J114" s="59"/>
      <c r="K114" s="59"/>
      <c r="L114" s="96"/>
    </row>
    <row r="115" spans="1:13" x14ac:dyDescent="0.2">
      <c r="B115" s="60" t="s">
        <v>128</v>
      </c>
      <c r="C115" s="60" t="s">
        <v>106</v>
      </c>
      <c r="D115" s="73" t="s">
        <v>68</v>
      </c>
      <c r="E115" s="2" t="s">
        <v>69</v>
      </c>
      <c r="F115" s="60" t="s">
        <v>107</v>
      </c>
      <c r="G115" s="60" t="s">
        <v>108</v>
      </c>
      <c r="H115" s="60" t="s">
        <v>109</v>
      </c>
      <c r="I115" s="60" t="s">
        <v>110</v>
      </c>
      <c r="J115" s="60" t="s">
        <v>111</v>
      </c>
      <c r="K115" s="60" t="s">
        <v>13</v>
      </c>
      <c r="L115" s="117" t="s">
        <v>194</v>
      </c>
    </row>
    <row r="116" spans="1:13" x14ac:dyDescent="0.2">
      <c r="A116" s="4" t="s">
        <v>0</v>
      </c>
      <c r="D116" s="71" t="s">
        <v>9</v>
      </c>
      <c r="E116" s="98">
        <f>ROUNDUP(10%*$C$7,0)</f>
        <v>37</v>
      </c>
      <c r="F116" s="4" t="s">
        <v>115</v>
      </c>
      <c r="G116" s="61" t="e">
        <f t="shared" ref="G116:G121" si="19">I116/0.75</f>
        <v>#REF!</v>
      </c>
      <c r="H116" s="62" t="e">
        <f>E116*G116</f>
        <v>#REF!</v>
      </c>
      <c r="I116" s="61" t="e">
        <f>#REF!+#REF!</f>
        <v>#REF!</v>
      </c>
      <c r="J116" s="62" t="e">
        <f>E116*I116</f>
        <v>#REF!</v>
      </c>
      <c r="K116" s="63" t="e">
        <f t="shared" ref="K116:K122" si="20">1-(J116/H116)</f>
        <v>#REF!</v>
      </c>
      <c r="L116" s="48" t="s">
        <v>196</v>
      </c>
    </row>
    <row r="117" spans="1:13" x14ac:dyDescent="0.2">
      <c r="A117" s="4" t="s">
        <v>0</v>
      </c>
      <c r="D117" s="71" t="s">
        <v>6</v>
      </c>
      <c r="E117" s="98">
        <f>ROUNDUP(110%*$C$7,0)</f>
        <v>399</v>
      </c>
      <c r="F117" s="4" t="s">
        <v>115</v>
      </c>
      <c r="G117" s="61">
        <f t="shared" si="19"/>
        <v>6.666666666666667</v>
      </c>
      <c r="H117" s="62">
        <f>E117*G117*6</f>
        <v>15960</v>
      </c>
      <c r="I117" s="4">
        <v>5</v>
      </c>
      <c r="J117" s="62">
        <f>E117*I117*6</f>
        <v>11970</v>
      </c>
      <c r="K117" s="63">
        <f t="shared" si="20"/>
        <v>0.25</v>
      </c>
      <c r="L117" s="48" t="s">
        <v>196</v>
      </c>
    </row>
    <row r="118" spans="1:13" ht="24" x14ac:dyDescent="0.2">
      <c r="A118" s="4" t="s">
        <v>0</v>
      </c>
      <c r="D118" s="71" t="s">
        <v>160</v>
      </c>
      <c r="E118" s="98">
        <v>2</v>
      </c>
      <c r="F118" s="4" t="s">
        <v>115</v>
      </c>
      <c r="G118" s="61">
        <f t="shared" si="19"/>
        <v>2133.3333333333335</v>
      </c>
      <c r="H118" s="62">
        <f>E118*G118</f>
        <v>4266.666666666667</v>
      </c>
      <c r="I118" s="4">
        <v>1600</v>
      </c>
      <c r="J118" s="62">
        <f>E118*I118</f>
        <v>3200</v>
      </c>
      <c r="K118" s="63">
        <f t="shared" si="20"/>
        <v>0.25</v>
      </c>
      <c r="L118" s="48" t="s">
        <v>196</v>
      </c>
    </row>
    <row r="119" spans="1:13" x14ac:dyDescent="0.2">
      <c r="A119" s="4" t="s">
        <v>0</v>
      </c>
      <c r="D119" s="71" t="s">
        <v>12</v>
      </c>
      <c r="E119" s="98">
        <v>1</v>
      </c>
      <c r="F119" s="4" t="s">
        <v>115</v>
      </c>
      <c r="G119" s="61">
        <f t="shared" si="19"/>
        <v>4666.666666666667</v>
      </c>
      <c r="H119" s="62">
        <f>E119*G119</f>
        <v>4666.666666666667</v>
      </c>
      <c r="I119" s="4">
        <v>3500</v>
      </c>
      <c r="J119" s="62">
        <f>E119*I119</f>
        <v>3500</v>
      </c>
      <c r="K119" s="63">
        <f t="shared" si="20"/>
        <v>0.25</v>
      </c>
      <c r="L119" s="48" t="s">
        <v>196</v>
      </c>
    </row>
    <row r="120" spans="1:13" x14ac:dyDescent="0.2">
      <c r="A120" s="4" t="s">
        <v>0</v>
      </c>
      <c r="D120" s="71" t="s">
        <v>137</v>
      </c>
      <c r="E120" s="98">
        <f>ROUNDUP(10%*$C$7,0)</f>
        <v>37</v>
      </c>
      <c r="F120" s="4" t="s">
        <v>115</v>
      </c>
      <c r="G120" s="61">
        <f t="shared" si="19"/>
        <v>2000</v>
      </c>
      <c r="H120" s="62">
        <f>E120*G120</f>
        <v>74000</v>
      </c>
      <c r="I120" s="61">
        <v>1500</v>
      </c>
      <c r="J120" s="62">
        <f>E120*I120</f>
        <v>55500</v>
      </c>
      <c r="K120" s="63">
        <f t="shared" si="20"/>
        <v>0.25</v>
      </c>
      <c r="L120" s="48" t="s">
        <v>196</v>
      </c>
    </row>
    <row r="121" spans="1:13" ht="12.75" thickBot="1" x14ac:dyDescent="0.25">
      <c r="A121" s="4" t="s">
        <v>0</v>
      </c>
      <c r="B121" s="64"/>
      <c r="D121" s="71" t="s">
        <v>11</v>
      </c>
      <c r="E121" s="98">
        <f t="shared" ref="E121" si="21">$C$7</f>
        <v>362</v>
      </c>
      <c r="F121" s="4" t="s">
        <v>115</v>
      </c>
      <c r="G121" s="65" t="e">
        <f t="shared" si="19"/>
        <v>#REF!</v>
      </c>
      <c r="H121" s="66" t="e">
        <f>E121*G121</f>
        <v>#REF!</v>
      </c>
      <c r="I121" s="66" t="e">
        <f>#REF!+#REF!+#REF!+#REF!</f>
        <v>#REF!</v>
      </c>
      <c r="J121" s="66" t="e">
        <f>E121*I121</f>
        <v>#REF!</v>
      </c>
      <c r="K121" s="67" t="e">
        <f t="shared" si="20"/>
        <v>#REF!</v>
      </c>
      <c r="L121" s="48" t="s">
        <v>196</v>
      </c>
    </row>
    <row r="122" spans="1:13" ht="12.75" thickTop="1" x14ac:dyDescent="0.2">
      <c r="G122" s="62"/>
      <c r="H122" s="62" t="e">
        <f>SUM(H116:H121)</f>
        <v>#REF!</v>
      </c>
      <c r="I122" s="62"/>
      <c r="J122" s="62" t="e">
        <f>SUM(J116:J121)</f>
        <v>#REF!</v>
      </c>
      <c r="K122" s="63" t="e">
        <f t="shared" si="20"/>
        <v>#REF!</v>
      </c>
    </row>
    <row r="123" spans="1:13" ht="12.75" thickBot="1" x14ac:dyDescent="0.25">
      <c r="D123" s="71" t="s">
        <v>120</v>
      </c>
      <c r="E123" s="76">
        <v>0</v>
      </c>
      <c r="G123" s="62"/>
      <c r="H123" s="66" t="e">
        <f>-H122*E123</f>
        <v>#REF!</v>
      </c>
      <c r="I123" s="62"/>
      <c r="J123" s="62"/>
      <c r="K123" s="63"/>
    </row>
    <row r="124" spans="1:13" ht="12.75" thickTop="1" x14ac:dyDescent="0.2">
      <c r="H124" s="68" t="e">
        <f>H122+H123</f>
        <v>#REF!</v>
      </c>
      <c r="I124" s="69"/>
      <c r="J124" s="68" t="e">
        <f>J122</f>
        <v>#REF!</v>
      </c>
      <c r="K124" s="70" t="e">
        <f>1-(J124/H124)</f>
        <v>#REF!</v>
      </c>
    </row>
    <row r="125" spans="1:13" x14ac:dyDescent="0.2">
      <c r="H125" s="68"/>
      <c r="I125" s="69"/>
      <c r="J125" s="68"/>
      <c r="K125" s="70"/>
    </row>
    <row r="126" spans="1:13" x14ac:dyDescent="0.2">
      <c r="A126" s="58"/>
      <c r="B126" s="58" t="s">
        <v>17</v>
      </c>
      <c r="C126" s="59"/>
      <c r="D126" s="75"/>
      <c r="E126" s="96"/>
      <c r="F126" s="59"/>
      <c r="G126" s="59"/>
      <c r="H126" s="59"/>
      <c r="I126" s="59"/>
      <c r="J126" s="59"/>
      <c r="K126" s="59"/>
      <c r="L126" s="96"/>
    </row>
    <row r="127" spans="1:13" x14ac:dyDescent="0.2">
      <c r="B127" s="60" t="s">
        <v>128</v>
      </c>
      <c r="C127" s="60" t="s">
        <v>106</v>
      </c>
      <c r="D127" s="73" t="s">
        <v>68</v>
      </c>
      <c r="E127" s="2" t="s">
        <v>69</v>
      </c>
      <c r="F127" s="60" t="s">
        <v>107</v>
      </c>
      <c r="G127" s="60" t="s">
        <v>108</v>
      </c>
      <c r="H127" s="60" t="s">
        <v>109</v>
      </c>
      <c r="I127" s="60" t="s">
        <v>110</v>
      </c>
      <c r="J127" s="60" t="s">
        <v>111</v>
      </c>
      <c r="K127" s="60" t="s">
        <v>13</v>
      </c>
      <c r="L127" s="117" t="s">
        <v>194</v>
      </c>
    </row>
    <row r="128" spans="1:13" x14ac:dyDescent="0.2">
      <c r="A128" s="4" t="s">
        <v>0</v>
      </c>
      <c r="D128" s="71" t="s">
        <v>89</v>
      </c>
      <c r="E128" s="98">
        <v>1</v>
      </c>
      <c r="F128" s="4" t="s">
        <v>115</v>
      </c>
      <c r="G128" s="62" t="e">
        <f>I128/0.75</f>
        <v>#REF!</v>
      </c>
      <c r="H128" s="62" t="e">
        <f>E128*G128</f>
        <v>#REF!</v>
      </c>
      <c r="I128" s="62" t="e">
        <f>#REF!*$C$7/1376</f>
        <v>#REF!</v>
      </c>
      <c r="J128" s="62" t="e">
        <f>E128*I128</f>
        <v>#REF!</v>
      </c>
      <c r="K128" s="63" t="e">
        <f t="shared" ref="K128:K133" si="22">1-(J128/H128)</f>
        <v>#REF!</v>
      </c>
      <c r="L128" s="48" t="s">
        <v>195</v>
      </c>
      <c r="M128" s="4" t="s">
        <v>203</v>
      </c>
    </row>
    <row r="129" spans="1:13" x14ac:dyDescent="0.2">
      <c r="A129" s="4" t="s">
        <v>0</v>
      </c>
      <c r="D129" s="71" t="s">
        <v>70</v>
      </c>
      <c r="E129" s="98">
        <v>1</v>
      </c>
      <c r="F129" s="4" t="s">
        <v>115</v>
      </c>
      <c r="G129" s="62">
        <f>I129/0.7</f>
        <v>214285.71428571429</v>
      </c>
      <c r="H129" s="62">
        <f>E129*G129</f>
        <v>214285.71428571429</v>
      </c>
      <c r="I129" s="62">
        <v>150000</v>
      </c>
      <c r="J129" s="62">
        <f>E129*I129</f>
        <v>150000</v>
      </c>
      <c r="K129" s="63">
        <f t="shared" si="22"/>
        <v>0.30000000000000004</v>
      </c>
      <c r="L129" s="48" t="s">
        <v>195</v>
      </c>
      <c r="M129" s="4" t="s">
        <v>204</v>
      </c>
    </row>
    <row r="130" spans="1:13" x14ac:dyDescent="0.2">
      <c r="A130" s="4" t="s">
        <v>0</v>
      </c>
      <c r="D130" s="71" t="s">
        <v>87</v>
      </c>
      <c r="E130" s="98">
        <f>C7</f>
        <v>362</v>
      </c>
      <c r="F130" s="4" t="s">
        <v>115</v>
      </c>
      <c r="G130" s="62" t="e">
        <f>I130/0.75</f>
        <v>#REF!</v>
      </c>
      <c r="H130" s="62" t="e">
        <f t="shared" ref="H130:H132" si="23">E130*G130</f>
        <v>#REF!</v>
      </c>
      <c r="I130" s="62" t="e">
        <f>#REF!</f>
        <v>#REF!</v>
      </c>
      <c r="J130" s="62" t="e">
        <f t="shared" ref="J130:J132" si="24">E130*I130</f>
        <v>#REF!</v>
      </c>
      <c r="K130" s="63" t="e">
        <f t="shared" si="22"/>
        <v>#REF!</v>
      </c>
      <c r="L130" s="48" t="s">
        <v>195</v>
      </c>
      <c r="M130" s="4" t="s">
        <v>204</v>
      </c>
    </row>
    <row r="131" spans="1:13" x14ac:dyDescent="0.2">
      <c r="A131" s="4" t="s">
        <v>0</v>
      </c>
      <c r="D131" s="71" t="s">
        <v>168</v>
      </c>
      <c r="E131" s="98">
        <v>6</v>
      </c>
      <c r="F131" s="4" t="s">
        <v>115</v>
      </c>
      <c r="G131" s="62">
        <f>I131/0.7</f>
        <v>28571.428571428572</v>
      </c>
      <c r="H131" s="62">
        <f t="shared" si="23"/>
        <v>171428.57142857142</v>
      </c>
      <c r="I131" s="62">
        <v>20000</v>
      </c>
      <c r="J131" s="62">
        <f t="shared" si="24"/>
        <v>120000</v>
      </c>
      <c r="K131" s="63">
        <f t="shared" si="22"/>
        <v>0.29999999999999993</v>
      </c>
      <c r="L131" s="48" t="s">
        <v>195</v>
      </c>
      <c r="M131" s="4" t="s">
        <v>204</v>
      </c>
    </row>
    <row r="132" spans="1:13" x14ac:dyDescent="0.2">
      <c r="A132" s="4" t="s">
        <v>0</v>
      </c>
      <c r="D132" s="71" t="s">
        <v>169</v>
      </c>
      <c r="E132" s="98">
        <v>1</v>
      </c>
      <c r="F132" s="4" t="s">
        <v>115</v>
      </c>
      <c r="G132" s="62">
        <f>I132/0.75</f>
        <v>266666.66666666669</v>
      </c>
      <c r="H132" s="62">
        <f t="shared" si="23"/>
        <v>266666.66666666669</v>
      </c>
      <c r="I132" s="62">
        <v>200000</v>
      </c>
      <c r="J132" s="62">
        <f t="shared" si="24"/>
        <v>200000</v>
      </c>
      <c r="K132" s="63">
        <f t="shared" si="22"/>
        <v>0.25</v>
      </c>
      <c r="L132" s="48" t="s">
        <v>195</v>
      </c>
      <c r="M132" s="4" t="s">
        <v>204</v>
      </c>
    </row>
    <row r="133" spans="1:13" x14ac:dyDescent="0.2">
      <c r="A133" s="4" t="s">
        <v>0</v>
      </c>
      <c r="E133" s="98">
        <v>0</v>
      </c>
      <c r="F133" s="4" t="s">
        <v>115</v>
      </c>
      <c r="G133" s="62">
        <f t="shared" ref="G133" si="25">I133/0.6</f>
        <v>0</v>
      </c>
      <c r="H133" s="62">
        <f>E133*G133</f>
        <v>0</v>
      </c>
      <c r="I133" s="62">
        <v>0</v>
      </c>
      <c r="J133" s="62">
        <f>E133*I133</f>
        <v>0</v>
      </c>
      <c r="K133" s="63" t="e">
        <f t="shared" si="22"/>
        <v>#DIV/0!</v>
      </c>
    </row>
    <row r="134" spans="1:13" ht="12.75" thickBot="1" x14ac:dyDescent="0.25">
      <c r="B134" s="64"/>
      <c r="E134" s="98"/>
      <c r="G134" s="65"/>
      <c r="H134" s="66"/>
      <c r="I134" s="66"/>
      <c r="J134" s="66"/>
      <c r="K134" s="67"/>
    </row>
    <row r="135" spans="1:13" ht="12.75" thickTop="1" x14ac:dyDescent="0.2">
      <c r="G135" s="62"/>
      <c r="H135" s="62" t="e">
        <f>SUM(H128:H134)</f>
        <v>#REF!</v>
      </c>
      <c r="I135" s="62"/>
      <c r="J135" s="62" t="e">
        <f>SUM(J128:J134)</f>
        <v>#REF!</v>
      </c>
      <c r="K135" s="63" t="e">
        <f>1-(J135/H135)</f>
        <v>#REF!</v>
      </c>
    </row>
    <row r="136" spans="1:13" ht="12.75" thickBot="1" x14ac:dyDescent="0.25">
      <c r="D136" s="71" t="s">
        <v>120</v>
      </c>
      <c r="E136" s="76">
        <v>0</v>
      </c>
      <c r="G136" s="62"/>
      <c r="H136" s="66" t="e">
        <f>-H135*E136</f>
        <v>#REF!</v>
      </c>
      <c r="I136" s="62"/>
      <c r="J136" s="62"/>
      <c r="K136" s="63"/>
    </row>
    <row r="137" spans="1:13" ht="12.75" thickTop="1" x14ac:dyDescent="0.2">
      <c r="H137" s="68" t="e">
        <f>H135+H136</f>
        <v>#REF!</v>
      </c>
      <c r="I137" s="69"/>
      <c r="J137" s="68" t="e">
        <f>J135</f>
        <v>#REF!</v>
      </c>
      <c r="K137" s="70" t="e">
        <f>1-(J137/H137)</f>
        <v>#REF!</v>
      </c>
    </row>
    <row r="138" spans="1:13" x14ac:dyDescent="0.2">
      <c r="M138" s="48"/>
    </row>
    <row r="139" spans="1:13" x14ac:dyDescent="0.2">
      <c r="A139" s="58"/>
      <c r="B139" s="58" t="s">
        <v>146</v>
      </c>
      <c r="C139" s="59"/>
      <c r="D139" s="75"/>
      <c r="E139" s="96"/>
      <c r="F139" s="59"/>
      <c r="G139" s="59"/>
      <c r="H139" s="59"/>
      <c r="I139" s="59"/>
      <c r="J139" s="59"/>
      <c r="K139" s="59"/>
      <c r="L139" s="96"/>
    </row>
    <row r="140" spans="1:13" x14ac:dyDescent="0.2">
      <c r="B140" s="60" t="s">
        <v>128</v>
      </c>
      <c r="C140" s="60" t="s">
        <v>106</v>
      </c>
      <c r="D140" s="73" t="s">
        <v>68</v>
      </c>
      <c r="E140" s="2" t="s">
        <v>69</v>
      </c>
      <c r="F140" s="60" t="s">
        <v>107</v>
      </c>
      <c r="G140" s="60" t="s">
        <v>108</v>
      </c>
      <c r="H140" s="60" t="s">
        <v>109</v>
      </c>
      <c r="I140" s="60" t="s">
        <v>110</v>
      </c>
      <c r="J140" s="60" t="s">
        <v>111</v>
      </c>
      <c r="K140" s="60" t="s">
        <v>13</v>
      </c>
      <c r="L140" s="117" t="s">
        <v>194</v>
      </c>
    </row>
    <row r="141" spans="1:13" x14ac:dyDescent="0.2">
      <c r="A141" s="4" t="s">
        <v>0</v>
      </c>
      <c r="D141" s="71" t="s">
        <v>181</v>
      </c>
      <c r="E141" s="98">
        <f>$C$7</f>
        <v>362</v>
      </c>
      <c r="F141" s="4" t="s">
        <v>115</v>
      </c>
      <c r="G141" s="62">
        <f>I141/0.75</f>
        <v>333.33333333333331</v>
      </c>
      <c r="H141" s="62">
        <f>E141*G141</f>
        <v>120666.66666666666</v>
      </c>
      <c r="I141" s="62">
        <v>250</v>
      </c>
      <c r="J141" s="62">
        <f>E141*I141</f>
        <v>90500</v>
      </c>
      <c r="K141" s="63">
        <f t="shared" ref="K141:K146" si="26">1-(J141/H141)</f>
        <v>0.24999999999999989</v>
      </c>
      <c r="L141" s="48" t="s">
        <v>196</v>
      </c>
    </row>
    <row r="142" spans="1:13" x14ac:dyDescent="0.2">
      <c r="A142" s="4" t="s">
        <v>0</v>
      </c>
      <c r="D142" s="71" t="s">
        <v>185</v>
      </c>
      <c r="E142" s="98">
        <f>ROUNDUP($C$8*$C$7,0)</f>
        <v>19</v>
      </c>
      <c r="F142" s="4" t="s">
        <v>115</v>
      </c>
      <c r="G142" s="62">
        <f>I142/0.75</f>
        <v>333.33333333333331</v>
      </c>
      <c r="H142" s="62">
        <f>E142*G142</f>
        <v>6333.333333333333</v>
      </c>
      <c r="I142" s="62">
        <v>250</v>
      </c>
      <c r="J142" s="62">
        <f>E142*I142</f>
        <v>4750</v>
      </c>
      <c r="K142" s="63">
        <f t="shared" si="26"/>
        <v>0.25</v>
      </c>
      <c r="L142" s="48" t="s">
        <v>196</v>
      </c>
    </row>
    <row r="143" spans="1:13" x14ac:dyDescent="0.2">
      <c r="A143" s="4" t="s">
        <v>0</v>
      </c>
      <c r="D143" s="71" t="s">
        <v>182</v>
      </c>
      <c r="E143" s="98">
        <v>1</v>
      </c>
      <c r="F143" s="4" t="s">
        <v>115</v>
      </c>
      <c r="G143" s="62" t="e">
        <f>I143/0.75</f>
        <v>#REF!</v>
      </c>
      <c r="H143" s="62" t="e">
        <f>E143*G143</f>
        <v>#REF!</v>
      </c>
      <c r="I143" s="62" t="e">
        <f>#REF!</f>
        <v>#REF!</v>
      </c>
      <c r="J143" s="62" t="e">
        <f>E143*I143</f>
        <v>#REF!</v>
      </c>
      <c r="K143" s="63" t="e">
        <f t="shared" si="26"/>
        <v>#REF!</v>
      </c>
      <c r="L143" s="48" t="s">
        <v>196</v>
      </c>
    </row>
    <row r="144" spans="1:13" x14ac:dyDescent="0.2">
      <c r="A144" s="4" t="s">
        <v>0</v>
      </c>
      <c r="D144" s="71" t="s">
        <v>183</v>
      </c>
      <c r="E144" s="98">
        <v>1</v>
      </c>
      <c r="F144" s="4" t="s">
        <v>115</v>
      </c>
      <c r="G144" s="62" t="e">
        <f>I144/0.75</f>
        <v>#REF!</v>
      </c>
      <c r="H144" s="62" t="e">
        <f>E144*G144</f>
        <v>#REF!</v>
      </c>
      <c r="I144" s="62" t="e">
        <f>#REF!</f>
        <v>#REF!</v>
      </c>
      <c r="J144" s="62" t="e">
        <f>E144*I144</f>
        <v>#REF!</v>
      </c>
      <c r="K144" s="63" t="e">
        <f t="shared" si="26"/>
        <v>#REF!</v>
      </c>
      <c r="L144" s="48" t="s">
        <v>196</v>
      </c>
    </row>
    <row r="145" spans="1:12" ht="12.75" thickBot="1" x14ac:dyDescent="0.25">
      <c r="A145" s="4" t="s">
        <v>0</v>
      </c>
      <c r="D145" s="71" t="s">
        <v>184</v>
      </c>
      <c r="E145" s="98">
        <v>1</v>
      </c>
      <c r="F145" s="4" t="s">
        <v>115</v>
      </c>
      <c r="G145" s="66" t="e">
        <f>I145/0.75</f>
        <v>#REF!</v>
      </c>
      <c r="H145" s="66" t="e">
        <f>E145*G145</f>
        <v>#REF!</v>
      </c>
      <c r="I145" s="66" t="e">
        <f>#REF!</f>
        <v>#REF!</v>
      </c>
      <c r="J145" s="66" t="e">
        <f>E145*I145</f>
        <v>#REF!</v>
      </c>
      <c r="K145" s="67" t="e">
        <f t="shared" si="26"/>
        <v>#REF!</v>
      </c>
      <c r="L145" s="48" t="s">
        <v>196</v>
      </c>
    </row>
    <row r="146" spans="1:12" ht="12.75" thickTop="1" x14ac:dyDescent="0.2">
      <c r="G146" s="62"/>
      <c r="H146" s="62" t="e">
        <f>SUM(H141:H145)</f>
        <v>#REF!</v>
      </c>
      <c r="I146" s="62"/>
      <c r="J146" s="62" t="e">
        <f>SUM(J141:J145)</f>
        <v>#REF!</v>
      </c>
      <c r="K146" s="63" t="e">
        <f t="shared" si="26"/>
        <v>#REF!</v>
      </c>
    </row>
    <row r="147" spans="1:12" ht="12.75" thickBot="1" x14ac:dyDescent="0.25">
      <c r="D147" s="71" t="s">
        <v>120</v>
      </c>
      <c r="E147" s="76">
        <v>0</v>
      </c>
      <c r="G147" s="62"/>
      <c r="H147" s="66" t="e">
        <f>-H146*E147</f>
        <v>#REF!</v>
      </c>
      <c r="I147" s="62"/>
      <c r="J147" s="62"/>
      <c r="K147" s="63"/>
    </row>
    <row r="148" spans="1:12" ht="12.75" thickTop="1" x14ac:dyDescent="0.2">
      <c r="H148" s="68" t="e">
        <f>H146+H147</f>
        <v>#REF!</v>
      </c>
      <c r="I148" s="69"/>
      <c r="J148" s="68" t="e">
        <f>J146</f>
        <v>#REF!</v>
      </c>
      <c r="K148" s="70" t="e">
        <f>1-(J148/H148)</f>
        <v>#REF!</v>
      </c>
    </row>
    <row r="149" spans="1:12" x14ac:dyDescent="0.2">
      <c r="A149" s="495" t="s">
        <v>139</v>
      </c>
      <c r="B149" s="495"/>
      <c r="C149" s="495"/>
      <c r="D149" s="495"/>
      <c r="E149" s="495"/>
      <c r="F149" s="495"/>
      <c r="G149" s="495"/>
      <c r="H149" s="495"/>
      <c r="I149" s="495"/>
      <c r="J149" s="495"/>
      <c r="K149" s="495"/>
      <c r="L149" s="495"/>
    </row>
    <row r="150" spans="1:12" x14ac:dyDescent="0.2">
      <c r="A150" s="78" t="s">
        <v>5</v>
      </c>
      <c r="B150" s="78" t="s">
        <v>140</v>
      </c>
      <c r="C150" s="79"/>
      <c r="D150" s="80"/>
      <c r="E150" s="97"/>
      <c r="F150" s="79"/>
      <c r="G150" s="79"/>
      <c r="H150" s="79"/>
      <c r="I150" s="79"/>
      <c r="J150" s="79"/>
      <c r="K150" s="79"/>
      <c r="L150" s="97"/>
    </row>
    <row r="151" spans="1:12" x14ac:dyDescent="0.2">
      <c r="B151" s="60" t="s">
        <v>128</v>
      </c>
      <c r="C151" s="60" t="s">
        <v>106</v>
      </c>
      <c r="D151" s="73" t="s">
        <v>68</v>
      </c>
      <c r="E151" s="2" t="s">
        <v>69</v>
      </c>
      <c r="F151" s="60" t="s">
        <v>107</v>
      </c>
      <c r="G151" s="60" t="s">
        <v>108</v>
      </c>
      <c r="H151" s="60" t="s">
        <v>109</v>
      </c>
      <c r="I151" s="60" t="s">
        <v>110</v>
      </c>
      <c r="J151" s="60" t="s">
        <v>111</v>
      </c>
      <c r="K151" s="60" t="s">
        <v>13</v>
      </c>
      <c r="L151" s="117" t="s">
        <v>194</v>
      </c>
    </row>
    <row r="152" spans="1:12" x14ac:dyDescent="0.2">
      <c r="A152" s="4" t="s">
        <v>1</v>
      </c>
      <c r="D152" s="71" t="s">
        <v>193</v>
      </c>
      <c r="E152" s="98">
        <v>30</v>
      </c>
      <c r="F152" s="4" t="s">
        <v>115</v>
      </c>
      <c r="G152" s="61">
        <f>I152/0.7</f>
        <v>10714.285714285716</v>
      </c>
      <c r="H152" s="62">
        <f>E152*G152</f>
        <v>321428.57142857148</v>
      </c>
      <c r="I152" s="61">
        <v>7500</v>
      </c>
      <c r="J152" s="62">
        <f>E152*I152</f>
        <v>225000</v>
      </c>
      <c r="K152" s="63">
        <f t="shared" ref="K152:K156" si="27">1-(J152/H152)</f>
        <v>0.30000000000000016</v>
      </c>
      <c r="L152" s="48" t="s">
        <v>195</v>
      </c>
    </row>
    <row r="153" spans="1:12" x14ac:dyDescent="0.2">
      <c r="A153" s="4" t="s">
        <v>1</v>
      </c>
      <c r="D153" s="71" t="s">
        <v>72</v>
      </c>
      <c r="E153" s="98">
        <v>30</v>
      </c>
      <c r="F153" s="4" t="s">
        <v>115</v>
      </c>
      <c r="G153" s="61" t="e">
        <f>I153/0.7</f>
        <v>#REF!</v>
      </c>
      <c r="H153" s="62" t="e">
        <f>E153*G153</f>
        <v>#REF!</v>
      </c>
      <c r="I153" s="61" t="e">
        <f>#REF!</f>
        <v>#REF!</v>
      </c>
      <c r="J153" s="62" t="e">
        <f>E153*I153</f>
        <v>#REF!</v>
      </c>
      <c r="K153" s="63" t="e">
        <f t="shared" si="27"/>
        <v>#REF!</v>
      </c>
      <c r="L153" s="48" t="s">
        <v>196</v>
      </c>
    </row>
    <row r="154" spans="1:12" ht="24" x14ac:dyDescent="0.2">
      <c r="A154" s="4" t="s">
        <v>1</v>
      </c>
      <c r="D154" s="71" t="s">
        <v>147</v>
      </c>
      <c r="E154" s="98">
        <f>C7</f>
        <v>362</v>
      </c>
      <c r="F154" s="4" t="s">
        <v>115</v>
      </c>
      <c r="G154" s="61">
        <f>I154/0.7</f>
        <v>4.2857142857142856</v>
      </c>
      <c r="H154" s="62">
        <f>E154*G154*24</f>
        <v>37234.28571428571</v>
      </c>
      <c r="I154" s="4">
        <v>3</v>
      </c>
      <c r="J154" s="62">
        <f>E154*I154*24</f>
        <v>26064</v>
      </c>
      <c r="K154" s="63">
        <f t="shared" si="27"/>
        <v>0.29999999999999993</v>
      </c>
      <c r="L154" s="48" t="s">
        <v>195</v>
      </c>
    </row>
    <row r="155" spans="1:12" x14ac:dyDescent="0.2">
      <c r="A155" s="4" t="s">
        <v>1</v>
      </c>
      <c r="D155" s="71" t="s">
        <v>152</v>
      </c>
      <c r="E155" s="98">
        <f>ROUNDUP(30%*$C$7,0)</f>
        <v>109</v>
      </c>
      <c r="F155" s="4" t="s">
        <v>115</v>
      </c>
      <c r="G155" s="61" t="e">
        <f>I155/0.75</f>
        <v>#REF!</v>
      </c>
      <c r="H155" s="62" t="e">
        <f>E155*G155</f>
        <v>#REF!</v>
      </c>
      <c r="I155" s="4" t="e">
        <f>#REF!*2</f>
        <v>#REF!</v>
      </c>
      <c r="J155" s="62" t="e">
        <f>E155*I155</f>
        <v>#REF!</v>
      </c>
      <c r="K155" s="63" t="e">
        <f t="shared" si="27"/>
        <v>#REF!</v>
      </c>
      <c r="L155" s="48" t="s">
        <v>196</v>
      </c>
    </row>
    <row r="156" spans="1:12" x14ac:dyDescent="0.2">
      <c r="A156" s="4" t="s">
        <v>1</v>
      </c>
      <c r="D156" s="71" t="s">
        <v>88</v>
      </c>
      <c r="E156" s="98">
        <f>C7</f>
        <v>362</v>
      </c>
      <c r="F156" s="4" t="s">
        <v>115</v>
      </c>
      <c r="G156" s="61" t="e">
        <f>I156/0.75</f>
        <v>#REF!</v>
      </c>
      <c r="H156" s="62" t="e">
        <f>E156*G156*36</f>
        <v>#REF!</v>
      </c>
      <c r="I156" s="77" t="e">
        <f>#REF!/951</f>
        <v>#REF!</v>
      </c>
      <c r="J156" s="62" t="e">
        <f>E156*I156*36</f>
        <v>#REF!</v>
      </c>
      <c r="K156" s="63" t="e">
        <f t="shared" si="27"/>
        <v>#REF!</v>
      </c>
      <c r="L156" s="48" t="s">
        <v>195</v>
      </c>
    </row>
    <row r="157" spans="1:12" ht="12.75" thickBot="1" x14ac:dyDescent="0.25">
      <c r="B157" s="64"/>
      <c r="E157" s="98"/>
      <c r="G157" s="65"/>
      <c r="H157" s="66"/>
      <c r="I157" s="66"/>
      <c r="J157" s="66"/>
      <c r="K157" s="67"/>
    </row>
    <row r="158" spans="1:12" ht="12.75" thickTop="1" x14ac:dyDescent="0.2">
      <c r="G158" s="62"/>
      <c r="H158" s="62" t="e">
        <f>SUM(H152:H157)</f>
        <v>#REF!</v>
      </c>
      <c r="I158" s="62"/>
      <c r="J158" s="62" t="e">
        <f>SUM(J152:J157)</f>
        <v>#REF!</v>
      </c>
      <c r="K158" s="63" t="e">
        <f>1-(J158/H158)</f>
        <v>#REF!</v>
      </c>
    </row>
    <row r="159" spans="1:12" ht="12.75" thickBot="1" x14ac:dyDescent="0.25">
      <c r="D159" s="71" t="s">
        <v>120</v>
      </c>
      <c r="E159" s="76">
        <v>0</v>
      </c>
      <c r="G159" s="62"/>
      <c r="H159" s="66" t="e">
        <f>-H158*E159</f>
        <v>#REF!</v>
      </c>
      <c r="I159" s="62"/>
      <c r="J159" s="62"/>
      <c r="K159" s="63"/>
    </row>
    <row r="160" spans="1:12" ht="12.75" thickTop="1" x14ac:dyDescent="0.2">
      <c r="H160" s="68" t="e">
        <f>H158+H159</f>
        <v>#REF!</v>
      </c>
      <c r="I160" s="69"/>
      <c r="J160" s="68" t="e">
        <f>J158</f>
        <v>#REF!</v>
      </c>
      <c r="K160" s="70" t="e">
        <f>1-(J160/H160)</f>
        <v>#REF!</v>
      </c>
    </row>
    <row r="162" spans="1:13" x14ac:dyDescent="0.2">
      <c r="A162" s="78"/>
      <c r="B162" s="78" t="s">
        <v>18</v>
      </c>
      <c r="C162" s="79"/>
      <c r="D162" s="80"/>
      <c r="E162" s="97"/>
      <c r="F162" s="79"/>
      <c r="G162" s="79"/>
      <c r="H162" s="79"/>
      <c r="I162" s="79"/>
      <c r="J162" s="79"/>
      <c r="K162" s="79"/>
      <c r="L162" s="97"/>
    </row>
    <row r="163" spans="1:13" x14ac:dyDescent="0.2">
      <c r="B163" s="60" t="s">
        <v>128</v>
      </c>
      <c r="C163" s="60" t="s">
        <v>106</v>
      </c>
      <c r="D163" s="73" t="s">
        <v>68</v>
      </c>
      <c r="E163" s="2" t="s">
        <v>69</v>
      </c>
      <c r="F163" s="60" t="s">
        <v>107</v>
      </c>
      <c r="G163" s="60" t="s">
        <v>108</v>
      </c>
      <c r="H163" s="60" t="s">
        <v>109</v>
      </c>
      <c r="I163" s="60" t="s">
        <v>110</v>
      </c>
      <c r="J163" s="60" t="s">
        <v>111</v>
      </c>
      <c r="K163" s="60" t="s">
        <v>13</v>
      </c>
      <c r="L163" s="117" t="s">
        <v>194</v>
      </c>
      <c r="M163" s="60"/>
    </row>
    <row r="164" spans="1:13" x14ac:dyDescent="0.2">
      <c r="A164" s="4" t="s">
        <v>1</v>
      </c>
      <c r="B164" s="4" t="s">
        <v>141</v>
      </c>
      <c r="D164" s="71" t="s">
        <v>223</v>
      </c>
      <c r="E164" s="98">
        <f>C11</f>
        <v>852.5</v>
      </c>
      <c r="F164" s="4" t="s">
        <v>115</v>
      </c>
      <c r="G164" s="61">
        <f>I164/0.75</f>
        <v>166.66666666666666</v>
      </c>
      <c r="H164" s="62">
        <f>E164*G164*24</f>
        <v>3409999.9999999995</v>
      </c>
      <c r="I164" s="61">
        <v>125</v>
      </c>
      <c r="J164" s="62">
        <f>E164*I164*24</f>
        <v>2557500</v>
      </c>
      <c r="K164" s="63">
        <f>1-(J164/H164)</f>
        <v>0.24999999999999989</v>
      </c>
      <c r="L164" s="48" t="s">
        <v>195</v>
      </c>
      <c r="M164" s="4" t="s">
        <v>144</v>
      </c>
    </row>
    <row r="165" spans="1:13" ht="24" x14ac:dyDescent="0.2">
      <c r="A165" s="4" t="s">
        <v>1</v>
      </c>
      <c r="B165" s="4" t="s">
        <v>138</v>
      </c>
      <c r="D165" s="71" t="s">
        <v>224</v>
      </c>
      <c r="E165" s="98">
        <f>C10</f>
        <v>52.5</v>
      </c>
      <c r="F165" s="4" t="s">
        <v>115</v>
      </c>
      <c r="G165" s="61">
        <v>81</v>
      </c>
      <c r="H165" s="62">
        <f>E165*G165*24</f>
        <v>102060</v>
      </c>
      <c r="I165" s="61">
        <v>52</v>
      </c>
      <c r="J165" s="62">
        <f>E165*I165*24</f>
        <v>65520</v>
      </c>
      <c r="K165" s="63">
        <f>1-(J165/H165)</f>
        <v>0.35802469135802473</v>
      </c>
      <c r="L165" s="48" t="s">
        <v>195</v>
      </c>
      <c r="M165" s="4" t="s">
        <v>144</v>
      </c>
    </row>
    <row r="166" spans="1:13" ht="12.75" thickBot="1" x14ac:dyDescent="0.25">
      <c r="A166" s="4" t="s">
        <v>1</v>
      </c>
      <c r="B166" s="4" t="s">
        <v>138</v>
      </c>
      <c r="D166" s="71" t="s">
        <v>161</v>
      </c>
      <c r="E166" s="98">
        <v>50</v>
      </c>
      <c r="F166" s="4" t="s">
        <v>115</v>
      </c>
      <c r="G166" s="61">
        <v>81</v>
      </c>
      <c r="H166" s="66">
        <f>E166*G166*7</f>
        <v>28350</v>
      </c>
      <c r="I166" s="65">
        <v>52</v>
      </c>
      <c r="J166" s="66">
        <f>E166*I166*7</f>
        <v>18200</v>
      </c>
      <c r="K166" s="67">
        <f>1-(J166/H166)</f>
        <v>0.35802469135802473</v>
      </c>
      <c r="L166" s="48" t="s">
        <v>195</v>
      </c>
      <c r="M166" s="4" t="s">
        <v>144</v>
      </c>
    </row>
    <row r="167" spans="1:13" ht="12.75" thickTop="1" x14ac:dyDescent="0.2">
      <c r="G167" s="62"/>
      <c r="H167" s="62">
        <f>SUM(H164:H166)</f>
        <v>3540409.9999999995</v>
      </c>
      <c r="I167" s="62"/>
      <c r="J167" s="62">
        <f>SUM(J164:J166)</f>
        <v>2641220</v>
      </c>
      <c r="K167" s="63">
        <f>1-(J167/H167)</f>
        <v>0.25397905892255412</v>
      </c>
    </row>
    <row r="168" spans="1:13" ht="12.75" thickBot="1" x14ac:dyDescent="0.25">
      <c r="D168" s="71" t="s">
        <v>120</v>
      </c>
      <c r="E168" s="76">
        <v>0</v>
      </c>
      <c r="G168" s="62"/>
      <c r="H168" s="66">
        <f>-H167*E168</f>
        <v>0</v>
      </c>
      <c r="I168" s="62"/>
      <c r="J168" s="62"/>
      <c r="K168" s="63"/>
    </row>
    <row r="169" spans="1:13" ht="12.75" thickTop="1" x14ac:dyDescent="0.2">
      <c r="H169" s="68">
        <f>H167+H168</f>
        <v>3540409.9999999995</v>
      </c>
      <c r="I169" s="69"/>
      <c r="J169" s="68">
        <f>J167</f>
        <v>2641220</v>
      </c>
      <c r="K169" s="70">
        <f>1-(J169/H169)</f>
        <v>0.25397905892255412</v>
      </c>
    </row>
    <row r="170" spans="1:13" x14ac:dyDescent="0.2">
      <c r="A170" s="78"/>
      <c r="B170" s="78" t="s">
        <v>8</v>
      </c>
      <c r="C170" s="79"/>
      <c r="D170" s="80"/>
      <c r="E170" s="97"/>
      <c r="F170" s="79"/>
      <c r="G170" s="79"/>
      <c r="H170" s="79"/>
      <c r="I170" s="79"/>
      <c r="J170" s="79"/>
      <c r="K170" s="79"/>
      <c r="L170" s="97"/>
    </row>
    <row r="171" spans="1:13" x14ac:dyDescent="0.2">
      <c r="B171" s="60" t="s">
        <v>128</v>
      </c>
      <c r="C171" s="60" t="s">
        <v>106</v>
      </c>
      <c r="D171" s="73" t="s">
        <v>68</v>
      </c>
      <c r="E171" s="2" t="s">
        <v>69</v>
      </c>
      <c r="F171" s="60" t="s">
        <v>107</v>
      </c>
      <c r="G171" s="60" t="s">
        <v>108</v>
      </c>
      <c r="H171" s="60" t="s">
        <v>109</v>
      </c>
      <c r="I171" s="60" t="s">
        <v>110</v>
      </c>
      <c r="J171" s="60" t="s">
        <v>111</v>
      </c>
      <c r="K171" s="60" t="s">
        <v>13</v>
      </c>
    </row>
    <row r="172" spans="1:13" x14ac:dyDescent="0.2">
      <c r="A172" s="4" t="s">
        <v>1</v>
      </c>
      <c r="D172" s="71" t="s">
        <v>15</v>
      </c>
      <c r="E172" s="98">
        <f>ROUNDUP(C19*$C$7,0)</f>
        <v>4</v>
      </c>
      <c r="F172" s="4" t="s">
        <v>115</v>
      </c>
      <c r="G172" s="62">
        <f>I172/0.75</f>
        <v>173.68421052631581</v>
      </c>
      <c r="H172" s="62">
        <v>0</v>
      </c>
      <c r="I172" s="62">
        <f>10%*C20</f>
        <v>130.26315789473685</v>
      </c>
      <c r="J172" s="62">
        <f>E172*I172*24</f>
        <v>12505.263157894737</v>
      </c>
      <c r="K172" s="63" t="e">
        <f>1-(J172/H172)</f>
        <v>#DIV/0!</v>
      </c>
      <c r="L172" s="48" t="s">
        <v>196</v>
      </c>
    </row>
    <row r="173" spans="1:13" ht="12.75" thickBot="1" x14ac:dyDescent="0.25">
      <c r="B173" s="64"/>
      <c r="D173" s="136" t="s">
        <v>225</v>
      </c>
      <c r="E173" s="98">
        <v>1</v>
      </c>
      <c r="G173" s="65"/>
      <c r="H173" s="66"/>
      <c r="I173" s="66">
        <v>100000</v>
      </c>
      <c r="J173" s="66">
        <v>100000</v>
      </c>
      <c r="K173" s="67"/>
    </row>
    <row r="174" spans="1:13" ht="12.75" thickTop="1" x14ac:dyDescent="0.2">
      <c r="G174" s="62"/>
      <c r="H174" s="62">
        <f>SUM(H172:H173)</f>
        <v>0</v>
      </c>
      <c r="I174" s="62"/>
      <c r="J174" s="62">
        <f>SUM(J172:J173)</f>
        <v>112505.26315789473</v>
      </c>
      <c r="K174" s="63" t="e">
        <f>1-(J174/H174)</f>
        <v>#DIV/0!</v>
      </c>
    </row>
    <row r="175" spans="1:13" ht="12.75" thickBot="1" x14ac:dyDescent="0.25">
      <c r="D175" s="71" t="s">
        <v>120</v>
      </c>
      <c r="E175" s="76">
        <v>0</v>
      </c>
      <c r="G175" s="62"/>
      <c r="H175" s="66">
        <f>-H174*E175</f>
        <v>0</v>
      </c>
      <c r="I175" s="62"/>
      <c r="J175" s="62"/>
      <c r="K175" s="63"/>
    </row>
    <row r="176" spans="1:13" ht="12.75" thickTop="1" x14ac:dyDescent="0.2">
      <c r="H176" s="68">
        <f>H174+H175</f>
        <v>0</v>
      </c>
      <c r="I176" s="69"/>
      <c r="J176" s="68">
        <f>J174</f>
        <v>112505.26315789473</v>
      </c>
      <c r="K176" s="70" t="e">
        <f>1-(J176/H176)</f>
        <v>#DIV/0!</v>
      </c>
    </row>
    <row r="178" spans="4:17" ht="15.75" thickBot="1" x14ac:dyDescent="0.3">
      <c r="H178" s="1" t="s">
        <v>4</v>
      </c>
      <c r="J178" s="106" t="s">
        <v>19</v>
      </c>
      <c r="K178" s="108" t="s">
        <v>13</v>
      </c>
    </row>
    <row r="179" spans="4:17" ht="15.75" thickBot="1" x14ac:dyDescent="0.3">
      <c r="D179" s="81" t="s">
        <v>142</v>
      </c>
      <c r="E179" s="99"/>
      <c r="F179" s="82"/>
      <c r="G179" s="82"/>
      <c r="H179" s="105" t="e">
        <f>H36+H49+H56+H64+H72+H79+H95+H124+H137+H148+H160+H169+H176+H111</f>
        <v>#REF!</v>
      </c>
      <c r="I179" s="82"/>
      <c r="J179" s="105" t="e">
        <f>J36+J49+J56+J64+J72+J79+J95+J124+J137+J148+J160+J169+J176+J111</f>
        <v>#REF!</v>
      </c>
      <c r="K179" s="107" t="e">
        <f>1-(J179/H179)</f>
        <v>#REF!</v>
      </c>
    </row>
    <row r="180" spans="4:17" ht="15.75" thickBot="1" x14ac:dyDescent="0.3">
      <c r="D180" s="49"/>
      <c r="E180" s="104"/>
      <c r="F180" s="49"/>
      <c r="G180" s="49"/>
      <c r="H180" s="83"/>
      <c r="I180" s="49"/>
      <c r="J180" s="85"/>
      <c r="K180" s="86"/>
    </row>
    <row r="181" spans="4:17" ht="15.75" thickBot="1" x14ac:dyDescent="0.3">
      <c r="D181" s="81" t="s">
        <v>143</v>
      </c>
      <c r="E181" s="100">
        <v>0</v>
      </c>
      <c r="F181" s="82"/>
      <c r="G181" s="82"/>
      <c r="H181" s="87" t="e">
        <f>-E181*H179</f>
        <v>#REF!</v>
      </c>
      <c r="I181" s="82"/>
      <c r="J181" s="83">
        <v>0</v>
      </c>
      <c r="K181" s="84"/>
    </row>
    <row r="182" spans="4:17" ht="15.75" thickBot="1" x14ac:dyDescent="0.3">
      <c r="D182"/>
      <c r="E182" s="101"/>
      <c r="F182"/>
      <c r="G182"/>
      <c r="H182"/>
      <c r="I182"/>
      <c r="J182"/>
      <c r="K182"/>
    </row>
    <row r="183" spans="4:17" ht="15.75" thickBot="1" x14ac:dyDescent="0.3">
      <c r="D183" s="88" t="s">
        <v>153</v>
      </c>
      <c r="E183" s="102"/>
      <c r="F183" s="89"/>
      <c r="G183" s="89"/>
      <c r="H183" s="90" t="e">
        <f>H179+H181</f>
        <v>#REF!</v>
      </c>
      <c r="I183" s="89"/>
      <c r="J183" s="90" t="e">
        <f>J179+J180</f>
        <v>#REF!</v>
      </c>
      <c r="K183" s="91" t="e">
        <f>1-(J183/H183)</f>
        <v>#REF!</v>
      </c>
    </row>
    <row r="184" spans="4:17" ht="15.75" thickBot="1" x14ac:dyDescent="0.3">
      <c r="D184"/>
      <c r="E184" s="101"/>
      <c r="F184"/>
      <c r="G184"/>
      <c r="H184"/>
      <c r="I184"/>
      <c r="J184"/>
      <c r="K184"/>
    </row>
    <row r="185" spans="4:17" ht="15.75" thickBot="1" x14ac:dyDescent="0.3">
      <c r="D185" s="92" t="s">
        <v>170</v>
      </c>
      <c r="E185" s="103"/>
      <c r="F185" s="93"/>
      <c r="G185" s="93"/>
      <c r="H185" s="94" t="e">
        <f>H183/C7/C18</f>
        <v>#REF!</v>
      </c>
      <c r="I185" s="93"/>
      <c r="J185" s="94" t="e">
        <f>J183/C7/C18</f>
        <v>#REF!</v>
      </c>
      <c r="K185" s="95" t="e">
        <f>1-(J185/H185)</f>
        <v>#REF!</v>
      </c>
      <c r="N185" s="118" t="s">
        <v>19</v>
      </c>
      <c r="O185" s="118" t="s">
        <v>4</v>
      </c>
      <c r="P185" s="118" t="s">
        <v>197</v>
      </c>
      <c r="Q185" s="118" t="s">
        <v>4</v>
      </c>
    </row>
    <row r="186" spans="4:17" ht="15" customHeight="1" thickBot="1" x14ac:dyDescent="0.3">
      <c r="D186"/>
      <c r="E186" s="101"/>
      <c r="F186"/>
      <c r="G186"/>
      <c r="H186"/>
      <c r="I186"/>
      <c r="J186"/>
      <c r="K186"/>
      <c r="M186" s="119" t="s">
        <v>195</v>
      </c>
      <c r="N186" s="120" t="e">
        <f>N187+N189+N190+N188</f>
        <v>#REF!</v>
      </c>
      <c r="O186" s="120" t="e">
        <f>O187+O189+O190+O188</f>
        <v>#REF!</v>
      </c>
      <c r="P186" s="121" t="e">
        <f>1-(N186/O186)</f>
        <v>#REF!</v>
      </c>
      <c r="Q186" s="496" t="e">
        <f>O186/O195</f>
        <v>#REF!</v>
      </c>
    </row>
    <row r="187" spans="4:17" ht="12.75" thickTop="1" x14ac:dyDescent="0.2">
      <c r="M187" s="122" t="s">
        <v>198</v>
      </c>
      <c r="N187" s="123" t="e">
        <f>SUMIFS(J26:J176,A26:A176,"CAPEX",L26:L176,"HNS",M26:M176,"VSAT")</f>
        <v>#REF!</v>
      </c>
      <c r="O187" s="123" t="e">
        <f>SUMIFS(H26:H176,A26:A176,"CAPEX",L26:L176,"HNS",M26:M176,"VSAT")-(SUMIFS(H26:H176,A26:A176,"CAPEX",L26:L176,"HNS",M26:M176,"VSAT"))*E181</f>
        <v>#REF!</v>
      </c>
      <c r="P187" s="124" t="e">
        <f>1-(N187/O187)</f>
        <v>#REF!</v>
      </c>
      <c r="Q187" s="496"/>
    </row>
    <row r="188" spans="4:17" x14ac:dyDescent="0.2">
      <c r="M188" s="122" t="s">
        <v>199</v>
      </c>
      <c r="N188" s="123" t="e">
        <f>SUMIFS(J26:J176,A26:A176,"CAPEX",L26:L176,"HNS",M26:M176,"GW-INFRA")</f>
        <v>#REF!</v>
      </c>
      <c r="O188" s="123" t="e">
        <f>SUMIFS(H26:H176,A26:A176,"CAPEX",L26:L176,"HNS",M26:M176,"GW-INFRA")-(SUMIFS(H26:H176,A26:A176,"CAPEX",L26:L176,"HNS",M26:M176,"GW-INFRA"))*E181</f>
        <v>#REF!</v>
      </c>
      <c r="P188" s="124" t="e">
        <f>1-(N188/O188)</f>
        <v>#REF!</v>
      </c>
      <c r="Q188" s="496"/>
    </row>
    <row r="189" spans="4:17" x14ac:dyDescent="0.2">
      <c r="M189" s="122" t="s">
        <v>200</v>
      </c>
      <c r="N189" s="123" t="e">
        <f>SUMIFS(J26:J176,A26:A176,"OPEX",L26:L176,"HNS",M26:M176,"")</f>
        <v>#REF!</v>
      </c>
      <c r="O189" s="123" t="e">
        <f>SUMIFS(H26:H176,A26:A176,"OPEX",L26:L176,"HNS",M26:M176,"")-(SUMIFS(H26:H176,A26:A176,"OPEX",L26:L176,"HNS",M26:M176,""))*E181</f>
        <v>#REF!</v>
      </c>
      <c r="P189" s="124" t="e">
        <f t="shared" ref="P189:P193" si="28">1-(N189/O189)</f>
        <v>#REF!</v>
      </c>
      <c r="Q189" s="496"/>
    </row>
    <row r="190" spans="4:17" x14ac:dyDescent="0.2">
      <c r="M190" s="122" t="s">
        <v>205</v>
      </c>
      <c r="N190" s="123">
        <f>SUMIFS(J26:J176,A26:A176,"OPEX",L26:L176,"HNS",M26:M176,"T19V")</f>
        <v>2641220</v>
      </c>
      <c r="O190" s="123">
        <f>SUMIFS(H26:H176,A26:A176,"OPEX",L26:L176,"HNS",M26:M176,"T19V")-(SUMIFS(H26:H176,A26:A176,"OPEX",L26:L176,"HNS",M26:M176,"T19V"))*E181</f>
        <v>3540409.9999999995</v>
      </c>
      <c r="P190" s="124">
        <f t="shared" si="28"/>
        <v>0.25397905892255412</v>
      </c>
      <c r="Q190" s="496"/>
    </row>
    <row r="191" spans="4:17" ht="12.75" thickBot="1" x14ac:dyDescent="0.25">
      <c r="M191" s="125" t="s">
        <v>196</v>
      </c>
      <c r="N191" s="126" t="e">
        <f>N192+N193+N194</f>
        <v>#REF!</v>
      </c>
      <c r="O191" s="126" t="e">
        <f>O192+O193+O194</f>
        <v>#REF!</v>
      </c>
      <c r="P191" s="127" t="e">
        <f t="shared" si="28"/>
        <v>#REF!</v>
      </c>
      <c r="Q191" s="497" t="e">
        <f>O191/O195</f>
        <v>#REF!</v>
      </c>
    </row>
    <row r="192" spans="4:17" ht="12.75" thickTop="1" x14ac:dyDescent="0.2">
      <c r="M192" s="128" t="s">
        <v>201</v>
      </c>
      <c r="N192" s="129" t="e">
        <f>SUMIFS(J26:J176,A26:A176,"CAPEX",L26:L176,"HDP",M26:M176,"")</f>
        <v>#REF!</v>
      </c>
      <c r="O192" s="129" t="e">
        <f>SUMIFS(H26:H176,A26:A176,"CAPEX",L26:L176,"HDP",M26:M176,"")-(SUMIFS(H26:H176,A26:A176,"CAPEX",L26:L176,"HDP",M26:M176,""))*E181</f>
        <v>#REF!</v>
      </c>
      <c r="P192" s="130" t="e">
        <f t="shared" si="28"/>
        <v>#REF!</v>
      </c>
      <c r="Q192" s="497"/>
    </row>
    <row r="193" spans="4:17" x14ac:dyDescent="0.2">
      <c r="M193" s="128" t="s">
        <v>202</v>
      </c>
      <c r="N193" s="129" t="e">
        <f>SUMIFS(J26:J176,A26:A176,"OPEX",L26:L176,"HDP",M26:M176,"")</f>
        <v>#REF!</v>
      </c>
      <c r="O193" s="129" t="e">
        <f>SUMIFS(H26:H176,A26:A176,"OPEX",L26:L176,"HDP",M26:M176,"")-(SUMIFS(H26:H176,A26:A176,"OPEX",L26:L176,"HDP",M26:M176,""))*E181</f>
        <v>#REF!</v>
      </c>
      <c r="P193" s="130" t="e">
        <f t="shared" si="28"/>
        <v>#REF!</v>
      </c>
      <c r="Q193" s="497"/>
    </row>
    <row r="194" spans="4:17" x14ac:dyDescent="0.2">
      <c r="M194" s="128"/>
      <c r="N194" s="129">
        <f>SUMIFS(J26:J176,A26:A176,"OPEX",L26:L176,"HDP",M26:M176,"SES-17")</f>
        <v>0</v>
      </c>
      <c r="O194" s="129">
        <f>SUMIFS(H47:H175,A47:A175,"OPEX",L47:L175,"HDP",P47:P175,"SES-17")-(SUMIFS(H47:H175,A47:A175,"OPEX",L47:L175,"HDP",P47:P175,"SES-17"))*E181</f>
        <v>0</v>
      </c>
      <c r="P194" s="130"/>
      <c r="Q194" s="497"/>
    </row>
    <row r="195" spans="4:17" ht="18.75" x14ac:dyDescent="0.3">
      <c r="D195" s="498" t="s">
        <v>76</v>
      </c>
      <c r="E195" s="498"/>
      <c r="F195" s="498" t="s">
        <v>74</v>
      </c>
      <c r="G195" s="498" t="s">
        <v>73</v>
      </c>
      <c r="H195" s="498" t="s">
        <v>3</v>
      </c>
      <c r="I195" s="500" t="s">
        <v>77</v>
      </c>
      <c r="J195" s="498" t="s">
        <v>78</v>
      </c>
      <c r="K195" s="500" t="s">
        <v>79</v>
      </c>
      <c r="M195" s="131"/>
      <c r="N195" s="132" t="e">
        <f>N186+N191</f>
        <v>#REF!</v>
      </c>
      <c r="O195" s="132" t="e">
        <f>O186+O191</f>
        <v>#REF!</v>
      </c>
      <c r="P195" s="133" t="e">
        <f>1-(N195/O195)</f>
        <v>#REF!</v>
      </c>
    </row>
    <row r="196" spans="4:17" ht="26.85" customHeight="1" x14ac:dyDescent="0.2">
      <c r="D196" s="499"/>
      <c r="E196" s="499"/>
      <c r="F196" s="499"/>
      <c r="G196" s="499"/>
      <c r="H196" s="499"/>
      <c r="I196" s="501"/>
      <c r="J196" s="499"/>
      <c r="K196" s="501"/>
    </row>
    <row r="197" spans="4:17" ht="21" x14ac:dyDescent="0.25">
      <c r="D197" s="42"/>
      <c r="E197" s="42"/>
      <c r="F197" s="42"/>
      <c r="G197" s="42"/>
      <c r="H197" s="42"/>
      <c r="I197" s="43"/>
      <c r="J197" s="43"/>
      <c r="K197" s="43"/>
    </row>
    <row r="198" spans="4:17" ht="23.25" x14ac:dyDescent="0.35">
      <c r="D198" s="494" t="s">
        <v>80</v>
      </c>
      <c r="E198" s="494"/>
      <c r="F198" s="494"/>
      <c r="G198" s="494"/>
      <c r="H198" s="494"/>
      <c r="I198" s="43"/>
      <c r="J198" s="43"/>
      <c r="K198" s="43"/>
      <c r="N198" s="77" t="e">
        <f>J179-N195</f>
        <v>#REF!</v>
      </c>
    </row>
    <row r="199" spans="4:17" x14ac:dyDescent="0.2">
      <c r="D199" s="493" t="s">
        <v>166</v>
      </c>
      <c r="E199" s="493"/>
      <c r="F199" s="489">
        <f>H36+H49-(H36+H49)*E181</f>
        <v>141388.51428571431</v>
      </c>
      <c r="G199" s="489">
        <f>J36+J49</f>
        <v>98971.959999999992</v>
      </c>
      <c r="H199" s="491">
        <f>1-(G199/F199)</f>
        <v>0.30000000000000016</v>
      </c>
      <c r="I199" s="491" t="e">
        <f>G199/$G$218</f>
        <v>#REF!</v>
      </c>
      <c r="J199" s="480">
        <f>G199/$C$7/$C$18</f>
        <v>11.391800184162063</v>
      </c>
      <c r="K199" s="480">
        <f>F199/$C$7/$C$18</f>
        <v>16.274000263088663</v>
      </c>
    </row>
    <row r="200" spans="4:17" x14ac:dyDescent="0.2">
      <c r="D200" s="493"/>
      <c r="E200" s="493"/>
      <c r="F200" s="490"/>
      <c r="G200" s="490"/>
      <c r="H200" s="492"/>
      <c r="I200" s="492"/>
      <c r="J200" s="481"/>
      <c r="K200" s="481"/>
    </row>
    <row r="201" spans="4:17" x14ac:dyDescent="0.2">
      <c r="D201" s="493" t="s">
        <v>81</v>
      </c>
      <c r="E201" s="493"/>
      <c r="F201" s="489">
        <f>H169-H169*E181</f>
        <v>3540409.9999999995</v>
      </c>
      <c r="G201" s="489">
        <f>J169</f>
        <v>2641220</v>
      </c>
      <c r="H201" s="491">
        <f>1-(G201/F201)</f>
        <v>0.25397905892255412</v>
      </c>
      <c r="I201" s="491" t="e">
        <f>G201/$G$218</f>
        <v>#REF!</v>
      </c>
      <c r="J201" s="480">
        <f>G201/$C$7/$C$18</f>
        <v>304.00782688766111</v>
      </c>
      <c r="K201" s="480">
        <f>F201/$C$7/$C$18</f>
        <v>407.50575506445665</v>
      </c>
    </row>
    <row r="202" spans="4:17" x14ac:dyDescent="0.2">
      <c r="D202" s="493"/>
      <c r="E202" s="493"/>
      <c r="F202" s="490"/>
      <c r="G202" s="490"/>
      <c r="H202" s="492"/>
      <c r="I202" s="492"/>
      <c r="J202" s="481"/>
      <c r="K202" s="481"/>
    </row>
    <row r="203" spans="4:17" x14ac:dyDescent="0.2">
      <c r="D203" s="493" t="s">
        <v>162</v>
      </c>
      <c r="E203" s="493"/>
      <c r="F203" s="489" t="e">
        <f>H160+H176-(H160+H176)*E181</f>
        <v>#REF!</v>
      </c>
      <c r="G203" s="489" t="e">
        <f>J160+J176</f>
        <v>#REF!</v>
      </c>
      <c r="H203" s="491" t="e">
        <f>1-(G203/F203)</f>
        <v>#REF!</v>
      </c>
      <c r="I203" s="491" t="e">
        <f>G203/$G$218</f>
        <v>#REF!</v>
      </c>
      <c r="J203" s="480" t="e">
        <f>G203/$C$7/$C$18</f>
        <v>#REF!</v>
      </c>
      <c r="K203" s="480" t="e">
        <f>F203/$C$7/$C$18</f>
        <v>#REF!</v>
      </c>
    </row>
    <row r="204" spans="4:17" x14ac:dyDescent="0.2">
      <c r="D204" s="493"/>
      <c r="E204" s="493"/>
      <c r="F204" s="490"/>
      <c r="G204" s="490"/>
      <c r="H204" s="492"/>
      <c r="I204" s="492"/>
      <c r="J204" s="481"/>
      <c r="K204" s="481"/>
    </row>
    <row r="205" spans="4:17" x14ac:dyDescent="0.2">
      <c r="D205" s="476" t="s">
        <v>163</v>
      </c>
      <c r="E205" s="476"/>
      <c r="F205" s="482" t="e">
        <f>SUM(F199:F204)</f>
        <v>#REF!</v>
      </c>
      <c r="G205" s="482" t="e">
        <f>SUM(G199:G204)</f>
        <v>#REF!</v>
      </c>
      <c r="H205" s="484" t="e">
        <f>1-(G205/F205)</f>
        <v>#REF!</v>
      </c>
      <c r="I205" s="484" t="e">
        <f>G205/$G$218</f>
        <v>#REF!</v>
      </c>
      <c r="J205" s="486" t="e">
        <f>G205/$C$7/$C$18</f>
        <v>#REF!</v>
      </c>
      <c r="K205" s="486" t="e">
        <f>F205/$C$7/$C$18</f>
        <v>#REF!</v>
      </c>
    </row>
    <row r="206" spans="4:17" x14ac:dyDescent="0.2">
      <c r="D206" s="476"/>
      <c r="E206" s="476"/>
      <c r="F206" s="483"/>
      <c r="G206" s="483"/>
      <c r="H206" s="485"/>
      <c r="I206" s="485"/>
      <c r="J206" s="487"/>
      <c r="K206" s="487"/>
    </row>
    <row r="207" spans="4:17" x14ac:dyDescent="0.2">
      <c r="D207" s="4"/>
      <c r="E207" s="4"/>
    </row>
    <row r="208" spans="4:17" x14ac:dyDescent="0.2">
      <c r="D208" s="4"/>
      <c r="E208" s="4"/>
    </row>
    <row r="209" spans="4:11" x14ac:dyDescent="0.2">
      <c r="D209" s="493" t="s">
        <v>84</v>
      </c>
      <c r="E209" s="493"/>
      <c r="F209" s="489" t="e">
        <f>H64+H72+H79+H95+H111+H148-(H64+H72+H79+H95+H111+H148)*E181</f>
        <v>#REF!</v>
      </c>
      <c r="G209" s="489" t="e">
        <f>J64+J72+J79+J95+J111+J148</f>
        <v>#REF!</v>
      </c>
      <c r="H209" s="491" t="e">
        <f>1-(G209/F209)</f>
        <v>#REF!</v>
      </c>
      <c r="I209" s="491" t="e">
        <f>G209/$G$218</f>
        <v>#REF!</v>
      </c>
      <c r="J209" s="480" t="e">
        <f>G209/$C$7/$C$18</f>
        <v>#REF!</v>
      </c>
      <c r="K209" s="480" t="e">
        <f>F209/$C$7/$C$18</f>
        <v>#REF!</v>
      </c>
    </row>
    <row r="210" spans="4:11" x14ac:dyDescent="0.2">
      <c r="D210" s="493"/>
      <c r="E210" s="493"/>
      <c r="F210" s="490"/>
      <c r="G210" s="490"/>
      <c r="H210" s="492"/>
      <c r="I210" s="492"/>
      <c r="J210" s="481"/>
      <c r="K210" s="481"/>
    </row>
    <row r="211" spans="4:11" x14ac:dyDescent="0.2">
      <c r="D211" s="493" t="s">
        <v>86</v>
      </c>
      <c r="E211" s="493"/>
      <c r="F211" s="489" t="e">
        <f>H124+H137-(H124+H137)*E181</f>
        <v>#REF!</v>
      </c>
      <c r="G211" s="489" t="e">
        <f>J124+J137</f>
        <v>#REF!</v>
      </c>
      <c r="H211" s="491" t="e">
        <f>1-(G211/F211)</f>
        <v>#REF!</v>
      </c>
      <c r="I211" s="491" t="e">
        <f>G211/$G$218</f>
        <v>#REF!</v>
      </c>
      <c r="J211" s="480" t="e">
        <f>G211/$C$7/$C$18</f>
        <v>#REF!</v>
      </c>
      <c r="K211" s="480" t="e">
        <f>F211/$C$7/$C$18</f>
        <v>#REF!</v>
      </c>
    </row>
    <row r="212" spans="4:11" x14ac:dyDescent="0.2">
      <c r="D212" s="493"/>
      <c r="E212" s="493"/>
      <c r="F212" s="490"/>
      <c r="G212" s="490"/>
      <c r="H212" s="492"/>
      <c r="I212" s="492"/>
      <c r="J212" s="481"/>
      <c r="K212" s="481"/>
    </row>
    <row r="213" spans="4:11" x14ac:dyDescent="0.2">
      <c r="D213" s="488" t="s">
        <v>164</v>
      </c>
      <c r="E213" s="488"/>
      <c r="F213" s="489" t="e">
        <f>H56-H56*E181</f>
        <v>#REF!</v>
      </c>
      <c r="G213" s="489" t="e">
        <f>J56</f>
        <v>#REF!</v>
      </c>
      <c r="H213" s="491" t="e">
        <f>1-(G213/F213)</f>
        <v>#REF!</v>
      </c>
      <c r="I213" s="491" t="e">
        <f>G213/$G$218</f>
        <v>#REF!</v>
      </c>
      <c r="J213" s="480" t="e">
        <f>G213/$C$7/$C$18</f>
        <v>#REF!</v>
      </c>
      <c r="K213" s="480" t="e">
        <f>F213/$C$7/$C$18</f>
        <v>#REF!</v>
      </c>
    </row>
    <row r="214" spans="4:11" x14ac:dyDescent="0.2">
      <c r="D214" s="488"/>
      <c r="E214" s="488"/>
      <c r="F214" s="490"/>
      <c r="G214" s="490"/>
      <c r="H214" s="492"/>
      <c r="I214" s="492"/>
      <c r="J214" s="481"/>
      <c r="K214" s="481"/>
    </row>
    <row r="215" spans="4:11" x14ac:dyDescent="0.2">
      <c r="D215" s="476" t="s">
        <v>163</v>
      </c>
      <c r="E215" s="476"/>
      <c r="F215" s="482" t="e">
        <f>SUM(F209:F214)</f>
        <v>#REF!</v>
      </c>
      <c r="G215" s="482" t="e">
        <f>SUM(G209:G214)</f>
        <v>#REF!</v>
      </c>
      <c r="H215" s="484" t="e">
        <f>1-(G215/F215)</f>
        <v>#REF!</v>
      </c>
      <c r="I215" s="484" t="e">
        <f>G215/$G$218</f>
        <v>#REF!</v>
      </c>
      <c r="J215" s="486" t="e">
        <f>G215/$C$7/$C$18</f>
        <v>#REF!</v>
      </c>
      <c r="K215" s="486" t="e">
        <f>F215/$C$7/$C$18</f>
        <v>#REF!</v>
      </c>
    </row>
    <row r="216" spans="4:11" x14ac:dyDescent="0.2">
      <c r="D216" s="476"/>
      <c r="E216" s="476"/>
      <c r="F216" s="483"/>
      <c r="G216" s="483"/>
      <c r="H216" s="485"/>
      <c r="I216" s="485"/>
      <c r="J216" s="487"/>
      <c r="K216" s="487"/>
    </row>
    <row r="217" spans="4:11" ht="15" x14ac:dyDescent="0.25">
      <c r="D217"/>
      <c r="E217"/>
      <c r="F217"/>
      <c r="G217"/>
      <c r="H217"/>
      <c r="I217"/>
      <c r="J217"/>
      <c r="K217"/>
    </row>
    <row r="218" spans="4:11" ht="21" x14ac:dyDescent="0.35">
      <c r="D218" s="479" t="s">
        <v>167</v>
      </c>
      <c r="E218" s="479"/>
      <c r="F218" s="44" t="e">
        <f>F205+F215</f>
        <v>#REF!</v>
      </c>
      <c r="G218" s="44" t="e">
        <f>G205+G215</f>
        <v>#REF!</v>
      </c>
      <c r="H218" s="45" t="e">
        <f>1-(G218/F218)</f>
        <v>#REF!</v>
      </c>
      <c r="I218" s="45" t="e">
        <f>I205+I215</f>
        <v>#REF!</v>
      </c>
      <c r="J218" s="46" t="e">
        <f>J205+J215</f>
        <v>#REF!</v>
      </c>
      <c r="K218" s="46" t="e">
        <f>K205+K215</f>
        <v>#REF!</v>
      </c>
    </row>
    <row r="219" spans="4:11" ht="15" x14ac:dyDescent="0.25">
      <c r="D219" s="476" t="s">
        <v>82</v>
      </c>
      <c r="E219" s="476"/>
      <c r="F219" s="477">
        <f>E164+E165</f>
        <v>905</v>
      </c>
      <c r="G219" s="477" t="s">
        <v>71</v>
      </c>
      <c r="H219"/>
      <c r="I219"/>
      <c r="J219"/>
      <c r="K219"/>
    </row>
    <row r="220" spans="4:11" ht="15" x14ac:dyDescent="0.25">
      <c r="D220" s="476"/>
      <c r="E220" s="476"/>
      <c r="F220" s="478"/>
      <c r="G220" s="478"/>
      <c r="H220"/>
      <c r="I220"/>
      <c r="J220"/>
      <c r="K220"/>
    </row>
    <row r="221" spans="4:11" ht="15" x14ac:dyDescent="0.25">
      <c r="D221" s="476" t="s">
        <v>83</v>
      </c>
      <c r="E221" s="476"/>
      <c r="F221" s="477">
        <f>C7</f>
        <v>362</v>
      </c>
      <c r="G221" s="477" t="s">
        <v>2</v>
      </c>
      <c r="H221"/>
      <c r="I221"/>
      <c r="J221"/>
      <c r="K221" s="47"/>
    </row>
    <row r="222" spans="4:11" ht="15" x14ac:dyDescent="0.25">
      <c r="D222" s="476"/>
      <c r="E222" s="476"/>
      <c r="F222" s="478"/>
      <c r="G222" s="478"/>
      <c r="H222"/>
      <c r="I222"/>
      <c r="J222"/>
      <c r="K222"/>
    </row>
    <row r="223" spans="4:11" ht="15" x14ac:dyDescent="0.25">
      <c r="D223" s="476" t="s">
        <v>85</v>
      </c>
      <c r="E223" s="476"/>
      <c r="F223" s="477">
        <f>C18</f>
        <v>24</v>
      </c>
      <c r="G223" s="477" t="s">
        <v>165</v>
      </c>
      <c r="H223"/>
      <c r="I223"/>
      <c r="J223"/>
      <c r="K223"/>
    </row>
    <row r="224" spans="4:11" x14ac:dyDescent="0.2">
      <c r="D224" s="476"/>
      <c r="E224" s="476"/>
      <c r="F224" s="478"/>
      <c r="G224" s="478"/>
      <c r="H224" s="5"/>
      <c r="I224" s="5"/>
      <c r="J224" s="5"/>
      <c r="K224" s="5"/>
    </row>
  </sheetData>
  <mergeCells count="83">
    <mergeCell ref="A113:L113"/>
    <mergeCell ref="A1:K1"/>
    <mergeCell ref="A4:A20"/>
    <mergeCell ref="B4:C4"/>
    <mergeCell ref="A22:L22"/>
    <mergeCell ref="A24:L24"/>
    <mergeCell ref="A149:L149"/>
    <mergeCell ref="Q186:Q190"/>
    <mergeCell ref="Q191:Q194"/>
    <mergeCell ref="D195:E196"/>
    <mergeCell ref="F195:F196"/>
    <mergeCell ref="G195:G196"/>
    <mergeCell ref="H195:H196"/>
    <mergeCell ref="I195:I196"/>
    <mergeCell ref="J195:J196"/>
    <mergeCell ref="K195:K196"/>
    <mergeCell ref="D198:H198"/>
    <mergeCell ref="D199:E200"/>
    <mergeCell ref="F199:F200"/>
    <mergeCell ref="G199:G200"/>
    <mergeCell ref="H199:H200"/>
    <mergeCell ref="J199:J200"/>
    <mergeCell ref="K199:K200"/>
    <mergeCell ref="D201:E202"/>
    <mergeCell ref="F201:F202"/>
    <mergeCell ref="G201:G202"/>
    <mergeCell ref="H201:H202"/>
    <mergeCell ref="I201:I202"/>
    <mergeCell ref="J201:J202"/>
    <mergeCell ref="K201:K202"/>
    <mergeCell ref="I199:I200"/>
    <mergeCell ref="K203:K204"/>
    <mergeCell ref="D205:E206"/>
    <mergeCell ref="F205:F206"/>
    <mergeCell ref="G205:G206"/>
    <mergeCell ref="H205:H206"/>
    <mergeCell ref="I205:I206"/>
    <mergeCell ref="J205:J206"/>
    <mergeCell ref="K205:K206"/>
    <mergeCell ref="D203:E204"/>
    <mergeCell ref="F203:F204"/>
    <mergeCell ref="G203:G204"/>
    <mergeCell ref="H203:H204"/>
    <mergeCell ref="I203:I204"/>
    <mergeCell ref="J203:J204"/>
    <mergeCell ref="K209:K210"/>
    <mergeCell ref="D211:E212"/>
    <mergeCell ref="F211:F212"/>
    <mergeCell ref="G211:G212"/>
    <mergeCell ref="H211:H212"/>
    <mergeCell ref="I211:I212"/>
    <mergeCell ref="J211:J212"/>
    <mergeCell ref="K211:K212"/>
    <mergeCell ref="D209:E210"/>
    <mergeCell ref="F209:F210"/>
    <mergeCell ref="G209:G210"/>
    <mergeCell ref="H209:H210"/>
    <mergeCell ref="I209:I210"/>
    <mergeCell ref="J209:J210"/>
    <mergeCell ref="K213:K214"/>
    <mergeCell ref="D215:E216"/>
    <mergeCell ref="F215:F216"/>
    <mergeCell ref="G215:G216"/>
    <mergeCell ref="H215:H216"/>
    <mergeCell ref="I215:I216"/>
    <mergeCell ref="J215:J216"/>
    <mergeCell ref="K215:K216"/>
    <mergeCell ref="D213:E214"/>
    <mergeCell ref="F213:F214"/>
    <mergeCell ref="G213:G214"/>
    <mergeCell ref="H213:H214"/>
    <mergeCell ref="I213:I214"/>
    <mergeCell ref="J213:J214"/>
    <mergeCell ref="D223:E224"/>
    <mergeCell ref="F223:F224"/>
    <mergeCell ref="G223:G224"/>
    <mergeCell ref="D218:E218"/>
    <mergeCell ref="D219:E220"/>
    <mergeCell ref="F219:F220"/>
    <mergeCell ref="G219:G220"/>
    <mergeCell ref="D221:E222"/>
    <mergeCell ref="F221:F222"/>
    <mergeCell ref="G221:G222"/>
  </mergeCells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Props1.xml><?xml version="1.0" encoding="utf-8"?>
<ds:datastoreItem xmlns:ds="http://schemas.openxmlformats.org/officeDocument/2006/customXml" ds:itemID="{175629A0-789F-49D3-8B04-1ACB96DB6D11}">
  <ds:schemaRefs/>
</ds:datastoreItem>
</file>

<file path=customXml/itemProps2.xml><?xml version="1.0" encoding="utf-8"?>
<ds:datastoreItem xmlns:ds="http://schemas.openxmlformats.org/officeDocument/2006/customXml" ds:itemID="{DF192AA1-7927-4EF4-827F-286DF75CA5F5}">
  <ds:schemaRefs/>
</ds:datastoreItem>
</file>

<file path=customXml/itemProps3.xml><?xml version="1.0" encoding="utf-8"?>
<ds:datastoreItem xmlns:ds="http://schemas.openxmlformats.org/officeDocument/2006/customXml" ds:itemID="{FD4A4533-F440-4D0B-BCFA-820EFD35435A}">
  <ds:schemaRefs/>
</ds:datastoreItem>
</file>

<file path=customXml/itemProps4.xml><?xml version="1.0" encoding="utf-8"?>
<ds:datastoreItem xmlns:ds="http://schemas.openxmlformats.org/officeDocument/2006/customXml" ds:itemID="{1D259002-2AC0-4DBD-A4E0-1E7701504FA9}">
  <ds:schemaRefs/>
</ds:datastoreItem>
</file>

<file path=customXml/itemProps5.xml><?xml version="1.0" encoding="utf-8"?>
<ds:datastoreItem xmlns:ds="http://schemas.openxmlformats.org/officeDocument/2006/customXml" ds:itemID="{5AAA03D9-9294-4846-9C9F-7585BED814C6}">
  <ds:schemaRefs/>
</ds:datastoreItem>
</file>

<file path=customXml/itemProps6.xml><?xml version="1.0" encoding="utf-8"?>
<ds:datastoreItem xmlns:ds="http://schemas.openxmlformats.org/officeDocument/2006/customXml" ds:itemID="{2346309B-135A-4B32-9008-05690003930E}">
  <ds:schemaRefs/>
</ds:datastoreItem>
</file>

<file path=customXml/itemProps7.xml><?xml version="1.0" encoding="utf-8"?>
<ds:datastoreItem xmlns:ds="http://schemas.openxmlformats.org/officeDocument/2006/customXml" ds:itemID="{3576AA77-59A4-4E44-8F31-9E6A83DFA1D6}">
  <ds:schemaRefs/>
</ds:datastoreItem>
</file>

<file path=customXml/itemProps8.xml><?xml version="1.0" encoding="utf-8"?>
<ds:datastoreItem xmlns:ds="http://schemas.openxmlformats.org/officeDocument/2006/customXml" ds:itemID="{8D11A897-E61C-49D4-BF8A-3CEBB0830B90}">
  <ds:schemaRefs/>
</ds:datastoreItem>
</file>

<file path=customXml/itemProps9.xml><?xml version="1.0" encoding="utf-8"?>
<ds:datastoreItem xmlns:ds="http://schemas.openxmlformats.org/officeDocument/2006/customXml" ds:itemID="{7579400C-4346-4D27-9A64-BC982823294E}">
  <ds:schemaRefs/>
</ds:datastoreItem>
</file>

<file path=customXml/itemProps10.xml><?xml version="1.0" encoding="utf-8"?>
<ds:datastoreItem xmlns:ds="http://schemas.openxmlformats.org/officeDocument/2006/customXml" ds:itemID="{E4165BA7-E500-4B86-AFF0-17790296AA06}">
  <ds:schemaRefs/>
</ds:datastoreItem>
</file>

<file path=customXml/itemProps11.xml><?xml version="1.0" encoding="utf-8"?>
<ds:datastoreItem xmlns:ds="http://schemas.openxmlformats.org/officeDocument/2006/customXml" ds:itemID="{DACC48A6-C215-4CEF-A7E1-39DBDC783237}">
  <ds:schemaRefs/>
</ds:datastoreItem>
</file>

<file path=customXml/itemProps12.xml><?xml version="1.0" encoding="utf-8"?>
<ds:datastoreItem xmlns:ds="http://schemas.openxmlformats.org/officeDocument/2006/customXml" ds:itemID="{C6DAFE99-5876-4910-82FC-A29BE98B9CCE}">
  <ds:schemaRefs/>
</ds:datastoreItem>
</file>

<file path=customXml/itemProps13.xml><?xml version="1.0" encoding="utf-8"?>
<ds:datastoreItem xmlns:ds="http://schemas.openxmlformats.org/officeDocument/2006/customXml" ds:itemID="{E1C117BD-CC39-4C2E-B165-56EE5D7253CA}">
  <ds:schemaRefs/>
</ds:datastoreItem>
</file>

<file path=customXml/itemProps14.xml><?xml version="1.0" encoding="utf-8"?>
<ds:datastoreItem xmlns:ds="http://schemas.openxmlformats.org/officeDocument/2006/customXml" ds:itemID="{A7F7E989-6337-43AF-9EFB-C2E2F4AAC736}">
  <ds:schemaRefs/>
</ds:datastoreItem>
</file>

<file path=customXml/itemProps15.xml><?xml version="1.0" encoding="utf-8"?>
<ds:datastoreItem xmlns:ds="http://schemas.openxmlformats.org/officeDocument/2006/customXml" ds:itemID="{2DA789E3-279C-4BD5-A1D2-0007B075E9D8}">
  <ds:schemaRefs/>
</ds:datastoreItem>
</file>

<file path=customXml/itemProps16.xml><?xml version="1.0" encoding="utf-8"?>
<ds:datastoreItem xmlns:ds="http://schemas.openxmlformats.org/officeDocument/2006/customXml" ds:itemID="{22085103-5AF8-45F7-A921-D3F69671830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16</vt:i4>
      </vt:variant>
      <vt:variant>
        <vt:lpstr>Rangos con nombre</vt:lpstr>
      </vt:variant>
      <vt:variant>
        <vt:i4>2</vt:i4>
      </vt:variant>
    </vt:vector>
  </HeadingPairs>
  <TitlesOfParts>
    <vt:vector size="18" baseType="lpstr">
      <vt:lpstr>VERSION CONTROL</vt:lpstr>
      <vt:lpstr>QTO</vt:lpstr>
      <vt:lpstr>QTO DB</vt:lpstr>
      <vt:lpstr>Margin Analysis</vt:lpstr>
      <vt:lpstr>Customer View</vt:lpstr>
      <vt:lpstr>Sites</vt:lpstr>
      <vt:lpstr>Sizing</vt:lpstr>
      <vt:lpstr>COGENT</vt:lpstr>
      <vt:lpstr>FIELD SERVICES</vt:lpstr>
      <vt:lpstr>ZONAS PERU</vt:lpstr>
      <vt:lpstr>Resumen</vt:lpstr>
      <vt:lpstr>QTO Unlimited Service Plans</vt:lpstr>
      <vt:lpstr>CashFlow-HUGHES PRIME</vt:lpstr>
      <vt:lpstr>QTO EPAD SELVA - ITEM 1</vt:lpstr>
      <vt:lpstr>QTO EPAD SELVA - ITEM 2</vt:lpstr>
      <vt:lpstr>QTO EPAD SELVA - ITEM 3</vt:lpstr>
      <vt:lpstr>'Customer View'!Área_de_impresión</vt:lpstr>
      <vt:lpstr>QTO_DB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Asto, Juan</dc:creator>
  <cp:lastModifiedBy>Gabriel</cp:lastModifiedBy>
  <cp:lastPrinted>2024-01-23T21:48:55Z</cp:lastPrinted>
  <dcterms:created xsi:type="dcterms:W3CDTF">2022-06-16T16:01:14Z</dcterms:created>
  <dcterms:modified xsi:type="dcterms:W3CDTF">2025-07-01T21:12:38Z</dcterms:modified>
</cp:coreProperties>
</file>