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Hot-Plate\03 - Studies\"/>
    </mc:Choice>
  </mc:AlternateContent>
  <xr:revisionPtr revIDLastSave="0" documentId="13_ncr:1_{C297A366-DD19-4609-9232-654150122365}" xr6:coauthVersionLast="47" xr6:coauthVersionMax="47" xr10:uidLastSave="{00000000-0000-0000-0000-000000000000}"/>
  <bookViews>
    <workbookView xWindow="-96" yWindow="-96" windowWidth="23232" windowHeight="12432" activeTab="1" xr2:uid="{7B3065F2-1A93-4ED0-9A99-1AA43747EE6D}"/>
  </bookViews>
  <sheets>
    <sheet name="MCP16301" sheetId="1" r:id="rId1"/>
    <sheet name="AP62300T" sheetId="2" r:id="rId2"/>
    <sheet name="NTC" sheetId="3" r:id="rId3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H15" i="3"/>
  <c r="H14" i="3"/>
  <c r="H12" i="3"/>
  <c r="N5" i="2"/>
  <c r="N6" i="2" s="1"/>
  <c r="N10" i="2" s="1"/>
  <c r="N9" i="2" s="1"/>
  <c r="E7" i="2"/>
  <c r="H16" i="3" l="1"/>
  <c r="H17" i="3" s="1"/>
  <c r="K6" i="2"/>
  <c r="K4" i="2"/>
  <c r="K3" i="2"/>
  <c r="H7" i="2"/>
  <c r="H5" i="2"/>
  <c r="T39" i="1"/>
  <c r="T38" i="1"/>
  <c r="H18" i="3" l="1"/>
  <c r="H19" i="3" s="1"/>
  <c r="K3" i="1"/>
  <c r="G23" i="1" s="1"/>
  <c r="H7" i="1"/>
  <c r="H5" i="1"/>
  <c r="D23" i="1" l="1"/>
  <c r="D25" i="1" l="1"/>
  <c r="D26" i="1"/>
</calcChain>
</file>

<file path=xl/sharedStrings.xml><?xml version="1.0" encoding="utf-8"?>
<sst xmlns="http://schemas.openxmlformats.org/spreadsheetml/2006/main" count="85" uniqueCount="59">
  <si>
    <t>VOUT</t>
  </si>
  <si>
    <t>VFB</t>
  </si>
  <si>
    <t>VOUT(REAL)</t>
  </si>
  <si>
    <t>R_BOT</t>
  </si>
  <si>
    <t>R_TOP</t>
  </si>
  <si>
    <t>R_TOP(STD)</t>
  </si>
  <si>
    <t>OUTPUT VOLTAGE</t>
  </si>
  <si>
    <t>DESIGN REQUIREMENTS</t>
  </si>
  <si>
    <t>CALCULATIONS</t>
  </si>
  <si>
    <t>USER ADJUSTMENT</t>
  </si>
  <si>
    <t>PARAMETERS</t>
  </si>
  <si>
    <t>RESULTS</t>
  </si>
  <si>
    <t>VIN</t>
  </si>
  <si>
    <t>Vf (diode)</t>
  </si>
  <si>
    <t>DUTY CYCLE</t>
  </si>
  <si>
    <t>D</t>
  </si>
  <si>
    <t>INPUT CAPACITANCE</t>
  </si>
  <si>
    <t>OUTPUT CAPACITANCE</t>
  </si>
  <si>
    <t>INDUCTOR</t>
  </si>
  <si>
    <t>Ripple (ΔI_L)</t>
  </si>
  <si>
    <t>Inductor</t>
  </si>
  <si>
    <t>Imax</t>
  </si>
  <si>
    <t>Imin</t>
  </si>
  <si>
    <t>IOUT</t>
  </si>
  <si>
    <t>CCM</t>
  </si>
  <si>
    <t>DIODE</t>
  </si>
  <si>
    <t>I_AVG</t>
  </si>
  <si>
    <t>BOOST DIODE</t>
  </si>
  <si>
    <t>BOOST CAPACITOR</t>
  </si>
  <si>
    <t>POWER LOSSES</t>
  </si>
  <si>
    <t>Efficiency</t>
  </si>
  <si>
    <t>Pdiode</t>
  </si>
  <si>
    <t>P_dis</t>
  </si>
  <si>
    <t>OUTPUT CAPACITOR</t>
  </si>
  <si>
    <t>COUT &gt;</t>
  </si>
  <si>
    <t>L</t>
  </si>
  <si>
    <t>Vout ripple</t>
  </si>
  <si>
    <t>fsw</t>
  </si>
  <si>
    <t>Undervoltage</t>
  </si>
  <si>
    <t>VON</t>
  </si>
  <si>
    <t>VOFF</t>
  </si>
  <si>
    <t>R3</t>
  </si>
  <si>
    <t>R4</t>
  </si>
  <si>
    <t>R3_REAL</t>
  </si>
  <si>
    <t>R4_REAL</t>
  </si>
  <si>
    <t>VON_REAL</t>
  </si>
  <si>
    <t>VOFF_REAL</t>
  </si>
  <si>
    <t>VDD</t>
  </si>
  <si>
    <t>R_NTC@Tmin</t>
  </si>
  <si>
    <t>R_NTC@Tmax</t>
  </si>
  <si>
    <t>R1</t>
  </si>
  <si>
    <t>V(+)min</t>
  </si>
  <si>
    <t>V(+)max</t>
  </si>
  <si>
    <t>G ideal</t>
  </si>
  <si>
    <t>Vout MAX</t>
  </si>
  <si>
    <t>Vout min</t>
  </si>
  <si>
    <t>(R2||R3) ideal</t>
  </si>
  <si>
    <t>R2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</si>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</sst>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6" borderId="0" xfId="0" applyFill="1"/>
    <xf numFmtId="164" fontId="0" fillId="8" borderId="0" xfId="0" applyNumberFormat="1" applyFill="1"/>
    <xf numFmtId="9" fontId="0" fillId="0" borderId="0" xfId="1" applyFont="1"/>
    <xf numFmtId="0" fontId="2" fillId="0" borderId="1" xfId="2"/>
    <xf numFmtId="11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" fontId="0" fillId="3" borderId="0" xfId="0" applyNumberFormat="1" applyFill="1"/>
    <xf numFmtId="11" fontId="0" fillId="4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7" borderId="0" xfId="0" applyFill="1" applyAlignment="1">
      <alignment horizontal="center"/>
    </xf>
  </cellXfs>
  <cellStyles count="3">
    <cellStyle name="Encabezado 1" xfId="2" builtinId="1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38100</xdr:rowOff>
    </xdr:from>
    <xdr:to>
      <xdr:col>18</xdr:col>
      <xdr:colOff>271337</xdr:colOff>
      <xdr:row>18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D528B3-1B3A-E641-AD3B-98E825656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609600"/>
          <a:ext cx="2557337" cy="29146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</xdr:row>
      <xdr:rowOff>1</xdr:rowOff>
    </xdr:from>
    <xdr:to>
      <xdr:col>22</xdr:col>
      <xdr:colOff>214569</xdr:colOff>
      <xdr:row>18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D162A6-263E-9705-8FDC-6DCA8F632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0" y="571501"/>
          <a:ext cx="2500569" cy="2886074"/>
        </a:xfrm>
        <a:prstGeom prst="rect">
          <a:avLst/>
        </a:prstGeom>
      </xdr:spPr>
    </xdr:pic>
    <xdr:clientData/>
  </xdr:twoCellAnchor>
  <xdr:twoCellAnchor editAs="oneCell">
    <xdr:from>
      <xdr:col>11</xdr:col>
      <xdr:colOff>333375</xdr:colOff>
      <xdr:row>3</xdr:row>
      <xdr:rowOff>28574</xdr:rowOff>
    </xdr:from>
    <xdr:to>
      <xdr:col>14</xdr:col>
      <xdr:colOff>466507</xdr:colOff>
      <xdr:row>10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818F610-D677-F540-7839-9D443E45F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77375" y="600074"/>
          <a:ext cx="2419132" cy="130492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</xdr:row>
      <xdr:rowOff>1</xdr:rowOff>
    </xdr:from>
    <xdr:to>
      <xdr:col>11</xdr:col>
      <xdr:colOff>761695</xdr:colOff>
      <xdr:row>32</xdr:row>
      <xdr:rowOff>19051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3FE1EED-0B50-3A38-F7DC-01AAC22F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96200" y="4267201"/>
          <a:ext cx="3047695" cy="19240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1</xdr:rowOff>
    </xdr:from>
    <xdr:to>
      <xdr:col>12</xdr:col>
      <xdr:colOff>0</xdr:colOff>
      <xdr:row>35</xdr:row>
      <xdr:rowOff>164582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09B0E8B-9CFB-3552-A6B0-6782CF338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96200" y="6172201"/>
          <a:ext cx="3048000" cy="7360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16</xdr:col>
      <xdr:colOff>733425</xdr:colOff>
      <xdr:row>32</xdr:row>
      <xdr:rowOff>156923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82E61B6-D677-4ED6-595B-B107905C3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06200" y="4267200"/>
          <a:ext cx="3019425" cy="206192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23</xdr:row>
      <xdr:rowOff>0</xdr:rowOff>
    </xdr:from>
    <xdr:to>
      <xdr:col>22</xdr:col>
      <xdr:colOff>295275</xdr:colOff>
      <xdr:row>36</xdr:row>
      <xdr:rowOff>147549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3649AA-9249-D19A-6FAD-F27843E41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54200" y="4457700"/>
          <a:ext cx="3343275" cy="26240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752475</xdr:colOff>
      <xdr:row>14</xdr:row>
      <xdr:rowOff>19051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A9029D-2931-ACC0-F0A7-DCC3DDCAB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1"/>
          <a:ext cx="3743325" cy="24955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18</xdr:col>
      <xdr:colOff>306096</xdr:colOff>
      <xdr:row>32</xdr:row>
      <xdr:rowOff>68254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7BAE03-AC0E-49D8-9B68-D6050C4B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5725" y="190500"/>
          <a:ext cx="7164096" cy="5973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83D6-8CF3-42AE-826A-3ED0640524A4}">
  <dimension ref="B2:V39"/>
  <sheetViews>
    <sheetView workbookViewId="0">
      <selection activeCell="C8" sqref="B2:C8"/>
    </sheetView>
  </sheetViews>
  <sheetFormatPr baseColWidth="10" defaultRowHeight="15" x14ac:dyDescent="0.25"/>
  <cols>
    <col min="2" max="2" width="22" bestFit="1" customWidth="1"/>
    <col min="4" max="4" width="12.28515625" customWidth="1"/>
    <col min="5" max="5" width="12" bestFit="1" customWidth="1"/>
    <col min="7" max="7" width="12" bestFit="1" customWidth="1"/>
  </cols>
  <sheetData>
    <row r="2" spans="2:22" x14ac:dyDescent="0.25">
      <c r="B2" s="3" t="s">
        <v>7</v>
      </c>
      <c r="D2" s="3" t="s">
        <v>12</v>
      </c>
      <c r="E2" s="3">
        <v>12</v>
      </c>
      <c r="G2" s="18" t="s">
        <v>6</v>
      </c>
      <c r="H2" s="18"/>
      <c r="J2" t="s">
        <v>14</v>
      </c>
      <c r="M2" t="s">
        <v>20</v>
      </c>
      <c r="N2" s="10">
        <v>1.5E-5</v>
      </c>
      <c r="P2" t="s">
        <v>16</v>
      </c>
      <c r="R2" s="10">
        <v>4.6999999999999999E-6</v>
      </c>
      <c r="T2" t="s">
        <v>17</v>
      </c>
      <c r="V2" s="10">
        <v>2.0000000000000002E-5</v>
      </c>
    </row>
    <row r="3" spans="2:22" x14ac:dyDescent="0.25">
      <c r="B3" s="1" t="s">
        <v>9</v>
      </c>
      <c r="D3" s="3" t="s">
        <v>0</v>
      </c>
      <c r="E3" s="3">
        <v>3.3</v>
      </c>
      <c r="G3" s="4" t="s">
        <v>1</v>
      </c>
      <c r="H3" s="4">
        <v>0.8</v>
      </c>
      <c r="J3" t="s">
        <v>15</v>
      </c>
      <c r="K3" s="8">
        <f>(E3+E4)/E2</f>
        <v>0.3</v>
      </c>
    </row>
    <row r="4" spans="2:22" x14ac:dyDescent="0.25">
      <c r="B4" s="2" t="s">
        <v>8</v>
      </c>
      <c r="D4" s="3" t="s">
        <v>13</v>
      </c>
      <c r="E4" s="3">
        <v>0.3</v>
      </c>
      <c r="G4" s="3" t="s">
        <v>3</v>
      </c>
      <c r="H4" s="3">
        <v>15000</v>
      </c>
    </row>
    <row r="5" spans="2:22" x14ac:dyDescent="0.25">
      <c r="B5" s="4" t="s">
        <v>10</v>
      </c>
      <c r="D5" s="3" t="s">
        <v>23</v>
      </c>
      <c r="E5" s="3">
        <v>0.23200000000000001</v>
      </c>
      <c r="G5" s="2" t="s">
        <v>4</v>
      </c>
      <c r="H5" s="2">
        <f>H4*(E3/H3-1)</f>
        <v>46874.999999999985</v>
      </c>
    </row>
    <row r="6" spans="2:22" x14ac:dyDescent="0.25">
      <c r="B6" s="5" t="s">
        <v>11</v>
      </c>
      <c r="G6" s="6" t="s">
        <v>5</v>
      </c>
      <c r="H6" s="6">
        <v>47000</v>
      </c>
    </row>
    <row r="7" spans="2:22" x14ac:dyDescent="0.25">
      <c r="G7" s="5" t="s">
        <v>2</v>
      </c>
      <c r="H7" s="7">
        <f>H3*(H6/H4+1)</f>
        <v>3.3066666666666666</v>
      </c>
    </row>
    <row r="20" spans="3:20" s="9" customFormat="1" ht="20.25" thickBot="1" x14ac:dyDescent="0.35"/>
    <row r="21" spans="3:20" ht="15.75" thickTop="1" x14ac:dyDescent="0.25"/>
    <row r="22" spans="3:20" x14ac:dyDescent="0.25">
      <c r="C22" t="s">
        <v>18</v>
      </c>
      <c r="F22" t="s">
        <v>25</v>
      </c>
      <c r="I22" t="s">
        <v>27</v>
      </c>
      <c r="N22" t="s">
        <v>28</v>
      </c>
      <c r="S22" t="s">
        <v>29</v>
      </c>
    </row>
    <row r="23" spans="3:20" x14ac:dyDescent="0.25">
      <c r="C23" t="s">
        <v>19</v>
      </c>
      <c r="D23">
        <f>(E2-E3)/N2*1/(500*10^3)*K3</f>
        <v>0.34799999999999992</v>
      </c>
      <c r="F23" t="s">
        <v>26</v>
      </c>
      <c r="G23">
        <f>(1-K3)*E5</f>
        <v>0.16239999999999999</v>
      </c>
      <c r="S23" t="s">
        <v>30</v>
      </c>
      <c r="T23" s="12">
        <v>0.8</v>
      </c>
    </row>
    <row r="24" spans="3:20" x14ac:dyDescent="0.25">
      <c r="C24" t="s">
        <v>24</v>
      </c>
    </row>
    <row r="25" spans="3:20" x14ac:dyDescent="0.25">
      <c r="C25" t="s">
        <v>21</v>
      </c>
      <c r="D25">
        <f>E5+D23/2</f>
        <v>0.40599999999999997</v>
      </c>
    </row>
    <row r="26" spans="3:20" x14ac:dyDescent="0.25">
      <c r="C26" t="s">
        <v>22</v>
      </c>
      <c r="D26">
        <f>E5-D23/2</f>
        <v>5.8000000000000052E-2</v>
      </c>
    </row>
    <row r="31" spans="3:20" x14ac:dyDescent="0.25">
      <c r="D31" s="11"/>
    </row>
    <row r="32" spans="3:20" x14ac:dyDescent="0.25">
      <c r="D32" s="10"/>
    </row>
    <row r="38" spans="19:20" x14ac:dyDescent="0.25">
      <c r="S38" t="s">
        <v>32</v>
      </c>
      <c r="T38" s="13">
        <f>E3*E5/T23-(E3*E5)</f>
        <v>0.1913999999999999</v>
      </c>
    </row>
    <row r="39" spans="19:20" x14ac:dyDescent="0.25">
      <c r="S39" t="s">
        <v>31</v>
      </c>
      <c r="T39" s="13">
        <f>E4*((1-K3)*E5)</f>
        <v>4.8719999999999992E-2</v>
      </c>
    </row>
  </sheetData>
  <mergeCells count="1">
    <mergeCell ref="G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5DFD-B718-4BC1-BACF-68673697F449}">
  <dimension ref="B2:N10"/>
  <sheetViews>
    <sheetView tabSelected="1" workbookViewId="0">
      <selection activeCell="Q9" sqref="Q9"/>
    </sheetView>
  </sheetViews>
  <sheetFormatPr baseColWidth="10" defaultRowHeight="15" x14ac:dyDescent="0.25"/>
  <cols>
    <col min="2" max="2" width="22" bestFit="1" customWidth="1"/>
  </cols>
  <sheetData>
    <row r="2" spans="2:14" x14ac:dyDescent="0.25">
      <c r="B2" s="3" t="s">
        <v>7</v>
      </c>
      <c r="D2" s="3" t="s">
        <v>12</v>
      </c>
      <c r="E2" s="3">
        <v>12</v>
      </c>
      <c r="G2" s="18" t="s">
        <v>6</v>
      </c>
      <c r="H2" s="18"/>
      <c r="J2" t="s">
        <v>33</v>
      </c>
      <c r="M2" t="s">
        <v>38</v>
      </c>
    </row>
    <row r="3" spans="2:14" x14ac:dyDescent="0.25">
      <c r="B3" s="1" t="s">
        <v>9</v>
      </c>
      <c r="D3" s="3" t="s">
        <v>0</v>
      </c>
      <c r="E3" s="3">
        <v>3.3</v>
      </c>
      <c r="G3" s="4" t="s">
        <v>1</v>
      </c>
      <c r="H3" s="4">
        <v>0.76300000000000001</v>
      </c>
      <c r="J3" t="s">
        <v>34</v>
      </c>
      <c r="K3" s="16">
        <f>(E6*E5^2)/(3.3*5%*E3)</f>
        <v>9.8850321395775948E-7</v>
      </c>
      <c r="M3" t="s">
        <v>39</v>
      </c>
      <c r="N3">
        <v>4.5</v>
      </c>
    </row>
    <row r="4" spans="2:14" x14ac:dyDescent="0.25">
      <c r="B4" s="2" t="s">
        <v>8</v>
      </c>
      <c r="D4" s="3" t="s">
        <v>13</v>
      </c>
      <c r="E4" s="3">
        <v>0.3</v>
      </c>
      <c r="G4" s="3" t="s">
        <v>3</v>
      </c>
      <c r="H4" s="3">
        <v>10000</v>
      </c>
      <c r="K4" s="16">
        <f>(E6*E5^2)/(3.3*5%*(E2-E3))</f>
        <v>3.74949494949495E-7</v>
      </c>
      <c r="M4" t="s">
        <v>40</v>
      </c>
      <c r="N4">
        <v>4</v>
      </c>
    </row>
    <row r="5" spans="2:14" x14ac:dyDescent="0.25">
      <c r="B5" s="4" t="s">
        <v>10</v>
      </c>
      <c r="D5" s="3" t="s">
        <v>23</v>
      </c>
      <c r="E5" s="3">
        <v>0.23200000000000001</v>
      </c>
      <c r="G5" s="2" t="s">
        <v>4</v>
      </c>
      <c r="H5" s="14">
        <f>H4*(E3/H3-1)</f>
        <v>33250.327653997374</v>
      </c>
      <c r="K5" s="10">
        <v>1.0000000000000001E-5</v>
      </c>
      <c r="M5" t="s">
        <v>41</v>
      </c>
      <c r="N5" s="17">
        <f>(0.917*N3-N4)/(5.625*0.000001)</f>
        <v>22488.888888888901</v>
      </c>
    </row>
    <row r="6" spans="2:14" x14ac:dyDescent="0.25">
      <c r="B6" s="5" t="s">
        <v>11</v>
      </c>
      <c r="D6" s="3" t="s">
        <v>35</v>
      </c>
      <c r="E6" s="15">
        <v>1.0000000000000001E-5</v>
      </c>
      <c r="G6" s="6" t="s">
        <v>5</v>
      </c>
      <c r="H6" s="6">
        <v>33000</v>
      </c>
      <c r="J6" t="s">
        <v>36</v>
      </c>
      <c r="K6">
        <f>((E2-E3)*E7/(E8*E6))</f>
        <v>0.39874999999999983</v>
      </c>
      <c r="M6" t="s">
        <v>42</v>
      </c>
      <c r="N6" s="17">
        <f>(1.1*N5)/(N4-1.1+7*0.000001*N5)</f>
        <v>8091.0570996627557</v>
      </c>
    </row>
    <row r="7" spans="2:14" x14ac:dyDescent="0.25">
      <c r="D7" s="3" t="s">
        <v>15</v>
      </c>
      <c r="E7">
        <f>E3/(E2*80%)</f>
        <v>0.34374999999999994</v>
      </c>
      <c r="G7" s="5" t="s">
        <v>2</v>
      </c>
      <c r="H7" s="7">
        <f>H3*(H6/H4+1)</f>
        <v>3.2808999999999999</v>
      </c>
      <c r="M7" t="s">
        <v>43</v>
      </c>
      <c r="N7" s="17">
        <v>10000</v>
      </c>
    </row>
    <row r="8" spans="2:14" x14ac:dyDescent="0.25">
      <c r="D8" s="3" t="s">
        <v>37</v>
      </c>
      <c r="E8" s="10">
        <v>750000</v>
      </c>
      <c r="M8" t="s">
        <v>44</v>
      </c>
      <c r="N8" s="17">
        <v>10000</v>
      </c>
    </row>
    <row r="9" spans="2:14" x14ac:dyDescent="0.25">
      <c r="M9" t="s">
        <v>45</v>
      </c>
      <c r="N9">
        <f>(N7*5.625*0.000001+N10)/0.917</f>
        <v>2.3841330425299891</v>
      </c>
    </row>
    <row r="10" spans="2:14" x14ac:dyDescent="0.25">
      <c r="M10" t="s">
        <v>46</v>
      </c>
      <c r="N10">
        <f>(1.1*N7)/N8+1.1-7*0.000001*N7</f>
        <v>2.1300000000000003</v>
      </c>
    </row>
  </sheetData>
  <mergeCells count="1"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2DC8-899B-4AA9-81DD-B8E2E7F716E8}">
  <dimension ref="B2:H22"/>
  <sheetViews>
    <sheetView workbookViewId="0">
      <selection activeCell="T7" sqref="T7"/>
    </sheetView>
  </sheetViews>
  <sheetFormatPr baseColWidth="10" defaultRowHeight="15" x14ac:dyDescent="0.25"/>
  <cols>
    <col min="2" max="2" width="22" bestFit="1" customWidth="1"/>
    <col min="7" max="7" width="13.5703125" bestFit="1" customWidth="1"/>
  </cols>
  <sheetData>
    <row r="2" spans="2:8" x14ac:dyDescent="0.25">
      <c r="G2" s="3" t="s">
        <v>47</v>
      </c>
      <c r="H2" s="3">
        <v>3.3</v>
      </c>
    </row>
    <row r="3" spans="2:8" x14ac:dyDescent="0.25">
      <c r="G3" s="3" t="s">
        <v>48</v>
      </c>
      <c r="H3" s="3">
        <v>1240</v>
      </c>
    </row>
    <row r="4" spans="2:8" x14ac:dyDescent="0.25">
      <c r="G4" s="3" t="s">
        <v>49</v>
      </c>
      <c r="H4" s="3">
        <v>67</v>
      </c>
    </row>
    <row r="5" spans="2:8" x14ac:dyDescent="0.25">
      <c r="G5" s="3" t="s">
        <v>54</v>
      </c>
      <c r="H5" s="3">
        <v>3.3</v>
      </c>
    </row>
    <row r="6" spans="2:8" x14ac:dyDescent="0.25">
      <c r="G6" s="3" t="s">
        <v>55</v>
      </c>
      <c r="H6" s="3">
        <v>0.3</v>
      </c>
    </row>
    <row r="7" spans="2:8" x14ac:dyDescent="0.25">
      <c r="G7" s="3" t="s">
        <v>42</v>
      </c>
      <c r="H7" s="3">
        <v>1500</v>
      </c>
    </row>
    <row r="12" spans="2:8" x14ac:dyDescent="0.25">
      <c r="G12" s="2" t="s">
        <v>50</v>
      </c>
      <c r="H12" s="2">
        <f>SQRT(H3*H4)</f>
        <v>288.23601440486232</v>
      </c>
    </row>
    <row r="13" spans="2:8" x14ac:dyDescent="0.25">
      <c r="G13" s="6" t="s">
        <v>50</v>
      </c>
      <c r="H13" s="6">
        <v>280</v>
      </c>
    </row>
    <row r="14" spans="2:8" x14ac:dyDescent="0.25">
      <c r="G14" s="2" t="s">
        <v>51</v>
      </c>
      <c r="H14" s="2">
        <f>$H$13/($H$13+H3)*$H$2</f>
        <v>0.60789473684210515</v>
      </c>
    </row>
    <row r="15" spans="2:8" x14ac:dyDescent="0.25">
      <c r="G15" s="2" t="s">
        <v>52</v>
      </c>
      <c r="H15" s="2">
        <f>$H$13/($H$13+H4)*$H$2</f>
        <v>2.6628242074927955</v>
      </c>
    </row>
    <row r="16" spans="2:8" x14ac:dyDescent="0.25">
      <c r="B16" s="3" t="s">
        <v>7</v>
      </c>
      <c r="G16" s="2" t="s">
        <v>53</v>
      </c>
      <c r="H16" s="2">
        <f>(H5-H6)/(H15-H14)</f>
        <v>1.4599041197506668</v>
      </c>
    </row>
    <row r="17" spans="2:8" x14ac:dyDescent="0.25">
      <c r="B17" s="1" t="s">
        <v>9</v>
      </c>
      <c r="G17" s="2" t="s">
        <v>56</v>
      </c>
      <c r="H17" s="2">
        <f>H7/(H16-1)</f>
        <v>3261.5493873227588</v>
      </c>
    </row>
    <row r="18" spans="2:8" x14ac:dyDescent="0.25">
      <c r="B18" s="2" t="s">
        <v>8</v>
      </c>
      <c r="G18" s="2" t="s">
        <v>41</v>
      </c>
      <c r="H18" s="2">
        <f>(H7*H2)/(H15*H16-H5)</f>
        <v>8425.9904222899495</v>
      </c>
    </row>
    <row r="19" spans="2:8" x14ac:dyDescent="0.25">
      <c r="B19" s="4" t="s">
        <v>10</v>
      </c>
      <c r="G19" s="2" t="s">
        <v>57</v>
      </c>
      <c r="H19" s="2">
        <f>(H17*H18)/(H18-H17)</f>
        <v>5321.3472113118642</v>
      </c>
    </row>
    <row r="20" spans="2:8" x14ac:dyDescent="0.25">
      <c r="B20" s="5" t="s">
        <v>11</v>
      </c>
      <c r="G20" s="6" t="s">
        <v>41</v>
      </c>
      <c r="H20" s="6">
        <v>8200</v>
      </c>
    </row>
    <row r="21" spans="2:8" x14ac:dyDescent="0.25">
      <c r="G21" s="6" t="s">
        <v>57</v>
      </c>
      <c r="H21" s="6">
        <v>5400</v>
      </c>
    </row>
    <row r="22" spans="2:8" x14ac:dyDescent="0.25">
      <c r="G22" s="2" t="s">
        <v>58</v>
      </c>
      <c r="H22" s="2">
        <f>((1/H20+1/H21)^(-1)+H7)/((1/H20+1/H21)^(-1))</f>
        <v>1.4607046070460703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MCP16301</vt:lpstr>
      <vt:lpstr>AP62300T</vt:lpstr>
      <vt:lpstr>NTC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2023-07-11T19:12:48Z</dcterms:created>
  <dcterms:modified xsi:type="dcterms:W3CDTF">2023-08-10T16:30:31Z</dcterms:modified>
</cp:coreProperties>
</file>