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media/image4.jpg" ContentType="image/jpeg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media/image7.jpg" ContentType="image/jpeg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media/image8.jpg" ContentType="image/jpeg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quetalcompra-my.sharepoint.com/personal/pedro_benites_quetalcompra_com/Documents/Escritorio/"/>
    </mc:Choice>
  </mc:AlternateContent>
  <xr:revisionPtr revIDLastSave="79" documentId="8_{18FE1B8E-0C65-45D6-BE1F-0B416DF2A8DA}" xr6:coauthVersionLast="47" xr6:coauthVersionMax="47" xr10:uidLastSave="{0DAB3465-5E14-4782-91D2-911AB90FD71C}"/>
  <bookViews>
    <workbookView xWindow="-108" yWindow="-108" windowWidth="23256" windowHeight="12456" firstSheet="1" activeTab="3" xr2:uid="{CDB259EC-9BC4-4D2B-99A7-0BF4687CF827}"/>
  </bookViews>
  <sheets>
    <sheet name="ROI-DRONE (2)" sheetId="3" state="hidden" r:id="rId1"/>
    <sheet name="ROI_T25P" sheetId="4" r:id="rId2"/>
    <sheet name="ROI_T50" sheetId="5" state="hidden" r:id="rId3"/>
    <sheet name="ROI_T70P" sheetId="2" r:id="rId4"/>
    <sheet name="ROI_T100" sheetId="6" r:id="rId5"/>
    <sheet name="ROI" sheetId="1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6" l="1"/>
  <c r="C81" i="6"/>
  <c r="C80" i="6"/>
  <c r="C41" i="6"/>
  <c r="C60" i="6"/>
  <c r="C62" i="6" s="1"/>
  <c r="C60" i="2"/>
  <c r="C62" i="2" s="1"/>
  <c r="C63" i="2" s="1"/>
  <c r="C65" i="2" s="1"/>
  <c r="C84" i="2" s="1"/>
  <c r="C81" i="2"/>
  <c r="C31" i="2"/>
  <c r="C31" i="6"/>
  <c r="D31" i="6" s="1"/>
  <c r="E29" i="6"/>
  <c r="C63" i="5"/>
  <c r="C58" i="5"/>
  <c r="C41" i="5"/>
  <c r="C51" i="5" s="1"/>
  <c r="C52" i="5" s="1"/>
  <c r="C31" i="5"/>
  <c r="D31" i="5" s="1"/>
  <c r="E29" i="5"/>
  <c r="C63" i="4"/>
  <c r="C58" i="4"/>
  <c r="C41" i="4"/>
  <c r="C51" i="4" s="1"/>
  <c r="C52" i="4" s="1"/>
  <c r="C60" i="4" s="1"/>
  <c r="C66" i="4" s="1"/>
  <c r="C70" i="4" s="1"/>
  <c r="C71" i="4" s="1"/>
  <c r="C72" i="4" s="1"/>
  <c r="C76" i="4" s="1"/>
  <c r="C77" i="4" s="1"/>
  <c r="C31" i="4"/>
  <c r="C39" i="4" s="1"/>
  <c r="E29" i="4"/>
  <c r="C40" i="6" l="1"/>
  <c r="C43" i="6" s="1"/>
  <c r="C44" i="6" s="1"/>
  <c r="C71" i="6" s="1"/>
  <c r="C42" i="6"/>
  <c r="C52" i="6"/>
  <c r="C53" i="6" s="1"/>
  <c r="C63" i="6"/>
  <c r="C65" i="6" s="1"/>
  <c r="C84" i="6" s="1"/>
  <c r="D62" i="6"/>
  <c r="C60" i="5"/>
  <c r="D52" i="5"/>
  <c r="C66" i="5"/>
  <c r="C70" i="5" s="1"/>
  <c r="C71" i="5" s="1"/>
  <c r="C72" i="5" s="1"/>
  <c r="C76" i="5" s="1"/>
  <c r="C77" i="5" s="1"/>
  <c r="C39" i="5"/>
  <c r="C40" i="4"/>
  <c r="C42" i="4" s="1"/>
  <c r="C43" i="4" s="1"/>
  <c r="D39" i="4"/>
  <c r="D52" i="4"/>
  <c r="D31" i="4"/>
  <c r="E29" i="2"/>
  <c r="C41" i="2"/>
  <c r="E55" i="3"/>
  <c r="E54" i="3"/>
  <c r="E50" i="3"/>
  <c r="E49" i="3"/>
  <c r="E48" i="3"/>
  <c r="E44" i="3"/>
  <c r="E41" i="3"/>
  <c r="E38" i="3"/>
  <c r="E36" i="3"/>
  <c r="E31" i="3"/>
  <c r="E30" i="3"/>
  <c r="E20" i="3"/>
  <c r="E10" i="3"/>
  <c r="E18" i="3" s="1"/>
  <c r="E19" i="3" s="1"/>
  <c r="E21" i="3" s="1"/>
  <c r="E22" i="3" s="1"/>
  <c r="C18" i="3"/>
  <c r="C31" i="3"/>
  <c r="C10" i="3"/>
  <c r="C41" i="3"/>
  <c r="C36" i="3"/>
  <c r="C20" i="3"/>
  <c r="C30" i="3" s="1"/>
  <c r="C80" i="2"/>
  <c r="C39" i="2"/>
  <c r="C40" i="2" s="1"/>
  <c r="E32" i="1"/>
  <c r="C14" i="1"/>
  <c r="C33" i="1"/>
  <c r="C28" i="1"/>
  <c r="C9" i="1"/>
  <c r="D39" i="6" l="1"/>
  <c r="D53" i="6"/>
  <c r="C83" i="6"/>
  <c r="C82" i="6"/>
  <c r="C88" i="6" s="1"/>
  <c r="C52" i="2"/>
  <c r="C53" i="2" s="1"/>
  <c r="C83" i="2" s="1"/>
  <c r="C42" i="2"/>
  <c r="C55" i="2" s="1"/>
  <c r="C40" i="5"/>
  <c r="C42" i="5" s="1"/>
  <c r="C43" i="5" s="1"/>
  <c r="D39" i="5"/>
  <c r="C38" i="3"/>
  <c r="C44" i="3" s="1"/>
  <c r="C48" i="3" s="1"/>
  <c r="C49" i="3" s="1"/>
  <c r="C50" i="3" s="1"/>
  <c r="C54" i="3" s="1"/>
  <c r="C55" i="3" s="1"/>
  <c r="C19" i="3"/>
  <c r="C21" i="3" s="1"/>
  <c r="C22" i="3" s="1"/>
  <c r="D18" i="3"/>
  <c r="D30" i="3"/>
  <c r="D10" i="3"/>
  <c r="D39" i="2"/>
  <c r="D31" i="2"/>
  <c r="C19" i="1"/>
  <c r="C23" i="1" s="1"/>
  <c r="D23" i="1" s="1"/>
  <c r="C43" i="2" l="1"/>
  <c r="C44" i="2" s="1"/>
  <c r="C71" i="2" s="1"/>
  <c r="D62" i="2"/>
  <c r="C82" i="2"/>
  <c r="C88" i="2" s="1"/>
  <c r="D53" i="2"/>
  <c r="C15" i="1"/>
  <c r="D15" i="1" s="1"/>
  <c r="D9" i="1"/>
  <c r="C24" i="1"/>
  <c r="C30" i="1" s="1"/>
  <c r="C37" i="1" s="1"/>
  <c r="C92" i="2" l="1"/>
  <c r="C93" i="2" s="1"/>
  <c r="C94" i="2" s="1"/>
  <c r="C98" i="2" s="1"/>
  <c r="C38" i="1"/>
  <c r="C39" i="1" s="1"/>
  <c r="C40" i="1" s="1"/>
  <c r="C42" i="1" s="1"/>
  <c r="C43" i="1" s="1"/>
  <c r="C16" i="1"/>
  <c r="C20" i="1" s="1"/>
  <c r="C17" i="1" s="1"/>
  <c r="D19" i="1"/>
  <c r="C99" i="2" l="1"/>
  <c r="C72" i="2"/>
  <c r="C74" i="2" s="1"/>
  <c r="C87" i="2" s="1"/>
  <c r="C55" i="6"/>
  <c r="C92" i="6"/>
  <c r="C93" i="6" s="1"/>
  <c r="C94" i="6" s="1"/>
  <c r="C98" i="6" s="1"/>
  <c r="C99" i="6" l="1"/>
  <c r="C72" i="6"/>
  <c r="C74" i="6" s="1"/>
  <c r="C8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Jesús Tapia</author>
  </authors>
  <commentList>
    <comment ref="C18" authorId="0" shapeId="0" xr:uid="{F19AE2C9-9C51-4015-9BEE-E8C1E374D94B}">
      <text>
        <r>
          <rPr>
            <b/>
            <sz val="9"/>
            <color indexed="81"/>
            <rFont val="Tahoma"/>
            <family val="2"/>
          </rPr>
          <t>Jesús Tapia:
=Capacidad del tanque/Caudal</t>
        </r>
      </text>
    </comment>
    <comment ref="C19" authorId="0" shapeId="0" xr:uid="{E0724788-E162-4498-BDBB-D6417CB5DA4C}">
      <text>
        <r>
          <rPr>
            <b/>
            <sz val="9"/>
            <color indexed="81"/>
            <rFont val="Tahoma"/>
            <family val="2"/>
          </rPr>
          <t>Jesús Tapia:</t>
        </r>
        <r>
          <rPr>
            <sz val="9"/>
            <color indexed="81"/>
            <rFont val="Tahoma"/>
            <family val="2"/>
          </rPr>
          <t xml:space="preserve">
=Tiempo efectivo de vuelo + Tiempo de abastecimiento</t>
        </r>
      </text>
    </comment>
    <comment ref="C20" authorId="0" shapeId="0" xr:uid="{15920B95-FE4D-412B-9178-361C158C0823}">
      <text>
        <r>
          <rPr>
            <b/>
            <sz val="9"/>
            <color indexed="81"/>
            <rFont val="Tahoma"/>
            <family val="2"/>
          </rPr>
          <t>Jesús Tapia:</t>
        </r>
        <r>
          <rPr>
            <sz val="9"/>
            <color indexed="81"/>
            <rFont val="Tahoma"/>
            <family val="2"/>
          </rPr>
          <t xml:space="preserve">
=Capacidad del tanque/Tasa de aplicación
</t>
        </r>
      </text>
    </comment>
    <comment ref="C21" authorId="0" shapeId="0" xr:uid="{172F83FB-65B7-4531-A0BD-C683E051F86C}">
      <text>
        <r>
          <rPr>
            <b/>
            <sz val="9"/>
            <color indexed="81"/>
            <rFont val="Tahoma"/>
            <family val="2"/>
          </rPr>
          <t>Jesús Tapia:</t>
        </r>
        <r>
          <rPr>
            <sz val="9"/>
            <color indexed="81"/>
            <rFont val="Tahoma"/>
            <family val="2"/>
          </rPr>
          <t xml:space="preserve">
= (Hectareas por Batería / Tiempo real de vuelo) * 60
</t>
        </r>
      </text>
    </comment>
    <comment ref="C22" authorId="0" shapeId="0" xr:uid="{DB9B93FC-D154-4AA7-9AC7-ED4234C611F2}">
      <text>
        <r>
          <rPr>
            <b/>
            <sz val="9"/>
            <color indexed="81"/>
            <rFont val="Tahoma"/>
            <family val="2"/>
          </rPr>
          <t>Jesús Tapia:</t>
        </r>
        <r>
          <rPr>
            <sz val="9"/>
            <color indexed="81"/>
            <rFont val="Tahoma"/>
            <family val="2"/>
          </rPr>
          <t xml:space="preserve">
=Hectareas por día/Hectareas en una Hora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Jesús Tapia</author>
  </authors>
  <commentList>
    <comment ref="C39" authorId="0" shapeId="0" xr:uid="{0402CA15-19AA-4D67-BA98-17181BC65C98}">
      <text>
        <r>
          <rPr>
            <b/>
            <sz val="9"/>
            <color indexed="81"/>
            <rFont val="Tahoma"/>
            <family val="2"/>
          </rPr>
          <t>Jesús Tapia:
=Capacidad del tanque/Caudal</t>
        </r>
      </text>
    </comment>
    <comment ref="C40" authorId="0" shapeId="0" xr:uid="{CC781E7A-0CA8-4969-98D9-23ED274851A4}">
      <text>
        <r>
          <rPr>
            <b/>
            <sz val="9"/>
            <color indexed="81"/>
            <rFont val="Tahoma"/>
            <family val="2"/>
          </rPr>
          <t>Jesús Tapia:</t>
        </r>
        <r>
          <rPr>
            <sz val="9"/>
            <color indexed="81"/>
            <rFont val="Tahoma"/>
            <family val="2"/>
          </rPr>
          <t xml:space="preserve">
=Tiempo efectivo de vuelo + Tiempo de abastecimiento</t>
        </r>
      </text>
    </comment>
    <comment ref="C41" authorId="0" shapeId="0" xr:uid="{D6E06428-60E0-4C7F-905F-D5F39D485044}">
      <text>
        <r>
          <rPr>
            <b/>
            <sz val="9"/>
            <color indexed="81"/>
            <rFont val="Tahoma"/>
            <family val="2"/>
          </rPr>
          <t>Jesús Tapia:</t>
        </r>
        <r>
          <rPr>
            <sz val="9"/>
            <color indexed="81"/>
            <rFont val="Tahoma"/>
            <family val="2"/>
          </rPr>
          <t xml:space="preserve">
=Capacidad del tanque/Tasa de aplicación
</t>
        </r>
      </text>
    </comment>
    <comment ref="C42" authorId="0" shapeId="0" xr:uid="{437DA1F8-F2B6-4B65-A0FB-4351F9D6C307}">
      <text>
        <r>
          <rPr>
            <b/>
            <sz val="9"/>
            <color indexed="81"/>
            <rFont val="Tahoma"/>
            <family val="2"/>
          </rPr>
          <t>Jesús Tapia:</t>
        </r>
        <r>
          <rPr>
            <sz val="9"/>
            <color indexed="81"/>
            <rFont val="Tahoma"/>
            <family val="2"/>
          </rPr>
          <t xml:space="preserve">
= (Hectareas por Batería / Tiempo real de vuelo) * 60
</t>
        </r>
      </text>
    </comment>
    <comment ref="C43" authorId="0" shapeId="0" xr:uid="{40BDACB0-E05E-4799-8235-E2D46D1098DF}">
      <text>
        <r>
          <rPr>
            <b/>
            <sz val="9"/>
            <color indexed="81"/>
            <rFont val="Tahoma"/>
            <family val="2"/>
          </rPr>
          <t>Jesús Tapia:</t>
        </r>
        <r>
          <rPr>
            <sz val="9"/>
            <color indexed="81"/>
            <rFont val="Tahoma"/>
            <family val="2"/>
          </rPr>
          <t xml:space="preserve">
=Hectareas por día/Hectareas en una Hora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Jesús Tapia</author>
  </authors>
  <commentList>
    <comment ref="C39" authorId="0" shapeId="0" xr:uid="{F7EA63FF-47DC-4A76-8354-B4855EDF8756}">
      <text>
        <r>
          <rPr>
            <b/>
            <sz val="9"/>
            <color indexed="81"/>
            <rFont val="Tahoma"/>
            <family val="2"/>
          </rPr>
          <t>Jesús Tapia:
=Capacidad del tanque/Caudal</t>
        </r>
      </text>
    </comment>
    <comment ref="C40" authorId="0" shapeId="0" xr:uid="{B3837785-7846-4ED1-A07C-20053272A5F2}">
      <text>
        <r>
          <rPr>
            <b/>
            <sz val="9"/>
            <color indexed="81"/>
            <rFont val="Tahoma"/>
            <family val="2"/>
          </rPr>
          <t>Jesús Tapia:</t>
        </r>
        <r>
          <rPr>
            <sz val="9"/>
            <color indexed="81"/>
            <rFont val="Tahoma"/>
            <family val="2"/>
          </rPr>
          <t xml:space="preserve">
=Tiempo efectivo de vuelo + Tiempo de abastecimiento</t>
        </r>
      </text>
    </comment>
    <comment ref="C41" authorId="0" shapeId="0" xr:uid="{29475F01-0652-4C13-A141-8263E1CA686E}">
      <text>
        <r>
          <rPr>
            <b/>
            <sz val="9"/>
            <color indexed="81"/>
            <rFont val="Tahoma"/>
            <family val="2"/>
          </rPr>
          <t>Jesús Tapia:</t>
        </r>
        <r>
          <rPr>
            <sz val="9"/>
            <color indexed="81"/>
            <rFont val="Tahoma"/>
            <family val="2"/>
          </rPr>
          <t xml:space="preserve">
=Capacidad del tanque/Tasa de aplicación
</t>
        </r>
      </text>
    </comment>
    <comment ref="C42" authorId="0" shapeId="0" xr:uid="{E0362BE9-3D52-4ADF-B620-D461B102F494}">
      <text>
        <r>
          <rPr>
            <b/>
            <sz val="9"/>
            <color indexed="81"/>
            <rFont val="Tahoma"/>
            <family val="2"/>
          </rPr>
          <t>Jesús Tapia:</t>
        </r>
        <r>
          <rPr>
            <sz val="9"/>
            <color indexed="81"/>
            <rFont val="Tahoma"/>
            <family val="2"/>
          </rPr>
          <t xml:space="preserve">
= (Hectareas por Batería / Tiempo real de vuelo) * 60
</t>
        </r>
      </text>
    </comment>
    <comment ref="C43" authorId="0" shapeId="0" xr:uid="{9952F801-A5F5-47A9-97E8-37268F0C8652}">
      <text>
        <r>
          <rPr>
            <b/>
            <sz val="9"/>
            <color indexed="81"/>
            <rFont val="Tahoma"/>
            <family val="2"/>
          </rPr>
          <t>Jesús Tapia:</t>
        </r>
        <r>
          <rPr>
            <sz val="9"/>
            <color indexed="81"/>
            <rFont val="Tahoma"/>
            <family val="2"/>
          </rPr>
          <t xml:space="preserve">
=Hectareas por día/Hectareas en una Hora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Jesús Tapia</author>
  </authors>
  <commentList>
    <comment ref="C39" authorId="0" shapeId="0" xr:uid="{4992C1DD-658D-4A59-B2DC-BF31E92DC83B}">
      <text>
        <r>
          <rPr>
            <b/>
            <sz val="9"/>
            <color indexed="81"/>
            <rFont val="Tahoma"/>
            <family val="2"/>
          </rPr>
          <t>Jesús Tapia:
=Capacidad del tanque/Caudal</t>
        </r>
      </text>
    </comment>
    <comment ref="C40" authorId="0" shapeId="0" xr:uid="{44773127-AF5F-4E27-9A33-8BC167F33DB9}">
      <text>
        <r>
          <rPr>
            <b/>
            <sz val="9"/>
            <color indexed="81"/>
            <rFont val="Tahoma"/>
            <family val="2"/>
          </rPr>
          <t>Jesús Tapia:</t>
        </r>
        <r>
          <rPr>
            <sz val="9"/>
            <color indexed="81"/>
            <rFont val="Tahoma"/>
            <family val="2"/>
          </rPr>
          <t xml:space="preserve">
=Tiempo efectivo de vuelo + Tiempo de abastecimiento</t>
        </r>
      </text>
    </comment>
    <comment ref="C41" authorId="0" shapeId="0" xr:uid="{8055A17F-5129-4EB8-8057-75BE295F7865}">
      <text>
        <r>
          <rPr>
            <b/>
            <sz val="9"/>
            <color indexed="81"/>
            <rFont val="Tahoma"/>
            <family val="2"/>
          </rPr>
          <t>Jesús Tapia:</t>
        </r>
        <r>
          <rPr>
            <sz val="9"/>
            <color indexed="81"/>
            <rFont val="Tahoma"/>
            <family val="2"/>
          </rPr>
          <t xml:space="preserve">
=Capacidad del tanque/Tasa de aplicación
</t>
        </r>
      </text>
    </comment>
    <comment ref="C43" authorId="0" shapeId="0" xr:uid="{9F08B622-C6D1-4F5C-B411-163119DB33D0}">
      <text>
        <r>
          <rPr>
            <b/>
            <sz val="9"/>
            <color indexed="81"/>
            <rFont val="Tahoma"/>
            <family val="2"/>
          </rPr>
          <t>Jesús Tapia:</t>
        </r>
        <r>
          <rPr>
            <sz val="9"/>
            <color indexed="81"/>
            <rFont val="Tahoma"/>
            <family val="2"/>
          </rPr>
          <t xml:space="preserve">
= (Hectareas por Batería / Tiempo real de vuelo) * 60
</t>
        </r>
      </text>
    </comment>
    <comment ref="C44" authorId="0" shapeId="0" xr:uid="{1C60F91B-E383-4E93-BE16-B7134F00CB22}">
      <text>
        <r>
          <rPr>
            <b/>
            <sz val="9"/>
            <color indexed="81"/>
            <rFont val="Tahoma"/>
            <family val="2"/>
          </rPr>
          <t>Jesús Tapia:</t>
        </r>
        <r>
          <rPr>
            <sz val="9"/>
            <color indexed="81"/>
            <rFont val="Tahoma"/>
            <family val="2"/>
          </rPr>
          <t xml:space="preserve">
=Hectareas por día/Hectareas en una Hora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Jesús Tapia</author>
  </authors>
  <commentList>
    <comment ref="C39" authorId="0" shapeId="0" xr:uid="{73AB67E1-8813-4A0F-A727-82605E1E8B7B}">
      <text>
        <r>
          <rPr>
            <b/>
            <sz val="9"/>
            <color indexed="81"/>
            <rFont val="Tahoma"/>
            <family val="2"/>
          </rPr>
          <t>Jesús Tapia:
=Capacidad del tanque/Caudal</t>
        </r>
      </text>
    </comment>
    <comment ref="C40" authorId="0" shapeId="0" xr:uid="{D15182CA-86B8-407B-96B7-BB57EBA6E89F}">
      <text>
        <r>
          <rPr>
            <b/>
            <sz val="9"/>
            <color indexed="81"/>
            <rFont val="Tahoma"/>
            <family val="2"/>
          </rPr>
          <t>Jesús Tapia:</t>
        </r>
        <r>
          <rPr>
            <sz val="9"/>
            <color indexed="81"/>
            <rFont val="Tahoma"/>
            <family val="2"/>
          </rPr>
          <t xml:space="preserve">
=Tiempo efectivo de vuelo + Tiempo de abastecimiento</t>
        </r>
      </text>
    </comment>
    <comment ref="C41" authorId="0" shapeId="0" xr:uid="{04EDA24A-E987-4FF0-9A30-F805B1C893E9}">
      <text>
        <r>
          <rPr>
            <b/>
            <sz val="9"/>
            <color indexed="81"/>
            <rFont val="Tahoma"/>
            <family val="2"/>
          </rPr>
          <t>Jesús Tapia:</t>
        </r>
        <r>
          <rPr>
            <sz val="9"/>
            <color indexed="81"/>
            <rFont val="Tahoma"/>
            <family val="2"/>
          </rPr>
          <t xml:space="preserve">
=Capacidad del tanque/Tasa de aplicación
</t>
        </r>
      </text>
    </comment>
    <comment ref="C43" authorId="0" shapeId="0" xr:uid="{9BCEEDCF-6915-4398-95C4-2B782D0C53BB}">
      <text>
        <r>
          <rPr>
            <b/>
            <sz val="9"/>
            <color indexed="81"/>
            <rFont val="Tahoma"/>
            <family val="2"/>
          </rPr>
          <t>Jesús Tapia:</t>
        </r>
        <r>
          <rPr>
            <sz val="9"/>
            <color indexed="81"/>
            <rFont val="Tahoma"/>
            <family val="2"/>
          </rPr>
          <t xml:space="preserve">
= (Hectareas por Batería / Tiempo real de vuelo) * 60
</t>
        </r>
      </text>
    </comment>
    <comment ref="C44" authorId="0" shapeId="0" xr:uid="{D9F3B2AB-65E5-40BE-AFB0-879028430A98}">
      <text>
        <r>
          <rPr>
            <b/>
            <sz val="9"/>
            <color indexed="81"/>
            <rFont val="Tahoma"/>
            <family val="2"/>
          </rPr>
          <t>Jesús Tapia:</t>
        </r>
        <r>
          <rPr>
            <sz val="9"/>
            <color indexed="81"/>
            <rFont val="Tahoma"/>
            <family val="2"/>
          </rPr>
          <t xml:space="preserve">
=Hectareas por día/Hectareas en una Hora
</t>
        </r>
      </text>
    </comment>
  </commentList>
</comments>
</file>

<file path=xl/sharedStrings.xml><?xml version="1.0" encoding="utf-8"?>
<sst xmlns="http://schemas.openxmlformats.org/spreadsheetml/2006/main" count="531" uniqueCount="97">
  <si>
    <t>PARÁMETROS OPERATIVOS</t>
  </si>
  <si>
    <t>Modelo de dron</t>
  </si>
  <si>
    <t>T100</t>
  </si>
  <si>
    <t>Costo del kit</t>
  </si>
  <si>
    <t>Soles</t>
  </si>
  <si>
    <t>Capacidad de tanque</t>
  </si>
  <si>
    <t>L</t>
  </si>
  <si>
    <t>Tasa de aplicación</t>
  </si>
  <si>
    <t>L/Ha</t>
  </si>
  <si>
    <t>Velocidad de vuelo</t>
  </si>
  <si>
    <t>m/s</t>
  </si>
  <si>
    <t>Interlineado</t>
  </si>
  <si>
    <t>m</t>
  </si>
  <si>
    <t>MODELO</t>
  </si>
  <si>
    <t>T70P</t>
  </si>
  <si>
    <t>Caudal calculado</t>
  </si>
  <si>
    <t>CAPACIDAD</t>
  </si>
  <si>
    <t>Hectareas por día</t>
  </si>
  <si>
    <t>Ha</t>
  </si>
  <si>
    <t>BATERÍA</t>
  </si>
  <si>
    <t>Tiempo de abastecimiento</t>
  </si>
  <si>
    <t>Min</t>
  </si>
  <si>
    <t>CAUDAL CON 2 BOQUILLAS</t>
  </si>
  <si>
    <t>Tiempo efectivo de batería x Modelo de drone</t>
  </si>
  <si>
    <t>CAUDAL CON 4 BOQUILLAS</t>
  </si>
  <si>
    <t>RATIOS DE AVANCE (Hectarea &amp; tiempos)</t>
  </si>
  <si>
    <t>Tiempo efectivo de vuelo</t>
  </si>
  <si>
    <t>Tiempo real de vuelo</t>
  </si>
  <si>
    <t>Hectareas por Batería</t>
  </si>
  <si>
    <t>Hectareas en una Hora</t>
  </si>
  <si>
    <t xml:space="preserve"> Ha/Hr</t>
  </si>
  <si>
    <t>Tiempo real de trabajo</t>
  </si>
  <si>
    <t>Hr</t>
  </si>
  <si>
    <t>CONSUMO DE COMBUSTIBLE/DÍA</t>
  </si>
  <si>
    <t>Combustible/Carga de batería</t>
  </si>
  <si>
    <t>N° de cargas x día de trabajo</t>
  </si>
  <si>
    <t>Combustible x día de trabajo</t>
  </si>
  <si>
    <t>COSTOS OPERATIVOS</t>
  </si>
  <si>
    <t>Ganancia total x Hectarea</t>
  </si>
  <si>
    <t>Ganancia total x día laboral</t>
  </si>
  <si>
    <t>Costo de Gasolina x Litro</t>
  </si>
  <si>
    <t>Costo de combustible (Generador)</t>
  </si>
  <si>
    <t>Costo de diesel x Galón</t>
  </si>
  <si>
    <t>Cant. Galones usado x día</t>
  </si>
  <si>
    <t>Galones</t>
  </si>
  <si>
    <t>Costo de combustible (Camioneta)</t>
  </si>
  <si>
    <t>Costo por día (Piloto &amp; Abastecedor)</t>
  </si>
  <si>
    <t>Alquiler de camioneta</t>
  </si>
  <si>
    <t>Costo de operación x día</t>
  </si>
  <si>
    <t>INGRESOS</t>
  </si>
  <si>
    <t>Costo x Hectarea</t>
  </si>
  <si>
    <t>Ganancia x Hectarea</t>
  </si>
  <si>
    <t>Ganancia x día</t>
  </si>
  <si>
    <t>ROI</t>
  </si>
  <si>
    <t>Días de recuperación de inversión</t>
  </si>
  <si>
    <t>Días</t>
  </si>
  <si>
    <t>Ha x aplicar</t>
  </si>
  <si>
    <t>T25P</t>
  </si>
  <si>
    <t>2ha x día</t>
  </si>
  <si>
    <t>N° de cargas</t>
  </si>
  <si>
    <t>20L/Ha</t>
  </si>
  <si>
    <t>1L</t>
  </si>
  <si>
    <t>2soles</t>
  </si>
  <si>
    <t>T50</t>
  </si>
  <si>
    <t>Hectareas x día</t>
  </si>
  <si>
    <t>Hectareas x Batería</t>
  </si>
  <si>
    <t>Hectareas x Hora</t>
  </si>
  <si>
    <t>Combustible x Carga de batería</t>
  </si>
  <si>
    <t>N° de carga x día de trabajo</t>
  </si>
  <si>
    <t>Costo de Gasolina x Litro (generador)</t>
  </si>
  <si>
    <t>**</t>
  </si>
  <si>
    <t>gal</t>
  </si>
  <si>
    <t>Costo Galon Premium</t>
  </si>
  <si>
    <t>S/. / ha</t>
  </si>
  <si>
    <t>Bateria / ha</t>
  </si>
  <si>
    <t>Bateria</t>
  </si>
  <si>
    <t>Costo de combustible de Generador/ ha</t>
  </si>
  <si>
    <t>CONSUMO DE COMBUSTIBLE GENERADOR/DÍA</t>
  </si>
  <si>
    <t>CONSUMO DE COMBUSTIBLE CAMIONETA/DÍA</t>
  </si>
  <si>
    <t>Combustible/Km</t>
  </si>
  <si>
    <t>Km recorrido / día</t>
  </si>
  <si>
    <t>Km</t>
  </si>
  <si>
    <t>Costo Galon Diesel</t>
  </si>
  <si>
    <t>Costo de combustible de Camioneta/día</t>
  </si>
  <si>
    <t>Galones x día de trabajo</t>
  </si>
  <si>
    <t>Nota: 2.8 Turbo Diesel 4x4 TOYOTA SRV promedia un consumo de 9 Km/L</t>
  </si>
  <si>
    <t>Nota:  Generador D14000 Consumo de 500ml/kWh</t>
  </si>
  <si>
    <t>COSTOS DE MANTENIMIENTO</t>
  </si>
  <si>
    <t>Mantenimiento Preventivo</t>
  </si>
  <si>
    <t>horas</t>
  </si>
  <si>
    <t>Días / Mant.Prevnt</t>
  </si>
  <si>
    <t>Cant. de Mant. Prev</t>
  </si>
  <si>
    <t>Cant</t>
  </si>
  <si>
    <t>Costo de Mantenimiento Preventivo</t>
  </si>
  <si>
    <t>Costo total de Mant.</t>
  </si>
  <si>
    <t>Mantenimientos</t>
  </si>
  <si>
    <t>Mantenimiento Preventivo = 100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</si>
</sst>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&quot;S/&quot;\ #,##0.00"/>
  </numFmts>
  <fonts count="8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3C5A1"/>
        <bgColor indexed="64"/>
      </patternFill>
    </fill>
    <fill>
      <patternFill patternType="solid">
        <fgColor rgb="FF0A4B25"/>
        <bgColor indexed="64"/>
      </patternFill>
    </fill>
    <fill>
      <patternFill patternType="solid">
        <fgColor rgb="FF0B270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86C2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86C26"/>
      </left>
      <right/>
      <top style="thin">
        <color rgb="FF386C26"/>
      </top>
      <bottom/>
      <diagonal/>
    </border>
    <border>
      <left/>
      <right style="thin">
        <color rgb="FF386C26"/>
      </right>
      <top style="thin">
        <color rgb="FF386C26"/>
      </top>
      <bottom/>
      <diagonal/>
    </border>
    <border>
      <left style="thin">
        <color rgb="FF386C26"/>
      </left>
      <right/>
      <top/>
      <bottom/>
      <diagonal/>
    </border>
    <border>
      <left/>
      <right style="thin">
        <color rgb="FF386C26"/>
      </right>
      <top/>
      <bottom/>
      <diagonal/>
    </border>
    <border>
      <left style="thin">
        <color rgb="FF386C26"/>
      </left>
      <right/>
      <top/>
      <bottom style="thin">
        <color rgb="FF386C26"/>
      </bottom>
      <diagonal/>
    </border>
    <border>
      <left/>
      <right style="thin">
        <color rgb="FF386C26"/>
      </right>
      <top/>
      <bottom style="thin">
        <color rgb="FF386C26"/>
      </bottom>
      <diagonal/>
    </border>
    <border>
      <left style="thin">
        <color rgb="FF386C26"/>
      </left>
      <right style="thin">
        <color rgb="FF386C26"/>
      </right>
      <top style="thin">
        <color rgb="FF386C26"/>
      </top>
      <bottom/>
      <diagonal/>
    </border>
    <border>
      <left style="thin">
        <color rgb="FF386C26"/>
      </left>
      <right style="thin">
        <color rgb="FF386C26"/>
      </right>
      <top/>
      <bottom/>
      <diagonal/>
    </border>
    <border>
      <left style="thin">
        <color rgb="FF386C26"/>
      </left>
      <right style="thin">
        <color rgb="FF386C26"/>
      </right>
      <top/>
      <bottom style="thin">
        <color rgb="FF386C2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86C26"/>
      </left>
      <right/>
      <top/>
      <bottom style="thin">
        <color indexed="64"/>
      </bottom>
      <diagonal/>
    </border>
    <border>
      <left/>
      <right style="thin">
        <color rgb="FF386C26"/>
      </right>
      <top/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/>
    <xf numFmtId="0" fontId="0" fillId="2" borderId="8" xfId="0" applyFill="1" applyBorder="1" applyAlignment="1">
      <alignment horizontal="center" vertical="center"/>
    </xf>
    <xf numFmtId="0" fontId="0" fillId="2" borderId="4" xfId="0" applyFill="1" applyBorder="1"/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/>
    <xf numFmtId="0" fontId="0" fillId="2" borderId="13" xfId="0" applyFill="1" applyBorder="1"/>
    <xf numFmtId="0" fontId="0" fillId="2" borderId="14" xfId="0" applyFill="1" applyBorder="1" applyAlignment="1">
      <alignment horizontal="center"/>
    </xf>
    <xf numFmtId="0" fontId="0" fillId="2" borderId="15" xfId="0" applyFill="1" applyBorder="1"/>
    <xf numFmtId="0" fontId="0" fillId="2" borderId="16" xfId="0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2" fontId="0" fillId="2" borderId="19" xfId="0" applyNumberFormat="1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7" xfId="0" applyFill="1" applyBorder="1"/>
    <xf numFmtId="0" fontId="0" fillId="2" borderId="19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3" borderId="17" xfId="0" applyFill="1" applyBorder="1"/>
    <xf numFmtId="2" fontId="0" fillId="3" borderId="21" xfId="0" applyNumberForma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3" fillId="5" borderId="7" xfId="0" applyFont="1" applyFill="1" applyBorder="1"/>
    <xf numFmtId="0" fontId="3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 vertical="center"/>
    </xf>
    <xf numFmtId="0" fontId="0" fillId="0" borderId="17" xfId="0" applyBorder="1"/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5" borderId="15" xfId="0" applyFont="1" applyFill="1" applyBorder="1"/>
    <xf numFmtId="0" fontId="3" fillId="5" borderId="20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6" borderId="13" xfId="0" applyFont="1" applyFill="1" applyBorder="1"/>
    <xf numFmtId="2" fontId="3" fillId="6" borderId="19" xfId="0" applyNumberFormat="1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/>
    </xf>
    <xf numFmtId="2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2" fontId="3" fillId="5" borderId="0" xfId="0" applyNumberFormat="1" applyFont="1" applyFill="1" applyAlignment="1">
      <alignment horizontal="center"/>
    </xf>
    <xf numFmtId="2" fontId="3" fillId="5" borderId="0" xfId="0" applyNumberFormat="1" applyFont="1" applyFill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165" fontId="0" fillId="2" borderId="9" xfId="0" applyNumberForma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4" fillId="2" borderId="8" xfId="0" applyFont="1" applyFill="1" applyBorder="1" applyAlignment="1">
      <alignment horizontal="center" vertical="center"/>
    </xf>
    <xf numFmtId="0" fontId="0" fillId="2" borderId="22" xfId="0" applyFill="1" applyBorder="1"/>
    <xf numFmtId="0" fontId="4" fillId="2" borderId="22" xfId="0" applyFont="1" applyFill="1" applyBorder="1" applyAlignment="1">
      <alignment horizontal="center" vertical="center"/>
    </xf>
    <xf numFmtId="165" fontId="0" fillId="2" borderId="22" xfId="0" applyNumberForma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3" fillId="5" borderId="22" xfId="0" applyFont="1" applyFill="1" applyBorder="1"/>
    <xf numFmtId="0" fontId="3" fillId="5" borderId="22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/>
    </xf>
    <xf numFmtId="0" fontId="0" fillId="7" borderId="19" xfId="0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right"/>
    </xf>
    <xf numFmtId="0" fontId="5" fillId="2" borderId="0" xfId="0" applyFont="1" applyFill="1"/>
    <xf numFmtId="0" fontId="5" fillId="2" borderId="0" xfId="0" applyFont="1" applyFill="1" applyAlignment="1">
      <alignment horizontal="center" vertical="center"/>
    </xf>
    <xf numFmtId="0" fontId="0" fillId="0" borderId="7" xfId="0" applyBorder="1"/>
    <xf numFmtId="0" fontId="0" fillId="0" borderId="9" xfId="0" applyBorder="1" applyAlignment="1">
      <alignment horizontal="center" vertical="center"/>
    </xf>
    <xf numFmtId="0" fontId="0" fillId="2" borderId="20" xfId="0" applyFill="1" applyBorder="1" applyAlignment="1">
      <alignment horizontal="left" vertical="center"/>
    </xf>
    <xf numFmtId="0" fontId="6" fillId="2" borderId="0" xfId="0" applyFont="1" applyFill="1"/>
    <xf numFmtId="0" fontId="3" fillId="0" borderId="7" xfId="0" applyFont="1" applyBorder="1"/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7" fillId="0" borderId="7" xfId="0" applyFont="1" applyBorder="1"/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15" xfId="0" applyFont="1" applyBorder="1"/>
    <xf numFmtId="0" fontId="7" fillId="0" borderId="2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15" xfId="0" applyFont="1" applyBorder="1"/>
    <xf numFmtId="0" fontId="6" fillId="0" borderId="2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13" xfId="0" applyFont="1" applyBorder="1"/>
    <xf numFmtId="2" fontId="7" fillId="0" borderId="19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8" borderId="20" xfId="0" applyFill="1" applyBorder="1" applyAlignment="1">
      <alignment horizontal="left" vertical="center"/>
    </xf>
    <xf numFmtId="0" fontId="0" fillId="8" borderId="20" xfId="0" applyFill="1" applyBorder="1" applyAlignment="1">
      <alignment horizontal="center" vertical="center"/>
    </xf>
    <xf numFmtId="0" fontId="3" fillId="9" borderId="7" xfId="0" applyFont="1" applyFill="1" applyBorder="1"/>
    <xf numFmtId="0" fontId="3" fillId="9" borderId="9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5" fillId="9" borderId="7" xfId="0" applyFont="1" applyFill="1" applyBorder="1"/>
    <xf numFmtId="0" fontId="5" fillId="9" borderId="9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left" vertical="center"/>
    </xf>
    <xf numFmtId="0" fontId="5" fillId="9" borderId="20" xfId="0" applyFont="1" applyFill="1" applyBorder="1" applyAlignment="1">
      <alignment horizontal="center" vertical="center"/>
    </xf>
    <xf numFmtId="0" fontId="3" fillId="9" borderId="15" xfId="0" applyFont="1" applyFill="1" applyBorder="1"/>
    <xf numFmtId="0" fontId="3" fillId="9" borderId="20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86C26"/>
      <color rgb="FF0B2707"/>
      <color rgb="FF0A4B25"/>
      <color rgb="FF93C5A1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jp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3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670102</xdr:colOff>
      <xdr:row>9</xdr:row>
      <xdr:rowOff>132345</xdr:rowOff>
    </xdr:from>
    <xdr:to>
      <xdr:col>5</xdr:col>
      <xdr:colOff>4376297</xdr:colOff>
      <xdr:row>17</xdr:row>
      <xdr:rowOff>87617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6FD38F-EB87-4796-85D2-BD7A8FAB6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09677" y="1846845"/>
          <a:ext cx="3706195" cy="14792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4685366</xdr:colOff>
      <xdr:row>34</xdr:row>
      <xdr:rowOff>59319</xdr:rowOff>
    </xdr:from>
    <xdr:to>
      <xdr:col>10</xdr:col>
      <xdr:colOff>317794</xdr:colOff>
      <xdr:row>44</xdr:row>
      <xdr:rowOff>170761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CAEF4F-548F-4483-887E-008840949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70660" y="6536319"/>
          <a:ext cx="5056575" cy="2016442"/>
        </a:xfrm>
        <a:prstGeom prst="rect">
          <a:avLst/>
        </a:prstGeom>
      </xdr:spPr>
    </xdr:pic>
    <xdr:clientData/>
  </xdr:twoCellAnchor>
  <xdr:twoCellAnchor editAs="oneCell">
    <xdr:from>
      <xdr:col>4</xdr:col>
      <xdr:colOff>38101</xdr:colOff>
      <xdr:row>22</xdr:row>
      <xdr:rowOff>0</xdr:rowOff>
    </xdr:from>
    <xdr:to>
      <xdr:col>4</xdr:col>
      <xdr:colOff>4737052</xdr:colOff>
      <xdr:row>27</xdr:row>
      <xdr:rowOff>2721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7390A8-38BC-417A-B494-7B650B540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15551" y="4191000"/>
          <a:ext cx="4698951" cy="955221"/>
        </a:xfrm>
        <a:prstGeom prst="rect">
          <a:avLst/>
        </a:prstGeom>
      </xdr:spPr>
    </xdr:pic>
    <xdr:clientData/>
  </xdr:twoCellAnchor>
  <xdr:twoCellAnchor editAs="oneCell">
    <xdr:from>
      <xdr:col>4</xdr:col>
      <xdr:colOff>456640</xdr:colOff>
      <xdr:row>28</xdr:row>
      <xdr:rowOff>79560</xdr:rowOff>
    </xdr:from>
    <xdr:to>
      <xdr:col>4</xdr:col>
      <xdr:colOff>2967318</xdr:colOff>
      <xdr:row>41</xdr:row>
      <xdr:rowOff>117751</xdr:rowOff>
    </xdr:to>
    <xdr:pic>
      <xdr:nvPicPr>
        <xdr:cNvPr id="12" name="object 13">
          <a:extLst>
            <a:ext uri="{FF2B5EF4-FFF2-40B4-BE49-F238E27FC236}">
              <a16:creationId xmlns:a16="http://schemas.microsoft.com/office/drawing/2014/main" id="{7BD44989-50BA-410F-A5F5-3905ED0C0094}"/>
            </a:ext>
            <a:ext uri="{147F2762-F138-4A5C-976F-8EAC2B608ADB}">
              <a16:predDERef xmlns:a16="http://schemas.microsoft.com/office/drawing/2014/main" pred="{AD7390A8-38BC-417A-B494-7B650B540586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534090" y="5413560"/>
          <a:ext cx="2510678" cy="2514691"/>
        </a:xfrm>
        <a:prstGeom prst="rect">
          <a:avLst/>
        </a:prstGeom>
      </xdr:spPr>
    </xdr:pic>
    <xdr:clientData/>
  </xdr:twoCellAnchor>
  <xdr:twoCellAnchor editAs="oneCell">
    <xdr:from>
      <xdr:col>1</xdr:col>
      <xdr:colOff>37540</xdr:colOff>
      <xdr:row>0</xdr:row>
      <xdr:rowOff>64433</xdr:rowOff>
    </xdr:from>
    <xdr:to>
      <xdr:col>2</xdr:col>
      <xdr:colOff>2536452</xdr:colOff>
      <xdr:row>21</xdr:row>
      <xdr:rowOff>75194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C6CD9A7-8E4A-1AE9-8D10-F3DBCEAF4C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19" t="10675" r="17402" b="9586"/>
        <a:stretch>
          <a:fillRect/>
        </a:stretch>
      </xdr:blipFill>
      <xdr:spPr>
        <a:xfrm>
          <a:off x="799540" y="64433"/>
          <a:ext cx="5244353" cy="401126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2633383</xdr:colOff>
      <xdr:row>13</xdr:row>
      <xdr:rowOff>190289</xdr:rowOff>
    </xdr:from>
    <xdr:to>
      <xdr:col>5</xdr:col>
      <xdr:colOff>448236</xdr:colOff>
      <xdr:row>21</xdr:row>
      <xdr:rowOff>147044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8EDEF62-3ED9-1666-F7AA-F3586836D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40824" y="2666789"/>
          <a:ext cx="9155206" cy="14807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3082925</xdr:colOff>
      <xdr:row>35</xdr:row>
      <xdr:rowOff>171378</xdr:rowOff>
    </xdr:from>
    <xdr:to>
      <xdr:col>8</xdr:col>
      <xdr:colOff>239353</xdr:colOff>
      <xdr:row>46</xdr:row>
      <xdr:rowOff>92320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EF63A2-4A04-47FD-B340-1F1277F1F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60375" y="6838878"/>
          <a:ext cx="5052653" cy="2016442"/>
        </a:xfrm>
        <a:prstGeom prst="rect">
          <a:avLst/>
        </a:prstGeom>
      </xdr:spPr>
    </xdr:pic>
    <xdr:clientData/>
  </xdr:twoCellAnchor>
  <xdr:twoCellAnchor editAs="oneCell">
    <xdr:from>
      <xdr:col>4</xdr:col>
      <xdr:colOff>38101</xdr:colOff>
      <xdr:row>22</xdr:row>
      <xdr:rowOff>0</xdr:rowOff>
    </xdr:from>
    <xdr:to>
      <xdr:col>4</xdr:col>
      <xdr:colOff>4737052</xdr:colOff>
      <xdr:row>27</xdr:row>
      <xdr:rowOff>2721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10F3CC-BAEA-4A2E-87B5-3BB1DD5D3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15551" y="4191000"/>
          <a:ext cx="4698951" cy="955221"/>
        </a:xfrm>
        <a:prstGeom prst="rect">
          <a:avLst/>
        </a:prstGeom>
      </xdr:spPr>
    </xdr:pic>
    <xdr:clientData/>
  </xdr:twoCellAnchor>
  <xdr:twoCellAnchor editAs="oneCell">
    <xdr:from>
      <xdr:col>4</xdr:col>
      <xdr:colOff>50110</xdr:colOff>
      <xdr:row>27</xdr:row>
      <xdr:rowOff>68331</xdr:rowOff>
    </xdr:from>
    <xdr:to>
      <xdr:col>4</xdr:col>
      <xdr:colOff>1763086</xdr:colOff>
      <xdr:row>43</xdr:row>
      <xdr:rowOff>120528</xdr:rowOff>
    </xdr:to>
    <xdr:pic>
      <xdr:nvPicPr>
        <xdr:cNvPr id="4" name="object 13">
          <a:extLst>
            <a:ext uri="{FF2B5EF4-FFF2-40B4-BE49-F238E27FC236}">
              <a16:creationId xmlns:a16="http://schemas.microsoft.com/office/drawing/2014/main" id="{42C9BD28-A223-4843-94DE-DFF559BB30EA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121762" y="5211831"/>
          <a:ext cx="1712976" cy="3100197"/>
        </a:xfrm>
        <a:prstGeom prst="rect">
          <a:avLst/>
        </a:prstGeom>
      </xdr:spPr>
    </xdr:pic>
    <xdr:clientData/>
  </xdr:twoCellAnchor>
  <xdr:twoCellAnchor editAs="oneCell">
    <xdr:from>
      <xdr:col>3</xdr:col>
      <xdr:colOff>1640472</xdr:colOff>
      <xdr:row>15</xdr:row>
      <xdr:rowOff>157109</xdr:rowOff>
    </xdr:from>
    <xdr:to>
      <xdr:col>4</xdr:col>
      <xdr:colOff>3600450</xdr:colOff>
      <xdr:row>21</xdr:row>
      <xdr:rowOff>130490</xdr:rowOff>
    </xdr:to>
    <xdr:pic>
      <xdr:nvPicPr>
        <xdr:cNvPr id="9" name="Imagen 5">
          <a:extLst>
            <a:ext uri="{FF2B5EF4-FFF2-40B4-BE49-F238E27FC236}">
              <a16:creationId xmlns:a16="http://schemas.microsoft.com/office/drawing/2014/main" id="{C6EE4046-8916-77B9-C07C-F769D904CAC7}"/>
            </a:ext>
            <a:ext uri="{147F2762-F138-4A5C-976F-8EAC2B608ADB}">
              <a16:predDERef xmlns:a16="http://schemas.microsoft.com/office/drawing/2014/main" pred="{42C9BD28-A223-4843-94DE-DFF559BB3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31722" y="3014609"/>
          <a:ext cx="5846178" cy="1116381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142875</xdr:rowOff>
    </xdr:from>
    <xdr:to>
      <xdr:col>3</xdr:col>
      <xdr:colOff>1571625</xdr:colOff>
      <xdr:row>21</xdr:row>
      <xdr:rowOff>66675</xdr:rowOff>
    </xdr:to>
    <xdr:pic>
      <xdr:nvPicPr>
        <xdr:cNvPr id="10" name="Imagen 7">
          <a:extLst>
            <a:ext uri="{FF2B5EF4-FFF2-40B4-BE49-F238E27FC236}">
              <a16:creationId xmlns:a16="http://schemas.microsoft.com/office/drawing/2014/main" id="{0F899EE5-DA2F-4933-B021-D681335FCCED}"/>
            </a:ext>
            <a:ext uri="{147F2762-F138-4A5C-976F-8EAC2B608ADB}">
              <a16:predDERef xmlns:a16="http://schemas.microsoft.com/office/drawing/2014/main" pred="{C6EE4046-8916-77B9-C07C-F769D904C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142875"/>
          <a:ext cx="6981825" cy="39243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3082925</xdr:colOff>
      <xdr:row>35</xdr:row>
      <xdr:rowOff>171378</xdr:rowOff>
    </xdr:from>
    <xdr:to>
      <xdr:col>5</xdr:col>
      <xdr:colOff>3373078</xdr:colOff>
      <xdr:row>46</xdr:row>
      <xdr:rowOff>92320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965E72-372C-4F28-B0F6-DEC420460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60375" y="6838878"/>
          <a:ext cx="5052653" cy="2016442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21</xdr:row>
      <xdr:rowOff>133350</xdr:rowOff>
    </xdr:from>
    <xdr:to>
      <xdr:col>5</xdr:col>
      <xdr:colOff>2686050</xdr:colOff>
      <xdr:row>29</xdr:row>
      <xdr:rowOff>38100</xdr:rowOff>
    </xdr:to>
    <xdr:pic>
      <xdr:nvPicPr>
        <xdr:cNvPr id="10" name="Imagen 2">
          <a:extLst>
            <a:ext uri="{FF2B5EF4-FFF2-40B4-BE49-F238E27FC236}">
              <a16:creationId xmlns:a16="http://schemas.microsoft.com/office/drawing/2014/main" id="{D80B5859-3E87-2321-5080-0F9B04102C9C}"/>
            </a:ext>
            <a:ext uri="{147F2762-F138-4A5C-976F-8EAC2B608ADB}">
              <a16:predDERef xmlns:a16="http://schemas.microsoft.com/office/drawing/2014/main" pred="{DB965E72-372C-4F28-B0F6-DEC420460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8925" y="4133850"/>
          <a:ext cx="70770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</xdr:row>
      <xdr:rowOff>0</xdr:rowOff>
    </xdr:from>
    <xdr:to>
      <xdr:col>3</xdr:col>
      <xdr:colOff>1514475</xdr:colOff>
      <xdr:row>21</xdr:row>
      <xdr:rowOff>95250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99E1BF8-209A-2D0C-E09E-F5758AE261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471" t="15105" r="16652" b="20675"/>
        <a:stretch>
          <a:fillRect/>
        </a:stretch>
      </xdr:blipFill>
      <xdr:spPr>
        <a:xfrm>
          <a:off x="800100" y="190500"/>
          <a:ext cx="6905625" cy="390525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4</xdr:col>
      <xdr:colOff>371475</xdr:colOff>
      <xdr:row>29</xdr:row>
      <xdr:rowOff>171450</xdr:rowOff>
    </xdr:from>
    <xdr:to>
      <xdr:col>4</xdr:col>
      <xdr:colOff>2084451</xdr:colOff>
      <xdr:row>46</xdr:row>
      <xdr:rowOff>33147</xdr:rowOff>
    </xdr:to>
    <xdr:pic>
      <xdr:nvPicPr>
        <xdr:cNvPr id="9" name="object 13">
          <a:extLst>
            <a:ext uri="{FF2B5EF4-FFF2-40B4-BE49-F238E27FC236}">
              <a16:creationId xmlns:a16="http://schemas.microsoft.com/office/drawing/2014/main" id="{DA9C1367-7423-E85D-737D-C9292E36244B}"/>
            </a:ext>
            <a:ext uri="{147F2762-F138-4A5C-976F-8EAC2B608ADB}">
              <a16:predDERef xmlns:a16="http://schemas.microsoft.com/office/drawing/2014/main" pred="{099E1BF8-209A-2D0C-E09E-F5758AE261EA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448925" y="5695950"/>
          <a:ext cx="1712976" cy="3100197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352426</xdr:colOff>
      <xdr:row>13</xdr:row>
      <xdr:rowOff>117790</xdr:rowOff>
    </xdr:from>
    <xdr:to>
      <xdr:col>5</xdr:col>
      <xdr:colOff>4524376</xdr:colOff>
      <xdr:row>21</xdr:row>
      <xdr:rowOff>47874</xdr:rowOff>
    </xdr:to>
    <xdr:pic>
      <xdr:nvPicPr>
        <xdr:cNvPr id="11" name="Imagen 5">
          <a:extLst>
            <a:ext uri="{FF2B5EF4-FFF2-40B4-BE49-F238E27FC236}">
              <a16:creationId xmlns:a16="http://schemas.microsoft.com/office/drawing/2014/main" id="{FC6312A3-7C55-86FB-CE98-76A7BD139BE8}"/>
            </a:ext>
            <a:ext uri="{147F2762-F138-4A5C-976F-8EAC2B608ADB}">
              <a16:predDERef xmlns:a16="http://schemas.microsoft.com/office/drawing/2014/main" pred="{DA9C1367-7423-E85D-737D-C9292E362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29876" y="2594290"/>
          <a:ext cx="8934450" cy="145408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3082925</xdr:colOff>
      <xdr:row>35</xdr:row>
      <xdr:rowOff>171378</xdr:rowOff>
    </xdr:from>
    <xdr:to>
      <xdr:col>8</xdr:col>
      <xdr:colOff>239353</xdr:colOff>
      <xdr:row>46</xdr:row>
      <xdr:rowOff>92320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84C7E0-A6E6-40ED-91BE-D4783C16A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60375" y="6838878"/>
          <a:ext cx="5052653" cy="2016442"/>
        </a:xfrm>
        <a:prstGeom prst="rect">
          <a:avLst/>
        </a:prstGeom>
      </xdr:spPr>
    </xdr:pic>
    <xdr:clientData/>
  </xdr:twoCellAnchor>
  <xdr:twoCellAnchor editAs="oneCell">
    <xdr:from>
      <xdr:col>4</xdr:col>
      <xdr:colOff>38101</xdr:colOff>
      <xdr:row>22</xdr:row>
      <xdr:rowOff>0</xdr:rowOff>
    </xdr:from>
    <xdr:to>
      <xdr:col>4</xdr:col>
      <xdr:colOff>4737052</xdr:colOff>
      <xdr:row>27</xdr:row>
      <xdr:rowOff>2721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E80243-3504-45A0-BC59-18893F68D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15551" y="4191000"/>
          <a:ext cx="4698951" cy="955221"/>
        </a:xfrm>
        <a:prstGeom prst="rect">
          <a:avLst/>
        </a:prstGeom>
      </xdr:spPr>
    </xdr:pic>
    <xdr:clientData/>
  </xdr:twoCellAnchor>
  <xdr:twoCellAnchor editAs="oneCell">
    <xdr:from>
      <xdr:col>4</xdr:col>
      <xdr:colOff>222006</xdr:colOff>
      <xdr:row>27</xdr:row>
      <xdr:rowOff>50556</xdr:rowOff>
    </xdr:from>
    <xdr:to>
      <xdr:col>4</xdr:col>
      <xdr:colOff>2609850</xdr:colOff>
      <xdr:row>50</xdr:row>
      <xdr:rowOff>3350</xdr:rowOff>
    </xdr:to>
    <xdr:pic>
      <xdr:nvPicPr>
        <xdr:cNvPr id="4" name="object 13">
          <a:extLst>
            <a:ext uri="{FF2B5EF4-FFF2-40B4-BE49-F238E27FC236}">
              <a16:creationId xmlns:a16="http://schemas.microsoft.com/office/drawing/2014/main" id="{8F4FABF6-4373-44FF-A0FD-D0D099FFEA36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299456" y="5194056"/>
          <a:ext cx="2387844" cy="4321594"/>
        </a:xfrm>
        <a:prstGeom prst="rect">
          <a:avLst/>
        </a:prstGeom>
      </xdr:spPr>
    </xdr:pic>
    <xdr:clientData/>
  </xdr:twoCellAnchor>
  <xdr:twoCellAnchor editAs="oneCell">
    <xdr:from>
      <xdr:col>3</xdr:col>
      <xdr:colOff>1634099</xdr:colOff>
      <xdr:row>12</xdr:row>
      <xdr:rowOff>158283</xdr:rowOff>
    </xdr:from>
    <xdr:to>
      <xdr:col>6</xdr:col>
      <xdr:colOff>32866</xdr:colOff>
      <xdr:row>21</xdr:row>
      <xdr:rowOff>177575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782F987-CF7F-1735-9035-5117F59F7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25349" y="2444283"/>
          <a:ext cx="8657192" cy="173379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1</xdr:row>
      <xdr:rowOff>11486</xdr:rowOff>
    </xdr:from>
    <xdr:to>
      <xdr:col>3</xdr:col>
      <xdr:colOff>1575797</xdr:colOff>
      <xdr:row>21</xdr:row>
      <xdr:rowOff>123545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EC6A458-1FB1-48CB-AE54-66C8D5042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1" y="201986"/>
          <a:ext cx="6966946" cy="392205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5245280</xdr:colOff>
      <xdr:row>2</xdr:row>
      <xdr:rowOff>139884</xdr:rowOff>
    </xdr:from>
    <xdr:to>
      <xdr:col>4</xdr:col>
      <xdr:colOff>3303710</xdr:colOff>
      <xdr:row>10</xdr:row>
      <xdr:rowOff>93702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A61797-43D5-4DC7-B252-BB6270715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2389" y="520884"/>
          <a:ext cx="3707169" cy="14778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2BE7-673D-4E59-806C-A74E7B5674A8}">
  <dimension ref="B2:H55"/>
  <sheetViews>
    <sheetView zoomScale="143" zoomScaleNormal="100" workbookViewId="0">
      <selection activeCell="F8" sqref="F8"/>
    </sheetView>
  </sheetViews>
  <sheetFormatPr baseColWidth="10" defaultColWidth="11.44140625" defaultRowHeight="14.4" x14ac:dyDescent="0.3"/>
  <cols>
    <col min="1" max="1" width="11.44140625" style="5"/>
    <col min="2" max="2" width="41.109375" style="5" bestFit="1" customWidth="1"/>
    <col min="3" max="3" width="40.33203125" style="6" hidden="1" customWidth="1"/>
    <col min="4" max="4" width="84.6640625" style="6" customWidth="1"/>
    <col min="5" max="5" width="24.6640625" style="6" customWidth="1"/>
    <col min="6" max="6" width="71.44140625" style="5" bestFit="1" customWidth="1"/>
    <col min="7" max="7" width="24.109375" style="5" customWidth="1"/>
    <col min="8" max="8" width="11.44140625" style="5" customWidth="1"/>
    <col min="9" max="16384" width="11.44140625" style="5"/>
  </cols>
  <sheetData>
    <row r="2" spans="2:8" x14ac:dyDescent="0.3">
      <c r="B2" s="108" t="s">
        <v>0</v>
      </c>
      <c r="C2" s="109"/>
      <c r="D2" s="110"/>
      <c r="E2" s="43"/>
    </row>
    <row r="3" spans="2:8" x14ac:dyDescent="0.3">
      <c r="B3" s="111"/>
      <c r="C3" s="112"/>
      <c r="D3" s="113"/>
      <c r="E3" s="43"/>
    </row>
    <row r="4" spans="2:8" x14ac:dyDescent="0.3">
      <c r="B4" s="13" t="s">
        <v>1</v>
      </c>
      <c r="C4" s="121" t="s">
        <v>2</v>
      </c>
      <c r="D4" s="122"/>
    </row>
    <row r="5" spans="2:8" x14ac:dyDescent="0.3">
      <c r="B5" s="8" t="s">
        <v>3</v>
      </c>
      <c r="C5" s="6">
        <v>128500</v>
      </c>
      <c r="D5" s="9" t="s">
        <v>4</v>
      </c>
      <c r="E5" s="6">
        <v>128500</v>
      </c>
    </row>
    <row r="6" spans="2:8" x14ac:dyDescent="0.3">
      <c r="B6" s="8" t="s">
        <v>5</v>
      </c>
      <c r="C6" s="11">
        <v>85</v>
      </c>
      <c r="D6" s="9" t="s">
        <v>6</v>
      </c>
      <c r="E6" s="6">
        <v>95</v>
      </c>
    </row>
    <row r="7" spans="2:8" x14ac:dyDescent="0.3">
      <c r="B7" s="30" t="s">
        <v>7</v>
      </c>
      <c r="C7" s="31">
        <v>50</v>
      </c>
      <c r="D7" s="33" t="s">
        <v>8</v>
      </c>
      <c r="E7" s="44">
        <v>200</v>
      </c>
    </row>
    <row r="8" spans="2:8" x14ac:dyDescent="0.3">
      <c r="B8" s="8" t="s">
        <v>9</v>
      </c>
      <c r="C8" s="11">
        <v>8</v>
      </c>
      <c r="D8" s="9" t="s">
        <v>10</v>
      </c>
      <c r="E8" s="6">
        <v>2.2000000000000002</v>
      </c>
      <c r="F8" s="47"/>
    </row>
    <row r="9" spans="2:8" x14ac:dyDescent="0.3">
      <c r="B9" s="8" t="s">
        <v>11</v>
      </c>
      <c r="C9" s="11">
        <v>8</v>
      </c>
      <c r="D9" s="9" t="s">
        <v>12</v>
      </c>
      <c r="E9" s="6">
        <v>7</v>
      </c>
      <c r="G9" s="6" t="s">
        <v>13</v>
      </c>
      <c r="H9" s="6" t="s">
        <v>14</v>
      </c>
    </row>
    <row r="10" spans="2:8" x14ac:dyDescent="0.3">
      <c r="B10" s="30" t="s">
        <v>15</v>
      </c>
      <c r="C10" s="31">
        <f>(C7*C8*3600/1000*C9)/600</f>
        <v>19.2</v>
      </c>
      <c r="D10" s="32" t="str">
        <f>"L/Min  ;"&amp;"  "&amp;IF(C10&gt;H12,"Necesita instalación de boquillas adicionales","2 Boquillas")&amp;" "&amp;";"&amp;" "&amp;IF(C10&gt;H13,"Necesita otro modelo de drone","Modelo operativo")</f>
        <v>L/Min  ;  Necesita instalación de boquillas adicionales ; Modelo operativo</v>
      </c>
      <c r="E10" s="45">
        <f>E7*E8*E9*3600/600/1000</f>
        <v>18.480000000000004</v>
      </c>
      <c r="G10" s="5" t="s">
        <v>16</v>
      </c>
      <c r="H10" s="5">
        <v>40</v>
      </c>
    </row>
    <row r="11" spans="2:8" x14ac:dyDescent="0.3">
      <c r="B11" s="8" t="s">
        <v>17</v>
      </c>
      <c r="C11" s="11">
        <v>40</v>
      </c>
      <c r="D11" s="9" t="s">
        <v>18</v>
      </c>
      <c r="E11" s="6">
        <v>15</v>
      </c>
      <c r="G11" s="5" t="s">
        <v>19</v>
      </c>
      <c r="H11" s="5">
        <v>6</v>
      </c>
    </row>
    <row r="12" spans="2:8" x14ac:dyDescent="0.3">
      <c r="B12" s="8" t="s">
        <v>20</v>
      </c>
      <c r="C12" s="11">
        <v>7</v>
      </c>
      <c r="D12" s="9" t="s">
        <v>21</v>
      </c>
      <c r="E12" s="6">
        <v>6</v>
      </c>
      <c r="G12" s="5" t="s">
        <v>22</v>
      </c>
      <c r="H12" s="5">
        <v>16</v>
      </c>
    </row>
    <row r="13" spans="2:8" x14ac:dyDescent="0.3">
      <c r="B13" s="10" t="s">
        <v>23</v>
      </c>
      <c r="C13" s="12">
        <v>5.5</v>
      </c>
      <c r="D13" s="7" t="s">
        <v>21</v>
      </c>
      <c r="E13" s="6">
        <v>6</v>
      </c>
      <c r="G13" s="5" t="s">
        <v>24</v>
      </c>
      <c r="H13" s="5">
        <v>24</v>
      </c>
    </row>
    <row r="16" spans="2:8" x14ac:dyDescent="0.3">
      <c r="B16" s="108" t="s">
        <v>25</v>
      </c>
      <c r="C16" s="109"/>
      <c r="D16" s="110"/>
      <c r="E16" s="43"/>
    </row>
    <row r="17" spans="2:5" x14ac:dyDescent="0.3">
      <c r="B17" s="111"/>
      <c r="C17" s="112"/>
      <c r="D17" s="113"/>
      <c r="E17" s="43"/>
    </row>
    <row r="18" spans="2:5" x14ac:dyDescent="0.3">
      <c r="B18" s="14" t="s">
        <v>26</v>
      </c>
      <c r="C18" s="19">
        <f>C6/C10</f>
        <v>4.4270833333333339</v>
      </c>
      <c r="D18" s="15" t="str">
        <f>"Min  ;  "&amp;IF(C18&gt;C13,"Necesita más de 1 vuelo","Funcional")</f>
        <v>Min  ;  Funcional</v>
      </c>
      <c r="E18" s="48">
        <f>E6/E10</f>
        <v>5.1406926406926399</v>
      </c>
    </row>
    <row r="19" spans="2:5" x14ac:dyDescent="0.3">
      <c r="B19" s="16" t="s">
        <v>27</v>
      </c>
      <c r="C19" s="20">
        <f>+C18+C12</f>
        <v>11.427083333333334</v>
      </c>
      <c r="D19" s="17" t="s">
        <v>21</v>
      </c>
      <c r="E19" s="49">
        <f>E18+E12</f>
        <v>11.14069264069264</v>
      </c>
    </row>
    <row r="20" spans="2:5" x14ac:dyDescent="0.3">
      <c r="B20" s="16" t="s">
        <v>28</v>
      </c>
      <c r="C20" s="21">
        <f>C6/C7</f>
        <v>1.7</v>
      </c>
      <c r="D20" s="18" t="s">
        <v>18</v>
      </c>
      <c r="E20" s="46">
        <f>E6/E7</f>
        <v>0.47499999999999998</v>
      </c>
    </row>
    <row r="21" spans="2:5" x14ac:dyDescent="0.3">
      <c r="B21" s="30" t="s">
        <v>29</v>
      </c>
      <c r="C21" s="31">
        <f>(C20/C19)*60</f>
        <v>8.9261622607110294</v>
      </c>
      <c r="D21" s="32" t="s">
        <v>30</v>
      </c>
      <c r="E21" s="50">
        <f>E20/E19*60</f>
        <v>2.5581892364484164</v>
      </c>
    </row>
    <row r="22" spans="2:5" x14ac:dyDescent="0.3">
      <c r="B22" s="30" t="s">
        <v>31</v>
      </c>
      <c r="C22" s="31">
        <f>(C11/C21)</f>
        <v>4.4812091503267979</v>
      </c>
      <c r="D22" s="32" t="s">
        <v>32</v>
      </c>
      <c r="E22" s="50">
        <f>E11/E21</f>
        <v>5.8635224424698107</v>
      </c>
    </row>
    <row r="27" spans="2:5" x14ac:dyDescent="0.3">
      <c r="B27" s="108" t="s">
        <v>33</v>
      </c>
      <c r="C27" s="109"/>
      <c r="D27" s="110"/>
      <c r="E27" s="43"/>
    </row>
    <row r="28" spans="2:5" x14ac:dyDescent="0.3">
      <c r="B28" s="111"/>
      <c r="C28" s="112"/>
      <c r="D28" s="113"/>
      <c r="E28" s="43"/>
    </row>
    <row r="29" spans="2:5" x14ac:dyDescent="0.3">
      <c r="B29" s="14" t="s">
        <v>34</v>
      </c>
      <c r="C29" s="25">
        <v>0.8</v>
      </c>
      <c r="D29" s="22" t="s">
        <v>6</v>
      </c>
      <c r="E29" s="6">
        <v>0.8</v>
      </c>
    </row>
    <row r="30" spans="2:5" x14ac:dyDescent="0.3">
      <c r="B30" s="37" t="s">
        <v>35</v>
      </c>
      <c r="C30" s="38">
        <f>C11/C20</f>
        <v>23.529411764705884</v>
      </c>
      <c r="D30" s="39" t="str">
        <f>IF(30&gt;C30,"Operativo","Necesita realizar una recarga extra de combustible")</f>
        <v>Operativo</v>
      </c>
      <c r="E30" s="51">
        <f>E11/E20</f>
        <v>31.578947368421055</v>
      </c>
    </row>
    <row r="31" spans="2:5" x14ac:dyDescent="0.3">
      <c r="B31" s="34" t="s">
        <v>36</v>
      </c>
      <c r="C31" s="35">
        <f>C29*C30</f>
        <v>18.823529411764707</v>
      </c>
      <c r="D31" s="36" t="s">
        <v>6</v>
      </c>
      <c r="E31" s="4">
        <f>E29*E30</f>
        <v>25.263157894736846</v>
      </c>
    </row>
    <row r="33" spans="2:5" x14ac:dyDescent="0.3">
      <c r="B33" s="108" t="s">
        <v>37</v>
      </c>
      <c r="C33" s="109"/>
      <c r="D33" s="110"/>
      <c r="E33" s="43"/>
    </row>
    <row r="34" spans="2:5" x14ac:dyDescent="0.3">
      <c r="B34" s="111"/>
      <c r="C34" s="112"/>
      <c r="D34" s="113"/>
      <c r="E34" s="43"/>
    </row>
    <row r="35" spans="2:5" x14ac:dyDescent="0.3">
      <c r="B35" s="14" t="s">
        <v>38</v>
      </c>
      <c r="C35" s="25">
        <v>60</v>
      </c>
      <c r="D35" s="22" t="s">
        <v>4</v>
      </c>
      <c r="E35" s="6">
        <v>200</v>
      </c>
    </row>
    <row r="36" spans="2:5" x14ac:dyDescent="0.3">
      <c r="B36" s="16" t="s">
        <v>39</v>
      </c>
      <c r="C36" s="21">
        <f>C35*C11</f>
        <v>2400</v>
      </c>
      <c r="D36" s="17" t="s">
        <v>4</v>
      </c>
      <c r="E36" s="6">
        <f>E35*E11</f>
        <v>3000</v>
      </c>
    </row>
    <row r="37" spans="2:5" x14ac:dyDescent="0.3">
      <c r="B37" s="16" t="s">
        <v>40</v>
      </c>
      <c r="C37" s="21">
        <v>4.5</v>
      </c>
      <c r="D37" s="17" t="s">
        <v>4</v>
      </c>
      <c r="E37" s="6">
        <v>4.5</v>
      </c>
    </row>
    <row r="38" spans="2:5" x14ac:dyDescent="0.3">
      <c r="B38" s="37" t="s">
        <v>41</v>
      </c>
      <c r="C38" s="38">
        <f>C37*C31</f>
        <v>84.705882352941174</v>
      </c>
      <c r="D38" s="39" t="s">
        <v>4</v>
      </c>
      <c r="E38" s="51">
        <f>E31*E37</f>
        <v>113.68421052631581</v>
      </c>
    </row>
    <row r="39" spans="2:5" x14ac:dyDescent="0.3">
      <c r="B39" s="16" t="s">
        <v>42</v>
      </c>
      <c r="C39" s="21">
        <v>16</v>
      </c>
      <c r="D39" s="17" t="s">
        <v>4</v>
      </c>
      <c r="E39" s="6">
        <v>15</v>
      </c>
    </row>
    <row r="40" spans="2:5" x14ac:dyDescent="0.3">
      <c r="B40" s="16" t="s">
        <v>43</v>
      </c>
      <c r="C40" s="21">
        <v>4</v>
      </c>
      <c r="D40" s="17" t="s">
        <v>44</v>
      </c>
      <c r="E40" s="6">
        <v>6</v>
      </c>
    </row>
    <row r="41" spans="2:5" x14ac:dyDescent="0.3">
      <c r="B41" s="37" t="s">
        <v>45</v>
      </c>
      <c r="C41" s="38">
        <f>C39*C40</f>
        <v>64</v>
      </c>
      <c r="D41" s="39" t="s">
        <v>4</v>
      </c>
      <c r="E41" s="44">
        <f>E39*E40</f>
        <v>90</v>
      </c>
    </row>
    <row r="42" spans="2:5" x14ac:dyDescent="0.3">
      <c r="B42" s="37" t="s">
        <v>46</v>
      </c>
      <c r="C42" s="38">
        <v>150</v>
      </c>
      <c r="D42" s="39" t="s">
        <v>4</v>
      </c>
      <c r="E42" s="44">
        <v>150</v>
      </c>
    </row>
    <row r="43" spans="2:5" x14ac:dyDescent="0.3">
      <c r="B43" s="37" t="s">
        <v>47</v>
      </c>
      <c r="C43" s="38">
        <v>200</v>
      </c>
      <c r="D43" s="39" t="s">
        <v>4</v>
      </c>
      <c r="E43" s="44">
        <v>220</v>
      </c>
    </row>
    <row r="44" spans="2:5" x14ac:dyDescent="0.3">
      <c r="B44" s="24" t="s">
        <v>48</v>
      </c>
      <c r="C44" s="26">
        <f>C42+C41+C38+C43</f>
        <v>498.70588235294116</v>
      </c>
      <c r="D44" s="23" t="s">
        <v>4</v>
      </c>
      <c r="E44" s="49">
        <f>E38+E41+E42+E43</f>
        <v>573.68421052631584</v>
      </c>
    </row>
    <row r="46" spans="2:5" x14ac:dyDescent="0.3">
      <c r="B46" s="108" t="s">
        <v>49</v>
      </c>
      <c r="C46" s="109"/>
      <c r="D46" s="110"/>
      <c r="E46" s="43"/>
    </row>
    <row r="47" spans="2:5" x14ac:dyDescent="0.3">
      <c r="B47" s="111"/>
      <c r="C47" s="112"/>
      <c r="D47" s="113"/>
      <c r="E47" s="43"/>
    </row>
    <row r="48" spans="2:5" x14ac:dyDescent="0.3">
      <c r="B48" s="14" t="s">
        <v>50</v>
      </c>
      <c r="C48" s="25">
        <f>C44/C11</f>
        <v>12.467647058823529</v>
      </c>
      <c r="D48" s="22" t="s">
        <v>4</v>
      </c>
      <c r="E48" s="49">
        <f>E44/E11</f>
        <v>38.245614035087719</v>
      </c>
    </row>
    <row r="49" spans="2:5" x14ac:dyDescent="0.3">
      <c r="B49" s="16" t="s">
        <v>51</v>
      </c>
      <c r="C49" s="21">
        <f>C35-C48</f>
        <v>47.53235294117647</v>
      </c>
      <c r="D49" s="17" t="s">
        <v>4</v>
      </c>
      <c r="E49" s="49">
        <f>200-E48</f>
        <v>161.75438596491227</v>
      </c>
    </row>
    <row r="50" spans="2:5" x14ac:dyDescent="0.3">
      <c r="B50" s="24" t="s">
        <v>52</v>
      </c>
      <c r="C50" s="26">
        <f>C49*C11</f>
        <v>1901.2941176470588</v>
      </c>
      <c r="D50" s="23" t="s">
        <v>4</v>
      </c>
      <c r="E50" s="49">
        <f>E49*15</f>
        <v>2426.3157894736842</v>
      </c>
    </row>
    <row r="52" spans="2:5" x14ac:dyDescent="0.3">
      <c r="B52" s="108" t="s">
        <v>53</v>
      </c>
      <c r="C52" s="109"/>
      <c r="D52" s="110"/>
      <c r="E52" s="43"/>
    </row>
    <row r="53" spans="2:5" x14ac:dyDescent="0.3">
      <c r="B53" s="111"/>
      <c r="C53" s="112"/>
      <c r="D53" s="113"/>
      <c r="E53" s="43"/>
    </row>
    <row r="54" spans="2:5" x14ac:dyDescent="0.3">
      <c r="B54" s="40" t="s">
        <v>54</v>
      </c>
      <c r="C54" s="41">
        <f>C5/C50</f>
        <v>67.585545448920243</v>
      </c>
      <c r="D54" s="42" t="s">
        <v>55</v>
      </c>
      <c r="E54" s="52">
        <f>E5/E50</f>
        <v>52.960954446854664</v>
      </c>
    </row>
    <row r="55" spans="2:5" x14ac:dyDescent="0.3">
      <c r="B55" s="27" t="s">
        <v>56</v>
      </c>
      <c r="C55" s="28">
        <f>C54*C11</f>
        <v>2703.4218179568097</v>
      </c>
      <c r="D55" s="29" t="s">
        <v>18</v>
      </c>
      <c r="E55" s="53">
        <f>15*E54</f>
        <v>794.41431670281997</v>
      </c>
    </row>
  </sheetData>
  <mergeCells count="7">
    <mergeCell ref="B52:D53"/>
    <mergeCell ref="B2:D3"/>
    <mergeCell ref="C4:D4"/>
    <mergeCell ref="B16:D17"/>
    <mergeCell ref="B27:D28"/>
    <mergeCell ref="B33:D34"/>
    <mergeCell ref="B46:D47"/>
  </mergeCells>
  <conditionalFormatting sqref="C10">
    <cfRule type="cellIs" dxfId="22" priority="3" operator="greaterThan">
      <formula>$H$12</formula>
    </cfRule>
  </conditionalFormatting>
  <conditionalFormatting sqref="C18">
    <cfRule type="cellIs" dxfId="21" priority="4" operator="greaterThan">
      <formula>$H$11</formula>
    </cfRule>
  </conditionalFormatting>
  <conditionalFormatting sqref="C21:C22">
    <cfRule type="cellIs" dxfId="20" priority="1" operator="greaterThan">
      <formula>$H$12</formula>
    </cfRule>
  </conditionalFormatting>
  <conditionalFormatting sqref="C30">
    <cfRule type="cellIs" dxfId="19" priority="2" operator="greaterThan">
      <formula>29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51A1-1496-4A6B-853B-F4B21E090959}">
  <dimension ref="B23:H77"/>
  <sheetViews>
    <sheetView topLeftCell="A23" zoomScale="103" zoomScaleNormal="85" workbookViewId="0">
      <selection activeCell="C26" sqref="C26"/>
    </sheetView>
  </sheetViews>
  <sheetFormatPr baseColWidth="10" defaultColWidth="11.44140625" defaultRowHeight="14.4" x14ac:dyDescent="0.3"/>
  <cols>
    <col min="1" max="1" width="11.44140625" style="5"/>
    <col min="2" max="2" width="41.109375" style="5" bestFit="1" customWidth="1"/>
    <col min="3" max="3" width="40.33203125" style="6" customWidth="1"/>
    <col min="4" max="4" width="58.33203125" style="6" customWidth="1"/>
    <col min="5" max="5" width="71.44140625" style="5" customWidth="1"/>
    <col min="6" max="6" width="24.109375" style="5" customWidth="1"/>
    <col min="7" max="7" width="11.44140625" style="5" customWidth="1"/>
    <col min="8" max="16384" width="11.44140625" style="5"/>
  </cols>
  <sheetData>
    <row r="23" spans="2:7" x14ac:dyDescent="0.3">
      <c r="B23" s="108" t="s">
        <v>0</v>
      </c>
      <c r="C23" s="109"/>
      <c r="D23" s="110"/>
    </row>
    <row r="24" spans="2:7" x14ac:dyDescent="0.3">
      <c r="B24" s="111"/>
      <c r="C24" s="112"/>
      <c r="D24" s="113"/>
    </row>
    <row r="25" spans="2:7" x14ac:dyDescent="0.3">
      <c r="B25" s="13" t="s">
        <v>1</v>
      </c>
      <c r="C25" s="123" t="s">
        <v>57</v>
      </c>
      <c r="D25" s="124"/>
    </row>
    <row r="26" spans="2:7" x14ac:dyDescent="0.3">
      <c r="B26" s="8" t="s">
        <v>3</v>
      </c>
      <c r="C26" s="54">
        <v>60100</v>
      </c>
      <c r="D26" s="9" t="s">
        <v>4</v>
      </c>
    </row>
    <row r="27" spans="2:7" x14ac:dyDescent="0.3">
      <c r="B27" s="8" t="s">
        <v>5</v>
      </c>
      <c r="C27" s="11">
        <v>20</v>
      </c>
      <c r="D27" s="9" t="s">
        <v>6</v>
      </c>
    </row>
    <row r="28" spans="2:7" x14ac:dyDescent="0.3">
      <c r="B28" s="30" t="s">
        <v>7</v>
      </c>
      <c r="C28" s="31">
        <v>45</v>
      </c>
      <c r="D28" s="33" t="s">
        <v>8</v>
      </c>
    </row>
    <row r="29" spans="2:7" x14ac:dyDescent="0.3">
      <c r="B29" s="8" t="s">
        <v>9</v>
      </c>
      <c r="C29" s="11">
        <v>5</v>
      </c>
      <c r="D29" s="9" t="s">
        <v>10</v>
      </c>
      <c r="E29" s="56">
        <f>C29*3.6</f>
        <v>18</v>
      </c>
    </row>
    <row r="30" spans="2:7" x14ac:dyDescent="0.3">
      <c r="B30" s="8" t="s">
        <v>11</v>
      </c>
      <c r="C30" s="11">
        <v>3.2</v>
      </c>
      <c r="D30" s="9" t="s">
        <v>12</v>
      </c>
      <c r="F30" s="6" t="s">
        <v>13</v>
      </c>
      <c r="G30" s="6" t="s">
        <v>14</v>
      </c>
    </row>
    <row r="31" spans="2:7" x14ac:dyDescent="0.3">
      <c r="B31" s="30" t="s">
        <v>15</v>
      </c>
      <c r="C31" s="31">
        <f>(C28*C29*3600/1000*C30)/600</f>
        <v>4.32</v>
      </c>
      <c r="D31" s="32" t="str">
        <f>"L/Min  ;"&amp;"  "&amp;IF(C31&gt;G33,"Necesita instalación de boquillas adicionales","2 Boquillas")&amp;" "&amp;";"&amp;" "&amp;IF(C31&gt;G34,"Necesita otro modelo de drone","Modelo operativo")</f>
        <v>L/Min  ;  2 Boquillas ; Modelo operativo</v>
      </c>
      <c r="F31" s="5" t="s">
        <v>16</v>
      </c>
      <c r="G31" s="5">
        <v>40</v>
      </c>
    </row>
    <row r="32" spans="2:7" x14ac:dyDescent="0.3">
      <c r="B32" s="8" t="s">
        <v>17</v>
      </c>
      <c r="C32" s="55">
        <v>30</v>
      </c>
      <c r="D32" s="57" t="s">
        <v>18</v>
      </c>
      <c r="F32" s="5" t="s">
        <v>19</v>
      </c>
      <c r="G32" s="5">
        <v>7</v>
      </c>
    </row>
    <row r="33" spans="2:7" x14ac:dyDescent="0.3">
      <c r="B33" s="8" t="s">
        <v>20</v>
      </c>
      <c r="C33" s="11">
        <v>6</v>
      </c>
      <c r="D33" s="9" t="s">
        <v>21</v>
      </c>
      <c r="F33" s="5" t="s">
        <v>22</v>
      </c>
      <c r="G33" s="5">
        <v>30</v>
      </c>
    </row>
    <row r="34" spans="2:7" x14ac:dyDescent="0.3">
      <c r="B34" s="10" t="s">
        <v>23</v>
      </c>
      <c r="C34" s="12">
        <v>6.5</v>
      </c>
      <c r="D34" s="7" t="s">
        <v>21</v>
      </c>
      <c r="F34" s="5" t="s">
        <v>24</v>
      </c>
      <c r="G34" s="5">
        <v>40</v>
      </c>
    </row>
    <row r="37" spans="2:7" x14ac:dyDescent="0.3">
      <c r="B37" s="108" t="s">
        <v>25</v>
      </c>
      <c r="C37" s="109"/>
      <c r="D37" s="110"/>
    </row>
    <row r="38" spans="2:7" x14ac:dyDescent="0.3">
      <c r="B38" s="111"/>
      <c r="C38" s="112"/>
      <c r="D38" s="113"/>
    </row>
    <row r="39" spans="2:7" x14ac:dyDescent="0.3">
      <c r="B39" s="14" t="s">
        <v>26</v>
      </c>
      <c r="C39" s="19">
        <f>C27/C31</f>
        <v>4.6296296296296298</v>
      </c>
      <c r="D39" s="15" t="str">
        <f>"Min  ;  "&amp;IF(C39&gt;C34,"Necesita más de 1 vuelo","Funcional")</f>
        <v>Min  ;  Funcional</v>
      </c>
    </row>
    <row r="40" spans="2:7" x14ac:dyDescent="0.3">
      <c r="B40" s="16" t="s">
        <v>27</v>
      </c>
      <c r="C40" s="20">
        <f>+C39+C33</f>
        <v>10.62962962962963</v>
      </c>
      <c r="D40" s="17" t="s">
        <v>21</v>
      </c>
    </row>
    <row r="41" spans="2:7" x14ac:dyDescent="0.3">
      <c r="B41" s="16" t="s">
        <v>28</v>
      </c>
      <c r="C41" s="21">
        <f>C27/C28</f>
        <v>0.44444444444444442</v>
      </c>
      <c r="D41" s="18" t="s">
        <v>18</v>
      </c>
    </row>
    <row r="42" spans="2:7" x14ac:dyDescent="0.3">
      <c r="B42" s="30" t="s">
        <v>29</v>
      </c>
      <c r="C42" s="31">
        <f>(C41/C40)*60</f>
        <v>2.508710801393728</v>
      </c>
      <c r="D42" s="32" t="s">
        <v>30</v>
      </c>
    </row>
    <row r="43" spans="2:7" x14ac:dyDescent="0.3">
      <c r="B43" s="30" t="s">
        <v>31</v>
      </c>
      <c r="C43" s="31">
        <f>(C32/C42)</f>
        <v>11.958333333333334</v>
      </c>
      <c r="D43" s="32" t="s">
        <v>32</v>
      </c>
    </row>
    <row r="44" spans="2:7" x14ac:dyDescent="0.3">
      <c r="E44" s="5">
        <v>30</v>
      </c>
    </row>
    <row r="45" spans="2:7" x14ac:dyDescent="0.3">
      <c r="E45" s="5" t="s">
        <v>58</v>
      </c>
    </row>
    <row r="48" spans="2:7" x14ac:dyDescent="0.3">
      <c r="B48" s="108" t="s">
        <v>33</v>
      </c>
      <c r="C48" s="109"/>
      <c r="D48" s="110"/>
    </row>
    <row r="49" spans="2:8" x14ac:dyDescent="0.3">
      <c r="B49" s="111"/>
      <c r="C49" s="112"/>
      <c r="D49" s="113"/>
    </row>
    <row r="50" spans="2:8" x14ac:dyDescent="0.3">
      <c r="B50" s="14" t="s">
        <v>34</v>
      </c>
      <c r="C50" s="25">
        <v>0.3</v>
      </c>
      <c r="D50" s="22" t="s">
        <v>6</v>
      </c>
    </row>
    <row r="51" spans="2:8" x14ac:dyDescent="0.3">
      <c r="B51" s="37" t="s">
        <v>35</v>
      </c>
      <c r="C51" s="25">
        <f>C32/C41</f>
        <v>67.5</v>
      </c>
      <c r="D51" s="39" t="s">
        <v>59</v>
      </c>
    </row>
    <row r="52" spans="2:8" x14ac:dyDescent="0.3">
      <c r="B52" s="34" t="s">
        <v>36</v>
      </c>
      <c r="C52" s="35">
        <f>C51*C50</f>
        <v>20.25</v>
      </c>
      <c r="D52" s="39" t="str">
        <f>"L  ;"&amp;"  "&amp;IF(30&gt;C52,"Operativo","Necesita realizar una recarga extra de combustible")</f>
        <v>L  ;  Operativo</v>
      </c>
    </row>
    <row r="53" spans="2:8" x14ac:dyDescent="0.3">
      <c r="B53"/>
      <c r="C53" s="2"/>
      <c r="D53" s="2"/>
    </row>
    <row r="54" spans="2:8" x14ac:dyDescent="0.3">
      <c r="F54" s="5" t="s">
        <v>60</v>
      </c>
      <c r="G54" s="5">
        <v>40</v>
      </c>
      <c r="H54" s="5">
        <v>50</v>
      </c>
    </row>
    <row r="55" spans="2:8" x14ac:dyDescent="0.3">
      <c r="B55" s="108" t="s">
        <v>37</v>
      </c>
      <c r="C55" s="109"/>
      <c r="D55" s="110"/>
      <c r="F55" s="5">
        <v>40</v>
      </c>
      <c r="G55" s="5">
        <v>50</v>
      </c>
    </row>
    <row r="56" spans="2:8" x14ac:dyDescent="0.3">
      <c r="B56" s="111"/>
      <c r="C56" s="112"/>
      <c r="D56" s="113"/>
      <c r="F56" s="5">
        <v>60</v>
      </c>
      <c r="G56" s="5">
        <v>60</v>
      </c>
    </row>
    <row r="57" spans="2:8" x14ac:dyDescent="0.3">
      <c r="B57" s="14" t="s">
        <v>38</v>
      </c>
      <c r="C57" s="65">
        <v>50</v>
      </c>
      <c r="D57" s="22" t="s">
        <v>4</v>
      </c>
      <c r="F57" s="5">
        <v>70</v>
      </c>
      <c r="G57" s="5">
        <v>70</v>
      </c>
    </row>
    <row r="58" spans="2:8" x14ac:dyDescent="0.3">
      <c r="B58" s="16" t="s">
        <v>39</v>
      </c>
      <c r="C58" s="21">
        <f>C57*C32</f>
        <v>1500</v>
      </c>
      <c r="D58" s="17" t="s">
        <v>4</v>
      </c>
      <c r="F58" s="5">
        <v>100</v>
      </c>
      <c r="G58" s="5">
        <v>200</v>
      </c>
    </row>
    <row r="59" spans="2:8" x14ac:dyDescent="0.3">
      <c r="B59" s="16" t="s">
        <v>40</v>
      </c>
      <c r="C59" s="21">
        <v>5</v>
      </c>
      <c r="D59" s="17" t="s">
        <v>4</v>
      </c>
      <c r="F59" s="5" t="s">
        <v>61</v>
      </c>
      <c r="G59" s="5" t="s">
        <v>62</v>
      </c>
    </row>
    <row r="60" spans="2:8" x14ac:dyDescent="0.3">
      <c r="B60" s="37" t="s">
        <v>41</v>
      </c>
      <c r="C60" s="38">
        <f>C59*C52</f>
        <v>101.25</v>
      </c>
      <c r="D60" s="39" t="s">
        <v>4</v>
      </c>
    </row>
    <row r="61" spans="2:8" x14ac:dyDescent="0.3">
      <c r="B61" s="16" t="s">
        <v>42</v>
      </c>
      <c r="C61" s="21">
        <v>20</v>
      </c>
      <c r="D61" s="17" t="s">
        <v>4</v>
      </c>
    </row>
    <row r="62" spans="2:8" x14ac:dyDescent="0.3">
      <c r="B62" s="16" t="s">
        <v>43</v>
      </c>
      <c r="C62" s="21">
        <v>7</v>
      </c>
      <c r="D62" s="17" t="s">
        <v>44</v>
      </c>
    </row>
    <row r="63" spans="2:8" x14ac:dyDescent="0.3">
      <c r="B63" s="37" t="s">
        <v>45</v>
      </c>
      <c r="C63" s="38">
        <f>C61*C62</f>
        <v>140</v>
      </c>
      <c r="D63" s="39" t="s">
        <v>4</v>
      </c>
    </row>
    <row r="64" spans="2:8" x14ac:dyDescent="0.3">
      <c r="B64" s="37" t="s">
        <v>46</v>
      </c>
      <c r="C64" s="38">
        <v>0</v>
      </c>
      <c r="D64" s="39" t="s">
        <v>4</v>
      </c>
    </row>
    <row r="65" spans="2:4" x14ac:dyDescent="0.3">
      <c r="B65" s="37" t="s">
        <v>47</v>
      </c>
      <c r="C65" s="38">
        <v>0</v>
      </c>
      <c r="D65" s="39" t="s">
        <v>4</v>
      </c>
    </row>
    <row r="66" spans="2:4" x14ac:dyDescent="0.3">
      <c r="B66" s="24" t="s">
        <v>48</v>
      </c>
      <c r="C66" s="26">
        <f>C64+C63+C60+C65</f>
        <v>241.25</v>
      </c>
      <c r="D66" s="23" t="s">
        <v>4</v>
      </c>
    </row>
    <row r="68" spans="2:4" x14ac:dyDescent="0.3">
      <c r="B68" s="108" t="s">
        <v>49</v>
      </c>
      <c r="C68" s="109"/>
      <c r="D68" s="110"/>
    </row>
    <row r="69" spans="2:4" x14ac:dyDescent="0.3">
      <c r="B69" s="111"/>
      <c r="C69" s="112"/>
      <c r="D69" s="113"/>
    </row>
    <row r="70" spans="2:4" x14ac:dyDescent="0.3">
      <c r="B70" s="14" t="s">
        <v>50</v>
      </c>
      <c r="C70" s="25">
        <f>C66/C32</f>
        <v>8.0416666666666661</v>
      </c>
      <c r="D70" s="22" t="s">
        <v>4</v>
      </c>
    </row>
    <row r="71" spans="2:4" x14ac:dyDescent="0.3">
      <c r="B71" s="16" t="s">
        <v>51</v>
      </c>
      <c r="C71" s="21">
        <f>C57-C70</f>
        <v>41.958333333333336</v>
      </c>
      <c r="D71" s="17" t="s">
        <v>4</v>
      </c>
    </row>
    <row r="72" spans="2:4" x14ac:dyDescent="0.3">
      <c r="B72" s="24" t="s">
        <v>52</v>
      </c>
      <c r="C72" s="26">
        <f>C71*C32</f>
        <v>1258.75</v>
      </c>
      <c r="D72" s="23" t="s">
        <v>4</v>
      </c>
    </row>
    <row r="74" spans="2:4" x14ac:dyDescent="0.3">
      <c r="B74" s="108" t="s">
        <v>53</v>
      </c>
      <c r="C74" s="109"/>
      <c r="D74" s="110"/>
    </row>
    <row r="75" spans="2:4" x14ac:dyDescent="0.3">
      <c r="B75" s="111"/>
      <c r="C75" s="112"/>
      <c r="D75" s="113"/>
    </row>
    <row r="76" spans="2:4" x14ac:dyDescent="0.3">
      <c r="B76" s="40" t="s">
        <v>54</v>
      </c>
      <c r="C76" s="41">
        <f>C26/C72</f>
        <v>47.745779543197614</v>
      </c>
      <c r="D76" s="42" t="s">
        <v>55</v>
      </c>
    </row>
    <row r="77" spans="2:4" x14ac:dyDescent="0.3">
      <c r="B77" s="27" t="s">
        <v>56</v>
      </c>
      <c r="C77" s="28">
        <f>C76*C32</f>
        <v>1432.3733862959284</v>
      </c>
      <c r="D77" s="29" t="s">
        <v>18</v>
      </c>
    </row>
  </sheetData>
  <mergeCells count="7">
    <mergeCell ref="B74:D75"/>
    <mergeCell ref="B23:D24"/>
    <mergeCell ref="C25:D25"/>
    <mergeCell ref="B37:D38"/>
    <mergeCell ref="B48:D49"/>
    <mergeCell ref="B55:D56"/>
    <mergeCell ref="B68:D69"/>
  </mergeCells>
  <conditionalFormatting sqref="C31">
    <cfRule type="cellIs" dxfId="18" priority="3" operator="greaterThan">
      <formula>$G$33</formula>
    </cfRule>
  </conditionalFormatting>
  <conditionalFormatting sqref="C39">
    <cfRule type="cellIs" dxfId="17" priority="4" operator="greaterThan">
      <formula>$G$32</formula>
    </cfRule>
  </conditionalFormatting>
  <conditionalFormatting sqref="C42:C43">
    <cfRule type="cellIs" dxfId="16" priority="2" operator="greaterThan">
      <formula>$G$33</formula>
    </cfRule>
  </conditionalFormatting>
  <conditionalFormatting sqref="C52">
    <cfRule type="cellIs" dxfId="15" priority="1" operator="greaterThan">
      <formula>30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0CDC-0E8F-4E7A-AE3F-E2FFD7B50724}">
  <dimension ref="B23:H77"/>
  <sheetViews>
    <sheetView zoomScale="115" zoomScaleNormal="115" workbookViewId="0">
      <selection activeCell="C58" sqref="C58"/>
    </sheetView>
  </sheetViews>
  <sheetFormatPr baseColWidth="10" defaultColWidth="11.44140625" defaultRowHeight="14.4" x14ac:dyDescent="0.3"/>
  <cols>
    <col min="1" max="1" width="11.44140625" style="5"/>
    <col min="2" max="2" width="41.109375" style="5" bestFit="1" customWidth="1"/>
    <col min="3" max="3" width="40.33203125" style="6" customWidth="1"/>
    <col min="4" max="4" width="58.33203125" style="6" customWidth="1"/>
    <col min="5" max="5" width="71.44140625" style="5" customWidth="1"/>
    <col min="6" max="6" width="24.109375" style="5" customWidth="1"/>
    <col min="7" max="7" width="11.44140625" style="5" customWidth="1"/>
    <col min="8" max="16384" width="11.44140625" style="5"/>
  </cols>
  <sheetData>
    <row r="23" spans="2:7" x14ac:dyDescent="0.3">
      <c r="B23" s="108" t="s">
        <v>0</v>
      </c>
      <c r="C23" s="109"/>
      <c r="D23" s="110"/>
    </row>
    <row r="24" spans="2:7" x14ac:dyDescent="0.3">
      <c r="B24" s="111"/>
      <c r="C24" s="112"/>
      <c r="D24" s="113"/>
    </row>
    <row r="25" spans="2:7" x14ac:dyDescent="0.3">
      <c r="B25" s="13" t="s">
        <v>1</v>
      </c>
      <c r="C25" s="123" t="s">
        <v>63</v>
      </c>
      <c r="D25" s="124"/>
    </row>
    <row r="26" spans="2:7" x14ac:dyDescent="0.3">
      <c r="B26" s="8" t="s">
        <v>3</v>
      </c>
      <c r="C26" s="54">
        <v>104910</v>
      </c>
      <c r="D26" s="9" t="s">
        <v>4</v>
      </c>
    </row>
    <row r="27" spans="2:7" x14ac:dyDescent="0.3">
      <c r="B27" s="8" t="s">
        <v>5</v>
      </c>
      <c r="C27" s="11">
        <v>45</v>
      </c>
      <c r="D27" s="9" t="s">
        <v>6</v>
      </c>
    </row>
    <row r="28" spans="2:7" x14ac:dyDescent="0.3">
      <c r="B28" s="30" t="s">
        <v>7</v>
      </c>
      <c r="C28" s="31">
        <v>25</v>
      </c>
      <c r="D28" s="33" t="s">
        <v>8</v>
      </c>
    </row>
    <row r="29" spans="2:7" x14ac:dyDescent="0.3">
      <c r="B29" s="8" t="s">
        <v>9</v>
      </c>
      <c r="C29" s="11">
        <v>8</v>
      </c>
      <c r="D29" s="9" t="s">
        <v>10</v>
      </c>
      <c r="E29" s="56">
        <f>C29*3.6</f>
        <v>28.8</v>
      </c>
    </row>
    <row r="30" spans="2:7" x14ac:dyDescent="0.3">
      <c r="B30" s="8" t="s">
        <v>11</v>
      </c>
      <c r="C30" s="11">
        <v>9</v>
      </c>
      <c r="D30" s="9" t="s">
        <v>12</v>
      </c>
      <c r="F30" s="6" t="s">
        <v>13</v>
      </c>
      <c r="G30" s="6" t="s">
        <v>14</v>
      </c>
    </row>
    <row r="31" spans="2:7" x14ac:dyDescent="0.3">
      <c r="B31" s="30" t="s">
        <v>15</v>
      </c>
      <c r="C31" s="31">
        <f>(C28*C29*3600/1000*C30)/600</f>
        <v>10.8</v>
      </c>
      <c r="D31" s="32" t="str">
        <f>"L/Min  ;"&amp;"  "&amp;IF(C31&gt;G33,"Necesita instalación de boquillas adicionales","2 Boquillas")&amp;" "&amp;";"&amp;" "&amp;IF(C31&gt;G34,"Necesita otro modelo de drone","Modelo operativo")</f>
        <v>L/Min  ;  2 Boquillas ; Modelo operativo</v>
      </c>
      <c r="F31" s="5" t="s">
        <v>16</v>
      </c>
      <c r="G31" s="5">
        <v>40</v>
      </c>
    </row>
    <row r="32" spans="2:7" x14ac:dyDescent="0.3">
      <c r="B32" s="8" t="s">
        <v>17</v>
      </c>
      <c r="C32" s="55">
        <v>20</v>
      </c>
      <c r="D32" s="57" t="s">
        <v>18</v>
      </c>
      <c r="F32" s="5" t="s">
        <v>19</v>
      </c>
      <c r="G32" s="5">
        <v>7</v>
      </c>
    </row>
    <row r="33" spans="2:7" x14ac:dyDescent="0.3">
      <c r="B33" s="8" t="s">
        <v>20</v>
      </c>
      <c r="C33" s="11">
        <v>6</v>
      </c>
      <c r="D33" s="9" t="s">
        <v>21</v>
      </c>
      <c r="F33" s="5" t="s">
        <v>22</v>
      </c>
      <c r="G33" s="5">
        <v>30</v>
      </c>
    </row>
    <row r="34" spans="2:7" x14ac:dyDescent="0.3">
      <c r="B34" s="10" t="s">
        <v>23</v>
      </c>
      <c r="C34" s="12">
        <v>6.5</v>
      </c>
      <c r="D34" s="7" t="s">
        <v>21</v>
      </c>
      <c r="F34" s="5" t="s">
        <v>24</v>
      </c>
      <c r="G34" s="5">
        <v>40</v>
      </c>
    </row>
    <row r="37" spans="2:7" x14ac:dyDescent="0.3">
      <c r="B37" s="108" t="s">
        <v>25</v>
      </c>
      <c r="C37" s="109"/>
      <c r="D37" s="110"/>
    </row>
    <row r="38" spans="2:7" x14ac:dyDescent="0.3">
      <c r="B38" s="111"/>
      <c r="C38" s="112"/>
      <c r="D38" s="113"/>
    </row>
    <row r="39" spans="2:7" x14ac:dyDescent="0.3">
      <c r="B39" s="14" t="s">
        <v>26</v>
      </c>
      <c r="C39" s="19">
        <f>C27/C31</f>
        <v>4.1666666666666661</v>
      </c>
      <c r="D39" s="15" t="str">
        <f>"Min  ;  "&amp;IF(C39&gt;C34,"Necesita más de 1 vuelo","Funcional")</f>
        <v>Min  ;  Funcional</v>
      </c>
    </row>
    <row r="40" spans="2:7" x14ac:dyDescent="0.3">
      <c r="B40" s="16" t="s">
        <v>27</v>
      </c>
      <c r="C40" s="20">
        <f>+C39+C33</f>
        <v>10.166666666666666</v>
      </c>
      <c r="D40" s="17" t="s">
        <v>21</v>
      </c>
    </row>
    <row r="41" spans="2:7" x14ac:dyDescent="0.3">
      <c r="B41" s="16" t="s">
        <v>28</v>
      </c>
      <c r="C41" s="21">
        <f>C27/C28</f>
        <v>1.8</v>
      </c>
      <c r="D41" s="18" t="s">
        <v>18</v>
      </c>
    </row>
    <row r="42" spans="2:7" x14ac:dyDescent="0.3">
      <c r="B42" s="30" t="s">
        <v>29</v>
      </c>
      <c r="C42" s="31">
        <f>(C41/C40)*60</f>
        <v>10.622950819672132</v>
      </c>
      <c r="D42" s="32" t="s">
        <v>30</v>
      </c>
    </row>
    <row r="43" spans="2:7" x14ac:dyDescent="0.3">
      <c r="B43" s="30" t="s">
        <v>31</v>
      </c>
      <c r="C43" s="31">
        <f>(C32/C42)</f>
        <v>1.8827160493827158</v>
      </c>
      <c r="D43" s="32" t="s">
        <v>32</v>
      </c>
    </row>
    <row r="44" spans="2:7" x14ac:dyDescent="0.3">
      <c r="E44" s="5">
        <v>30</v>
      </c>
    </row>
    <row r="45" spans="2:7" x14ac:dyDescent="0.3">
      <c r="E45" s="5" t="s">
        <v>58</v>
      </c>
    </row>
    <row r="48" spans="2:7" x14ac:dyDescent="0.3">
      <c r="B48" s="108" t="s">
        <v>33</v>
      </c>
      <c r="C48" s="109"/>
      <c r="D48" s="110"/>
    </row>
    <row r="49" spans="2:8" x14ac:dyDescent="0.3">
      <c r="B49" s="111"/>
      <c r="C49" s="112"/>
      <c r="D49" s="113"/>
    </row>
    <row r="50" spans="2:8" x14ac:dyDescent="0.3">
      <c r="B50" s="14" t="s">
        <v>34</v>
      </c>
      <c r="C50" s="25">
        <v>0.3</v>
      </c>
      <c r="D50" s="22" t="s">
        <v>6</v>
      </c>
    </row>
    <row r="51" spans="2:8" x14ac:dyDescent="0.3">
      <c r="B51" s="37" t="s">
        <v>35</v>
      </c>
      <c r="C51" s="25">
        <f>C32/C41</f>
        <v>11.111111111111111</v>
      </c>
      <c r="D51" s="39" t="s">
        <v>59</v>
      </c>
    </row>
    <row r="52" spans="2:8" x14ac:dyDescent="0.3">
      <c r="B52" s="34" t="s">
        <v>36</v>
      </c>
      <c r="C52" s="35">
        <f>C51*C50</f>
        <v>3.333333333333333</v>
      </c>
      <c r="D52" s="39" t="str">
        <f>"L  ;"&amp;"  "&amp;IF(30&gt;C52,"Operativo","Necesita realizar una recarga extra de combustible")</f>
        <v>L  ;  Operativo</v>
      </c>
    </row>
    <row r="53" spans="2:8" x14ac:dyDescent="0.3">
      <c r="B53"/>
      <c r="C53" s="2"/>
      <c r="D53" s="2"/>
    </row>
    <row r="54" spans="2:8" x14ac:dyDescent="0.3">
      <c r="F54" s="5" t="s">
        <v>60</v>
      </c>
      <c r="G54" s="5">
        <v>40</v>
      </c>
      <c r="H54" s="5">
        <v>50</v>
      </c>
    </row>
    <row r="55" spans="2:8" x14ac:dyDescent="0.3">
      <c r="B55" s="108" t="s">
        <v>37</v>
      </c>
      <c r="C55" s="109"/>
      <c r="D55" s="110"/>
      <c r="F55" s="5">
        <v>40</v>
      </c>
      <c r="G55" s="5">
        <v>50</v>
      </c>
    </row>
    <row r="56" spans="2:8" x14ac:dyDescent="0.3">
      <c r="B56" s="111"/>
      <c r="C56" s="112"/>
      <c r="D56" s="113"/>
      <c r="F56" s="5">
        <v>60</v>
      </c>
      <c r="G56" s="5">
        <v>60</v>
      </c>
    </row>
    <row r="57" spans="2:8" x14ac:dyDescent="0.3">
      <c r="B57" s="14" t="s">
        <v>38</v>
      </c>
      <c r="C57" s="25">
        <v>60</v>
      </c>
      <c r="D57" s="22" t="s">
        <v>4</v>
      </c>
      <c r="F57" s="5">
        <v>70</v>
      </c>
      <c r="G57" s="5">
        <v>70</v>
      </c>
    </row>
    <row r="58" spans="2:8" x14ac:dyDescent="0.3">
      <c r="B58" s="16" t="s">
        <v>39</v>
      </c>
      <c r="C58" s="21">
        <f>C57*C32</f>
        <v>1200</v>
      </c>
      <c r="D58" s="17" t="s">
        <v>4</v>
      </c>
      <c r="F58" s="5">
        <v>100</v>
      </c>
      <c r="G58" s="5">
        <v>200</v>
      </c>
    </row>
    <row r="59" spans="2:8" x14ac:dyDescent="0.3">
      <c r="B59" s="16" t="s">
        <v>40</v>
      </c>
      <c r="C59" s="21">
        <v>5</v>
      </c>
      <c r="D59" s="17" t="s">
        <v>4</v>
      </c>
      <c r="F59" s="5" t="s">
        <v>61</v>
      </c>
      <c r="G59" s="5" t="s">
        <v>62</v>
      </c>
    </row>
    <row r="60" spans="2:8" x14ac:dyDescent="0.3">
      <c r="B60" s="37" t="s">
        <v>41</v>
      </c>
      <c r="C60" s="38">
        <f>C59*C52</f>
        <v>16.666666666666664</v>
      </c>
      <c r="D60" s="39" t="s">
        <v>4</v>
      </c>
    </row>
    <row r="61" spans="2:8" x14ac:dyDescent="0.3">
      <c r="B61" s="16" t="s">
        <v>42</v>
      </c>
      <c r="C61" s="21">
        <v>15</v>
      </c>
      <c r="D61" s="17" t="s">
        <v>4</v>
      </c>
    </row>
    <row r="62" spans="2:8" x14ac:dyDescent="0.3">
      <c r="B62" s="16" t="s">
        <v>43</v>
      </c>
      <c r="C62" s="21">
        <v>7</v>
      </c>
      <c r="D62" s="17" t="s">
        <v>44</v>
      </c>
    </row>
    <row r="63" spans="2:8" x14ac:dyDescent="0.3">
      <c r="B63" s="37" t="s">
        <v>45</v>
      </c>
      <c r="C63" s="38">
        <f>C61*C62</f>
        <v>105</v>
      </c>
      <c r="D63" s="39" t="s">
        <v>4</v>
      </c>
    </row>
    <row r="64" spans="2:8" x14ac:dyDescent="0.3">
      <c r="B64" s="37" t="s">
        <v>46</v>
      </c>
      <c r="C64" s="38">
        <v>150</v>
      </c>
      <c r="D64" s="39" t="s">
        <v>4</v>
      </c>
    </row>
    <row r="65" spans="2:4" x14ac:dyDescent="0.3">
      <c r="B65" s="37" t="s">
        <v>47</v>
      </c>
      <c r="C65" s="38">
        <v>200</v>
      </c>
      <c r="D65" s="39" t="s">
        <v>4</v>
      </c>
    </row>
    <row r="66" spans="2:4" x14ac:dyDescent="0.3">
      <c r="B66" s="24" t="s">
        <v>48</v>
      </c>
      <c r="C66" s="26">
        <f>C64+C63+C60+C65</f>
        <v>471.66666666666669</v>
      </c>
      <c r="D66" s="23" t="s">
        <v>4</v>
      </c>
    </row>
    <row r="68" spans="2:4" x14ac:dyDescent="0.3">
      <c r="B68" s="108" t="s">
        <v>49</v>
      </c>
      <c r="C68" s="109"/>
      <c r="D68" s="110"/>
    </row>
    <row r="69" spans="2:4" x14ac:dyDescent="0.3">
      <c r="B69" s="111"/>
      <c r="C69" s="112"/>
      <c r="D69" s="113"/>
    </row>
    <row r="70" spans="2:4" x14ac:dyDescent="0.3">
      <c r="B70" s="14" t="s">
        <v>50</v>
      </c>
      <c r="C70" s="25">
        <f>C66/C32</f>
        <v>23.583333333333336</v>
      </c>
      <c r="D70" s="22" t="s">
        <v>4</v>
      </c>
    </row>
    <row r="71" spans="2:4" x14ac:dyDescent="0.3">
      <c r="B71" s="16" t="s">
        <v>51</v>
      </c>
      <c r="C71" s="21">
        <f>C57-C70</f>
        <v>36.416666666666664</v>
      </c>
      <c r="D71" s="17" t="s">
        <v>4</v>
      </c>
    </row>
    <row r="72" spans="2:4" x14ac:dyDescent="0.3">
      <c r="B72" s="24" t="s">
        <v>52</v>
      </c>
      <c r="C72" s="26">
        <f>C71*C32</f>
        <v>728.33333333333326</v>
      </c>
      <c r="D72" s="23" t="s">
        <v>4</v>
      </c>
    </row>
    <row r="74" spans="2:4" x14ac:dyDescent="0.3">
      <c r="B74" s="108" t="s">
        <v>53</v>
      </c>
      <c r="C74" s="109"/>
      <c r="D74" s="110"/>
    </row>
    <row r="75" spans="2:4" x14ac:dyDescent="0.3">
      <c r="B75" s="111"/>
      <c r="C75" s="112"/>
      <c r="D75" s="113"/>
    </row>
    <row r="76" spans="2:4" x14ac:dyDescent="0.3">
      <c r="B76" s="40" t="s">
        <v>54</v>
      </c>
      <c r="C76" s="41">
        <f>C26/C72</f>
        <v>144.04118993135012</v>
      </c>
      <c r="D76" s="42" t="s">
        <v>55</v>
      </c>
    </row>
    <row r="77" spans="2:4" x14ac:dyDescent="0.3">
      <c r="B77" s="27" t="s">
        <v>56</v>
      </c>
      <c r="C77" s="28">
        <f>C76*C32</f>
        <v>2880.8237986270024</v>
      </c>
      <c r="D77" s="29" t="s">
        <v>18</v>
      </c>
    </row>
  </sheetData>
  <mergeCells count="7">
    <mergeCell ref="B74:D75"/>
    <mergeCell ref="B23:D24"/>
    <mergeCell ref="C25:D25"/>
    <mergeCell ref="B37:D38"/>
    <mergeCell ref="B48:D49"/>
    <mergeCell ref="B55:D56"/>
    <mergeCell ref="B68:D69"/>
  </mergeCells>
  <conditionalFormatting sqref="C31">
    <cfRule type="cellIs" dxfId="14" priority="3" operator="greaterThan">
      <formula>$G$33</formula>
    </cfRule>
  </conditionalFormatting>
  <conditionalFormatting sqref="C39">
    <cfRule type="cellIs" dxfId="13" priority="4" operator="greaterThan">
      <formula>$G$32</formula>
    </cfRule>
  </conditionalFormatting>
  <conditionalFormatting sqref="C42:C43">
    <cfRule type="cellIs" dxfId="12" priority="2" operator="greaterThan">
      <formula>$G$33</formula>
    </cfRule>
  </conditionalFormatting>
  <conditionalFormatting sqref="C52">
    <cfRule type="cellIs" dxfId="11" priority="1" operator="greaterThan">
      <formula>30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2E69-916E-4AA9-B13A-205A5D939469}">
  <dimension ref="A23:J104"/>
  <sheetViews>
    <sheetView tabSelected="1" topLeftCell="A63" zoomScale="61" zoomScaleNormal="100" workbookViewId="0">
      <selection activeCell="C98" sqref="C98"/>
    </sheetView>
  </sheetViews>
  <sheetFormatPr baseColWidth="10" defaultColWidth="11.44140625" defaultRowHeight="14.4" x14ac:dyDescent="0.3"/>
  <cols>
    <col min="1" max="1" width="11.44140625" style="73"/>
    <col min="2" max="2" width="41.109375" style="5" bestFit="1" customWidth="1"/>
    <col min="3" max="3" width="40.33203125" style="6" customWidth="1"/>
    <col min="4" max="4" width="58.33203125" style="6" customWidth="1"/>
    <col min="5" max="6" width="71.44140625" style="5" customWidth="1"/>
    <col min="7" max="7" width="24.109375" style="5" customWidth="1"/>
    <col min="8" max="8" width="11.44140625" style="5" customWidth="1"/>
    <col min="9" max="16384" width="11.44140625" style="5"/>
  </cols>
  <sheetData>
    <row r="23" spans="1:8" x14ac:dyDescent="0.3">
      <c r="B23" s="108" t="s">
        <v>0</v>
      </c>
      <c r="C23" s="109"/>
      <c r="D23" s="110"/>
    </row>
    <row r="24" spans="1:8" x14ac:dyDescent="0.3">
      <c r="B24" s="111"/>
      <c r="C24" s="112"/>
      <c r="D24" s="113"/>
    </row>
    <row r="25" spans="1:8" x14ac:dyDescent="0.3">
      <c r="B25" s="13" t="s">
        <v>1</v>
      </c>
      <c r="C25" s="123" t="s">
        <v>14</v>
      </c>
      <c r="D25" s="124"/>
    </row>
    <row r="26" spans="1:8" x14ac:dyDescent="0.3">
      <c r="B26" s="8" t="s">
        <v>3</v>
      </c>
      <c r="C26" s="54">
        <v>106200</v>
      </c>
      <c r="D26" s="9" t="s">
        <v>4</v>
      </c>
    </row>
    <row r="27" spans="1:8" x14ac:dyDescent="0.3">
      <c r="A27" s="79" t="s">
        <v>70</v>
      </c>
      <c r="B27" s="100" t="s">
        <v>5</v>
      </c>
      <c r="C27" s="101">
        <v>65</v>
      </c>
      <c r="D27" s="102" t="s">
        <v>6</v>
      </c>
    </row>
    <row r="28" spans="1:8" x14ac:dyDescent="0.3">
      <c r="A28" s="79" t="s">
        <v>70</v>
      </c>
      <c r="B28" s="97" t="s">
        <v>7</v>
      </c>
      <c r="C28" s="98">
        <v>30</v>
      </c>
      <c r="D28" s="99" t="s">
        <v>8</v>
      </c>
    </row>
    <row r="29" spans="1:8" x14ac:dyDescent="0.3">
      <c r="A29" s="79" t="s">
        <v>70</v>
      </c>
      <c r="B29" s="100" t="s">
        <v>9</v>
      </c>
      <c r="C29" s="101">
        <v>8</v>
      </c>
      <c r="D29" s="102" t="s">
        <v>10</v>
      </c>
      <c r="E29" s="56">
        <f>C29*3.6</f>
        <v>28.8</v>
      </c>
      <c r="F29" s="56"/>
      <c r="G29" s="74"/>
      <c r="H29" s="74"/>
    </row>
    <row r="30" spans="1:8" x14ac:dyDescent="0.3">
      <c r="A30" s="79" t="s">
        <v>70</v>
      </c>
      <c r="B30" s="100" t="s">
        <v>11</v>
      </c>
      <c r="C30" s="101">
        <v>7.5</v>
      </c>
      <c r="D30" s="102" t="s">
        <v>12</v>
      </c>
      <c r="G30" s="75" t="s">
        <v>13</v>
      </c>
      <c r="H30" s="75" t="s">
        <v>14</v>
      </c>
    </row>
    <row r="31" spans="1:8" x14ac:dyDescent="0.3">
      <c r="B31" s="80" t="s">
        <v>15</v>
      </c>
      <c r="C31" s="81">
        <f>(C28*C29*3600/1000*C30)/600</f>
        <v>10.8</v>
      </c>
      <c r="D31" s="82" t="str">
        <f>"L/Min  ;"&amp;"  "&amp;IF(C31&gt;H33,"Necesita instalación de boquillas adicionales","2 Boquillas")&amp;" "&amp;";"&amp;" "&amp;IF(C31&gt;H34,"Necesita otro modelo de drone","Modelo operativo")</f>
        <v>L/Min  ;  2 Boquillas ; Modelo operativo</v>
      </c>
      <c r="G31" s="74" t="s">
        <v>16</v>
      </c>
      <c r="H31" s="74">
        <v>40</v>
      </c>
    </row>
    <row r="32" spans="1:8" x14ac:dyDescent="0.3">
      <c r="A32" s="79" t="s">
        <v>70</v>
      </c>
      <c r="B32" s="100" t="s">
        <v>17</v>
      </c>
      <c r="C32" s="98">
        <v>20</v>
      </c>
      <c r="D32" s="99" t="s">
        <v>18</v>
      </c>
      <c r="G32" s="74" t="s">
        <v>19</v>
      </c>
      <c r="H32" s="74">
        <v>7</v>
      </c>
    </row>
    <row r="33" spans="1:8" x14ac:dyDescent="0.3">
      <c r="A33" s="79" t="s">
        <v>70</v>
      </c>
      <c r="B33" s="100" t="s">
        <v>20</v>
      </c>
      <c r="C33" s="101">
        <v>5</v>
      </c>
      <c r="D33" s="102" t="s">
        <v>21</v>
      </c>
      <c r="G33" s="74" t="s">
        <v>22</v>
      </c>
      <c r="H33" s="74">
        <v>30</v>
      </c>
    </row>
    <row r="34" spans="1:8" x14ac:dyDescent="0.3">
      <c r="B34" s="10" t="s">
        <v>23</v>
      </c>
      <c r="C34" s="12">
        <v>6.5</v>
      </c>
      <c r="D34" s="7" t="s">
        <v>21</v>
      </c>
      <c r="G34" s="74" t="s">
        <v>24</v>
      </c>
      <c r="H34" s="74">
        <v>40</v>
      </c>
    </row>
    <row r="35" spans="1:8" x14ac:dyDescent="0.3">
      <c r="G35" s="74"/>
      <c r="H35" s="74"/>
    </row>
    <row r="37" spans="1:8" x14ac:dyDescent="0.3">
      <c r="B37" s="108" t="s">
        <v>25</v>
      </c>
      <c r="C37" s="109"/>
      <c r="D37" s="110"/>
    </row>
    <row r="38" spans="1:8" x14ac:dyDescent="0.3">
      <c r="B38" s="111"/>
      <c r="C38" s="112"/>
      <c r="D38" s="113"/>
    </row>
    <row r="39" spans="1:8" x14ac:dyDescent="0.3">
      <c r="B39" s="14" t="s">
        <v>26</v>
      </c>
      <c r="C39" s="19">
        <f>C27/C31</f>
        <v>6.0185185185185182</v>
      </c>
      <c r="D39" s="15" t="str">
        <f>"Min  ;  "&amp;IF(C39&gt;C34,"Necesita más de 1 vuelo","Funcional")</f>
        <v>Min  ;  Funcional</v>
      </c>
    </row>
    <row r="40" spans="1:8" x14ac:dyDescent="0.3">
      <c r="B40" s="16" t="s">
        <v>27</v>
      </c>
      <c r="C40" s="20">
        <f>C39+C33</f>
        <v>11.018518518518519</v>
      </c>
      <c r="D40" s="17" t="s">
        <v>21</v>
      </c>
    </row>
    <row r="41" spans="1:8" x14ac:dyDescent="0.3">
      <c r="B41" s="16" t="s">
        <v>28</v>
      </c>
      <c r="C41" s="21">
        <f>C27/C28</f>
        <v>2.1666666666666665</v>
      </c>
      <c r="D41" s="18" t="s">
        <v>18</v>
      </c>
    </row>
    <row r="42" spans="1:8" x14ac:dyDescent="0.3">
      <c r="B42" s="76" t="s">
        <v>74</v>
      </c>
      <c r="C42" s="21">
        <f>1/C41</f>
        <v>0.46153846153846156</v>
      </c>
      <c r="D42" s="77" t="s">
        <v>75</v>
      </c>
    </row>
    <row r="43" spans="1:8" x14ac:dyDescent="0.3">
      <c r="B43" s="83" t="s">
        <v>29</v>
      </c>
      <c r="C43" s="84">
        <f>(C41/C40)*60</f>
        <v>11.79831932773109</v>
      </c>
      <c r="D43" s="85" t="s">
        <v>30</v>
      </c>
    </row>
    <row r="44" spans="1:8" x14ac:dyDescent="0.3">
      <c r="B44" s="83" t="s">
        <v>31</v>
      </c>
      <c r="C44" s="84">
        <f>(C32/C43)</f>
        <v>1.6951566951566956</v>
      </c>
      <c r="D44" s="85" t="s">
        <v>32</v>
      </c>
    </row>
    <row r="45" spans="1:8" x14ac:dyDescent="0.3">
      <c r="E45" s="5">
        <v>30</v>
      </c>
    </row>
    <row r="49" spans="1:10" x14ac:dyDescent="0.3">
      <c r="B49" s="108" t="s">
        <v>77</v>
      </c>
      <c r="C49" s="109"/>
      <c r="D49" s="110"/>
    </row>
    <row r="50" spans="1:10" x14ac:dyDescent="0.3">
      <c r="B50" s="115"/>
      <c r="C50" s="116"/>
      <c r="D50" s="117"/>
    </row>
    <row r="51" spans="1:10" x14ac:dyDescent="0.3">
      <c r="B51" s="78" t="s">
        <v>34</v>
      </c>
      <c r="C51" s="6">
        <v>1.06</v>
      </c>
      <c r="D51" s="21" t="s">
        <v>6</v>
      </c>
    </row>
    <row r="52" spans="1:10" x14ac:dyDescent="0.3">
      <c r="B52" s="78" t="s">
        <v>35</v>
      </c>
      <c r="C52" s="6">
        <f>C32/C41</f>
        <v>9.2307692307692317</v>
      </c>
      <c r="D52" s="21" t="s">
        <v>59</v>
      </c>
      <c r="F52" s="74"/>
      <c r="G52" s="74"/>
      <c r="H52" s="74"/>
      <c r="I52" s="74"/>
      <c r="J52" s="74"/>
    </row>
    <row r="53" spans="1:10" x14ac:dyDescent="0.3">
      <c r="B53" s="78" t="s">
        <v>36</v>
      </c>
      <c r="C53" s="2">
        <f>C52*C51</f>
        <v>9.7846153846153854</v>
      </c>
      <c r="D53" s="21" t="str">
        <f>"L  ;"&amp;"  "&amp;IF(30&gt;C53,"Operativo","Necesita realizar una recarga extra de combustible")</f>
        <v>L  ;  Operativo</v>
      </c>
      <c r="F53" s="74"/>
      <c r="G53" s="74"/>
      <c r="H53" s="74"/>
      <c r="I53" s="74"/>
      <c r="J53" s="74"/>
    </row>
    <row r="54" spans="1:10" x14ac:dyDescent="0.3">
      <c r="A54" s="73" t="s">
        <v>70</v>
      </c>
      <c r="B54" s="95" t="s">
        <v>72</v>
      </c>
      <c r="C54" s="96">
        <v>23</v>
      </c>
      <c r="D54" s="96" t="s">
        <v>4</v>
      </c>
      <c r="F54" s="74"/>
      <c r="G54" s="74"/>
      <c r="H54" s="74"/>
      <c r="I54" s="74"/>
      <c r="J54" s="74"/>
    </row>
    <row r="55" spans="1:10" x14ac:dyDescent="0.3">
      <c r="B55" s="78" t="s">
        <v>76</v>
      </c>
      <c r="C55" s="21">
        <f>C42*C81</f>
        <v>2.8045930291637027</v>
      </c>
      <c r="D55" s="21" t="s">
        <v>73</v>
      </c>
      <c r="F55" s="74"/>
      <c r="G55" s="74"/>
      <c r="H55" s="74"/>
      <c r="I55" s="74"/>
      <c r="J55" s="74"/>
    </row>
    <row r="56" spans="1:10" x14ac:dyDescent="0.3">
      <c r="B56" s="125" t="s">
        <v>86</v>
      </c>
      <c r="C56" s="126"/>
      <c r="D56" s="127"/>
      <c r="F56" s="74"/>
      <c r="G56" s="74"/>
      <c r="H56" s="74"/>
      <c r="I56" s="74"/>
      <c r="J56" s="74"/>
    </row>
    <row r="57" spans="1:10" x14ac:dyDescent="0.3">
      <c r="B57" s="74"/>
      <c r="C57" s="74"/>
      <c r="D57" s="74"/>
      <c r="F57" s="74"/>
      <c r="G57" s="74"/>
      <c r="H57" s="74"/>
      <c r="I57" s="74"/>
      <c r="J57" s="74"/>
    </row>
    <row r="58" spans="1:10" x14ac:dyDescent="0.3">
      <c r="B58" s="108" t="s">
        <v>78</v>
      </c>
      <c r="C58" s="109"/>
      <c r="D58" s="110"/>
      <c r="F58" s="74"/>
      <c r="G58" s="74"/>
      <c r="H58" s="74"/>
      <c r="I58" s="74"/>
      <c r="J58" s="74"/>
    </row>
    <row r="59" spans="1:10" x14ac:dyDescent="0.3">
      <c r="B59" s="111"/>
      <c r="C59" s="112"/>
      <c r="D59" s="113"/>
      <c r="F59" s="74"/>
      <c r="G59" s="74"/>
      <c r="H59" s="74"/>
      <c r="I59" s="74"/>
      <c r="J59" s="74"/>
    </row>
    <row r="60" spans="1:10" x14ac:dyDescent="0.3">
      <c r="B60" s="78" t="s">
        <v>79</v>
      </c>
      <c r="C60" s="21">
        <f>1/9</f>
        <v>0.1111111111111111</v>
      </c>
      <c r="D60" s="21" t="s">
        <v>6</v>
      </c>
      <c r="F60" s="74"/>
      <c r="G60" s="74"/>
      <c r="H60" s="74"/>
      <c r="I60" s="74"/>
      <c r="J60" s="74"/>
    </row>
    <row r="61" spans="1:10" x14ac:dyDescent="0.3">
      <c r="A61" s="73" t="s">
        <v>70</v>
      </c>
      <c r="B61" s="103" t="s">
        <v>80</v>
      </c>
      <c r="C61" s="104">
        <v>50</v>
      </c>
      <c r="D61" s="104" t="s">
        <v>81</v>
      </c>
      <c r="F61" s="74"/>
      <c r="G61" s="74"/>
      <c r="H61" s="74"/>
      <c r="I61" s="74"/>
      <c r="J61" s="74"/>
    </row>
    <row r="62" spans="1:10" x14ac:dyDescent="0.3">
      <c r="B62" s="78" t="s">
        <v>36</v>
      </c>
      <c r="C62" s="21">
        <f>C61*C60</f>
        <v>5.5555555555555554</v>
      </c>
      <c r="D62" s="21" t="str">
        <f>"L  ;"&amp;"  "&amp;IF(30&gt;C62,"Operativo","Necesita realizar una recarga extra de combustible")</f>
        <v>L  ;  Operativo</v>
      </c>
      <c r="F62" s="74"/>
      <c r="G62" s="74"/>
      <c r="H62" s="74"/>
      <c r="I62" s="74"/>
      <c r="J62" s="74"/>
    </row>
    <row r="63" spans="1:10" x14ac:dyDescent="0.3">
      <c r="B63" s="78" t="s">
        <v>84</v>
      </c>
      <c r="C63" s="21">
        <f>C62/3.785</f>
        <v>1.467782181124321</v>
      </c>
      <c r="D63" s="21" t="s">
        <v>71</v>
      </c>
      <c r="F63" s="74"/>
      <c r="G63" s="74"/>
      <c r="H63" s="74"/>
      <c r="I63" s="74"/>
      <c r="J63" s="74"/>
    </row>
    <row r="64" spans="1:10" x14ac:dyDescent="0.3">
      <c r="A64" s="73" t="s">
        <v>70</v>
      </c>
      <c r="B64" s="95" t="s">
        <v>82</v>
      </c>
      <c r="C64" s="96">
        <v>23</v>
      </c>
      <c r="D64" s="96" t="s">
        <v>4</v>
      </c>
      <c r="F64" s="74"/>
      <c r="G64" s="74"/>
      <c r="H64" s="74"/>
      <c r="I64" s="74"/>
      <c r="J64" s="74"/>
    </row>
    <row r="65" spans="2:10" x14ac:dyDescent="0.3">
      <c r="B65" s="78" t="s">
        <v>83</v>
      </c>
      <c r="C65" s="21">
        <f>C64*C63</f>
        <v>33.75899016585938</v>
      </c>
      <c r="D65" s="21" t="s">
        <v>73</v>
      </c>
      <c r="E65" s="74"/>
      <c r="F65" s="74"/>
      <c r="G65" s="74"/>
      <c r="H65" s="74"/>
      <c r="I65" s="74"/>
      <c r="J65" s="74"/>
    </row>
    <row r="66" spans="2:10" x14ac:dyDescent="0.3">
      <c r="B66" s="125" t="s">
        <v>85</v>
      </c>
      <c r="C66" s="126"/>
      <c r="D66" s="127"/>
      <c r="F66" s="74"/>
      <c r="G66" s="74"/>
      <c r="H66" s="74"/>
      <c r="I66" s="74"/>
      <c r="J66" s="74"/>
    </row>
    <row r="67" spans="2:10" x14ac:dyDescent="0.3">
      <c r="B67" s="6"/>
      <c r="F67" s="74"/>
      <c r="G67" s="74"/>
      <c r="H67" s="74"/>
      <c r="I67" s="74"/>
      <c r="J67" s="74"/>
    </row>
    <row r="68" spans="2:10" x14ac:dyDescent="0.3">
      <c r="B68" s="108" t="s">
        <v>87</v>
      </c>
      <c r="C68" s="109"/>
      <c r="D68" s="110"/>
      <c r="F68" s="74"/>
      <c r="G68" s="74"/>
      <c r="H68" s="74"/>
      <c r="I68" s="74"/>
      <c r="J68" s="74"/>
    </row>
    <row r="69" spans="2:10" x14ac:dyDescent="0.3">
      <c r="B69" s="111"/>
      <c r="C69" s="112"/>
      <c r="D69" s="113"/>
      <c r="F69" s="74"/>
      <c r="G69" s="74"/>
      <c r="H69" s="74"/>
      <c r="I69" s="74"/>
      <c r="J69" s="74"/>
    </row>
    <row r="70" spans="2:10" x14ac:dyDescent="0.3">
      <c r="B70" s="78" t="s">
        <v>88</v>
      </c>
      <c r="C70" s="21">
        <v>100</v>
      </c>
      <c r="D70" s="21" t="s">
        <v>89</v>
      </c>
      <c r="F70" s="74"/>
      <c r="G70" s="74"/>
      <c r="H70" s="74"/>
      <c r="I70" s="74"/>
      <c r="J70" s="74"/>
    </row>
    <row r="71" spans="2:10" x14ac:dyDescent="0.3">
      <c r="B71" s="78" t="s">
        <v>90</v>
      </c>
      <c r="C71" s="21">
        <f>C70/C44</f>
        <v>58.991596638655444</v>
      </c>
      <c r="D71" s="21" t="s">
        <v>55</v>
      </c>
      <c r="F71" s="74"/>
      <c r="G71" s="74"/>
      <c r="H71" s="74"/>
      <c r="I71" s="74"/>
      <c r="J71" s="74"/>
    </row>
    <row r="72" spans="2:10" x14ac:dyDescent="0.3">
      <c r="B72" s="78" t="s">
        <v>91</v>
      </c>
      <c r="C72" s="21">
        <f>C98/C71</f>
        <v>3.2333141432910129</v>
      </c>
      <c r="D72" s="21" t="s">
        <v>92</v>
      </c>
      <c r="F72" s="74"/>
      <c r="G72" s="74"/>
      <c r="H72" s="74"/>
      <c r="I72" s="74"/>
      <c r="J72" s="74"/>
    </row>
    <row r="73" spans="2:10" x14ac:dyDescent="0.3">
      <c r="B73" s="78" t="s">
        <v>93</v>
      </c>
      <c r="C73" s="21">
        <v>370</v>
      </c>
      <c r="D73" s="21" t="s">
        <v>4</v>
      </c>
      <c r="F73" s="74"/>
      <c r="G73" s="74"/>
      <c r="H73" s="74"/>
      <c r="I73" s="74"/>
      <c r="J73" s="74"/>
    </row>
    <row r="74" spans="2:10" x14ac:dyDescent="0.3">
      <c r="B74" s="78" t="s">
        <v>94</v>
      </c>
      <c r="C74" s="21">
        <f>C73*C72</f>
        <v>1196.3262330176747</v>
      </c>
      <c r="D74" s="21" t="s">
        <v>4</v>
      </c>
      <c r="F74" s="74"/>
      <c r="G74" s="74"/>
      <c r="H74" s="74"/>
      <c r="I74" s="74"/>
      <c r="J74" s="74"/>
    </row>
    <row r="75" spans="2:10" x14ac:dyDescent="0.3">
      <c r="B75" s="118" t="s">
        <v>96</v>
      </c>
      <c r="C75" s="119"/>
      <c r="D75" s="120"/>
      <c r="F75" s="74"/>
      <c r="G75" s="74"/>
      <c r="H75" s="74"/>
      <c r="I75" s="74"/>
      <c r="J75" s="74"/>
    </row>
    <row r="76" spans="2:10" x14ac:dyDescent="0.3">
      <c r="B76" s="6"/>
      <c r="F76" s="74"/>
      <c r="G76" s="74"/>
      <c r="H76" s="74"/>
      <c r="I76" s="74"/>
      <c r="J76" s="74"/>
    </row>
    <row r="77" spans="2:10" x14ac:dyDescent="0.3">
      <c r="B77" s="108" t="s">
        <v>37</v>
      </c>
      <c r="C77" s="109"/>
      <c r="D77" s="110"/>
      <c r="F77" s="74"/>
      <c r="G77" s="74"/>
      <c r="H77" s="74"/>
      <c r="I77" s="74"/>
      <c r="J77" s="74"/>
    </row>
    <row r="78" spans="2:10" x14ac:dyDescent="0.3">
      <c r="B78" s="111"/>
      <c r="C78" s="112"/>
      <c r="D78" s="113"/>
      <c r="F78" s="74"/>
      <c r="G78" s="74"/>
      <c r="H78" s="74"/>
      <c r="I78" s="74"/>
      <c r="J78" s="74"/>
    </row>
    <row r="79" spans="2:10" x14ac:dyDescent="0.3">
      <c r="B79" s="14" t="s">
        <v>38</v>
      </c>
      <c r="C79" s="66">
        <v>50</v>
      </c>
      <c r="D79" s="22" t="s">
        <v>4</v>
      </c>
      <c r="F79" s="74"/>
      <c r="G79" s="74"/>
      <c r="H79" s="74"/>
      <c r="I79" s="74"/>
      <c r="J79" s="74"/>
    </row>
    <row r="80" spans="2:10" x14ac:dyDescent="0.3">
      <c r="B80" s="16" t="s">
        <v>39</v>
      </c>
      <c r="C80" s="21">
        <f>C79*C32</f>
        <v>1000</v>
      </c>
      <c r="D80" s="17" t="s">
        <v>4</v>
      </c>
      <c r="F80" s="74"/>
      <c r="G80" s="74"/>
      <c r="H80" s="74"/>
      <c r="I80" s="74"/>
      <c r="J80" s="74"/>
    </row>
    <row r="81" spans="1:10" x14ac:dyDescent="0.3">
      <c r="B81" s="16" t="s">
        <v>69</v>
      </c>
      <c r="C81" s="21">
        <f>(C54/3.785)</f>
        <v>6.0766182298546889</v>
      </c>
      <c r="D81" s="17" t="s">
        <v>4</v>
      </c>
      <c r="F81" s="74"/>
      <c r="G81" s="74" t="s">
        <v>60</v>
      </c>
      <c r="H81" s="74">
        <v>40</v>
      </c>
      <c r="I81" s="74">
        <v>50</v>
      </c>
      <c r="J81" s="74"/>
    </row>
    <row r="82" spans="1:10" x14ac:dyDescent="0.3">
      <c r="B82" s="86" t="s">
        <v>41</v>
      </c>
      <c r="C82" s="87">
        <f>C81*C53</f>
        <v>59.4573722182705</v>
      </c>
      <c r="D82" s="88" t="s">
        <v>4</v>
      </c>
      <c r="F82" s="74"/>
      <c r="G82" s="74">
        <v>40</v>
      </c>
      <c r="H82" s="74">
        <v>50</v>
      </c>
      <c r="I82" s="74"/>
      <c r="J82" s="74"/>
    </row>
    <row r="83" spans="1:10" x14ac:dyDescent="0.3">
      <c r="B83" s="89" t="s">
        <v>43</v>
      </c>
      <c r="C83" s="90">
        <f>C53/3.785</f>
        <v>2.5851031399248043</v>
      </c>
      <c r="D83" s="91" t="s">
        <v>44</v>
      </c>
      <c r="F83" s="74"/>
      <c r="G83" s="74">
        <v>60</v>
      </c>
      <c r="H83" s="74">
        <v>60</v>
      </c>
      <c r="I83" s="74"/>
      <c r="J83" s="74"/>
    </row>
    <row r="84" spans="1:10" x14ac:dyDescent="0.3">
      <c r="B84" s="86" t="s">
        <v>45</v>
      </c>
      <c r="C84" s="87">
        <f>C65</f>
        <v>33.75899016585938</v>
      </c>
      <c r="D84" s="88" t="s">
        <v>4</v>
      </c>
      <c r="F84" s="74"/>
      <c r="G84" s="74">
        <v>70</v>
      </c>
      <c r="H84" s="74">
        <v>70</v>
      </c>
      <c r="I84" s="74"/>
      <c r="J84" s="74"/>
    </row>
    <row r="85" spans="1:10" x14ac:dyDescent="0.3">
      <c r="A85" s="73" t="s">
        <v>70</v>
      </c>
      <c r="B85" s="105" t="s">
        <v>46</v>
      </c>
      <c r="C85" s="106">
        <v>150</v>
      </c>
      <c r="D85" s="107" t="s">
        <v>4</v>
      </c>
      <c r="F85" s="74"/>
      <c r="G85" s="74">
        <v>100</v>
      </c>
      <c r="H85" s="74">
        <v>200</v>
      </c>
      <c r="I85" s="74"/>
      <c r="J85" s="74"/>
    </row>
    <row r="86" spans="1:10" x14ac:dyDescent="0.3">
      <c r="A86" s="73" t="s">
        <v>70</v>
      </c>
      <c r="B86" s="105" t="s">
        <v>47</v>
      </c>
      <c r="C86" s="106">
        <v>200</v>
      </c>
      <c r="D86" s="107" t="s">
        <v>4</v>
      </c>
      <c r="F86" s="74"/>
      <c r="G86" s="74" t="s">
        <v>61</v>
      </c>
      <c r="H86" s="74" t="s">
        <v>62</v>
      </c>
      <c r="I86" s="74"/>
      <c r="J86" s="74"/>
    </row>
    <row r="87" spans="1:10" x14ac:dyDescent="0.3">
      <c r="B87" s="86" t="s">
        <v>95</v>
      </c>
      <c r="C87" s="87">
        <f>C74/C98</f>
        <v>6.2720797720797741</v>
      </c>
      <c r="D87" s="88" t="s">
        <v>4</v>
      </c>
      <c r="F87" s="74"/>
      <c r="G87" s="74"/>
      <c r="H87" s="74"/>
      <c r="I87" s="74"/>
      <c r="J87" s="74"/>
    </row>
    <row r="88" spans="1:10" x14ac:dyDescent="0.3">
      <c r="B88" s="24" t="s">
        <v>48</v>
      </c>
      <c r="C88" s="26">
        <f>C85+C84+C82+C86</f>
        <v>443.21636238412987</v>
      </c>
      <c r="D88" s="23" t="s">
        <v>4</v>
      </c>
      <c r="F88" s="74"/>
      <c r="G88" s="74"/>
      <c r="H88" s="74"/>
      <c r="I88" s="74"/>
      <c r="J88" s="74"/>
    </row>
    <row r="89" spans="1:10" x14ac:dyDescent="0.3">
      <c r="F89" s="74"/>
      <c r="G89" s="74"/>
      <c r="H89" s="74"/>
      <c r="I89" s="74"/>
      <c r="J89" s="74"/>
    </row>
    <row r="90" spans="1:10" x14ac:dyDescent="0.3">
      <c r="B90" s="67" t="s">
        <v>49</v>
      </c>
      <c r="C90" s="68"/>
      <c r="D90" s="69"/>
      <c r="F90" s="74"/>
      <c r="G90" s="74"/>
      <c r="H90" s="74"/>
      <c r="I90" s="74"/>
      <c r="J90" s="74"/>
    </row>
    <row r="91" spans="1:10" x14ac:dyDescent="0.3">
      <c r="B91" s="70"/>
      <c r="C91" s="71"/>
      <c r="D91" s="72"/>
      <c r="F91" s="74"/>
      <c r="G91" s="74"/>
      <c r="H91" s="74"/>
      <c r="I91" s="74"/>
      <c r="J91" s="74"/>
    </row>
    <row r="92" spans="1:10" x14ac:dyDescent="0.3">
      <c r="B92" s="14" t="s">
        <v>50</v>
      </c>
      <c r="C92" s="25">
        <f>C88/C32</f>
        <v>22.160818119206493</v>
      </c>
      <c r="D92" s="22" t="s">
        <v>4</v>
      </c>
      <c r="F92" s="74"/>
      <c r="G92" s="74"/>
      <c r="H92" s="74"/>
      <c r="I92" s="74"/>
      <c r="J92" s="74"/>
    </row>
    <row r="93" spans="1:10" x14ac:dyDescent="0.3">
      <c r="B93" s="16" t="s">
        <v>51</v>
      </c>
      <c r="C93" s="21">
        <f>C79-C92</f>
        <v>27.839181880793507</v>
      </c>
      <c r="D93" s="17" t="s">
        <v>4</v>
      </c>
    </row>
    <row r="94" spans="1:10" x14ac:dyDescent="0.3">
      <c r="B94" s="24" t="s">
        <v>52</v>
      </c>
      <c r="C94" s="26">
        <f>C93*C32</f>
        <v>556.78363761587013</v>
      </c>
      <c r="D94" s="23" t="s">
        <v>4</v>
      </c>
    </row>
    <row r="96" spans="1:10" x14ac:dyDescent="0.3">
      <c r="B96" s="108" t="s">
        <v>53</v>
      </c>
      <c r="C96" s="109"/>
      <c r="D96" s="110"/>
    </row>
    <row r="97" spans="2:4" x14ac:dyDescent="0.3">
      <c r="B97" s="111"/>
      <c r="C97" s="112"/>
      <c r="D97" s="113"/>
    </row>
    <row r="98" spans="2:4" x14ac:dyDescent="0.3">
      <c r="B98" s="92" t="s">
        <v>54</v>
      </c>
      <c r="C98" s="93">
        <f>C26/C94</f>
        <v>190.73836374708321</v>
      </c>
      <c r="D98" s="94" t="s">
        <v>55</v>
      </c>
    </row>
    <row r="99" spans="2:4" x14ac:dyDescent="0.3">
      <c r="B99" s="27" t="s">
        <v>56</v>
      </c>
      <c r="C99" s="28">
        <f>C98*C32</f>
        <v>3814.7672749416643</v>
      </c>
      <c r="D99" s="29" t="s">
        <v>18</v>
      </c>
    </row>
    <row r="101" spans="2:4" x14ac:dyDescent="0.3">
      <c r="C101" s="5"/>
      <c r="D101" s="5"/>
    </row>
    <row r="102" spans="2:4" x14ac:dyDescent="0.3">
      <c r="C102" s="5"/>
      <c r="D102" s="5"/>
    </row>
    <row r="103" spans="2:4" x14ac:dyDescent="0.3">
      <c r="C103" s="5"/>
      <c r="D103" s="5"/>
    </row>
    <row r="104" spans="2:4" x14ac:dyDescent="0.3">
      <c r="C104" s="5"/>
      <c r="D104" s="5"/>
    </row>
  </sheetData>
  <mergeCells count="11">
    <mergeCell ref="B96:D97"/>
    <mergeCell ref="C25:D25"/>
    <mergeCell ref="B23:D24"/>
    <mergeCell ref="B37:D38"/>
    <mergeCell ref="B49:D50"/>
    <mergeCell ref="B58:D59"/>
    <mergeCell ref="B66:D66"/>
    <mergeCell ref="B56:D56"/>
    <mergeCell ref="B68:D69"/>
    <mergeCell ref="B75:D75"/>
    <mergeCell ref="B77:D78"/>
  </mergeCells>
  <conditionalFormatting sqref="C31">
    <cfRule type="cellIs" dxfId="10" priority="8" operator="greaterThan">
      <formula>$H$33</formula>
    </cfRule>
  </conditionalFormatting>
  <conditionalFormatting sqref="C39">
    <cfRule type="cellIs" dxfId="9" priority="9" operator="greaterThan">
      <formula>$H$32</formula>
    </cfRule>
  </conditionalFormatting>
  <conditionalFormatting sqref="C43:C44">
    <cfRule type="cellIs" dxfId="8" priority="4" operator="greaterThan">
      <formula>$H$33</formula>
    </cfRule>
  </conditionalFormatting>
  <conditionalFormatting sqref="C53">
    <cfRule type="cellIs" dxfId="7" priority="3" operator="greaterThan">
      <formula>30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8427-C409-484C-A102-6E0ADB89B982}">
  <dimension ref="B23:H99"/>
  <sheetViews>
    <sheetView topLeftCell="A18" zoomScale="85" zoomScaleNormal="100" workbookViewId="0">
      <selection activeCell="C30" sqref="C30"/>
    </sheetView>
  </sheetViews>
  <sheetFormatPr baseColWidth="10" defaultColWidth="11.44140625" defaultRowHeight="14.4" x14ac:dyDescent="0.3"/>
  <cols>
    <col min="1" max="1" width="11.44140625" style="5"/>
    <col min="2" max="2" width="41.109375" style="5" bestFit="1" customWidth="1"/>
    <col min="3" max="3" width="40.33203125" style="6" customWidth="1"/>
    <col min="4" max="4" width="58.33203125" style="6" customWidth="1"/>
    <col min="5" max="5" width="71.44140625" style="5" customWidth="1"/>
    <col min="6" max="6" width="24.109375" style="5" customWidth="1"/>
    <col min="7" max="7" width="11.44140625" style="5" customWidth="1"/>
    <col min="8" max="16384" width="11.44140625" style="5"/>
  </cols>
  <sheetData>
    <row r="23" spans="2:7" x14ac:dyDescent="0.3">
      <c r="B23" s="108" t="s">
        <v>0</v>
      </c>
      <c r="C23" s="109"/>
      <c r="D23" s="110"/>
    </row>
    <row r="24" spans="2:7" x14ac:dyDescent="0.3">
      <c r="B24" s="111"/>
      <c r="C24" s="112"/>
      <c r="D24" s="113"/>
    </row>
    <row r="25" spans="2:7" x14ac:dyDescent="0.3">
      <c r="B25" s="58" t="s">
        <v>1</v>
      </c>
      <c r="C25" s="114" t="s">
        <v>2</v>
      </c>
      <c r="D25" s="114"/>
    </row>
    <row r="26" spans="2:7" x14ac:dyDescent="0.3">
      <c r="B26" s="58" t="s">
        <v>3</v>
      </c>
      <c r="C26" s="60">
        <v>128500</v>
      </c>
      <c r="D26" s="61" t="s">
        <v>4</v>
      </c>
    </row>
    <row r="27" spans="2:7" x14ac:dyDescent="0.3">
      <c r="B27" s="58" t="s">
        <v>5</v>
      </c>
      <c r="C27" s="61">
        <v>120</v>
      </c>
      <c r="D27" s="61" t="s">
        <v>6</v>
      </c>
    </row>
    <row r="28" spans="2:7" x14ac:dyDescent="0.3">
      <c r="B28" s="62" t="s">
        <v>7</v>
      </c>
      <c r="C28" s="63">
        <v>30</v>
      </c>
      <c r="D28" s="63" t="s">
        <v>8</v>
      </c>
    </row>
    <row r="29" spans="2:7" x14ac:dyDescent="0.3">
      <c r="B29" s="58" t="s">
        <v>9</v>
      </c>
      <c r="C29" s="61">
        <v>8</v>
      </c>
      <c r="D29" s="61" t="s">
        <v>10</v>
      </c>
      <c r="E29" s="56">
        <f>C29*3.6</f>
        <v>28.8</v>
      </c>
    </row>
    <row r="30" spans="2:7" x14ac:dyDescent="0.3">
      <c r="B30" s="58" t="s">
        <v>11</v>
      </c>
      <c r="C30" s="61">
        <v>9</v>
      </c>
      <c r="D30" s="61" t="s">
        <v>12</v>
      </c>
      <c r="F30" s="6" t="s">
        <v>13</v>
      </c>
      <c r="G30" s="6" t="s">
        <v>14</v>
      </c>
    </row>
    <row r="31" spans="2:7" x14ac:dyDescent="0.3">
      <c r="B31" s="62" t="s">
        <v>15</v>
      </c>
      <c r="C31" s="63">
        <f>(C28*C29*3600/1000*C30)/600</f>
        <v>12.96</v>
      </c>
      <c r="D31" s="64" t="str">
        <f>"L/Min  ;"&amp;"  "&amp;IF(C31&gt;G33,"Necesita instalación de boquillas adicionales","2 Boquillas")&amp;" "&amp;";"&amp;" "&amp;IF(C31&gt;G34,"Necesita otro modelo de drone","Modelo operativo")</f>
        <v>L/Min  ;  2 Boquillas ; Modelo operativo</v>
      </c>
      <c r="F31" s="5" t="s">
        <v>16</v>
      </c>
      <c r="G31" s="5">
        <v>40</v>
      </c>
    </row>
    <row r="32" spans="2:7" x14ac:dyDescent="0.3">
      <c r="B32" s="58" t="s">
        <v>17</v>
      </c>
      <c r="C32" s="59">
        <v>20</v>
      </c>
      <c r="D32" s="59" t="s">
        <v>18</v>
      </c>
      <c r="F32" s="5" t="s">
        <v>19</v>
      </c>
      <c r="G32" s="5">
        <v>7</v>
      </c>
    </row>
    <row r="33" spans="2:7" x14ac:dyDescent="0.3">
      <c r="B33" s="58" t="s">
        <v>20</v>
      </c>
      <c r="C33" s="61">
        <v>6</v>
      </c>
      <c r="D33" s="61" t="s">
        <v>21</v>
      </c>
      <c r="F33" s="5" t="s">
        <v>22</v>
      </c>
      <c r="G33" s="5">
        <v>30</v>
      </c>
    </row>
    <row r="34" spans="2:7" x14ac:dyDescent="0.3">
      <c r="B34" s="58" t="s">
        <v>23</v>
      </c>
      <c r="C34" s="61">
        <v>6.5</v>
      </c>
      <c r="D34" s="61" t="s">
        <v>21</v>
      </c>
      <c r="F34" s="5" t="s">
        <v>24</v>
      </c>
      <c r="G34" s="5">
        <v>40</v>
      </c>
    </row>
    <row r="37" spans="2:7" x14ac:dyDescent="0.3">
      <c r="B37" s="108" t="s">
        <v>25</v>
      </c>
      <c r="C37" s="109"/>
      <c r="D37" s="110"/>
    </row>
    <row r="38" spans="2:7" x14ac:dyDescent="0.3">
      <c r="B38" s="111"/>
      <c r="C38" s="112"/>
      <c r="D38" s="113"/>
    </row>
    <row r="39" spans="2:7" x14ac:dyDescent="0.3">
      <c r="B39" s="14" t="s">
        <v>26</v>
      </c>
      <c r="C39" s="19">
        <f>C27/C31</f>
        <v>9.2592592592592595</v>
      </c>
      <c r="D39" s="15" t="str">
        <f>"Min  ;  "&amp;IF(C39&gt;C34,"Necesita más de 1 vuelo","Funcional")</f>
        <v>Min  ;  Necesita más de 1 vuelo</v>
      </c>
    </row>
    <row r="40" spans="2:7" x14ac:dyDescent="0.3">
      <c r="B40" s="16" t="s">
        <v>27</v>
      </c>
      <c r="C40" s="20">
        <f>C39+C33</f>
        <v>15.25925925925926</v>
      </c>
      <c r="D40" s="17" t="s">
        <v>21</v>
      </c>
    </row>
    <row r="41" spans="2:7" x14ac:dyDescent="0.3">
      <c r="B41" s="16" t="s">
        <v>28</v>
      </c>
      <c r="C41" s="21">
        <f>C27/C28</f>
        <v>4</v>
      </c>
      <c r="D41" s="18" t="s">
        <v>18</v>
      </c>
    </row>
    <row r="42" spans="2:7" x14ac:dyDescent="0.3">
      <c r="B42" s="76" t="s">
        <v>74</v>
      </c>
      <c r="C42" s="21">
        <f>1/C41</f>
        <v>0.25</v>
      </c>
      <c r="D42" s="77" t="s">
        <v>75</v>
      </c>
    </row>
    <row r="43" spans="2:7" x14ac:dyDescent="0.3">
      <c r="B43" s="30" t="s">
        <v>29</v>
      </c>
      <c r="C43" s="31">
        <f>(C41/C40)*60</f>
        <v>15.728155339805825</v>
      </c>
      <c r="D43" s="32" t="s">
        <v>30</v>
      </c>
    </row>
    <row r="44" spans="2:7" x14ac:dyDescent="0.3">
      <c r="B44" s="30" t="s">
        <v>31</v>
      </c>
      <c r="C44" s="31">
        <f>(C32/C43)</f>
        <v>1.271604938271605</v>
      </c>
      <c r="D44" s="32" t="s">
        <v>32</v>
      </c>
      <c r="E44" s="5">
        <v>30</v>
      </c>
    </row>
    <row r="49" spans="2:4" x14ac:dyDescent="0.3">
      <c r="B49" s="108" t="s">
        <v>77</v>
      </c>
      <c r="C49" s="109"/>
      <c r="D49" s="110"/>
    </row>
    <row r="50" spans="2:4" x14ac:dyDescent="0.3">
      <c r="B50" s="115"/>
      <c r="C50" s="116"/>
      <c r="D50" s="117"/>
    </row>
    <row r="51" spans="2:4" x14ac:dyDescent="0.3">
      <c r="B51" s="78" t="s">
        <v>34</v>
      </c>
      <c r="C51" s="6">
        <v>1.06</v>
      </c>
      <c r="D51" s="21" t="s">
        <v>6</v>
      </c>
    </row>
    <row r="52" spans="2:4" x14ac:dyDescent="0.3">
      <c r="B52" s="78" t="s">
        <v>35</v>
      </c>
      <c r="C52" s="6">
        <f>C32/C41</f>
        <v>5</v>
      </c>
      <c r="D52" s="21" t="s">
        <v>59</v>
      </c>
    </row>
    <row r="53" spans="2:4" x14ac:dyDescent="0.3">
      <c r="B53" s="78" t="s">
        <v>36</v>
      </c>
      <c r="C53" s="2">
        <f>C52*C51</f>
        <v>5.3000000000000007</v>
      </c>
      <c r="D53" s="21" t="str">
        <f>"L  ;"&amp;"  "&amp;IF(30&gt;C53,"Operativo","Necesita realizar una recarga extra de combustible")</f>
        <v>L  ;  Operativo</v>
      </c>
    </row>
    <row r="54" spans="2:4" x14ac:dyDescent="0.3">
      <c r="B54" s="78" t="s">
        <v>72</v>
      </c>
      <c r="C54" s="21">
        <v>23</v>
      </c>
      <c r="D54" s="21" t="s">
        <v>4</v>
      </c>
    </row>
    <row r="55" spans="2:4" x14ac:dyDescent="0.3">
      <c r="B55" s="78" t="s">
        <v>76</v>
      </c>
      <c r="C55" s="21">
        <f>C42*C88</f>
        <v>103.99126669602231</v>
      </c>
      <c r="D55" s="21" t="s">
        <v>73</v>
      </c>
    </row>
    <row r="56" spans="2:4" x14ac:dyDescent="0.3">
      <c r="B56" s="118" t="s">
        <v>86</v>
      </c>
      <c r="C56" s="119"/>
      <c r="D56" s="120"/>
    </row>
    <row r="58" spans="2:4" x14ac:dyDescent="0.3">
      <c r="B58" s="108" t="s">
        <v>78</v>
      </c>
      <c r="C58" s="109"/>
      <c r="D58" s="110"/>
    </row>
    <row r="59" spans="2:4" x14ac:dyDescent="0.3">
      <c r="B59" s="111"/>
      <c r="C59" s="112"/>
      <c r="D59" s="113"/>
    </row>
    <row r="60" spans="2:4" x14ac:dyDescent="0.3">
      <c r="B60" s="78" t="s">
        <v>79</v>
      </c>
      <c r="C60" s="21">
        <f>1/9</f>
        <v>0.1111111111111111</v>
      </c>
      <c r="D60" s="21" t="s">
        <v>6</v>
      </c>
    </row>
    <row r="61" spans="2:4" x14ac:dyDescent="0.3">
      <c r="B61" s="78" t="s">
        <v>80</v>
      </c>
      <c r="C61" s="21">
        <v>50</v>
      </c>
      <c r="D61" s="21" t="s">
        <v>81</v>
      </c>
    </row>
    <row r="62" spans="2:4" x14ac:dyDescent="0.3">
      <c r="B62" s="78" t="s">
        <v>36</v>
      </c>
      <c r="C62" s="21">
        <f>C61*C60</f>
        <v>5.5555555555555554</v>
      </c>
      <c r="D62" s="21" t="str">
        <f>"L  ;"&amp;"  "&amp;IF(30&gt;C62,"Operativo","Necesita realizar una recarga extra de combustible")</f>
        <v>L  ;  Operativo</v>
      </c>
    </row>
    <row r="63" spans="2:4" x14ac:dyDescent="0.3">
      <c r="B63" s="78" t="s">
        <v>84</v>
      </c>
      <c r="C63" s="21">
        <f>C62/3.785</f>
        <v>1.467782181124321</v>
      </c>
      <c r="D63" s="21" t="s">
        <v>71</v>
      </c>
    </row>
    <row r="64" spans="2:4" x14ac:dyDescent="0.3">
      <c r="B64" s="78" t="s">
        <v>82</v>
      </c>
      <c r="C64" s="21">
        <v>23</v>
      </c>
      <c r="D64" s="21" t="s">
        <v>4</v>
      </c>
    </row>
    <row r="65" spans="2:4" x14ac:dyDescent="0.3">
      <c r="B65" s="78" t="s">
        <v>83</v>
      </c>
      <c r="C65" s="21">
        <f>C64*C63</f>
        <v>33.75899016585938</v>
      </c>
      <c r="D65" s="21" t="s">
        <v>73</v>
      </c>
    </row>
    <row r="66" spans="2:4" x14ac:dyDescent="0.3">
      <c r="B66" s="118" t="s">
        <v>85</v>
      </c>
      <c r="C66" s="119"/>
      <c r="D66" s="120"/>
    </row>
    <row r="68" spans="2:4" x14ac:dyDescent="0.3">
      <c r="B68" s="108" t="s">
        <v>87</v>
      </c>
      <c r="C68" s="109"/>
      <c r="D68" s="110"/>
    </row>
    <row r="69" spans="2:4" x14ac:dyDescent="0.3">
      <c r="B69" s="111"/>
      <c r="C69" s="112"/>
      <c r="D69" s="113"/>
    </row>
    <row r="70" spans="2:4" x14ac:dyDescent="0.3">
      <c r="B70" s="78" t="s">
        <v>88</v>
      </c>
      <c r="C70" s="21">
        <v>100</v>
      </c>
      <c r="D70" s="21" t="s">
        <v>89</v>
      </c>
    </row>
    <row r="71" spans="2:4" x14ac:dyDescent="0.3">
      <c r="B71" s="78" t="s">
        <v>90</v>
      </c>
      <c r="C71" s="21">
        <f>C70/C44</f>
        <v>78.640776699029118</v>
      </c>
      <c r="D71" s="21" t="s">
        <v>55</v>
      </c>
    </row>
    <row r="72" spans="2:4" x14ac:dyDescent="0.3">
      <c r="B72" s="78" t="s">
        <v>91</v>
      </c>
      <c r="C72" s="21">
        <f>C98/C71</f>
        <v>2.7977989889774926</v>
      </c>
      <c r="D72" s="21" t="s">
        <v>92</v>
      </c>
    </row>
    <row r="73" spans="2:4" x14ac:dyDescent="0.3">
      <c r="B73" s="78" t="s">
        <v>93</v>
      </c>
      <c r="C73" s="21">
        <v>370</v>
      </c>
      <c r="D73" s="21" t="s">
        <v>4</v>
      </c>
    </row>
    <row r="74" spans="2:4" x14ac:dyDescent="0.3">
      <c r="B74" s="78" t="s">
        <v>94</v>
      </c>
      <c r="C74" s="21">
        <f>C73*C72</f>
        <v>1035.1856259216722</v>
      </c>
      <c r="D74" s="21" t="s">
        <v>4</v>
      </c>
    </row>
    <row r="75" spans="2:4" x14ac:dyDescent="0.3">
      <c r="B75" s="118" t="s">
        <v>96</v>
      </c>
      <c r="C75" s="119"/>
      <c r="D75" s="120"/>
    </row>
    <row r="77" spans="2:4" x14ac:dyDescent="0.3">
      <c r="B77" s="108" t="s">
        <v>37</v>
      </c>
      <c r="C77" s="109"/>
      <c r="D77" s="110"/>
    </row>
    <row r="78" spans="2:4" x14ac:dyDescent="0.3">
      <c r="B78" s="111"/>
      <c r="C78" s="112"/>
      <c r="D78" s="113"/>
    </row>
    <row r="79" spans="2:4" x14ac:dyDescent="0.3">
      <c r="B79" s="14" t="s">
        <v>38</v>
      </c>
      <c r="C79" s="66">
        <v>50</v>
      </c>
      <c r="D79" s="22" t="s">
        <v>4</v>
      </c>
    </row>
    <row r="80" spans="2:4" x14ac:dyDescent="0.3">
      <c r="B80" s="16" t="s">
        <v>39</v>
      </c>
      <c r="C80" s="21">
        <f>C79*C32</f>
        <v>1000</v>
      </c>
      <c r="D80" s="17" t="s">
        <v>4</v>
      </c>
    </row>
    <row r="81" spans="2:8" x14ac:dyDescent="0.3">
      <c r="B81" s="16" t="s">
        <v>69</v>
      </c>
      <c r="C81" s="21">
        <f>(C54/3.785)</f>
        <v>6.0766182298546889</v>
      </c>
      <c r="D81" s="17" t="s">
        <v>4</v>
      </c>
    </row>
    <row r="82" spans="2:8" x14ac:dyDescent="0.3">
      <c r="B82" s="37" t="s">
        <v>41</v>
      </c>
      <c r="C82" s="38">
        <f>C81*C53</f>
        <v>32.206076618229858</v>
      </c>
      <c r="D82" s="39" t="s">
        <v>4</v>
      </c>
    </row>
    <row r="83" spans="2:8" x14ac:dyDescent="0.3">
      <c r="B83" s="16" t="s">
        <v>43</v>
      </c>
      <c r="C83" s="21">
        <f>C53/3.785</f>
        <v>1.4002642007926025</v>
      </c>
      <c r="D83" s="17" t="s">
        <v>44</v>
      </c>
    </row>
    <row r="84" spans="2:8" x14ac:dyDescent="0.3">
      <c r="B84" s="37" t="s">
        <v>45</v>
      </c>
      <c r="C84" s="38">
        <f>C65</f>
        <v>33.75899016585938</v>
      </c>
      <c r="D84" s="39" t="s">
        <v>4</v>
      </c>
    </row>
    <row r="85" spans="2:8" x14ac:dyDescent="0.3">
      <c r="B85" s="37" t="s">
        <v>46</v>
      </c>
      <c r="C85" s="38">
        <v>150</v>
      </c>
      <c r="D85" s="39" t="s">
        <v>4</v>
      </c>
    </row>
    <row r="86" spans="2:8" x14ac:dyDescent="0.3">
      <c r="B86" s="37" t="s">
        <v>47</v>
      </c>
      <c r="C86" s="38">
        <v>200</v>
      </c>
      <c r="D86" s="39" t="s">
        <v>4</v>
      </c>
    </row>
    <row r="87" spans="2:8" x14ac:dyDescent="0.3">
      <c r="B87" s="37" t="s">
        <v>95</v>
      </c>
      <c r="C87" s="38">
        <f>C74/C98</f>
        <v>4.7049382716049388</v>
      </c>
      <c r="D87" s="39" t="s">
        <v>4</v>
      </c>
    </row>
    <row r="88" spans="2:8" x14ac:dyDescent="0.3">
      <c r="B88" s="24" t="s">
        <v>48</v>
      </c>
      <c r="C88" s="26">
        <f>C85+C84+C82+C86</f>
        <v>415.96506678408923</v>
      </c>
      <c r="D88" s="23" t="s">
        <v>4</v>
      </c>
    </row>
    <row r="89" spans="2:8" x14ac:dyDescent="0.3">
      <c r="B89"/>
      <c r="C89" s="2"/>
      <c r="D89" s="2"/>
    </row>
    <row r="90" spans="2:8" x14ac:dyDescent="0.3">
      <c r="B90" s="108" t="s">
        <v>49</v>
      </c>
      <c r="C90" s="109"/>
      <c r="D90" s="110"/>
      <c r="F90" s="5" t="s">
        <v>60</v>
      </c>
      <c r="G90" s="5">
        <v>40</v>
      </c>
      <c r="H90" s="5">
        <v>50</v>
      </c>
    </row>
    <row r="91" spans="2:8" x14ac:dyDescent="0.3">
      <c r="B91" s="111"/>
      <c r="C91" s="112"/>
      <c r="D91" s="113"/>
      <c r="F91" s="5">
        <v>40</v>
      </c>
      <c r="G91" s="5">
        <v>50</v>
      </c>
    </row>
    <row r="92" spans="2:8" x14ac:dyDescent="0.3">
      <c r="B92" s="14" t="s">
        <v>50</v>
      </c>
      <c r="C92" s="25">
        <f>C88/C32</f>
        <v>20.798253339204461</v>
      </c>
      <c r="D92" s="22" t="s">
        <v>4</v>
      </c>
      <c r="F92" s="5">
        <v>60</v>
      </c>
      <c r="G92" s="5">
        <v>60</v>
      </c>
    </row>
    <row r="93" spans="2:8" x14ac:dyDescent="0.3">
      <c r="B93" s="16" t="s">
        <v>51</v>
      </c>
      <c r="C93" s="21">
        <f>C79-C92</f>
        <v>29.201746660795539</v>
      </c>
      <c r="D93" s="17" t="s">
        <v>4</v>
      </c>
      <c r="F93" s="5">
        <v>70</v>
      </c>
      <c r="G93" s="5">
        <v>70</v>
      </c>
    </row>
    <row r="94" spans="2:8" x14ac:dyDescent="0.3">
      <c r="B94" s="24" t="s">
        <v>52</v>
      </c>
      <c r="C94" s="26">
        <f>C93*C32</f>
        <v>584.03493321591077</v>
      </c>
      <c r="D94" s="23" t="s">
        <v>4</v>
      </c>
      <c r="F94" s="5">
        <v>100</v>
      </c>
      <c r="G94" s="5">
        <v>200</v>
      </c>
    </row>
    <row r="95" spans="2:8" x14ac:dyDescent="0.3">
      <c r="F95" s="5" t="s">
        <v>61</v>
      </c>
      <c r="G95" s="5" t="s">
        <v>62</v>
      </c>
    </row>
    <row r="96" spans="2:8" x14ac:dyDescent="0.3">
      <c r="B96" s="108" t="s">
        <v>53</v>
      </c>
      <c r="C96" s="109"/>
      <c r="D96" s="110"/>
    </row>
    <row r="97" spans="2:4" x14ac:dyDescent="0.3">
      <c r="B97" s="111"/>
      <c r="C97" s="112"/>
      <c r="D97" s="113"/>
    </row>
    <row r="98" spans="2:4" x14ac:dyDescent="0.3">
      <c r="B98" s="40" t="s">
        <v>54</v>
      </c>
      <c r="C98" s="41">
        <f>C26/C94</f>
        <v>220.02108554094841</v>
      </c>
      <c r="D98" s="42" t="s">
        <v>55</v>
      </c>
    </row>
    <row r="99" spans="2:4" x14ac:dyDescent="0.3">
      <c r="B99" s="27" t="s">
        <v>56</v>
      </c>
      <c r="C99" s="28">
        <f>C98*C32</f>
        <v>4400.4217108189678</v>
      </c>
      <c r="D99" s="29" t="s">
        <v>18</v>
      </c>
    </row>
  </sheetData>
  <mergeCells count="12">
    <mergeCell ref="B96:D97"/>
    <mergeCell ref="B90:D91"/>
    <mergeCell ref="B23:D24"/>
    <mergeCell ref="C25:D25"/>
    <mergeCell ref="B37:D38"/>
    <mergeCell ref="B49:D50"/>
    <mergeCell ref="B56:D56"/>
    <mergeCell ref="B58:D59"/>
    <mergeCell ref="B66:D66"/>
    <mergeCell ref="B68:D69"/>
    <mergeCell ref="B75:D75"/>
    <mergeCell ref="B77:D78"/>
  </mergeCells>
  <conditionalFormatting sqref="C31">
    <cfRule type="cellIs" dxfId="6" priority="6" operator="greaterThan">
      <formula>$G$33</formula>
    </cfRule>
  </conditionalFormatting>
  <conditionalFormatting sqref="C39">
    <cfRule type="cellIs" dxfId="5" priority="2" operator="greaterThan">
      <formula>$H$32</formula>
    </cfRule>
  </conditionalFormatting>
  <conditionalFormatting sqref="C43:C44">
    <cfRule type="cellIs" dxfId="4" priority="1" operator="greaterThan">
      <formula>$H$33</formula>
    </cfRule>
  </conditionalFormatting>
  <conditionalFormatting sqref="C53">
    <cfRule type="cellIs" dxfId="3" priority="3" operator="greaterThan">
      <formula>30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7192-46D5-4027-8B33-F2E2EE74B368}">
  <dimension ref="B2:G43"/>
  <sheetViews>
    <sheetView zoomScale="85" zoomScaleNormal="85" workbookViewId="0">
      <selection activeCell="I33" sqref="I33"/>
    </sheetView>
  </sheetViews>
  <sheetFormatPr baseColWidth="10" defaultColWidth="11.44140625" defaultRowHeight="14.4" x14ac:dyDescent="0.3"/>
  <cols>
    <col min="2" max="2" width="41.109375" bestFit="1" customWidth="1"/>
    <col min="3" max="3" width="40.33203125" style="2" customWidth="1"/>
    <col min="4" max="4" width="84.6640625" style="2" customWidth="1"/>
    <col min="5" max="5" width="71.44140625" bestFit="1" customWidth="1"/>
    <col min="6" max="6" width="24.109375" bestFit="1" customWidth="1"/>
  </cols>
  <sheetData>
    <row r="2" spans="2:7" x14ac:dyDescent="0.3">
      <c r="B2" t="s">
        <v>1</v>
      </c>
      <c r="C2" s="2" t="s">
        <v>14</v>
      </c>
    </row>
    <row r="3" spans="2:7" x14ac:dyDescent="0.3">
      <c r="B3" t="s">
        <v>3</v>
      </c>
      <c r="C3" s="2">
        <v>128000</v>
      </c>
      <c r="D3" s="2" t="s">
        <v>4</v>
      </c>
    </row>
    <row r="4" spans="2:7" x14ac:dyDescent="0.3">
      <c r="F4" s="2" t="s">
        <v>13</v>
      </c>
      <c r="G4" s="2" t="s">
        <v>63</v>
      </c>
    </row>
    <row r="5" spans="2:7" x14ac:dyDescent="0.3">
      <c r="B5" t="s">
        <v>5</v>
      </c>
      <c r="C5" s="2">
        <v>90</v>
      </c>
      <c r="D5" s="2" t="s">
        <v>6</v>
      </c>
      <c r="F5" t="s">
        <v>16</v>
      </c>
      <c r="G5">
        <v>40</v>
      </c>
    </row>
    <row r="6" spans="2:7" x14ac:dyDescent="0.3">
      <c r="B6" t="s">
        <v>7</v>
      </c>
      <c r="C6" s="2">
        <v>150</v>
      </c>
      <c r="D6" s="2" t="s">
        <v>8</v>
      </c>
      <c r="F6" t="s">
        <v>19</v>
      </c>
      <c r="G6">
        <v>6</v>
      </c>
    </row>
    <row r="7" spans="2:7" x14ac:dyDescent="0.3">
      <c r="B7" t="s">
        <v>9</v>
      </c>
      <c r="C7" s="2">
        <v>3.5</v>
      </c>
      <c r="D7" s="2" t="s">
        <v>10</v>
      </c>
      <c r="F7" t="s">
        <v>22</v>
      </c>
      <c r="G7">
        <v>16</v>
      </c>
    </row>
    <row r="8" spans="2:7" x14ac:dyDescent="0.3">
      <c r="B8" t="s">
        <v>11</v>
      </c>
      <c r="C8" s="2">
        <v>5</v>
      </c>
      <c r="D8" s="2" t="s">
        <v>12</v>
      </c>
      <c r="F8" t="s">
        <v>24</v>
      </c>
      <c r="G8">
        <v>24</v>
      </c>
    </row>
    <row r="9" spans="2:7" x14ac:dyDescent="0.3">
      <c r="B9" t="s">
        <v>15</v>
      </c>
      <c r="C9" s="2">
        <f>(C6*C7*3600/1000*C8)/600</f>
        <v>15.75</v>
      </c>
      <c r="D9" s="1" t="str">
        <f>"L/Min  ;"&amp;"  "&amp;IF(C9&gt;G7,"Necesita instalación de boquillas adicionales","2 Boquillas")&amp;" "&amp;";"&amp;" "&amp;IF(C9&gt;G8,"Necesita otro modelo de drone","Modelo operativo")</f>
        <v>L/Min  ;  2 Boquillas ; Modelo operativo</v>
      </c>
    </row>
    <row r="10" spans="2:7" x14ac:dyDescent="0.3">
      <c r="B10" t="s">
        <v>64</v>
      </c>
      <c r="C10" s="2">
        <v>20</v>
      </c>
      <c r="D10" s="2" t="s">
        <v>18</v>
      </c>
    </row>
    <row r="11" spans="2:7" x14ac:dyDescent="0.3">
      <c r="B11" t="s">
        <v>20</v>
      </c>
      <c r="C11" s="2">
        <v>6</v>
      </c>
      <c r="D11" s="2" t="s">
        <v>21</v>
      </c>
    </row>
    <row r="14" spans="2:7" x14ac:dyDescent="0.3">
      <c r="B14" t="s">
        <v>23</v>
      </c>
      <c r="C14" s="2">
        <f>G6</f>
        <v>6</v>
      </c>
      <c r="D14" s="2" t="s">
        <v>21</v>
      </c>
    </row>
    <row r="15" spans="2:7" x14ac:dyDescent="0.3">
      <c r="B15" t="s">
        <v>26</v>
      </c>
      <c r="C15" s="4">
        <f>C5/C9</f>
        <v>5.7142857142857144</v>
      </c>
      <c r="D15" s="1" t="str">
        <f>IF(C15&gt;G6,"Min"&amp;" ; "&amp;"Necesita más de 1 vuelo","Funcional")</f>
        <v>Funcional</v>
      </c>
    </row>
    <row r="16" spans="2:7" x14ac:dyDescent="0.3">
      <c r="B16" t="s">
        <v>27</v>
      </c>
      <c r="C16" s="4">
        <f>+C15+C11</f>
        <v>11.714285714285715</v>
      </c>
      <c r="D16" s="2" t="s">
        <v>21</v>
      </c>
    </row>
    <row r="17" spans="2:5" x14ac:dyDescent="0.3">
      <c r="B17" t="s">
        <v>31</v>
      </c>
      <c r="C17" s="4">
        <f>(C10/C20)</f>
        <v>6.5079365079365088</v>
      </c>
      <c r="D17" s="2" t="s">
        <v>32</v>
      </c>
    </row>
    <row r="19" spans="2:5" x14ac:dyDescent="0.3">
      <c r="B19" t="s">
        <v>65</v>
      </c>
      <c r="C19" s="2">
        <f>C5/C6</f>
        <v>0.6</v>
      </c>
      <c r="D19" s="3" t="str">
        <f>IF(C15&gt;G6," Ha"&amp;" ;  Calculo no exacto"," Ha")</f>
        <v xml:space="preserve"> Ha</v>
      </c>
      <c r="E19">
        <v>1800</v>
      </c>
    </row>
    <row r="20" spans="2:5" x14ac:dyDescent="0.3">
      <c r="B20" t="s">
        <v>66</v>
      </c>
      <c r="C20" s="2">
        <f>(60/C16)*C19</f>
        <v>3.0731707317073167</v>
      </c>
      <c r="D20" s="2" t="s">
        <v>30</v>
      </c>
      <c r="E20">
        <v>10</v>
      </c>
    </row>
    <row r="21" spans="2:5" x14ac:dyDescent="0.3">
      <c r="E21">
        <v>3</v>
      </c>
    </row>
    <row r="22" spans="2:5" x14ac:dyDescent="0.3">
      <c r="B22" t="s">
        <v>67</v>
      </c>
      <c r="C22" s="2">
        <v>1</v>
      </c>
      <c r="D22" s="2" t="s">
        <v>6</v>
      </c>
      <c r="E22">
        <v>2.5</v>
      </c>
    </row>
    <row r="23" spans="2:5" x14ac:dyDescent="0.3">
      <c r="B23" t="s">
        <v>68</v>
      </c>
      <c r="C23" s="2">
        <f>C10/C19</f>
        <v>33.333333333333336</v>
      </c>
      <c r="D23" s="2" t="str">
        <f>IF(30&gt;C23,"Operativo","Necesita realizar una recarga extra de combustible")</f>
        <v>Necesita realizar una recarga extra de combustible</v>
      </c>
    </row>
    <row r="24" spans="2:5" x14ac:dyDescent="0.3">
      <c r="B24" t="s">
        <v>36</v>
      </c>
      <c r="C24" s="2">
        <f>C23*C22</f>
        <v>33.333333333333336</v>
      </c>
      <c r="D24" s="2" t="s">
        <v>6</v>
      </c>
      <c r="E24">
        <v>300</v>
      </c>
    </row>
    <row r="25" spans="2:5" x14ac:dyDescent="0.3">
      <c r="E25">
        <v>500</v>
      </c>
    </row>
    <row r="26" spans="2:5" x14ac:dyDescent="0.3">
      <c r="E26">
        <v>600</v>
      </c>
    </row>
    <row r="27" spans="2:5" x14ac:dyDescent="0.3">
      <c r="B27" t="s">
        <v>38</v>
      </c>
      <c r="C27" s="2">
        <v>200</v>
      </c>
      <c r="D27" s="2" t="s">
        <v>4</v>
      </c>
      <c r="E27">
        <v>700</v>
      </c>
    </row>
    <row r="28" spans="2:5" x14ac:dyDescent="0.3">
      <c r="B28" t="s">
        <v>39</v>
      </c>
      <c r="C28" s="2">
        <f>C27*C10</f>
        <v>4000</v>
      </c>
      <c r="D28" s="2" t="s">
        <v>4</v>
      </c>
      <c r="E28">
        <v>1400</v>
      </c>
    </row>
    <row r="29" spans="2:5" x14ac:dyDescent="0.3">
      <c r="B29" t="s">
        <v>40</v>
      </c>
      <c r="C29" s="2">
        <v>4.5</v>
      </c>
      <c r="D29" s="2" t="s">
        <v>4</v>
      </c>
    </row>
    <row r="30" spans="2:5" x14ac:dyDescent="0.3">
      <c r="B30" t="s">
        <v>41</v>
      </c>
      <c r="C30" s="2">
        <f>C29*C24</f>
        <v>150</v>
      </c>
      <c r="D30" s="2" t="s">
        <v>4</v>
      </c>
      <c r="E30">
        <v>25</v>
      </c>
    </row>
    <row r="31" spans="2:5" x14ac:dyDescent="0.3">
      <c r="B31" t="s">
        <v>42</v>
      </c>
      <c r="C31" s="2">
        <v>18</v>
      </c>
      <c r="D31" s="2" t="s">
        <v>4</v>
      </c>
      <c r="E31">
        <v>40</v>
      </c>
    </row>
    <row r="32" spans="2:5" x14ac:dyDescent="0.3">
      <c r="B32" t="s">
        <v>43</v>
      </c>
      <c r="C32" s="2">
        <v>5</v>
      </c>
      <c r="D32" s="2" t="s">
        <v>44</v>
      </c>
      <c r="E32">
        <f>300/40</f>
        <v>7.5</v>
      </c>
    </row>
    <row r="33" spans="2:4" x14ac:dyDescent="0.3">
      <c r="B33" t="s">
        <v>45</v>
      </c>
      <c r="C33" s="2">
        <f>C31*C32</f>
        <v>90</v>
      </c>
      <c r="D33" s="2" t="s">
        <v>4</v>
      </c>
    </row>
    <row r="34" spans="2:4" x14ac:dyDescent="0.3">
      <c r="B34" t="s">
        <v>46</v>
      </c>
      <c r="C34" s="2">
        <v>150</v>
      </c>
      <c r="D34" s="2" t="s">
        <v>4</v>
      </c>
    </row>
    <row r="35" spans="2:4" x14ac:dyDescent="0.3">
      <c r="B35" t="s">
        <v>47</v>
      </c>
    </row>
    <row r="37" spans="2:4" x14ac:dyDescent="0.3">
      <c r="B37" t="s">
        <v>48</v>
      </c>
      <c r="C37" s="2">
        <f>C34+C33+C30+C35</f>
        <v>390</v>
      </c>
      <c r="D37" s="2" t="s">
        <v>4</v>
      </c>
    </row>
    <row r="38" spans="2:4" x14ac:dyDescent="0.3">
      <c r="B38" t="s">
        <v>50</v>
      </c>
      <c r="C38" s="2">
        <f>C37/C10</f>
        <v>19.5</v>
      </c>
      <c r="D38" s="2" t="s">
        <v>4</v>
      </c>
    </row>
    <row r="39" spans="2:4" x14ac:dyDescent="0.3">
      <c r="B39" t="s">
        <v>51</v>
      </c>
      <c r="C39" s="2">
        <f>C27-C38</f>
        <v>180.5</v>
      </c>
      <c r="D39" s="2" t="s">
        <v>4</v>
      </c>
    </row>
    <row r="40" spans="2:4" x14ac:dyDescent="0.3">
      <c r="B40" t="s">
        <v>52</v>
      </c>
      <c r="C40" s="2">
        <f>C39*C10</f>
        <v>3610</v>
      </c>
      <c r="D40" s="2" t="s">
        <v>4</v>
      </c>
    </row>
    <row r="42" spans="2:4" x14ac:dyDescent="0.3">
      <c r="B42" t="s">
        <v>54</v>
      </c>
      <c r="C42" s="4">
        <f>C3/C40</f>
        <v>35.45706371191136</v>
      </c>
      <c r="D42" s="2" t="s">
        <v>55</v>
      </c>
    </row>
    <row r="43" spans="2:4" x14ac:dyDescent="0.3">
      <c r="B43" t="s">
        <v>56</v>
      </c>
      <c r="C43" s="4">
        <f>C42*C10</f>
        <v>709.1412742382272</v>
      </c>
      <c r="D43" s="2" t="s">
        <v>18</v>
      </c>
    </row>
  </sheetData>
  <conditionalFormatting sqref="C9">
    <cfRule type="cellIs" dxfId="2" priority="3" operator="greaterThan">
      <formula>$G$7</formula>
    </cfRule>
  </conditionalFormatting>
  <conditionalFormatting sqref="C15">
    <cfRule type="cellIs" dxfId="1" priority="2" operator="greaterThan">
      <formula>$G$6</formula>
    </cfRule>
  </conditionalFormatting>
  <conditionalFormatting sqref="C23">
    <cfRule type="cellIs" dxfId="0" priority="1" operator="greaterThan">
      <formula>29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ROI-DRONE (2)</vt:lpstr>
      <vt:lpstr>ROI_T25P</vt:lpstr>
      <vt:lpstr>ROI_T50</vt:lpstr>
      <vt:lpstr>ROI_T70P</vt:lpstr>
      <vt:lpstr>ROI_T100</vt:lpstr>
      <vt:lpstr>ROI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TAPIA</dc:creator>
  <cp:keywords/>
  <dc:description/>
  <cp:lastModifiedBy>PEDRO BENITES</cp:lastModifiedBy>
  <cp:revision/>
  <dcterms:created xsi:type="dcterms:W3CDTF">2025-09-23T14:28:49Z</dcterms:created>
  <dcterms:modified xsi:type="dcterms:W3CDTF">2026-04-27T20:20:45Z</dcterms:modified>
  <cp:category/>
  <cp:contentStatus/>
</cp:coreProperties>
</file>