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344CC6C5-80E1-435A-B321-82944BEBED37}" xr6:coauthVersionLast="47" xr6:coauthVersionMax="47" xr10:uidLastSave="{00000000-0000-0000-0000-000000000000}"/>
  <bookViews>
    <workbookView xWindow="-108" yWindow="-108" windowWidth="23256" windowHeight="12456" activeTab="2" xr2:uid="{CF471F3A-E1A0-4176-A48E-87D105974DFD}"/>
  </bookViews>
  <sheets>
    <sheet name="R3 CA" sheetId="5" r:id="rId1"/>
    <sheet name="R2 CA" sheetId="2" r:id="rId2"/>
    <sheet name="R1 C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5" l="1"/>
  <c r="D22" i="5" s="1"/>
  <c r="B21" i="5"/>
  <c r="B22" i="5" s="1"/>
  <c r="M16" i="5" s="1"/>
  <c r="D20" i="5"/>
  <c r="B20" i="5"/>
  <c r="M18" i="5"/>
  <c r="M20" i="5" s="1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J4" i="5" a="1"/>
  <c r="J4" i="5" s="1"/>
  <c r="F4" i="5"/>
  <c r="F20" i="5" s="1"/>
  <c r="M21" i="5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M18" i="2"/>
  <c r="M20" i="2" s="1"/>
  <c r="J4" i="2" a="1"/>
  <c r="J4" i="2" s="1"/>
  <c r="G4" i="1" l="1"/>
  <c r="H4" i="1" s="1"/>
  <c r="G17" i="5"/>
  <c r="H17" i="5" s="1"/>
  <c r="G12" i="5"/>
  <c r="H12" i="5" s="1"/>
  <c r="G9" i="5"/>
  <c r="H9" i="5" s="1"/>
  <c r="G14" i="5"/>
  <c r="H14" i="5" s="1"/>
  <c r="G6" i="5"/>
  <c r="H6" i="5" s="1"/>
  <c r="G4" i="5"/>
  <c r="H4" i="5" s="1"/>
  <c r="G11" i="5"/>
  <c r="H11" i="5" s="1"/>
  <c r="G16" i="5"/>
  <c r="H16" i="5" s="1"/>
  <c r="G8" i="5"/>
  <c r="H8" i="5" s="1"/>
  <c r="G18" i="5"/>
  <c r="H18" i="5" s="1"/>
  <c r="G13" i="5"/>
  <c r="H13" i="5" s="1"/>
  <c r="G5" i="5"/>
  <c r="H5" i="5" s="1"/>
  <c r="G10" i="5"/>
  <c r="H10" i="5" s="1"/>
  <c r="G15" i="5"/>
  <c r="H15" i="5" s="1"/>
  <c r="G7" i="5"/>
  <c r="H7" i="5" s="1"/>
  <c r="F21" i="5"/>
  <c r="F22" i="5" s="1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M16" i="2"/>
  <c r="F20" i="2"/>
  <c r="M21" i="2" s="1"/>
  <c r="G14" i="1"/>
  <c r="H14" i="1" s="1"/>
  <c r="G13" i="1"/>
  <c r="H13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Y44" i="1" l="1"/>
  <c r="Y46" i="1" s="1"/>
  <c r="B59" i="1"/>
  <c r="D60" i="1"/>
  <c r="D61" i="1" s="1"/>
  <c r="D59" i="1"/>
  <c r="Y135" i="1"/>
  <c r="Y137" i="1" s="1"/>
  <c r="Y111" i="1"/>
  <c r="Y113" i="1" s="1"/>
  <c r="Y87" i="1"/>
  <c r="Y89" i="1" s="1"/>
  <c r="Y59" i="1"/>
  <c r="Y61" i="1" s="1"/>
  <c r="M18" i="1"/>
  <c r="M20" i="1" s="1"/>
  <c r="D83" i="1"/>
  <c r="D160" i="1"/>
  <c r="D159" i="1" l="1"/>
  <c r="D161" i="1"/>
  <c r="F54" i="1"/>
  <c r="F56" i="1"/>
  <c r="B20" i="1"/>
  <c r="B21" i="1"/>
  <c r="B22" i="1" s="1"/>
  <c r="D21" i="1"/>
  <c r="D22" i="1" s="1"/>
  <c r="D20" i="1"/>
  <c r="B84" i="1"/>
  <c r="B85" i="1" s="1"/>
  <c r="B83" i="1"/>
  <c r="D84" i="1"/>
  <c r="D85" i="1" s="1"/>
  <c r="B112" i="1"/>
  <c r="B113" i="1" s="1"/>
  <c r="B111" i="1"/>
  <c r="D136" i="1"/>
  <c r="D137" i="1" s="1"/>
  <c r="B136" i="1"/>
  <c r="B137" i="1" s="1"/>
  <c r="B135" i="1"/>
  <c r="D135" i="1"/>
  <c r="B159" i="1"/>
  <c r="B160" i="1"/>
  <c r="B161" i="1" s="1"/>
  <c r="F153" i="1"/>
  <c r="F154" i="1"/>
  <c r="F155" i="1"/>
  <c r="F156" i="1"/>
  <c r="F157" i="1"/>
  <c r="F129" i="1"/>
  <c r="F130" i="1"/>
  <c r="F131" i="1"/>
  <c r="F132" i="1"/>
  <c r="F133" i="1"/>
  <c r="F105" i="1"/>
  <c r="F106" i="1"/>
  <c r="F107" i="1"/>
  <c r="F108" i="1"/>
  <c r="F109" i="1"/>
  <c r="F77" i="1"/>
  <c r="F78" i="1"/>
  <c r="F79" i="1"/>
  <c r="F80" i="1"/>
  <c r="F81" i="1"/>
  <c r="F18" i="1"/>
  <c r="F14" i="1"/>
  <c r="F15" i="1"/>
  <c r="F16" i="1"/>
  <c r="F17" i="1"/>
  <c r="F152" i="1"/>
  <c r="F151" i="1"/>
  <c r="F150" i="1"/>
  <c r="F149" i="1"/>
  <c r="F148" i="1"/>
  <c r="F147" i="1"/>
  <c r="F146" i="1"/>
  <c r="F145" i="1"/>
  <c r="F144" i="1"/>
  <c r="F128" i="1"/>
  <c r="F127" i="1"/>
  <c r="F126" i="1"/>
  <c r="F125" i="1"/>
  <c r="F124" i="1"/>
  <c r="F123" i="1"/>
  <c r="F122" i="1"/>
  <c r="F121" i="1"/>
  <c r="F120" i="1"/>
  <c r="F119" i="1"/>
  <c r="F104" i="1"/>
  <c r="F103" i="1"/>
  <c r="F102" i="1"/>
  <c r="F101" i="1"/>
  <c r="F100" i="1"/>
  <c r="F99" i="1"/>
  <c r="F98" i="1"/>
  <c r="F97" i="1"/>
  <c r="F96" i="1"/>
  <c r="F76" i="1"/>
  <c r="F75" i="1"/>
  <c r="F74" i="1"/>
  <c r="F73" i="1"/>
  <c r="F72" i="1"/>
  <c r="F71" i="1"/>
  <c r="F70" i="1"/>
  <c r="F69" i="1"/>
  <c r="F68" i="1"/>
  <c r="F67" i="1"/>
  <c r="F4" i="1"/>
  <c r="F5" i="1"/>
  <c r="F6" i="1"/>
  <c r="F7" i="1"/>
  <c r="F8" i="1"/>
  <c r="F9" i="1"/>
  <c r="F10" i="1"/>
  <c r="F11" i="1"/>
  <c r="F12" i="1"/>
  <c r="F13" i="1"/>
  <c r="Y57" i="1" l="1"/>
  <c r="F20" i="1"/>
  <c r="M21" i="1" s="1"/>
  <c r="D111" i="1"/>
  <c r="D112" i="1"/>
  <c r="D113" i="1" s="1"/>
  <c r="F95" i="1"/>
  <c r="F112" i="1" s="1"/>
  <c r="F113" i="1" s="1"/>
  <c r="F135" i="1"/>
  <c r="Y114" i="1" s="1"/>
  <c r="F143" i="1"/>
  <c r="F160" i="1" s="1"/>
  <c r="F161" i="1" s="1"/>
  <c r="F136" i="1"/>
  <c r="F137" i="1" s="1"/>
  <c r="F84" i="1"/>
  <c r="F85" i="1" s="1"/>
  <c r="F21" i="1"/>
  <c r="F22" i="1" s="1"/>
  <c r="F83" i="1"/>
  <c r="Y62" i="1" s="1"/>
  <c r="Y133" i="1"/>
  <c r="Y109" i="1"/>
  <c r="M16" i="1"/>
  <c r="F159" i="1" l="1"/>
  <c r="Y138" i="1" s="1"/>
  <c r="Y85" i="1"/>
  <c r="F111" i="1"/>
  <c r="Y90" i="1" s="1"/>
  <c r="F52" i="1"/>
  <c r="F50" i="1" l="1"/>
  <c r="F48" i="1" l="1"/>
  <c r="F44" i="1" l="1"/>
  <c r="F46" i="1"/>
  <c r="F55" i="1"/>
  <c r="F57" i="1"/>
  <c r="B60" i="1"/>
  <c r="B61" i="1" s="1"/>
  <c r="Y42" i="1" s="1"/>
  <c r="F43" i="1"/>
  <c r="F53" i="1"/>
  <c r="F45" i="1"/>
  <c r="F47" i="1"/>
  <c r="F51" i="1"/>
  <c r="F49" i="1"/>
  <c r="F60" i="1" l="1"/>
  <c r="F61" i="1" s="1"/>
  <c r="F59" i="1"/>
  <c r="Y4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<sst xmlns="http://schemas.openxmlformats.org/spreadsheetml/2006/main" count="151" uniqueCount="34">
  <si>
    <t>Voltagem</t>
  </si>
  <si>
    <t>Numero de Medição</t>
  </si>
  <si>
    <t>Corrente Elétrica</t>
  </si>
  <si>
    <t>Incerteza do Multimetro (V) :</t>
  </si>
  <si>
    <r>
      <t>Incerteza da Resistência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 :</t>
    </r>
  </si>
  <si>
    <t>Resistência</t>
  </si>
  <si>
    <t>Média</t>
  </si>
  <si>
    <t>Desvio Padrão</t>
  </si>
  <si>
    <t>Incerteza na Média</t>
  </si>
  <si>
    <t>Ciruito A Resistência 2</t>
  </si>
  <si>
    <t>Ciruito A Resistência 1</t>
  </si>
  <si>
    <t>Circuito B</t>
  </si>
  <si>
    <t>Ciruito B Resistência 1</t>
  </si>
  <si>
    <t>Ciruito A Resistência 3</t>
  </si>
  <si>
    <t>Ciruito B Resistência 2</t>
  </si>
  <si>
    <t>Ciruito B Resistência 3</t>
  </si>
  <si>
    <t>V (V)</t>
  </si>
  <si>
    <t>u(V)</t>
  </si>
  <si>
    <t>u(I)</t>
  </si>
  <si>
    <t>I (A)</t>
  </si>
  <si>
    <t>R (Ω)</t>
  </si>
  <si>
    <t>1,00E-06*</t>
  </si>
  <si>
    <t>Resistência (Regressão linear):</t>
  </si>
  <si>
    <t>Erro relativo á previsão (%) :</t>
  </si>
  <si>
    <t>Erro Média em relacao á previsao(%):</t>
  </si>
  <si>
    <t>Previsão da Resistência:</t>
  </si>
  <si>
    <t>Incerteza da Resistência (Ω) :</t>
  </si>
  <si>
    <t>Incerteza do Multimetro (A) :</t>
  </si>
  <si>
    <t>2,00E-02*</t>
  </si>
  <si>
    <t>Fit</t>
  </si>
  <si>
    <t>Residuo</t>
  </si>
  <si>
    <t>ANALISE ESTATISTICA</t>
  </si>
  <si>
    <t>3,00E-06*</t>
  </si>
  <si>
    <t>Regress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</si>
</sst>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0" fontId="0" fillId="0" borderId="1" xfId="0" applyBorder="1" applyAlignment="1"/>
    <xf numFmtId="11" fontId="0" fillId="0" borderId="1" xfId="0" applyNumberFormat="1" applyBorder="1"/>
    <xf numFmtId="10" fontId="0" fillId="0" borderId="1" xfId="2" applyNumberFormat="1" applyFont="1" applyBorder="1"/>
    <xf numFmtId="0" fontId="4" fillId="0" borderId="1" xfId="0" applyFont="1" applyBorder="1" applyAlignment="1"/>
    <xf numFmtId="10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Moeda" xfId="1" builtinId="4"/>
    <cellStyle name="Normal" xfId="0" builtinId="0"/>
    <cellStyle name="Percentagem" xfId="2" builtinId="5"/>
  </cellStyles>
  <dxfs count="11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71-4A72-BF43-A97775B69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A-43D1-AFCF-9C080776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CA'!$D$43:$D$57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'R1 CA'!$B$43:$B$57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FEE-9315-DF488B44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CA'!$D$67:$D$81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'R1 CA'!$B$67:$B$81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6-4D5A-BFE0-2A290B65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CA'!$D$95:$D$109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CA'!$B$95:$B$109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C-4ABA-976B-7E49605E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CA'!$D$119:$D$133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'R1 CA'!$B$119:$B$133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2-4D5E-8690-4E2546E0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CA'!$D$143:$D$157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'R1 CA'!$B$143:$B$157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A-420D-B40E-FD8BA8BC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-1.4298058739939945E-3</c:v>
                </c:pt>
                <c:pt idx="1">
                  <c:v>-9.4320499910607314E-3</c:v>
                </c:pt>
                <c:pt idx="2">
                  <c:v>-7.7751546043092201E-3</c:v>
                </c:pt>
                <c:pt idx="3">
                  <c:v>-2.5244914862508905E-2</c:v>
                </c:pt>
                <c:pt idx="4">
                  <c:v>-4.9241664668788765E-3</c:v>
                </c:pt>
                <c:pt idx="5">
                  <c:v>-1.8344898825873646E-2</c:v>
                </c:pt>
                <c:pt idx="6">
                  <c:v>-1.1543658308986959E-2</c:v>
                </c:pt>
                <c:pt idx="7">
                  <c:v>-1.7815106761859489E-2</c:v>
                </c:pt>
                <c:pt idx="8">
                  <c:v>0.2309273189850316</c:v>
                </c:pt>
                <c:pt idx="9">
                  <c:v>-1.443603518257941E-2</c:v>
                </c:pt>
                <c:pt idx="10">
                  <c:v>-3.8592276710827988E-2</c:v>
                </c:pt>
                <c:pt idx="11">
                  <c:v>-1.8719783802793266E-2</c:v>
                </c:pt>
                <c:pt idx="12">
                  <c:v>-1.5911000532183195E-2</c:v>
                </c:pt>
                <c:pt idx="13">
                  <c:v>-2.0567758465123376E-2</c:v>
                </c:pt>
                <c:pt idx="14">
                  <c:v>-2.619070859605177E-2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3CC01B-DD9E-4575-AA12-ED29B23A2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4F1935-0105-4BE7-93AC-8EB859CA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106679</xdr:colOff>
      <xdr:row>22</xdr:row>
      <xdr:rowOff>160021</xdr:rowOff>
    </xdr:from>
    <xdr:to>
      <xdr:col>13</xdr:col>
      <xdr:colOff>533400</xdr:colOff>
      <xdr:row>37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39</xdr:row>
      <xdr:rowOff>148590</xdr:rowOff>
    </xdr:from>
    <xdr:to>
      <xdr:col>20</xdr:col>
      <xdr:colOff>30480</xdr:colOff>
      <xdr:row>59</xdr:row>
      <xdr:rowOff>148590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D50A22-C4D8-4024-B741-B819F89E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74E9382-5B8C-4192-BD8C-62482BC9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2D4724-30F8-4438-83D3-34EC1A71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ADC6370-182E-4B5A-8F19-59097029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7A4D904-AD53-4B81-9DA6-EDBD5997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182880</xdr:colOff>
      <xdr:row>22</xdr:row>
      <xdr:rowOff>167640</xdr:rowOff>
    </xdr:from>
    <xdr:to>
      <xdr:col>5</xdr:col>
      <xdr:colOff>669432</xdr:colOff>
      <xdr:row>38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54D7F-B2F2-452A-84A1-7CEB0196FBEF}" name="Tabela523" displayName="Tabela523" ref="A3:H18" headerRowDxfId="16" dataDxfId="15">
  <autoFilter ref="A3:H18" xr:uid="{9C5B2E42-3817-413B-9C33-33DD89DD5E35}"/>
  <tableColumns count="8">
    <tableColumn id="1" xr3:uid="{34AA9B76-4EF3-4088-9BB5-F6888E77CE08}" name="Numero de Medição" totalsRowLabel="Total" dataDxfId="13" totalsRowDxfId="14"/>
    <tableColumn id="2" xr3:uid="{CDA8C55B-0033-44F2-A858-678AFA2FA315}" name="V (V)" dataDxfId="11" totalsRowDxfId="12"/>
    <tableColumn id="5" xr3:uid="{4BFB0826-0ACB-4175-AAB3-5D5468632EBE}" name="u(V)" dataDxfId="10" dataCellStyle="Moeda"/>
    <tableColumn id="3" xr3:uid="{81846A80-E1AE-4969-8F85-34AFBB887B27}" name="I (A)" dataDxfId="9" dataCellStyle="Moeda"/>
    <tableColumn id="6" xr3:uid="{B3395616-2350-4FFB-8A2E-0A4E05082AB8}" name="u(I)" dataDxfId="7" totalsRowDxfId="8" dataCellStyle="Moeda"/>
    <tableColumn id="4" xr3:uid="{49C30E59-A3AA-4916-9295-6A4995B0A20E}" name="R (Ω)" totalsRowFunction="count" dataDxfId="5" totalsRowDxfId="6" dataCellStyle="Moeda">
      <calculatedColumnFormula>B4/D4</calculatedColumnFormula>
    </tableColumn>
    <tableColumn id="8" xr3:uid="{9EAF5665-0B4A-4EE6-A371-291222D0D5FD}" name="Fit" dataDxfId="3" totalsRowDxfId="4">
      <calculatedColumnFormula>$J$4*Tabela523[[#This Row],[I (A)]]+$K$4</calculatedColumnFormula>
    </tableColumn>
    <tableColumn id="9" xr3:uid="{8F6E3F32-10FB-44EC-84F4-967CC1F7C609}" name="Residuo" dataDxfId="1" totalsRowDxfId="2">
      <calculatedColumnFormula>Tabela523[[#This Row],[V (V)]]-Tabela523[[#This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110" dataDxfId="109">
  <autoFilter ref="A3:H18" xr:uid="{9C5B2E42-3817-413B-9C33-33DD89DD5E35}"/>
  <tableColumns count="8">
    <tableColumn id="1" xr3:uid="{C435C4C2-AD8B-4A0D-8142-885D37A761EF}" name="Numero de Medição" totalsRowLabel="Total" dataDxfId="108" totalsRowDxfId="107"/>
    <tableColumn id="2" xr3:uid="{6B35960F-D78D-4095-8E3D-043220512137}" name="V (V)" dataDxfId="106" totalsRowDxfId="105"/>
    <tableColumn id="5" xr3:uid="{031EBECC-806A-461A-AB65-77E7C29FBD0C}" name="u(V)" dataDxfId="104" dataCellStyle="Moeda"/>
    <tableColumn id="3" xr3:uid="{1FA96904-73C1-478B-9F6A-51FD7892E2E7}" name="I (A)" dataDxfId="103" dataCellStyle="Moeda"/>
    <tableColumn id="6" xr3:uid="{34147ADB-8798-43D2-BFFA-00E5D3131EDA}" name="u(I)" dataDxfId="102" totalsRowDxfId="101" dataCellStyle="Moeda"/>
    <tableColumn id="4" xr3:uid="{6B9C80B7-684C-49A0-A019-D59C4D0F8B19}" name="R (Ω)" totalsRowFunction="count" dataDxfId="100" totalsRowDxfId="99" dataCellStyle="Moeda">
      <calculatedColumnFormula>B4/D4</calculatedColumnFormula>
    </tableColumn>
    <tableColumn id="8" xr3:uid="{D11CAD9A-864D-4A63-AE75-7C81DDEF3CF3}" name="Fit" dataDxfId="98" totalsRowDxfId="97">
      <calculatedColumnFormula>$J$4*Tabela52[[#This Row],[I (A)]]+$K$4</calculatedColumnFormula>
    </tableColumn>
    <tableColumn id="9" xr3:uid="{81B39A70-B15B-4519-A957-7D0ADA3F6F0B}" name="Residuo" dataDxfId="96" totalsRowDxfId="95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94" dataDxfId="93">
  <autoFilter ref="A3:H18" xr:uid="{9C5B2E42-3817-413B-9C33-33DD89DD5E35}"/>
  <tableColumns count="8">
    <tableColumn id="1" xr3:uid="{9DD51987-C1BC-4ED6-8FEC-B5E9EEBD87E4}" name="Numero de Medição" totalsRowLabel="Total" dataDxfId="92" totalsRowDxfId="91"/>
    <tableColumn id="2" xr3:uid="{15D1FA17-1AE6-4DD2-8292-D64CE9308936}" name="V (V)" dataDxfId="90" totalsRowDxfId="89"/>
    <tableColumn id="5" xr3:uid="{7C02DDDF-3141-4D0A-9AF5-518B2A531A4C}" name="u(V)" dataDxfId="88"/>
    <tableColumn id="3" xr3:uid="{5BFB6233-8250-4878-B204-A8C660E33AB0}" name="I (A)" dataDxfId="87"/>
    <tableColumn id="6" xr3:uid="{D00D6C69-A1D9-4D13-9A2F-60BE40695798}" name="u(I)" dataDxfId="86" totalsRowDxfId="85"/>
    <tableColumn id="4" xr3:uid="{419C236C-08C9-42EB-933C-7880265CDDD8}" name="R (Ω)" totalsRowFunction="count" dataDxfId="84" totalsRowDxfId="83">
      <calculatedColumnFormula>B4/D4</calculatedColumnFormula>
    </tableColumn>
    <tableColumn id="8" xr3:uid="{5D26FCBD-106E-427B-AC75-BD87B08904B4}" name="Regress" dataDxfId="82" totalsRowDxfId="81">
      <calculatedColumnFormula>$J$4*Tabela5[[#This Row],[I (A)]]+$K$4</calculatedColumnFormula>
    </tableColumn>
    <tableColumn id="9" xr3:uid="{4F6967FE-8E66-46D5-89AC-72983E1166AF}" name="Residuo" dataDxfId="0" totalsRowDxfId="80">
      <calculatedColumnFormula>-Tabela5[[#This Row],[V (V)]]+Tabela5[[#This Row],[Regress]]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947E35-7A5F-4B7A-83C9-EDC56314766C}" name="Tabela513" displayName="Tabela513" ref="A42:F57" headerRowDxfId="79" dataDxfId="78">
  <autoFilter ref="A42:F57" xr:uid="{69947E35-7A5F-4B7A-83C9-EDC56314766C}"/>
  <tableColumns count="6">
    <tableColumn id="1" xr3:uid="{71843C50-F2B2-4812-B490-8BF118C0297E}" name="Numero de Medição" totalsRowLabel="Total" dataDxfId="77" totalsRowDxfId="76"/>
    <tableColumn id="2" xr3:uid="{991DA961-5670-4F45-9567-BEB5B16C9F9F}" name="Voltagem" dataDxfId="75"/>
    <tableColumn id="5" xr3:uid="{D016CBE5-CAE9-43D8-BDA7-51C54CA2663A}" name="u(V)" dataDxfId="74" dataCellStyle="Moeda"/>
    <tableColumn id="3" xr3:uid="{D8270B4F-B072-4BED-8F6B-32BF8798E9F7}" name="Corrente Elétrica" dataDxfId="73" totalsRowDxfId="72" dataCellStyle="Moeda"/>
    <tableColumn id="6" xr3:uid="{ADFD343F-0A14-4F6B-B60A-AC165360EBBD}" name="u(I)" dataDxfId="71" totalsRowDxfId="70" dataCellStyle="Moeda"/>
    <tableColumn id="4" xr3:uid="{9EAEEDAC-6D0F-473B-A32D-883D869F1ED1}" name="Resistência" totalsRowFunction="count" dataDxfId="69" totalsRowDxfId="68" dataCellStyle="Moeda">
      <calculatedColumnFormula>B43/D43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B89758-6540-410C-9D6E-6615E7F30F73}" name="Tabela515" displayName="Tabela515" ref="A66:F81" headerRowDxfId="67" dataDxfId="66">
  <autoFilter ref="A66:F81" xr:uid="{21B89758-6540-410C-9D6E-6615E7F30F73}"/>
  <tableColumns count="6">
    <tableColumn id="1" xr3:uid="{42A0E4D7-25BB-48A1-879F-59A29E5FDEC0}" name="Numero de Medição" totalsRowLabel="Total" dataDxfId="65" totalsRowDxfId="64"/>
    <tableColumn id="2" xr3:uid="{47CBB6DA-76E3-4208-B8AC-53ED1356227C}" name="V (V)" dataDxfId="63" totalsRowDxfId="62"/>
    <tableColumn id="7" xr3:uid="{339EC1BF-6347-49FE-8C68-674FFE212D24}" name="u(V)" dataDxfId="61" totalsRowDxfId="60"/>
    <tableColumn id="3" xr3:uid="{D546E76A-468E-464B-A2CB-4F07756EC755}" name="I (A)" dataDxfId="59" totalsRowDxfId="58"/>
    <tableColumn id="8" xr3:uid="{26E97079-5B7D-4585-A322-17562E32181D}" name="u(I)" dataDxfId="57" totalsRowDxfId="56"/>
    <tableColumn id="4" xr3:uid="{9B5FBD40-E7C9-4AF1-B58C-93484A227F08}" name="R (Ω)" totalsRowFunction="count" dataDxfId="55" totalsRowDxfId="54">
      <calculatedColumnFormula>B67/D67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DD33C-4153-4F72-9A4D-037FCE993F86}" name="Tabela516" displayName="Tabela516" ref="A94:F109" headerRowDxfId="53" dataDxfId="52">
  <autoFilter ref="A94:F109" xr:uid="{A42DD33C-4153-4F72-9A4D-037FCE993F86}"/>
  <tableColumns count="6">
    <tableColumn id="1" xr3:uid="{DA8929B6-8358-4286-BBE7-87E237EAAF4B}" name="Numero de Medição" totalsRowLabel="Total" dataDxfId="51" totalsRowDxfId="50"/>
    <tableColumn id="2" xr3:uid="{AB952BEB-A90E-4961-B158-2A68B404E244}" name="V (V)" dataDxfId="49" totalsRowDxfId="48"/>
    <tableColumn id="5" xr3:uid="{DBBC59F9-D98C-4686-97C1-BEE96C71F346}" name="u(V)" dataDxfId="47" totalsRowDxfId="46"/>
    <tableColumn id="3" xr3:uid="{8245E335-11B5-4743-B73E-528AAAF1A734}" name="I (A)" dataDxfId="45"/>
    <tableColumn id="6" xr3:uid="{7F838851-7F2E-40AB-96BC-7EA7E1DA6457}" name="u(I)" dataDxfId="44"/>
    <tableColumn id="4" xr3:uid="{A7DC4E2F-8B36-4153-B12F-2CB9A0F3C0FE}" name="R (Ω)" totalsRowFunction="count" dataDxfId="43" totalsRowDxfId="42">
      <calculatedColumnFormula>B95/D95</calculatedColumnFormula>
    </tableColumn>
  </tableColumns>
  <tableStyleInfo name="TableStyleLight8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35E9FF-E56C-4068-8E82-CCB88E5535D2}" name="Tabela517" displayName="Tabela517" ref="A118:F133" headerRowDxfId="41" dataDxfId="40">
  <autoFilter ref="A118:F133" xr:uid="{3535E9FF-E56C-4068-8E82-CCB88E5535D2}"/>
  <tableColumns count="6">
    <tableColumn id="1" xr3:uid="{E5653933-D5F0-40E0-9126-7D5C5E6E076F}" name="Numero de Medição" totalsRowLabel="Total" dataDxfId="39" totalsRowDxfId="38"/>
    <tableColumn id="2" xr3:uid="{4047F096-802D-4A82-8556-4FDCD1CBA596}" name="V (V)" dataDxfId="37"/>
    <tableColumn id="5" xr3:uid="{39BCB85A-98A6-4169-ABBD-53EC7B090C38}" name="u(V)" dataDxfId="36"/>
    <tableColumn id="3" xr3:uid="{6A2E6146-0EF7-407B-BF4F-00BD8FF043CE}" name="I (A)" dataDxfId="35"/>
    <tableColumn id="6" xr3:uid="{527997B1-B87F-41CF-8B06-19A40E1B12DD}" name="u(I)" dataDxfId="34" totalsRowDxfId="33"/>
    <tableColumn id="4" xr3:uid="{5A9E15A7-8097-42C6-A5E9-38F4A78C1117}" name="R (Ω)" totalsRowFunction="count" dataDxfId="32" totalsRowDxfId="31">
      <calculatedColumnFormula>B119/D119</calculatedColumnFormula>
    </tableColumn>
  </tableColumns>
  <tableStyleInfo name="TableStyleLight8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C2E761-7EDB-4227-A85C-DDC7184409AF}" name="Tabela518" displayName="Tabela518" ref="A142:F157" headerRowDxfId="30" dataDxfId="29">
  <autoFilter ref="A142:F157" xr:uid="{BCC2E761-7EDB-4227-A85C-DDC7184409AF}"/>
  <tableColumns count="6">
    <tableColumn id="1" xr3:uid="{FF1DBC2D-D6EA-47E0-9253-0394DF3401A6}" name="Numero de Medição" totalsRowLabel="Total" dataDxfId="28" totalsRowDxfId="27"/>
    <tableColumn id="2" xr3:uid="{E8262805-4EA5-4DDE-9F58-1568CDE64B65}" name="V (V)" dataDxfId="26" totalsRowDxfId="25"/>
    <tableColumn id="5" xr3:uid="{A83FC60C-ADB5-4B27-B59A-4BF99A9A0315}" name="u(V)" dataDxfId="24" totalsRowDxfId="23"/>
    <tableColumn id="3" xr3:uid="{4DCE768E-96BA-4F88-9C29-8BC5D79A7E60}" name="I (A)" dataDxfId="22" totalsRowDxfId="21"/>
    <tableColumn id="6" xr3:uid="{FB7AB7EF-F243-4E85-AE65-90CC109B64B6}" name="u(I)" dataDxfId="20" totalsRowDxfId="19"/>
    <tableColumn id="4" xr3:uid="{DC14564C-AA8B-4953-90CB-3874FB98E31D}" name="R (Ω)" totalsRowFunction="count" dataDxfId="18" totalsRowDxfId="17">
      <calculatedColumnFormula>B143/D143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B3C7-EE7F-4247-B462-FB8B276D064D}">
  <dimension ref="A2:Y161"/>
  <sheetViews>
    <sheetView topLeftCell="A9" zoomScaleNormal="100" workbookViewId="0">
      <selection activeCell="D47" sqref="D4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9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32" t="s">
        <v>16</v>
      </c>
      <c r="C3" s="32" t="s">
        <v>17</v>
      </c>
      <c r="D3" s="32" t="s">
        <v>19</v>
      </c>
      <c r="E3" s="32" t="s">
        <v>18</v>
      </c>
      <c r="F3" s="32" t="s">
        <v>20</v>
      </c>
      <c r="G3" s="32" t="s">
        <v>29</v>
      </c>
      <c r="H3" s="32" t="s">
        <v>30</v>
      </c>
      <c r="I3" s="1"/>
      <c r="J3" s="35" t="s">
        <v>31</v>
      </c>
      <c r="K3" s="35"/>
    </row>
    <row r="4" spans="1:24" x14ac:dyDescent="0.3">
      <c r="A4" s="32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$J$4*Tabela523[[#This Row],[I (A)]]+$K$4</f>
        <v>0.78824026375396428</v>
      </c>
      <c r="H4" s="2">
        <f>Tabela523[[#This Row],[V (V)]]-Tabela523[[#This Row],[Fit]]</f>
        <v>-8.2402637539642498E-3</v>
      </c>
      <c r="I4" s="1"/>
      <c r="J4" s="31" cm="1">
        <f t="array" ref="J4:K8">LINEST(Tabela523[V (V)],Tabela523[I (A)],TRUE,TRUE)</f>
        <v>10104.290262959434</v>
      </c>
      <c r="K4" s="31">
        <v>-2.0102957282790435E-2</v>
      </c>
    </row>
    <row r="5" spans="1:24" x14ac:dyDescent="0.3">
      <c r="A5" s="32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$J$4*Tabela523[[#This Row],[I (A)]]+$K$4</f>
        <v>1.2934547769019358</v>
      </c>
      <c r="H5" s="2">
        <f>Tabela523[[#This Row],[V (V)]]-Tabela523[[#This Row],[Fit]]</f>
        <v>-7.3454776901935803E-2</v>
      </c>
      <c r="I5" s="1"/>
      <c r="J5" s="31">
        <v>89.573503681548132</v>
      </c>
      <c r="K5" s="31">
        <v>6.0607023869947686E-2</v>
      </c>
    </row>
    <row r="6" spans="1:24" x14ac:dyDescent="0.3">
      <c r="A6" s="32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$J$4*Tabela523[[#This Row],[I (A)]]+$K$4</f>
        <v>2.3746138350385952</v>
      </c>
      <c r="H6" s="2">
        <f>Tabela523[[#This Row],[V (V)]]-Tabela523[[#This Row],[Fit]]</f>
        <v>-1.4613835038595369E-2</v>
      </c>
      <c r="I6" s="1"/>
      <c r="J6" s="31">
        <v>0.99897941920814615</v>
      </c>
      <c r="K6" s="31">
        <v>0.10280872521320895</v>
      </c>
    </row>
    <row r="7" spans="1:24" x14ac:dyDescent="0.3">
      <c r="A7" s="32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$J$4*Tabela523[[#This Row],[I (A)]]+$K$4</f>
        <v>3.4961900542270925</v>
      </c>
      <c r="H7" s="2">
        <f>Tabela523[[#This Row],[V (V)]]-Tabela523[[#This Row],[Fit]]</f>
        <v>-1.6190054227092521E-2</v>
      </c>
      <c r="I7" s="1"/>
      <c r="J7" s="31">
        <v>12724.845062109185</v>
      </c>
      <c r="K7" s="31">
        <v>13</v>
      </c>
      <c r="L7" s="1"/>
      <c r="M7" s="1"/>
      <c r="N7" s="1"/>
      <c r="O7" s="3"/>
      <c r="P7" s="32"/>
      <c r="Q7" s="3"/>
      <c r="R7" s="3"/>
      <c r="S7" s="3"/>
      <c r="T7" s="3"/>
    </row>
    <row r="8" spans="1:24" x14ac:dyDescent="0.3">
      <c r="A8" s="32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$J$4*Tabela523[[#This Row],[I (A)]]+$K$4</f>
        <v>4.2641161142120092</v>
      </c>
      <c r="H8" s="2">
        <f>Tabela523[[#This Row],[V (V)]]-Tabela523[[#This Row],[Fit]]</f>
        <v>-1.4116114212009201E-2</v>
      </c>
      <c r="I8" s="1"/>
      <c r="J8" s="31">
        <v>134.49695475826044</v>
      </c>
      <c r="K8" s="31">
        <v>0.13740524173954641</v>
      </c>
      <c r="L8" s="1"/>
      <c r="M8" s="1"/>
      <c r="N8" s="1"/>
    </row>
    <row r="9" spans="1:24" x14ac:dyDescent="0.3">
      <c r="A9" s="32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$J$4*Tabela523[[#This Row],[I (A)]]+$K$4</f>
        <v>5.405900913926426</v>
      </c>
      <c r="H9" s="2">
        <f>Tabela523[[#This Row],[V (V)]]-Tabela523[[#This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32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$J$4*Tabela523[[#This Row],[I (A)]]+$K$4</f>
        <v>5.6382995899744923</v>
      </c>
      <c r="H10" s="2">
        <f>Tabela523[[#This Row],[V (V)]]-Tabela523[[#This Row],[Fit]]</f>
        <v>0.35170041002550789</v>
      </c>
      <c r="I10" s="1"/>
      <c r="J10" s="1"/>
      <c r="K10" s="4"/>
    </row>
    <row r="11" spans="1:24" x14ac:dyDescent="0.3">
      <c r="A11" s="32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$J$4*Tabela523[[#This Row],[I (A)]]+$K$4</f>
        <v>6.8306058410037052</v>
      </c>
      <c r="H11" s="2">
        <f>Tabela523[[#This Row],[V (V)]]-Tabela523[[#This Row],[Fit]]</f>
        <v>-2.0605841003705549E-2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2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$J$4*Tabela523[[#This Row],[I (A)]]+$K$4</f>
        <v>7.3964460957294333</v>
      </c>
      <c r="H12" s="2">
        <f>Tabela523[[#This Row],[V (V)]]-Tabela523[[#This Row],[Fit]]</f>
        <v>-1.6446095729433452E-2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2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$J$4*Tabela523[[#This Row],[I (A)]]+$K$4</f>
        <v>7.972390640718122</v>
      </c>
      <c r="H13" s="2">
        <f>Tabela523[[#This Row],[V (V)]]-Tabela523[[#This Row],[Fit]]</f>
        <v>-2.2390640718121801E-2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32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$J$4*Tabela523[[#This Row],[I (A)]]+$K$4</f>
        <v>8.2553107680809852</v>
      </c>
      <c r="H14" s="2">
        <f>Tabela523[[#This Row],[V (V)]]-Tabela523[[#This Row],[Fit]]</f>
        <v>-1.5310768080984971E-2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32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$J$4*Tabela523[[#This Row],[I (A)]]+$K$4</f>
        <v>8.9221939254363072</v>
      </c>
      <c r="H15" s="2">
        <f>Tabela523[[#This Row],[V (V)]]-Tabela523[[#This Row],[Fit]]</f>
        <v>-2.2193925436306827E-2</v>
      </c>
      <c r="I15" s="1"/>
      <c r="J15" s="36"/>
      <c r="K15" s="37"/>
      <c r="L15" s="37"/>
      <c r="M15" s="38"/>
    </row>
    <row r="16" spans="1:24" x14ac:dyDescent="0.3">
      <c r="A16" s="32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$J$4*Tabela523[[#This Row],[I (A)]]+$K$4</f>
        <v>9.4577213093731594</v>
      </c>
      <c r="H16" s="2">
        <f>Tabela523[[#This Row],[V (V)]]-Tabela523[[#This Row],[Fit]]</f>
        <v>-1.7721309373159855E-2</v>
      </c>
      <c r="I16" s="1"/>
      <c r="J16" s="23" t="s">
        <v>4</v>
      </c>
      <c r="K16" s="23"/>
      <c r="L16" s="23"/>
      <c r="M16" s="24">
        <f>SQRT(((1/D20)*B22)^2+(-(B20/(D20^2))*D22)^2)</f>
        <v>2275.6957077765142</v>
      </c>
    </row>
    <row r="17" spans="1:15" x14ac:dyDescent="0.3">
      <c r="A17" s="32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$J$4*Tabela523[[#This Row],[I (A)]]+$K$4</f>
        <v>9.7911628880508204</v>
      </c>
      <c r="H17" s="2">
        <f>Tabela523[[#This Row],[V (V)]]-Tabela523[[#This Row],[Fit]]</f>
        <v>-2.1162888050820783E-2</v>
      </c>
      <c r="I17" s="1"/>
      <c r="J17" s="36"/>
      <c r="K17" s="37"/>
      <c r="L17" s="37"/>
      <c r="M17" s="38"/>
    </row>
    <row r="18" spans="1:15" x14ac:dyDescent="0.3">
      <c r="A18" s="32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$J$4*Tabela523[[#This Row],[I (A)]]+$K$4</f>
        <v>10.003352983572967</v>
      </c>
      <c r="H18" s="2">
        <f>Tabela523[[#This Row],[V (V)]]-Tabela523[[#This Row],[Fit]]</f>
        <v>-2.3352983572966224E-2</v>
      </c>
      <c r="I18" s="1"/>
      <c r="J18" s="23" t="s">
        <v>22</v>
      </c>
      <c r="K18" s="23"/>
      <c r="L18" s="23"/>
      <c r="M18" s="24">
        <f>SLOPE(Tabela523[V (V)],Tabela523[I (A)])</f>
        <v>10104.290262959435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33" t="s">
        <v>6</v>
      </c>
      <c r="B20" s="19">
        <f>AVERAGE(B4:B18)</f>
        <v>6.1260000000000003</v>
      </c>
      <c r="C20" s="20"/>
      <c r="D20" s="21">
        <f>AVERAGE(D4:D18)</f>
        <v>6.0826666666666663E-4</v>
      </c>
      <c r="E20" s="22"/>
      <c r="F20" s="21">
        <f>AVERAGE(F4:F18)</f>
        <v>10013.978027113197</v>
      </c>
      <c r="J20" s="23" t="s">
        <v>23</v>
      </c>
      <c r="K20" s="23"/>
      <c r="L20" s="23"/>
      <c r="M20" s="25">
        <f>ABS((M14-M18)/M14)</f>
        <v>20.498489921190288</v>
      </c>
    </row>
    <row r="21" spans="1:15" x14ac:dyDescent="0.3">
      <c r="A21" s="33" t="s">
        <v>7</v>
      </c>
      <c r="B21" s="19">
        <f>STDEVA(B4:B18)</f>
        <v>3.1010869062314277</v>
      </c>
      <c r="C21" s="20"/>
      <c r="D21" s="21">
        <f>STDEVA(D4:D18)</f>
        <v>3.0675128749681294E-4</v>
      </c>
      <c r="E21" s="22"/>
      <c r="F21" s="21">
        <f>STDEVA(F4:F18)</f>
        <v>261.13897472485797</v>
      </c>
      <c r="J21" s="26" t="s">
        <v>24</v>
      </c>
      <c r="K21" s="26"/>
      <c r="L21" s="26"/>
      <c r="M21" s="27">
        <f>ABS((M14-F20)/M14)</f>
        <v>20.30633622790042</v>
      </c>
    </row>
    <row r="22" spans="1:15" x14ac:dyDescent="0.3">
      <c r="A22" s="33" t="s">
        <v>8</v>
      </c>
      <c r="B22" s="19">
        <f>B21/SQRT(10)</f>
        <v>0.98064978458163166</v>
      </c>
      <c r="C22" s="20"/>
      <c r="D22" s="21">
        <f>D21/SQRT(10)</f>
        <v>9.7003274367905937E-5</v>
      </c>
      <c r="E22" s="22"/>
      <c r="F22" s="21">
        <f t="shared" ref="F22" si="1">F21/SQRT(10)</f>
        <v>82.57939459716934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2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4"/>
      <c r="B41" s="34"/>
      <c r="C41" s="34"/>
      <c r="D41" s="34"/>
      <c r="E41" s="34"/>
      <c r="F41" s="34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2"/>
      <c r="B43" s="2"/>
      <c r="C43" s="14"/>
      <c r="D43" s="14"/>
      <c r="E43" s="14"/>
      <c r="F43" s="14"/>
      <c r="Y43" s="6"/>
    </row>
    <row r="44" spans="1:25" x14ac:dyDescent="0.3">
      <c r="A44" s="32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2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2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2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2"/>
      <c r="B48" s="2"/>
      <c r="C48" s="14"/>
      <c r="D48" s="14"/>
      <c r="E48" s="14"/>
      <c r="F48" s="14"/>
    </row>
    <row r="49" spans="1:25" x14ac:dyDescent="0.3">
      <c r="A49" s="32"/>
      <c r="B49" s="2"/>
      <c r="C49" s="14"/>
      <c r="D49" s="14"/>
      <c r="E49" s="14"/>
      <c r="F49" s="14"/>
    </row>
    <row r="50" spans="1:25" x14ac:dyDescent="0.3">
      <c r="A50" s="32"/>
      <c r="B50" s="2"/>
      <c r="C50" s="14"/>
      <c r="D50" s="14"/>
      <c r="E50" s="14"/>
      <c r="F50" s="14"/>
    </row>
    <row r="51" spans="1:25" x14ac:dyDescent="0.3">
      <c r="A51" s="32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2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2"/>
      <c r="B53" s="2"/>
      <c r="C53" s="14"/>
      <c r="D53" s="14"/>
      <c r="E53" s="14"/>
      <c r="F53" s="14"/>
      <c r="I53" s="4"/>
      <c r="Y53" s="6"/>
    </row>
    <row r="54" spans="1:25" x14ac:dyDescent="0.3">
      <c r="A54" s="32"/>
      <c r="B54" s="2"/>
      <c r="C54" s="14"/>
      <c r="D54" s="14"/>
      <c r="E54" s="14"/>
      <c r="F54" s="14"/>
      <c r="I54" s="4"/>
      <c r="Y54" s="6"/>
    </row>
    <row r="55" spans="1:25" x14ac:dyDescent="0.3">
      <c r="A55" s="32"/>
      <c r="B55" s="2"/>
      <c r="C55" s="14"/>
      <c r="D55" s="14"/>
      <c r="E55" s="14"/>
      <c r="F55" s="14"/>
      <c r="I55" s="4"/>
      <c r="J55" s="1"/>
      <c r="K55" s="1"/>
      <c r="L55" s="1"/>
      <c r="M55" s="3"/>
      <c r="N55" s="32"/>
      <c r="O55" s="3"/>
      <c r="V55" s="1"/>
      <c r="W55" s="1"/>
      <c r="X55" s="1"/>
      <c r="Y55" s="6"/>
    </row>
    <row r="56" spans="1:25" x14ac:dyDescent="0.3">
      <c r="A56" s="32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2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2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2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2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2"/>
      <c r="B65" s="32"/>
      <c r="C65" s="32"/>
      <c r="D65" s="32"/>
      <c r="E65" s="32"/>
      <c r="F65" s="32"/>
      <c r="I65" s="4"/>
    </row>
    <row r="66" spans="1:25" x14ac:dyDescent="0.3">
      <c r="A66" s="1"/>
      <c r="B66" s="32"/>
      <c r="C66" s="32"/>
      <c r="D66" s="32"/>
      <c r="E66" s="32"/>
      <c r="F66" s="32"/>
      <c r="I66" s="4"/>
    </row>
    <row r="67" spans="1:25" x14ac:dyDescent="0.3">
      <c r="A67" s="32"/>
      <c r="B67" s="2"/>
      <c r="C67" s="5"/>
      <c r="D67" s="5"/>
      <c r="E67" s="5"/>
      <c r="F67" s="5"/>
    </row>
    <row r="68" spans="1:25" x14ac:dyDescent="0.3">
      <c r="A68" s="32"/>
      <c r="B68" s="2"/>
      <c r="C68" s="5"/>
      <c r="D68" s="5"/>
      <c r="E68" s="5"/>
      <c r="F68" s="5"/>
    </row>
    <row r="69" spans="1:25" x14ac:dyDescent="0.3">
      <c r="A69" s="32"/>
      <c r="B69" s="2"/>
      <c r="C69" s="5"/>
      <c r="D69" s="5"/>
      <c r="E69" s="5"/>
      <c r="F69" s="5"/>
    </row>
    <row r="70" spans="1:25" x14ac:dyDescent="0.3">
      <c r="A70" s="32"/>
      <c r="B70" s="2"/>
      <c r="C70" s="5"/>
      <c r="D70" s="5"/>
      <c r="E70" s="5"/>
      <c r="F70" s="5"/>
    </row>
    <row r="71" spans="1:25" x14ac:dyDescent="0.3">
      <c r="A71" s="32"/>
      <c r="B71" s="2"/>
      <c r="C71" s="5"/>
      <c r="D71" s="5"/>
      <c r="E71" s="5"/>
      <c r="F71" s="5"/>
    </row>
    <row r="72" spans="1:25" x14ac:dyDescent="0.3">
      <c r="A72" s="32"/>
      <c r="B72" s="2"/>
      <c r="C72" s="5"/>
      <c r="D72" s="5"/>
      <c r="E72" s="5"/>
      <c r="F72" s="5"/>
    </row>
    <row r="73" spans="1:25" x14ac:dyDescent="0.3">
      <c r="A73" s="32"/>
      <c r="B73" s="2"/>
      <c r="C73" s="5"/>
      <c r="D73" s="5"/>
      <c r="E73" s="5"/>
      <c r="F73" s="5"/>
    </row>
    <row r="74" spans="1:25" x14ac:dyDescent="0.3">
      <c r="A74" s="32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2"/>
      <c r="B75" s="2"/>
      <c r="C75" s="5"/>
      <c r="D75" s="5"/>
      <c r="E75" s="5"/>
      <c r="F75" s="5"/>
    </row>
    <row r="76" spans="1:25" x14ac:dyDescent="0.3">
      <c r="A76" s="32"/>
      <c r="B76" s="2"/>
      <c r="C76" s="5"/>
      <c r="D76" s="5"/>
      <c r="E76" s="5"/>
      <c r="F76" s="5"/>
    </row>
    <row r="77" spans="1:25" x14ac:dyDescent="0.3">
      <c r="A77" s="32"/>
      <c r="B77" s="2"/>
      <c r="C77" s="5"/>
      <c r="D77" s="5"/>
      <c r="E77" s="5"/>
      <c r="F77" s="5"/>
    </row>
    <row r="78" spans="1:25" x14ac:dyDescent="0.3">
      <c r="A78" s="32"/>
      <c r="B78" s="2"/>
      <c r="C78" s="5"/>
      <c r="D78" s="5"/>
      <c r="E78" s="5"/>
      <c r="F78" s="5"/>
    </row>
    <row r="79" spans="1:25" x14ac:dyDescent="0.3">
      <c r="A79" s="32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2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2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2"/>
      <c r="B83" s="2"/>
      <c r="D83" s="5"/>
      <c r="E83" s="4"/>
      <c r="F83" s="5"/>
      <c r="I83" s="4"/>
      <c r="J83" s="1"/>
      <c r="K83" s="1"/>
      <c r="L83" s="1"/>
      <c r="M83" s="3"/>
      <c r="N83" s="32"/>
      <c r="O83" s="3"/>
      <c r="V83" s="1"/>
      <c r="W83" s="1"/>
      <c r="X83" s="1"/>
      <c r="Y83" s="6"/>
    </row>
    <row r="84" spans="1:25" x14ac:dyDescent="0.3">
      <c r="A84" s="32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2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2"/>
      <c r="B93" s="32"/>
      <c r="C93" s="32"/>
      <c r="D93" s="32"/>
      <c r="E93" s="32"/>
      <c r="F93" s="32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2"/>
      <c r="B95" s="2"/>
      <c r="C95" s="5"/>
      <c r="D95" s="5"/>
      <c r="E95" s="5"/>
      <c r="F95" s="5"/>
    </row>
    <row r="96" spans="1:25" x14ac:dyDescent="0.3">
      <c r="A96" s="32"/>
      <c r="B96" s="2"/>
      <c r="C96" s="5"/>
      <c r="D96" s="5"/>
      <c r="E96" s="5"/>
      <c r="F96" s="5"/>
    </row>
    <row r="97" spans="1:25" x14ac:dyDescent="0.3">
      <c r="A97" s="32"/>
      <c r="B97" s="2"/>
      <c r="C97" s="5"/>
      <c r="D97" s="5"/>
      <c r="E97" s="5"/>
      <c r="F97" s="5"/>
    </row>
    <row r="98" spans="1:25" x14ac:dyDescent="0.3">
      <c r="A98" s="32"/>
      <c r="B98" s="2"/>
      <c r="C98" s="5"/>
      <c r="D98" s="5"/>
      <c r="E98" s="5"/>
      <c r="F98" s="5"/>
    </row>
    <row r="99" spans="1:25" x14ac:dyDescent="0.3">
      <c r="A99" s="32"/>
      <c r="B99" s="2"/>
      <c r="C99" s="5"/>
      <c r="D99" s="5"/>
      <c r="E99" s="5"/>
      <c r="F99" s="5"/>
    </row>
    <row r="100" spans="1:25" x14ac:dyDescent="0.3">
      <c r="A100" s="32"/>
      <c r="B100" s="2"/>
      <c r="C100" s="5"/>
      <c r="D100" s="5"/>
      <c r="E100" s="5"/>
      <c r="F100" s="5"/>
    </row>
    <row r="101" spans="1:25" x14ac:dyDescent="0.3">
      <c r="A101" s="32"/>
      <c r="B101" s="2"/>
      <c r="C101" s="5"/>
      <c r="D101" s="5"/>
      <c r="E101" s="5"/>
      <c r="F101" s="5"/>
      <c r="I101" s="6"/>
    </row>
    <row r="102" spans="1:25" x14ac:dyDescent="0.3">
      <c r="A102" s="32"/>
      <c r="B102" s="2"/>
      <c r="C102" s="5"/>
      <c r="D102" s="5"/>
      <c r="E102" s="5"/>
      <c r="F102" s="5"/>
    </row>
    <row r="103" spans="1:25" x14ac:dyDescent="0.3">
      <c r="A103" s="32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2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2"/>
      <c r="B105" s="2"/>
      <c r="C105" s="5"/>
      <c r="D105" s="5"/>
      <c r="E105" s="5"/>
      <c r="F105" s="5"/>
      <c r="I105" s="4"/>
    </row>
    <row r="106" spans="1:25" x14ac:dyDescent="0.3">
      <c r="A106" s="32"/>
      <c r="B106" s="2"/>
      <c r="C106" s="5"/>
      <c r="D106" s="5"/>
      <c r="E106" s="5"/>
      <c r="F106" s="5"/>
      <c r="I106" s="4"/>
    </row>
    <row r="107" spans="1:25" x14ac:dyDescent="0.3">
      <c r="A107" s="32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2"/>
      <c r="O107" s="3"/>
      <c r="V107" s="1"/>
      <c r="W107" s="1"/>
      <c r="X107" s="1"/>
      <c r="Y107" s="6"/>
    </row>
    <row r="108" spans="1:25" x14ac:dyDescent="0.3">
      <c r="A108" s="32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2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2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2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2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2"/>
      <c r="B117" s="32"/>
      <c r="C117" s="32"/>
      <c r="D117" s="32"/>
      <c r="E117" s="32"/>
      <c r="F117" s="32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2"/>
      <c r="B119" s="8"/>
      <c r="C119" s="7"/>
      <c r="D119" s="7"/>
      <c r="E119" s="7"/>
      <c r="F119" s="7"/>
    </row>
    <row r="120" spans="1:25" x14ac:dyDescent="0.3">
      <c r="A120" s="32"/>
      <c r="B120" s="8"/>
      <c r="C120" s="15"/>
      <c r="D120" s="7"/>
      <c r="E120" s="7"/>
      <c r="F120" s="7"/>
    </row>
    <row r="121" spans="1:25" x14ac:dyDescent="0.3">
      <c r="A121" s="32"/>
      <c r="B121" s="8"/>
      <c r="C121" s="7"/>
      <c r="D121" s="7"/>
      <c r="E121" s="7"/>
      <c r="F121" s="7"/>
    </row>
    <row r="122" spans="1:25" x14ac:dyDescent="0.3">
      <c r="A122" s="32"/>
      <c r="B122" s="8"/>
      <c r="C122" s="7"/>
      <c r="D122" s="7"/>
      <c r="E122" s="7"/>
      <c r="F122" s="7"/>
    </row>
    <row r="123" spans="1:25" x14ac:dyDescent="0.3">
      <c r="A123" s="32"/>
      <c r="B123" s="8"/>
      <c r="C123" s="7"/>
      <c r="D123" s="7"/>
      <c r="E123" s="7"/>
      <c r="F123" s="7"/>
    </row>
    <row r="124" spans="1:25" x14ac:dyDescent="0.3">
      <c r="A124" s="32"/>
      <c r="B124" s="8"/>
      <c r="C124" s="7"/>
      <c r="D124" s="7"/>
      <c r="E124" s="7"/>
      <c r="F124" s="7"/>
    </row>
    <row r="125" spans="1:25" x14ac:dyDescent="0.3">
      <c r="A125" s="32"/>
      <c r="B125" s="8"/>
      <c r="C125" s="7"/>
      <c r="D125" s="7"/>
      <c r="E125" s="7"/>
      <c r="F125" s="7"/>
    </row>
    <row r="126" spans="1:25" x14ac:dyDescent="0.3">
      <c r="A126" s="32"/>
      <c r="B126" s="8"/>
      <c r="C126" s="7"/>
      <c r="D126" s="7"/>
      <c r="E126" s="7"/>
      <c r="F126" s="7"/>
    </row>
    <row r="127" spans="1:25" x14ac:dyDescent="0.3">
      <c r="A127" s="32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2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2"/>
      <c r="B129" s="8"/>
      <c r="C129" s="7"/>
      <c r="D129" s="7"/>
      <c r="E129" s="7"/>
      <c r="F129" s="7"/>
      <c r="I129" s="4"/>
      <c r="Y129" s="6"/>
    </row>
    <row r="130" spans="1:25" x14ac:dyDescent="0.3">
      <c r="A130" s="32"/>
      <c r="B130" s="8"/>
      <c r="C130" s="7"/>
      <c r="D130" s="7"/>
      <c r="E130" s="7"/>
      <c r="F130" s="7"/>
      <c r="I130" s="4"/>
      <c r="Y130" s="6"/>
    </row>
    <row r="131" spans="1:25" x14ac:dyDescent="0.3">
      <c r="A131" s="32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2"/>
      <c r="O131" s="3"/>
      <c r="V131" s="1"/>
      <c r="W131" s="1"/>
      <c r="X131" s="1"/>
      <c r="Y131" s="6"/>
    </row>
    <row r="132" spans="1:25" x14ac:dyDescent="0.3">
      <c r="A132" s="32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2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2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2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2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2"/>
      <c r="B141" s="32"/>
      <c r="C141" s="32"/>
      <c r="D141" s="32"/>
      <c r="E141" s="32"/>
      <c r="F141" s="32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2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2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2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2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2"/>
      <c r="B147" s="2"/>
      <c r="C147" s="5"/>
      <c r="D147" s="5"/>
      <c r="E147" s="5"/>
      <c r="F147" s="5"/>
    </row>
    <row r="148" spans="1:25" x14ac:dyDescent="0.3">
      <c r="A148" s="32"/>
      <c r="B148" s="2"/>
      <c r="C148" s="5"/>
      <c r="D148" s="5"/>
      <c r="E148" s="5"/>
      <c r="F148" s="5"/>
    </row>
    <row r="149" spans="1:25" x14ac:dyDescent="0.3">
      <c r="A149" s="32"/>
      <c r="B149" s="2"/>
      <c r="C149" s="5"/>
      <c r="D149" s="5"/>
      <c r="E149" s="5"/>
      <c r="F149" s="5"/>
    </row>
    <row r="150" spans="1:25" x14ac:dyDescent="0.3">
      <c r="A150" s="32"/>
      <c r="B150" s="2"/>
      <c r="C150" s="5"/>
      <c r="D150" s="5"/>
      <c r="E150" s="5"/>
      <c r="F150" s="5"/>
    </row>
    <row r="151" spans="1:25" x14ac:dyDescent="0.3">
      <c r="A151" s="32"/>
      <c r="B151" s="2"/>
      <c r="C151" s="5"/>
      <c r="D151" s="5"/>
      <c r="E151" s="5"/>
      <c r="F151" s="5"/>
    </row>
    <row r="152" spans="1:25" x14ac:dyDescent="0.3">
      <c r="A152" s="32"/>
      <c r="B152" s="2"/>
      <c r="C152" s="5"/>
      <c r="D152" s="5"/>
      <c r="E152" s="5"/>
      <c r="F152" s="5"/>
    </row>
    <row r="153" spans="1:25" x14ac:dyDescent="0.3">
      <c r="A153" s="32"/>
      <c r="B153" s="2"/>
      <c r="C153" s="5"/>
      <c r="D153" s="5"/>
      <c r="E153" s="5"/>
      <c r="F153" s="5"/>
    </row>
    <row r="154" spans="1:25" x14ac:dyDescent="0.3">
      <c r="A154" s="32"/>
      <c r="B154" s="2"/>
      <c r="C154" s="5"/>
      <c r="D154" s="5"/>
      <c r="E154" s="5"/>
      <c r="F154" s="5"/>
    </row>
    <row r="155" spans="1:25" x14ac:dyDescent="0.3">
      <c r="A155" s="32"/>
      <c r="B155" s="2"/>
      <c r="C155" s="5"/>
      <c r="D155" s="5"/>
      <c r="E155" s="5"/>
      <c r="F155" s="5"/>
    </row>
    <row r="156" spans="1:25" x14ac:dyDescent="0.3">
      <c r="A156" s="32"/>
      <c r="B156" s="2"/>
      <c r="C156" s="5"/>
      <c r="D156" s="5"/>
      <c r="E156" s="5"/>
      <c r="F156" s="5"/>
    </row>
    <row r="157" spans="1:25" x14ac:dyDescent="0.3">
      <c r="A157" s="32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2"/>
      <c r="B159" s="2"/>
      <c r="D159" s="5"/>
      <c r="E159" s="4"/>
      <c r="F159" s="5"/>
    </row>
    <row r="160" spans="1:25" x14ac:dyDescent="0.3">
      <c r="A160" s="32"/>
      <c r="B160" s="2"/>
      <c r="D160" s="5"/>
      <c r="E160" s="4"/>
      <c r="F160" s="5"/>
    </row>
    <row r="161" spans="1:6" x14ac:dyDescent="0.3">
      <c r="A161" s="32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zoomScaleNormal="100" workbookViewId="0">
      <selection activeCell="D47" sqref="D4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9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30" t="s">
        <v>16</v>
      </c>
      <c r="C3" s="30" t="s">
        <v>17</v>
      </c>
      <c r="D3" s="30" t="s">
        <v>19</v>
      </c>
      <c r="E3" s="30" t="s">
        <v>18</v>
      </c>
      <c r="F3" s="30" t="s">
        <v>20</v>
      </c>
      <c r="G3" s="30" t="s">
        <v>29</v>
      </c>
      <c r="H3" s="30" t="s">
        <v>30</v>
      </c>
      <c r="I3" s="1"/>
      <c r="J3" s="35" t="s">
        <v>31</v>
      </c>
      <c r="K3" s="35"/>
    </row>
    <row r="4" spans="1:24" x14ac:dyDescent="0.3">
      <c r="A4" s="30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31" cm="1">
        <f t="array" ref="J4:K8">LINEST(Tabela52[V (V)],Tabela52[I (A)],TRUE,TRUE)</f>
        <v>10104.290262959434</v>
      </c>
      <c r="K4" s="31">
        <v>-2.0102957282790435E-2</v>
      </c>
    </row>
    <row r="5" spans="1:24" x14ac:dyDescent="0.3">
      <c r="A5" s="30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31">
        <v>89.573503681548132</v>
      </c>
      <c r="K5" s="31">
        <v>6.0607023869947686E-2</v>
      </c>
    </row>
    <row r="6" spans="1:24" x14ac:dyDescent="0.3">
      <c r="A6" s="30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31">
        <v>0.99897941920814615</v>
      </c>
      <c r="K6" s="31">
        <v>0.10280872521320895</v>
      </c>
    </row>
    <row r="7" spans="1:24" x14ac:dyDescent="0.3">
      <c r="A7" s="30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31">
        <v>12724.845062109185</v>
      </c>
      <c r="K7" s="31">
        <v>13</v>
      </c>
      <c r="L7" s="1"/>
      <c r="M7" s="1"/>
      <c r="N7" s="1"/>
      <c r="O7" s="3"/>
      <c r="P7" s="30"/>
      <c r="Q7" s="3"/>
      <c r="R7" s="3"/>
      <c r="S7" s="3"/>
      <c r="T7" s="3"/>
    </row>
    <row r="8" spans="1:24" x14ac:dyDescent="0.3">
      <c r="A8" s="30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31">
        <v>134.49695475826044</v>
      </c>
      <c r="K8" s="31">
        <v>0.13740524173954641</v>
      </c>
      <c r="L8" s="1"/>
      <c r="M8" s="1"/>
      <c r="N8" s="1"/>
    </row>
    <row r="9" spans="1:24" x14ac:dyDescent="0.3">
      <c r="A9" s="30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30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1"/>
      <c r="K10" s="4"/>
    </row>
    <row r="11" spans="1:24" x14ac:dyDescent="0.3">
      <c r="A11" s="30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30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30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30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30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36"/>
      <c r="K15" s="37"/>
      <c r="L15" s="37"/>
      <c r="M15" s="38"/>
    </row>
    <row r="16" spans="1:24" x14ac:dyDescent="0.3">
      <c r="A16" s="30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23" t="s">
        <v>4</v>
      </c>
      <c r="K16" s="23"/>
      <c r="L16" s="23"/>
      <c r="M16" s="24">
        <f>SQRT(((1/D20)*B22)^2+(-(B20/(D20^2))*D22)^2)</f>
        <v>2275.6957077765142</v>
      </c>
    </row>
    <row r="17" spans="1:15" x14ac:dyDescent="0.3">
      <c r="A17" s="30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36"/>
      <c r="K17" s="37"/>
      <c r="L17" s="37"/>
      <c r="M17" s="38"/>
    </row>
    <row r="18" spans="1:15" x14ac:dyDescent="0.3">
      <c r="A18" s="30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  <c r="J18" s="23" t="s">
        <v>22</v>
      </c>
      <c r="K18" s="23"/>
      <c r="L18" s="23"/>
      <c r="M18" s="24">
        <f>SLOPE(Tabela52[V (V)],Tabela52[I (A)])</f>
        <v>10104.290262959435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29" t="s">
        <v>6</v>
      </c>
      <c r="B20" s="19">
        <f>AVERAGE(B4:B18)</f>
        <v>6.1260000000000003</v>
      </c>
      <c r="C20" s="20"/>
      <c r="D20" s="21">
        <f>AVERAGE(D4:D18)</f>
        <v>6.0826666666666663E-4</v>
      </c>
      <c r="E20" s="22"/>
      <c r="F20" s="21">
        <f>AVERAGE(F4:F18)</f>
        <v>10013.978027113197</v>
      </c>
      <c r="J20" s="23" t="s">
        <v>23</v>
      </c>
      <c r="K20" s="23"/>
      <c r="L20" s="23"/>
      <c r="M20" s="25">
        <f>ABS((M14-M18)/M14)</f>
        <v>20.498489921190288</v>
      </c>
    </row>
    <row r="21" spans="1:15" x14ac:dyDescent="0.3">
      <c r="A21" s="29" t="s">
        <v>7</v>
      </c>
      <c r="B21" s="19">
        <f>STDEVA(B4:B18)</f>
        <v>3.1010869062314277</v>
      </c>
      <c r="C21" s="20"/>
      <c r="D21" s="21">
        <f>STDEVA(D4:D18)</f>
        <v>3.0675128749681294E-4</v>
      </c>
      <c r="E21" s="22"/>
      <c r="F21" s="21">
        <f>STDEVA(F4:F18)</f>
        <v>261.13897472485797</v>
      </c>
      <c r="J21" s="26" t="s">
        <v>24</v>
      </c>
      <c r="K21" s="26"/>
      <c r="L21" s="26"/>
      <c r="M21" s="27">
        <f>ABS((M14-F20)/M14)</f>
        <v>20.30633622790042</v>
      </c>
    </row>
    <row r="22" spans="1:15" x14ac:dyDescent="0.3">
      <c r="A22" s="29" t="s">
        <v>8</v>
      </c>
      <c r="B22" s="19">
        <f>B21/SQRT(10)</f>
        <v>0.98064978458163166</v>
      </c>
      <c r="C22" s="20"/>
      <c r="D22" s="21">
        <f>D21/SQRT(10)</f>
        <v>9.7003274367905937E-5</v>
      </c>
      <c r="E22" s="22"/>
      <c r="F22" s="21">
        <f t="shared" ref="F22" si="1">F21/SQRT(10)</f>
        <v>82.57939459716934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30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34"/>
      <c r="B41" s="34"/>
      <c r="C41" s="34"/>
      <c r="D41" s="34"/>
      <c r="E41" s="34"/>
      <c r="F41" s="34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30"/>
      <c r="B43" s="2"/>
      <c r="C43" s="14"/>
      <c r="D43" s="14"/>
      <c r="E43" s="14"/>
      <c r="F43" s="14"/>
      <c r="Y43" s="6"/>
    </row>
    <row r="44" spans="1:25" x14ac:dyDescent="0.3">
      <c r="A44" s="30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30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30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30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30"/>
      <c r="B48" s="2"/>
      <c r="C48" s="14"/>
      <c r="D48" s="14"/>
      <c r="E48" s="14"/>
      <c r="F48" s="14"/>
    </row>
    <row r="49" spans="1:25" x14ac:dyDescent="0.3">
      <c r="A49" s="30"/>
      <c r="B49" s="2"/>
      <c r="C49" s="14"/>
      <c r="D49" s="14"/>
      <c r="E49" s="14"/>
      <c r="F49" s="14"/>
    </row>
    <row r="50" spans="1:25" x14ac:dyDescent="0.3">
      <c r="A50" s="30"/>
      <c r="B50" s="2"/>
      <c r="C50" s="14"/>
      <c r="D50" s="14"/>
      <c r="E50" s="14"/>
      <c r="F50" s="14"/>
    </row>
    <row r="51" spans="1:25" x14ac:dyDescent="0.3">
      <c r="A51" s="30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30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30"/>
      <c r="B53" s="2"/>
      <c r="C53" s="14"/>
      <c r="D53" s="14"/>
      <c r="E53" s="14"/>
      <c r="F53" s="14"/>
      <c r="I53" s="4"/>
      <c r="Y53" s="6"/>
    </row>
    <row r="54" spans="1:25" x14ac:dyDescent="0.3">
      <c r="A54" s="30"/>
      <c r="B54" s="2"/>
      <c r="C54" s="14"/>
      <c r="D54" s="14"/>
      <c r="E54" s="14"/>
      <c r="F54" s="14"/>
      <c r="I54" s="4"/>
      <c r="Y54" s="6"/>
    </row>
    <row r="55" spans="1:25" x14ac:dyDescent="0.3">
      <c r="A55" s="30"/>
      <c r="B55" s="2"/>
      <c r="C55" s="14"/>
      <c r="D55" s="14"/>
      <c r="E55" s="14"/>
      <c r="F55" s="14"/>
      <c r="I55" s="4"/>
      <c r="J55" s="1"/>
      <c r="K55" s="1"/>
      <c r="L55" s="1"/>
      <c r="M55" s="3"/>
      <c r="N55" s="30"/>
      <c r="O55" s="3"/>
      <c r="V55" s="1"/>
      <c r="W55" s="1"/>
      <c r="X55" s="1"/>
      <c r="Y55" s="6"/>
    </row>
    <row r="56" spans="1:25" x14ac:dyDescent="0.3">
      <c r="A56" s="30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30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30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30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30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30"/>
      <c r="B65" s="30"/>
      <c r="C65" s="30"/>
      <c r="D65" s="30"/>
      <c r="E65" s="30"/>
      <c r="F65" s="30"/>
      <c r="I65" s="4"/>
    </row>
    <row r="66" spans="1:25" x14ac:dyDescent="0.3">
      <c r="A66" s="1"/>
      <c r="B66" s="30"/>
      <c r="C66" s="30"/>
      <c r="D66" s="30"/>
      <c r="E66" s="30"/>
      <c r="F66" s="30"/>
      <c r="I66" s="4"/>
    </row>
    <row r="67" spans="1:25" x14ac:dyDescent="0.3">
      <c r="A67" s="30"/>
      <c r="B67" s="2"/>
      <c r="C67" s="5"/>
      <c r="D67" s="5"/>
      <c r="E67" s="5"/>
      <c r="F67" s="5"/>
    </row>
    <row r="68" spans="1:25" x14ac:dyDescent="0.3">
      <c r="A68" s="30"/>
      <c r="B68" s="2"/>
      <c r="C68" s="5"/>
      <c r="D68" s="5"/>
      <c r="E68" s="5"/>
      <c r="F68" s="5"/>
    </row>
    <row r="69" spans="1:25" x14ac:dyDescent="0.3">
      <c r="A69" s="30"/>
      <c r="B69" s="2"/>
      <c r="C69" s="5"/>
      <c r="D69" s="5"/>
      <c r="E69" s="5"/>
      <c r="F69" s="5"/>
    </row>
    <row r="70" spans="1:25" x14ac:dyDescent="0.3">
      <c r="A70" s="30"/>
      <c r="B70" s="2"/>
      <c r="C70" s="5"/>
      <c r="D70" s="5"/>
      <c r="E70" s="5"/>
      <c r="F70" s="5"/>
    </row>
    <row r="71" spans="1:25" x14ac:dyDescent="0.3">
      <c r="A71" s="30"/>
      <c r="B71" s="2"/>
      <c r="C71" s="5"/>
      <c r="D71" s="5"/>
      <c r="E71" s="5"/>
      <c r="F71" s="5"/>
    </row>
    <row r="72" spans="1:25" x14ac:dyDescent="0.3">
      <c r="A72" s="30"/>
      <c r="B72" s="2"/>
      <c r="C72" s="5"/>
      <c r="D72" s="5"/>
      <c r="E72" s="5"/>
      <c r="F72" s="5"/>
    </row>
    <row r="73" spans="1:25" x14ac:dyDescent="0.3">
      <c r="A73" s="30"/>
      <c r="B73" s="2"/>
      <c r="C73" s="5"/>
      <c r="D73" s="5"/>
      <c r="E73" s="5"/>
      <c r="F73" s="5"/>
    </row>
    <row r="74" spans="1:25" x14ac:dyDescent="0.3">
      <c r="A74" s="30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30"/>
      <c r="B75" s="2"/>
      <c r="C75" s="5"/>
      <c r="D75" s="5"/>
      <c r="E75" s="5"/>
      <c r="F75" s="5"/>
    </row>
    <row r="76" spans="1:25" x14ac:dyDescent="0.3">
      <c r="A76" s="30"/>
      <c r="B76" s="2"/>
      <c r="C76" s="5"/>
      <c r="D76" s="5"/>
      <c r="E76" s="5"/>
      <c r="F76" s="5"/>
    </row>
    <row r="77" spans="1:25" x14ac:dyDescent="0.3">
      <c r="A77" s="30"/>
      <c r="B77" s="2"/>
      <c r="C77" s="5"/>
      <c r="D77" s="5"/>
      <c r="E77" s="5"/>
      <c r="F77" s="5"/>
    </row>
    <row r="78" spans="1:25" x14ac:dyDescent="0.3">
      <c r="A78" s="30"/>
      <c r="B78" s="2"/>
      <c r="C78" s="5"/>
      <c r="D78" s="5"/>
      <c r="E78" s="5"/>
      <c r="F78" s="5"/>
    </row>
    <row r="79" spans="1:25" x14ac:dyDescent="0.3">
      <c r="A79" s="30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30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30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30"/>
      <c r="B83" s="2"/>
      <c r="D83" s="5"/>
      <c r="E83" s="4"/>
      <c r="F83" s="5"/>
      <c r="I83" s="4"/>
      <c r="J83" s="1"/>
      <c r="K83" s="1"/>
      <c r="L83" s="1"/>
      <c r="M83" s="3"/>
      <c r="N83" s="30"/>
      <c r="O83" s="3"/>
      <c r="V83" s="1"/>
      <c r="W83" s="1"/>
      <c r="X83" s="1"/>
      <c r="Y83" s="6"/>
    </row>
    <row r="84" spans="1:25" x14ac:dyDescent="0.3">
      <c r="A84" s="30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30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30"/>
      <c r="B93" s="30"/>
      <c r="C93" s="30"/>
      <c r="D93" s="30"/>
      <c r="E93" s="30"/>
      <c r="F93" s="30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30"/>
      <c r="B95" s="2"/>
      <c r="C95" s="5"/>
      <c r="D95" s="5"/>
      <c r="E95" s="5"/>
      <c r="F95" s="5"/>
    </row>
    <row r="96" spans="1:25" x14ac:dyDescent="0.3">
      <c r="A96" s="30"/>
      <c r="B96" s="2"/>
      <c r="C96" s="5"/>
      <c r="D96" s="5"/>
      <c r="E96" s="5"/>
      <c r="F96" s="5"/>
    </row>
    <row r="97" spans="1:25" x14ac:dyDescent="0.3">
      <c r="A97" s="30"/>
      <c r="B97" s="2"/>
      <c r="C97" s="5"/>
      <c r="D97" s="5"/>
      <c r="E97" s="5"/>
      <c r="F97" s="5"/>
    </row>
    <row r="98" spans="1:25" x14ac:dyDescent="0.3">
      <c r="A98" s="30"/>
      <c r="B98" s="2"/>
      <c r="C98" s="5"/>
      <c r="D98" s="5"/>
      <c r="E98" s="5"/>
      <c r="F98" s="5"/>
    </row>
    <row r="99" spans="1:25" x14ac:dyDescent="0.3">
      <c r="A99" s="30"/>
      <c r="B99" s="2"/>
      <c r="C99" s="5"/>
      <c r="D99" s="5"/>
      <c r="E99" s="5"/>
      <c r="F99" s="5"/>
    </row>
    <row r="100" spans="1:25" x14ac:dyDescent="0.3">
      <c r="A100" s="30"/>
      <c r="B100" s="2"/>
      <c r="C100" s="5"/>
      <c r="D100" s="5"/>
      <c r="E100" s="5"/>
      <c r="F100" s="5"/>
    </row>
    <row r="101" spans="1:25" x14ac:dyDescent="0.3">
      <c r="A101" s="30"/>
      <c r="B101" s="2"/>
      <c r="C101" s="5"/>
      <c r="D101" s="5"/>
      <c r="E101" s="5"/>
      <c r="F101" s="5"/>
      <c r="I101" s="6"/>
    </row>
    <row r="102" spans="1:25" x14ac:dyDescent="0.3">
      <c r="A102" s="30"/>
      <c r="B102" s="2"/>
      <c r="C102" s="5"/>
      <c r="D102" s="5"/>
      <c r="E102" s="5"/>
      <c r="F102" s="5"/>
    </row>
    <row r="103" spans="1:25" x14ac:dyDescent="0.3">
      <c r="A103" s="30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30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30"/>
      <c r="B105" s="2"/>
      <c r="C105" s="5"/>
      <c r="D105" s="5"/>
      <c r="E105" s="5"/>
      <c r="F105" s="5"/>
      <c r="I105" s="4"/>
    </row>
    <row r="106" spans="1:25" x14ac:dyDescent="0.3">
      <c r="A106" s="30"/>
      <c r="B106" s="2"/>
      <c r="C106" s="5"/>
      <c r="D106" s="5"/>
      <c r="E106" s="5"/>
      <c r="F106" s="5"/>
      <c r="I106" s="4"/>
    </row>
    <row r="107" spans="1:25" x14ac:dyDescent="0.3">
      <c r="A107" s="30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30"/>
      <c r="O107" s="3"/>
      <c r="V107" s="1"/>
      <c r="W107" s="1"/>
      <c r="X107" s="1"/>
      <c r="Y107" s="6"/>
    </row>
    <row r="108" spans="1:25" x14ac:dyDescent="0.3">
      <c r="A108" s="30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30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30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30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30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30"/>
      <c r="B117" s="30"/>
      <c r="C117" s="30"/>
      <c r="D117" s="30"/>
      <c r="E117" s="30"/>
      <c r="F117" s="30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30"/>
      <c r="B119" s="8"/>
      <c r="C119" s="7"/>
      <c r="D119" s="7"/>
      <c r="E119" s="7"/>
      <c r="F119" s="7"/>
    </row>
    <row r="120" spans="1:25" x14ac:dyDescent="0.3">
      <c r="A120" s="30"/>
      <c r="B120" s="8"/>
      <c r="C120" s="15"/>
      <c r="D120" s="7"/>
      <c r="E120" s="7"/>
      <c r="F120" s="7"/>
    </row>
    <row r="121" spans="1:25" x14ac:dyDescent="0.3">
      <c r="A121" s="30"/>
      <c r="B121" s="8"/>
      <c r="C121" s="7"/>
      <c r="D121" s="7"/>
      <c r="E121" s="7"/>
      <c r="F121" s="7"/>
    </row>
    <row r="122" spans="1:25" x14ac:dyDescent="0.3">
      <c r="A122" s="30"/>
      <c r="B122" s="8"/>
      <c r="C122" s="7"/>
      <c r="D122" s="7"/>
      <c r="E122" s="7"/>
      <c r="F122" s="7"/>
    </row>
    <row r="123" spans="1:25" x14ac:dyDescent="0.3">
      <c r="A123" s="30"/>
      <c r="B123" s="8"/>
      <c r="C123" s="7"/>
      <c r="D123" s="7"/>
      <c r="E123" s="7"/>
      <c r="F123" s="7"/>
    </row>
    <row r="124" spans="1:25" x14ac:dyDescent="0.3">
      <c r="A124" s="30"/>
      <c r="B124" s="8"/>
      <c r="C124" s="7"/>
      <c r="D124" s="7"/>
      <c r="E124" s="7"/>
      <c r="F124" s="7"/>
    </row>
    <row r="125" spans="1:25" x14ac:dyDescent="0.3">
      <c r="A125" s="30"/>
      <c r="B125" s="8"/>
      <c r="C125" s="7"/>
      <c r="D125" s="7"/>
      <c r="E125" s="7"/>
      <c r="F125" s="7"/>
    </row>
    <row r="126" spans="1:25" x14ac:dyDescent="0.3">
      <c r="A126" s="30"/>
      <c r="B126" s="8"/>
      <c r="C126" s="7"/>
      <c r="D126" s="7"/>
      <c r="E126" s="7"/>
      <c r="F126" s="7"/>
    </row>
    <row r="127" spans="1:25" x14ac:dyDescent="0.3">
      <c r="A127" s="30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30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30"/>
      <c r="B129" s="8"/>
      <c r="C129" s="7"/>
      <c r="D129" s="7"/>
      <c r="E129" s="7"/>
      <c r="F129" s="7"/>
      <c r="I129" s="4"/>
      <c r="Y129" s="6"/>
    </row>
    <row r="130" spans="1:25" x14ac:dyDescent="0.3">
      <c r="A130" s="30"/>
      <c r="B130" s="8"/>
      <c r="C130" s="7"/>
      <c r="D130" s="7"/>
      <c r="E130" s="7"/>
      <c r="F130" s="7"/>
      <c r="I130" s="4"/>
      <c r="Y130" s="6"/>
    </row>
    <row r="131" spans="1:25" x14ac:dyDescent="0.3">
      <c r="A131" s="30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30"/>
      <c r="O131" s="3"/>
      <c r="V131" s="1"/>
      <c r="W131" s="1"/>
      <c r="X131" s="1"/>
      <c r="Y131" s="6"/>
    </row>
    <row r="132" spans="1:25" x14ac:dyDescent="0.3">
      <c r="A132" s="30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30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30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30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30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30"/>
      <c r="B141" s="30"/>
      <c r="C141" s="30"/>
      <c r="D141" s="30"/>
      <c r="E141" s="30"/>
      <c r="F141" s="30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30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30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30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30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30"/>
      <c r="B147" s="2"/>
      <c r="C147" s="5"/>
      <c r="D147" s="5"/>
      <c r="E147" s="5"/>
      <c r="F147" s="5"/>
    </row>
    <row r="148" spans="1:25" x14ac:dyDescent="0.3">
      <c r="A148" s="30"/>
      <c r="B148" s="2"/>
      <c r="C148" s="5"/>
      <c r="D148" s="5"/>
      <c r="E148" s="5"/>
      <c r="F148" s="5"/>
    </row>
    <row r="149" spans="1:25" x14ac:dyDescent="0.3">
      <c r="A149" s="30"/>
      <c r="B149" s="2"/>
      <c r="C149" s="5"/>
      <c r="D149" s="5"/>
      <c r="E149" s="5"/>
      <c r="F149" s="5"/>
    </row>
    <row r="150" spans="1:25" x14ac:dyDescent="0.3">
      <c r="A150" s="30"/>
      <c r="B150" s="2"/>
      <c r="C150" s="5"/>
      <c r="D150" s="5"/>
      <c r="E150" s="5"/>
      <c r="F150" s="5"/>
    </row>
    <row r="151" spans="1:25" x14ac:dyDescent="0.3">
      <c r="A151" s="30"/>
      <c r="B151" s="2"/>
      <c r="C151" s="5"/>
      <c r="D151" s="5"/>
      <c r="E151" s="5"/>
      <c r="F151" s="5"/>
    </row>
    <row r="152" spans="1:25" x14ac:dyDescent="0.3">
      <c r="A152" s="30"/>
      <c r="B152" s="2"/>
      <c r="C152" s="5"/>
      <c r="D152" s="5"/>
      <c r="E152" s="5"/>
      <c r="F152" s="5"/>
    </row>
    <row r="153" spans="1:25" x14ac:dyDescent="0.3">
      <c r="A153" s="30"/>
      <c r="B153" s="2"/>
      <c r="C153" s="5"/>
      <c r="D153" s="5"/>
      <c r="E153" s="5"/>
      <c r="F153" s="5"/>
    </row>
    <row r="154" spans="1:25" x14ac:dyDescent="0.3">
      <c r="A154" s="30"/>
      <c r="B154" s="2"/>
      <c r="C154" s="5"/>
      <c r="D154" s="5"/>
      <c r="E154" s="5"/>
      <c r="F154" s="5"/>
    </row>
    <row r="155" spans="1:25" x14ac:dyDescent="0.3">
      <c r="A155" s="30"/>
      <c r="B155" s="2"/>
      <c r="C155" s="5"/>
      <c r="D155" s="5"/>
      <c r="E155" s="5"/>
      <c r="F155" s="5"/>
    </row>
    <row r="156" spans="1:25" x14ac:dyDescent="0.3">
      <c r="A156" s="30"/>
      <c r="B156" s="2"/>
      <c r="C156" s="5"/>
      <c r="D156" s="5"/>
      <c r="E156" s="5"/>
      <c r="F156" s="5"/>
    </row>
    <row r="157" spans="1:25" x14ac:dyDescent="0.3">
      <c r="A157" s="30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30"/>
      <c r="B159" s="2"/>
      <c r="D159" s="5"/>
      <c r="E159" s="4"/>
      <c r="F159" s="5"/>
    </row>
    <row r="160" spans="1:25" x14ac:dyDescent="0.3">
      <c r="A160" s="30"/>
      <c r="B160" s="2"/>
      <c r="D160" s="5"/>
      <c r="E160" s="4"/>
      <c r="F160" s="5"/>
    </row>
    <row r="161" spans="1:6" x14ac:dyDescent="0.3">
      <c r="A161" s="30"/>
      <c r="B161" s="2"/>
      <c r="D161" s="5"/>
      <c r="E161" s="4"/>
      <c r="F161" s="5"/>
    </row>
  </sheetData>
  <mergeCells count="7">
    <mergeCell ref="A41:F41"/>
    <mergeCell ref="A2:H2"/>
    <mergeCell ref="J3:K3"/>
    <mergeCell ref="J13:M13"/>
    <mergeCell ref="J15:M15"/>
    <mergeCell ref="J17:M17"/>
    <mergeCell ref="J19:M19"/>
  </mergeCells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tabSelected="1" topLeftCell="A2" zoomScaleNormal="100" workbookViewId="0">
      <selection activeCell="D12" sqref="D1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10" max="10" width="9.21875" customWidth="1"/>
    <col min="11" max="11" width="9" bestFit="1" customWidth="1"/>
    <col min="24" max="24" width="11.21875" customWidth="1"/>
    <col min="25" max="25" width="10.6640625" customWidth="1"/>
  </cols>
  <sheetData>
    <row r="2" spans="1:24" x14ac:dyDescent="0.3">
      <c r="A2" s="34" t="s">
        <v>10</v>
      </c>
      <c r="B2" s="34"/>
      <c r="C2" s="34"/>
      <c r="D2" s="34"/>
      <c r="E2" s="34"/>
      <c r="F2" s="34"/>
      <c r="G2" s="34"/>
      <c r="H2" s="34"/>
    </row>
    <row r="3" spans="1:24" x14ac:dyDescent="0.3">
      <c r="A3" s="1" t="s">
        <v>1</v>
      </c>
      <c r="B3" s="9" t="s">
        <v>16</v>
      </c>
      <c r="C3" s="9" t="s">
        <v>17</v>
      </c>
      <c r="D3" s="9" t="s">
        <v>19</v>
      </c>
      <c r="E3" s="9" t="s">
        <v>18</v>
      </c>
      <c r="F3" s="9" t="s">
        <v>20</v>
      </c>
      <c r="G3" s="9" t="s">
        <v>33</v>
      </c>
      <c r="H3" s="9" t="s">
        <v>30</v>
      </c>
      <c r="I3" s="1"/>
      <c r="J3" s="35" t="s">
        <v>31</v>
      </c>
      <c r="K3" s="35"/>
    </row>
    <row r="4" spans="1:24" x14ac:dyDescent="0.3">
      <c r="A4" s="9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0.71857019412600598</v>
      </c>
      <c r="H4" s="2">
        <f>-Tabela5[[#This Row],[V (V)]]+Tabela5[[#This Row],[Regress]]</f>
        <v>-1.4298058739939945E-3</v>
      </c>
      <c r="I4" s="1"/>
      <c r="J4" s="31" cm="1">
        <f t="array" ref="J4:K8">LINEST(Tabela5[V (V)],Tabela5[I (A)],TRUE,TRUE)</f>
        <v>464.23921468327922</v>
      </c>
      <c r="K4" s="31">
        <v>4.8024015504641859E-3</v>
      </c>
    </row>
    <row r="5" spans="1:24" x14ac:dyDescent="0.3">
      <c r="A5" s="9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0.99056795000893927</v>
      </c>
      <c r="H5" s="2">
        <f>-Tabela5[[#This Row],[V (V)]]+Tabela5[[#This Row],[Regress]]</f>
        <v>-9.4320499910607314E-3</v>
      </c>
      <c r="I5" s="1"/>
      <c r="J5" s="31">
        <v>3.8006521695006943</v>
      </c>
      <c r="K5" s="31">
        <v>3.6662496657451686E-2</v>
      </c>
    </row>
    <row r="6" spans="1:24" x14ac:dyDescent="0.3">
      <c r="A6" s="9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1.4922248453956908</v>
      </c>
      <c r="H6" s="2">
        <f>-Tabela5[[#This Row],[V (V)]]+Tabela5[[#This Row],[Regress]]</f>
        <v>-7.7751546043092201E-3</v>
      </c>
      <c r="I6" s="1"/>
      <c r="J6" s="31">
        <v>0.99912944199347653</v>
      </c>
      <c r="K6" s="31">
        <v>6.6989062946331016E-2</v>
      </c>
    </row>
    <row r="7" spans="1:24" x14ac:dyDescent="0.3">
      <c r="A7" s="9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1.9747550851374911</v>
      </c>
      <c r="H7" s="2">
        <f>-Tabela5[[#This Row],[V (V)]]+Tabela5[[#This Row],[Regress]]</f>
        <v>-2.5244914862508905E-2</v>
      </c>
      <c r="I7" s="1"/>
      <c r="J7" s="31">
        <v>14919.950937885862</v>
      </c>
      <c r="K7" s="31">
        <v>13</v>
      </c>
      <c r="L7" s="1"/>
      <c r="M7" s="1"/>
      <c r="N7" s="1"/>
      <c r="O7" s="3"/>
      <c r="P7" s="17"/>
      <c r="Q7" s="3"/>
      <c r="R7" s="3"/>
      <c r="S7" s="3"/>
      <c r="T7" s="3"/>
    </row>
    <row r="8" spans="1:24" x14ac:dyDescent="0.3">
      <c r="A8" s="9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2.4450758335331213</v>
      </c>
      <c r="H8" s="2">
        <f>-Tabela5[[#This Row],[V (V)]]+Tabela5[[#This Row],[Regress]]</f>
        <v>-4.9241664668788765E-3</v>
      </c>
      <c r="I8" s="1"/>
      <c r="J8" s="31">
        <v>66.953795384125769</v>
      </c>
      <c r="K8" s="31">
        <v>5.8337949207557478E-2</v>
      </c>
      <c r="L8" s="1"/>
      <c r="M8" s="1"/>
      <c r="N8" s="1"/>
    </row>
    <row r="9" spans="1:24" x14ac:dyDescent="0.3">
      <c r="A9" s="9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2.9016551011741263</v>
      </c>
      <c r="H9" s="2">
        <f>-Tabela5[[#This Row],[V (V)]]+Tabela5[[#This Row],[Regress]]</f>
        <v>-1.8344898825873646E-2</v>
      </c>
      <c r="I9" s="1"/>
      <c r="J9" s="1"/>
      <c r="K9" s="4"/>
      <c r="L9" s="1"/>
      <c r="M9" s="1"/>
      <c r="N9" s="1"/>
    </row>
    <row r="10" spans="1:24" x14ac:dyDescent="0.3">
      <c r="A10" s="9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3.388456341691013</v>
      </c>
      <c r="H10" s="2">
        <f>-Tabela5[[#This Row],[V (V)]]+Tabela5[[#This Row],[Regress]]</f>
        <v>-1.1543658308986959E-2</v>
      </c>
      <c r="I10" s="1"/>
      <c r="J10" s="1"/>
      <c r="K10" s="4"/>
    </row>
    <row r="11" spans="1:24" x14ac:dyDescent="0.3">
      <c r="A11" s="9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3.8521848932381406</v>
      </c>
      <c r="H11" s="2">
        <f>-Tabela5[[#This Row],[V (V)]]+Tabela5[[#This Row],[Regress]]</f>
        <v>-1.7815106761859489E-2</v>
      </c>
      <c r="I11" s="1"/>
      <c r="J11" s="23" t="s">
        <v>3</v>
      </c>
      <c r="K11" s="23"/>
      <c r="L11" s="23"/>
      <c r="M11" s="24">
        <v>0.01</v>
      </c>
    </row>
    <row r="12" spans="1:24" x14ac:dyDescent="0.3">
      <c r="A12" s="9">
        <v>9</v>
      </c>
      <c r="B12" s="2">
        <v>4.41</v>
      </c>
      <c r="C12" s="5">
        <v>0.01</v>
      </c>
      <c r="D12" s="5">
        <v>9.9865000000000006E-3</v>
      </c>
      <c r="E12" s="5">
        <v>9.9999999999999995E-8</v>
      </c>
      <c r="F12" s="5">
        <f t="shared" si="0"/>
        <v>441.59615480899214</v>
      </c>
      <c r="G12" s="2">
        <f>$J$4*Tabela5[[#This Row],[I (A)]]+$K$4</f>
        <v>4.6409273189850317</v>
      </c>
      <c r="H12" s="2">
        <f>-Tabela5[[#This Row],[V (V)]]+Tabela5[[#This Row],[Regress]]</f>
        <v>0.2309273189850316</v>
      </c>
      <c r="I12" s="1"/>
      <c r="J12" s="23" t="s">
        <v>27</v>
      </c>
      <c r="K12" s="23"/>
      <c r="L12" s="23"/>
      <c r="M12" s="24">
        <v>9.9999999999999995E-8</v>
      </c>
    </row>
    <row r="13" spans="1:24" x14ac:dyDescent="0.3">
      <c r="A13" s="9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4.8455639648174209</v>
      </c>
      <c r="H13" s="2">
        <f>-Tabela5[[#This Row],[V (V)]]+Tabela5[[#This Row],[Regress]]</f>
        <v>-1.443603518257941E-2</v>
      </c>
      <c r="I13" s="1"/>
      <c r="J13" s="36"/>
      <c r="K13" s="37"/>
      <c r="L13" s="37"/>
      <c r="M13" s="38"/>
      <c r="U13" s="28"/>
      <c r="V13" s="28"/>
      <c r="W13" s="28"/>
      <c r="X13" s="28"/>
    </row>
    <row r="14" spans="1:24" x14ac:dyDescent="0.3">
      <c r="A14" s="9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 t="shared" si="0"/>
        <v>467.99307958477505</v>
      </c>
      <c r="G14" s="2">
        <f>$J$4*Tabela5[[#This Row],[I (A)]]+$K$4</f>
        <v>5.3714077232891722</v>
      </c>
      <c r="H14" s="2">
        <f>-Tabela5[[#This Row],[V (V)]]+Tabela5[[#This Row],[Regress]]</f>
        <v>-3.8592276710827988E-2</v>
      </c>
      <c r="I14" s="1"/>
      <c r="J14" s="23" t="s">
        <v>25</v>
      </c>
      <c r="K14" s="23"/>
      <c r="L14" s="23"/>
      <c r="M14" s="24">
        <v>470</v>
      </c>
    </row>
    <row r="15" spans="1:24" x14ac:dyDescent="0.3">
      <c r="A15" s="9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5.9312802161972069</v>
      </c>
      <c r="H15" s="2">
        <f>-Tabela5[[#This Row],[V (V)]]+Tabela5[[#This Row],[Regress]]</f>
        <v>-1.8719783802793266E-2</v>
      </c>
      <c r="I15" s="1"/>
      <c r="J15" s="36"/>
      <c r="K15" s="37"/>
      <c r="L15" s="37"/>
      <c r="M15" s="38"/>
    </row>
    <row r="16" spans="1:24" x14ac:dyDescent="0.3">
      <c r="A16" s="9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 t="shared" si="0"/>
        <v>465.73953353614365</v>
      </c>
      <c r="G16" s="2">
        <f>$J$4*Tabela5[[#This Row],[I (A)]]+$K$4</f>
        <v>6.4140889994678165</v>
      </c>
      <c r="H16" s="2">
        <f>-Tabela5[[#This Row],[V (V)]]+Tabela5[[#This Row],[Regress]]</f>
        <v>-1.5911000532183195E-2</v>
      </c>
      <c r="I16" s="1"/>
      <c r="J16" s="23" t="s">
        <v>4</v>
      </c>
      <c r="K16" s="23"/>
      <c r="L16" s="23"/>
      <c r="M16" s="24">
        <f>SQRT(((1/D20)*B22)^2+(-(B20/(D20^2))*D22)^2)</f>
        <v>115.08094791750561</v>
      </c>
    </row>
    <row r="17" spans="1:15" x14ac:dyDescent="0.3">
      <c r="A17" s="9">
        <v>14</v>
      </c>
      <c r="B17" s="2">
        <v>6.93</v>
      </c>
      <c r="C17" s="5">
        <v>0.01</v>
      </c>
      <c r="D17" s="5">
        <v>1.4873000000000001E-2</v>
      </c>
      <c r="E17" s="5" t="s">
        <v>32</v>
      </c>
      <c r="F17" s="5">
        <f t="shared" si="0"/>
        <v>465.9450010085389</v>
      </c>
      <c r="G17" s="2">
        <f>$J$4*Tabela5[[#This Row],[I (A)]]+$K$4</f>
        <v>6.9094322415348763</v>
      </c>
      <c r="H17" s="2">
        <f>-Tabela5[[#This Row],[V (V)]]+Tabela5[[#This Row],[Regress]]</f>
        <v>-2.0567758465123376E-2</v>
      </c>
      <c r="I17" s="1"/>
      <c r="J17" s="36"/>
      <c r="K17" s="37"/>
      <c r="L17" s="37"/>
      <c r="M17" s="38"/>
    </row>
    <row r="18" spans="1:15" x14ac:dyDescent="0.3">
      <c r="A18" s="9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7.4238092914039484</v>
      </c>
      <c r="H18" s="2">
        <f>-Tabela5[[#This Row],[V (V)]]+Tabela5[[#This Row],[Regress]]</f>
        <v>-2.619070859605177E-2</v>
      </c>
      <c r="I18" s="1"/>
      <c r="J18" s="23" t="s">
        <v>22</v>
      </c>
      <c r="K18" s="23"/>
      <c r="L18" s="23"/>
      <c r="M18" s="24">
        <f>SLOPE(Tabela5[V (V)],Tabela5[I (A)])</f>
        <v>464.23921468327904</v>
      </c>
    </row>
    <row r="19" spans="1:15" x14ac:dyDescent="0.3">
      <c r="A19" s="1"/>
      <c r="B19" s="1"/>
      <c r="C19" s="1"/>
      <c r="D19" s="1"/>
      <c r="E19" s="1"/>
      <c r="J19" s="36"/>
      <c r="K19" s="37"/>
      <c r="L19" s="37"/>
      <c r="M19" s="38"/>
    </row>
    <row r="20" spans="1:15" x14ac:dyDescent="0.3">
      <c r="A20" s="18" t="s">
        <v>6</v>
      </c>
      <c r="B20" s="19">
        <f>AVERAGE(B4:B18)</f>
        <v>3.9533333333333336</v>
      </c>
      <c r="C20" s="20"/>
      <c r="D20" s="21">
        <f>AVERAGE(D4:D18)</f>
        <v>8.5053799999999999E-3</v>
      </c>
      <c r="E20" s="22"/>
      <c r="F20" s="21">
        <f>AVERAGE(F4:F18)</f>
        <v>465.72182530433201</v>
      </c>
      <c r="J20" s="23" t="s">
        <v>23</v>
      </c>
      <c r="K20" s="23"/>
      <c r="L20" s="23"/>
      <c r="M20" s="25">
        <f>ABS((M14-M18)/M14)</f>
        <v>1.2256990035576501E-2</v>
      </c>
    </row>
    <row r="21" spans="1:15" x14ac:dyDescent="0.3">
      <c r="A21" s="18" t="s">
        <v>7</v>
      </c>
      <c r="B21" s="19">
        <f>STDEVA(B4:B18)</f>
        <v>2.187825622023142</v>
      </c>
      <c r="C21" s="20"/>
      <c r="D21" s="21">
        <f>STDEVA(D4:D18)</f>
        <v>4.7106600023169333E-3</v>
      </c>
      <c r="E21" s="22"/>
      <c r="F21" s="21">
        <f>STDEVA(F4:F18)</f>
        <v>6.8978760942238413</v>
      </c>
      <c r="J21" s="26" t="s">
        <v>24</v>
      </c>
      <c r="K21" s="26"/>
      <c r="L21" s="26"/>
      <c r="M21" s="27">
        <f>ABS((M14-F20)/M14)</f>
        <v>9.1024993524850759E-3</v>
      </c>
    </row>
    <row r="22" spans="1:15" x14ac:dyDescent="0.3">
      <c r="A22" s="18" t="s">
        <v>8</v>
      </c>
      <c r="B22" s="19">
        <f>B21/SQRT(10)</f>
        <v>0.69185120888677698</v>
      </c>
      <c r="C22" s="20"/>
      <c r="D22" s="21">
        <f>D21/SQRT(10)</f>
        <v>1.4896414889975563E-3</v>
      </c>
      <c r="E22" s="22"/>
      <c r="F22" s="21">
        <f t="shared" ref="F22" si="1">F21/SQRT(10)</f>
        <v>2.1812999475373567</v>
      </c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9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 t="s">
        <v>3</v>
      </c>
      <c r="W36" s="1"/>
      <c r="X36" s="1"/>
      <c r="Y36" s="6">
        <v>0.01</v>
      </c>
    </row>
    <row r="37" spans="1:25" x14ac:dyDescent="0.3">
      <c r="I37" s="4"/>
      <c r="V37" s="1" t="s">
        <v>27</v>
      </c>
      <c r="W37" s="1"/>
      <c r="X37" s="1"/>
      <c r="Y37" s="6">
        <v>9.9999999999999995E-7</v>
      </c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 t="s">
        <v>25</v>
      </c>
      <c r="W40" s="1"/>
      <c r="X40" s="1"/>
      <c r="Y40" s="6">
        <v>10000</v>
      </c>
    </row>
    <row r="41" spans="1:25" x14ac:dyDescent="0.3">
      <c r="A41" s="34" t="s">
        <v>9</v>
      </c>
      <c r="B41" s="34"/>
      <c r="C41" s="34"/>
      <c r="D41" s="34"/>
      <c r="E41" s="34"/>
      <c r="F41" s="34"/>
      <c r="I41" s="4"/>
      <c r="Y41" s="6"/>
    </row>
    <row r="42" spans="1:25" x14ac:dyDescent="0.3">
      <c r="A42" s="1" t="s">
        <v>1</v>
      </c>
      <c r="B42" s="1" t="s">
        <v>0</v>
      </c>
      <c r="C42" s="1" t="s">
        <v>17</v>
      </c>
      <c r="D42" s="1" t="s">
        <v>2</v>
      </c>
      <c r="E42" s="1" t="s">
        <v>18</v>
      </c>
      <c r="F42" s="1" t="s">
        <v>5</v>
      </c>
      <c r="I42" s="4"/>
      <c r="V42" s="1" t="s">
        <v>26</v>
      </c>
      <c r="W42" s="1"/>
      <c r="X42" s="1"/>
      <c r="Y42" s="6">
        <f>SQRT(((1/D59)*B61)^2+(-(B59/(D59^2))*D61)^2)</f>
        <v>2275.6957077765142</v>
      </c>
    </row>
    <row r="43" spans="1:25" x14ac:dyDescent="0.3">
      <c r="A43" s="9">
        <v>1</v>
      </c>
      <c r="B43" s="2">
        <v>0.78</v>
      </c>
      <c r="C43" s="14">
        <v>1E-3</v>
      </c>
      <c r="D43" s="14">
        <v>8.0000000000000007E-5</v>
      </c>
      <c r="E43" s="14">
        <v>9.9999999999999995E-7</v>
      </c>
      <c r="F43" s="14">
        <f t="shared" ref="F43:F57" si="2">B43/D43</f>
        <v>9750</v>
      </c>
      <c r="Y43" s="6"/>
    </row>
    <row r="44" spans="1:25" x14ac:dyDescent="0.3">
      <c r="A44" s="9">
        <v>2</v>
      </c>
      <c r="B44" s="2">
        <v>1.22</v>
      </c>
      <c r="C44" s="14">
        <v>1E-3</v>
      </c>
      <c r="D44" s="14">
        <v>1.2999999999999999E-4</v>
      </c>
      <c r="E44" s="14">
        <v>9.9999999999999995E-7</v>
      </c>
      <c r="F44" s="14">
        <f t="shared" si="2"/>
        <v>9384.6153846153848</v>
      </c>
      <c r="V44" s="1" t="s">
        <v>22</v>
      </c>
      <c r="W44" s="1"/>
      <c r="X44" s="1"/>
      <c r="Y44" s="6">
        <f>SLOPE(Tabela513[Voltagem],Tabela513[Corrente Elétrica])</f>
        <v>10104.290262959435</v>
      </c>
    </row>
    <row r="45" spans="1:25" x14ac:dyDescent="0.3">
      <c r="A45" s="9">
        <v>3</v>
      </c>
      <c r="B45" s="2">
        <v>2.36</v>
      </c>
      <c r="C45" s="14">
        <v>1E-3</v>
      </c>
      <c r="D45" s="14">
        <v>2.3699999999999999E-4</v>
      </c>
      <c r="E45" s="14">
        <v>9.9999999999999995E-7</v>
      </c>
      <c r="F45" s="14">
        <f t="shared" si="2"/>
        <v>9957.8059071729949</v>
      </c>
      <c r="V45" s="1"/>
      <c r="W45" s="1"/>
      <c r="X45" s="1"/>
    </row>
    <row r="46" spans="1:25" x14ac:dyDescent="0.3">
      <c r="A46" s="9">
        <v>4</v>
      </c>
      <c r="B46" s="2">
        <v>3.48</v>
      </c>
      <c r="C46" s="14">
        <v>1E-3</v>
      </c>
      <c r="D46" s="14">
        <v>3.48E-4</v>
      </c>
      <c r="E46" s="14">
        <v>9.9999999999999995E-7</v>
      </c>
      <c r="F46" s="14">
        <f t="shared" si="2"/>
        <v>10000</v>
      </c>
      <c r="V46" s="1" t="s">
        <v>23</v>
      </c>
      <c r="W46" s="1"/>
      <c r="X46" s="1"/>
      <c r="Y46" s="10">
        <f>ABS((Y40-Y44)/Y40)</f>
        <v>1.042902629594355E-2</v>
      </c>
    </row>
    <row r="47" spans="1:25" x14ac:dyDescent="0.3">
      <c r="A47" s="9">
        <v>5</v>
      </c>
      <c r="B47" s="2">
        <v>4.25</v>
      </c>
      <c r="C47" s="14">
        <v>1E-3</v>
      </c>
      <c r="D47" s="14">
        <v>4.2400000000000001E-4</v>
      </c>
      <c r="E47" s="14">
        <v>9.9999999999999995E-7</v>
      </c>
      <c r="F47" s="14">
        <f t="shared" si="2"/>
        <v>10023.584905660377</v>
      </c>
      <c r="V47" s="12" t="s">
        <v>24</v>
      </c>
      <c r="W47" s="12"/>
      <c r="X47" s="12"/>
      <c r="Y47" s="11">
        <f>ABS((Y40-F59)/Y40)</f>
        <v>1.3978027113196732E-3</v>
      </c>
    </row>
    <row r="48" spans="1:25" x14ac:dyDescent="0.3">
      <c r="A48" s="9">
        <v>6</v>
      </c>
      <c r="B48" s="2">
        <v>5.34</v>
      </c>
      <c r="C48" s="14">
        <v>1E-3</v>
      </c>
      <c r="D48" s="14">
        <v>5.3700000000000004E-4</v>
      </c>
      <c r="E48" s="14">
        <v>9.9999999999999995E-7</v>
      </c>
      <c r="F48" s="14">
        <f t="shared" si="2"/>
        <v>9944.1340782122898</v>
      </c>
    </row>
    <row r="49" spans="1:25" x14ac:dyDescent="0.3">
      <c r="A49" s="9">
        <v>7</v>
      </c>
      <c r="B49" s="2">
        <v>5.99</v>
      </c>
      <c r="C49" s="14">
        <v>1E-3</v>
      </c>
      <c r="D49" s="14">
        <v>5.5999999999999995E-4</v>
      </c>
      <c r="E49" s="14">
        <v>9.9999999999999995E-7</v>
      </c>
      <c r="F49" s="14">
        <f t="shared" si="2"/>
        <v>10696.428571428572</v>
      </c>
    </row>
    <row r="50" spans="1:25" x14ac:dyDescent="0.3">
      <c r="A50" s="17">
        <v>8</v>
      </c>
      <c r="B50" s="2">
        <v>6.81</v>
      </c>
      <c r="C50" s="14">
        <v>1E-3</v>
      </c>
      <c r="D50" s="14">
        <v>6.78E-4</v>
      </c>
      <c r="E50" s="14">
        <v>9.9999999999999995E-7</v>
      </c>
      <c r="F50" s="14">
        <f t="shared" si="2"/>
        <v>10044.247787610619</v>
      </c>
    </row>
    <row r="51" spans="1:25" x14ac:dyDescent="0.3">
      <c r="A51" s="17">
        <v>9</v>
      </c>
      <c r="B51" s="2">
        <v>7.38</v>
      </c>
      <c r="C51" s="14">
        <v>1E-3</v>
      </c>
      <c r="D51" s="14">
        <v>7.3399999999999995E-4</v>
      </c>
      <c r="E51" s="14">
        <v>9.9999999999999995E-7</v>
      </c>
      <c r="F51" s="14">
        <f t="shared" si="2"/>
        <v>10054.49591280654</v>
      </c>
      <c r="I51" s="1"/>
      <c r="V51" s="1" t="s">
        <v>3</v>
      </c>
      <c r="W51" s="1"/>
      <c r="X51" s="1"/>
      <c r="Y51" s="6">
        <v>0.01</v>
      </c>
    </row>
    <row r="52" spans="1:25" x14ac:dyDescent="0.3">
      <c r="A52" s="17">
        <v>10</v>
      </c>
      <c r="B52" s="2">
        <v>7.95</v>
      </c>
      <c r="C52" s="14">
        <v>1E-3</v>
      </c>
      <c r="D52" s="14">
        <v>7.9100000000000004E-4</v>
      </c>
      <c r="E52" s="14">
        <v>9.9999999999999995E-7</v>
      </c>
      <c r="F52" s="14">
        <f t="shared" si="2"/>
        <v>10050.568900126422</v>
      </c>
      <c r="I52" s="4"/>
      <c r="V52" s="1" t="s">
        <v>27</v>
      </c>
      <c r="W52" s="1"/>
      <c r="X52" s="1"/>
      <c r="Y52" s="6">
        <v>1E-4</v>
      </c>
    </row>
    <row r="53" spans="1:25" x14ac:dyDescent="0.3">
      <c r="A53" s="17">
        <v>11</v>
      </c>
      <c r="B53" s="2">
        <v>8.24</v>
      </c>
      <c r="C53" s="14">
        <v>1E-3</v>
      </c>
      <c r="D53" s="14">
        <v>8.1899999999999996E-4</v>
      </c>
      <c r="E53" s="14">
        <v>9.9999999999999995E-7</v>
      </c>
      <c r="F53" s="14">
        <f t="shared" si="2"/>
        <v>10061.050061050062</v>
      </c>
      <c r="I53" s="4"/>
      <c r="Y53" s="6"/>
    </row>
    <row r="54" spans="1:25" x14ac:dyDescent="0.3">
      <c r="A54" s="17">
        <v>12</v>
      </c>
      <c r="B54" s="2">
        <v>8.9</v>
      </c>
      <c r="C54" s="14">
        <v>1E-3</v>
      </c>
      <c r="D54" s="14">
        <v>8.8500000000000004E-4</v>
      </c>
      <c r="E54" s="14">
        <v>9.9999999999999995E-7</v>
      </c>
      <c r="F54" s="14">
        <f t="shared" si="2"/>
        <v>10056.497175141243</v>
      </c>
      <c r="I54" s="4"/>
      <c r="Y54" s="6"/>
    </row>
    <row r="55" spans="1:25" x14ac:dyDescent="0.3">
      <c r="A55" s="17">
        <v>13</v>
      </c>
      <c r="B55" s="2">
        <v>9.44</v>
      </c>
      <c r="C55" s="14">
        <v>1E-3</v>
      </c>
      <c r="D55" s="14">
        <v>9.3800000000000003E-4</v>
      </c>
      <c r="E55" s="14">
        <v>9.9999999999999995E-7</v>
      </c>
      <c r="F55" s="14">
        <f t="shared" si="2"/>
        <v>10063.965884861407</v>
      </c>
      <c r="I55" s="4"/>
      <c r="J55" s="1"/>
      <c r="K55" s="1"/>
      <c r="L55" s="1"/>
      <c r="M55" s="3"/>
      <c r="N55" s="9"/>
      <c r="O55" s="3"/>
      <c r="V55" s="1" t="s">
        <v>25</v>
      </c>
      <c r="W55" s="1"/>
      <c r="X55" s="1"/>
      <c r="Y55" s="6">
        <v>6800000</v>
      </c>
    </row>
    <row r="56" spans="1:25" x14ac:dyDescent="0.3">
      <c r="A56" s="17">
        <v>14</v>
      </c>
      <c r="B56" s="2">
        <v>9.77</v>
      </c>
      <c r="C56" s="14">
        <v>1E-3</v>
      </c>
      <c r="D56" s="14">
        <v>9.7099999999999997E-4</v>
      </c>
      <c r="E56" s="14">
        <v>9.9999999999999995E-7</v>
      </c>
      <c r="F56" s="14">
        <f t="shared" si="2"/>
        <v>10061.791967044284</v>
      </c>
      <c r="I56" s="4"/>
      <c r="J56" s="1"/>
      <c r="K56" s="1"/>
      <c r="L56" s="1"/>
      <c r="Y56" s="6"/>
    </row>
    <row r="57" spans="1:25" x14ac:dyDescent="0.3">
      <c r="A57" s="17">
        <v>15</v>
      </c>
      <c r="B57" s="2">
        <v>9.98</v>
      </c>
      <c r="C57" s="14">
        <v>1E-3</v>
      </c>
      <c r="D57" s="14">
        <v>9.9200000000000004E-4</v>
      </c>
      <c r="E57" s="14">
        <v>9.9999999999999995E-7</v>
      </c>
      <c r="F57" s="14">
        <f t="shared" si="2"/>
        <v>10060.483870967742</v>
      </c>
      <c r="I57" s="4"/>
      <c r="J57" s="1"/>
      <c r="K57" s="1"/>
      <c r="L57" s="1"/>
      <c r="V57" s="1" t="s">
        <v>4</v>
      </c>
      <c r="W57" s="1"/>
      <c r="X57" s="1"/>
      <c r="Y57" s="6">
        <f>SQRT(((1/D83)*B85)^2+(-(B83/(D83^2))*D85)^2)</f>
        <v>641862.27200783929</v>
      </c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 t="s">
        <v>6</v>
      </c>
      <c r="B59" s="2">
        <f>AVERAGE(B43:B57)</f>
        <v>6.1260000000000003</v>
      </c>
      <c r="C59" s="2"/>
      <c r="D59" s="5">
        <f>AVERAGE(D43:D57)</f>
        <v>6.0826666666666663E-4</v>
      </c>
      <c r="E59" s="4"/>
      <c r="F59" s="5">
        <f>AVERAGE(F43:F57)</f>
        <v>10013.978027113197</v>
      </c>
      <c r="I59" s="4"/>
      <c r="V59" s="1" t="s">
        <v>22</v>
      </c>
      <c r="W59" s="1"/>
      <c r="X59" s="1"/>
      <c r="Y59" s="6">
        <f>SLOPE(Tabela515[V (V)],Tabela515[I (A)])</f>
        <v>4175199.6242367299</v>
      </c>
    </row>
    <row r="60" spans="1:25" x14ac:dyDescent="0.3">
      <c r="A60" s="17" t="s">
        <v>7</v>
      </c>
      <c r="B60" s="2">
        <f>STDEVA(B43:B57)</f>
        <v>3.1010869062314277</v>
      </c>
      <c r="C60" s="2"/>
      <c r="D60" s="5">
        <f>STDEVA(D43:D57)</f>
        <v>3.0675128749681294E-4</v>
      </c>
      <c r="E60" s="4"/>
      <c r="F60" s="5">
        <f>STDEVA(F43:F57)</f>
        <v>261.13897472485797</v>
      </c>
      <c r="I60" s="4"/>
      <c r="V60" s="1"/>
      <c r="W60" s="1"/>
      <c r="X60" s="1"/>
    </row>
    <row r="61" spans="1:25" x14ac:dyDescent="0.3">
      <c r="A61" s="17" t="s">
        <v>8</v>
      </c>
      <c r="B61" s="2">
        <f>B60/SQRT(10)</f>
        <v>0.98064978458163166</v>
      </c>
      <c r="C61" s="2"/>
      <c r="D61" s="5">
        <f t="shared" ref="D61:F61" si="3">D60/SQRT(10)</f>
        <v>9.7003274367905937E-5</v>
      </c>
      <c r="E61" s="4"/>
      <c r="F61" s="5">
        <f t="shared" si="3"/>
        <v>82.57939459716934</v>
      </c>
      <c r="I61" s="4"/>
      <c r="V61" s="1" t="s">
        <v>23</v>
      </c>
      <c r="W61" s="1"/>
      <c r="X61" s="1"/>
      <c r="Y61" s="10">
        <f>((Y55-Y59)/Y55)</f>
        <v>0.38600005525930442</v>
      </c>
    </row>
    <row r="62" spans="1:25" x14ac:dyDescent="0.3">
      <c r="I62" s="4"/>
      <c r="V62" s="12" t="s">
        <v>24</v>
      </c>
      <c r="W62" s="12"/>
      <c r="X62" s="12"/>
      <c r="Y62" s="11">
        <f>(Y55-F83)/Y55</f>
        <v>0.50075181452214323</v>
      </c>
    </row>
    <row r="63" spans="1:25" x14ac:dyDescent="0.3">
      <c r="I63" s="4"/>
    </row>
    <row r="64" spans="1:25" x14ac:dyDescent="0.3">
      <c r="I64" s="4"/>
    </row>
    <row r="65" spans="1:25" x14ac:dyDescent="0.3">
      <c r="A65" s="17" t="s">
        <v>13</v>
      </c>
      <c r="B65" s="17"/>
      <c r="C65" s="17"/>
      <c r="D65" s="17"/>
      <c r="E65" s="17"/>
      <c r="F65" s="17"/>
      <c r="I65" s="4"/>
    </row>
    <row r="66" spans="1:25" x14ac:dyDescent="0.3">
      <c r="A66" s="1" t="s">
        <v>1</v>
      </c>
      <c r="B66" s="17" t="s">
        <v>16</v>
      </c>
      <c r="C66" s="17" t="s">
        <v>17</v>
      </c>
      <c r="D66" s="17" t="s">
        <v>19</v>
      </c>
      <c r="E66" s="17" t="s">
        <v>18</v>
      </c>
      <c r="F66" s="17" t="s">
        <v>20</v>
      </c>
      <c r="I66" s="4"/>
    </row>
    <row r="67" spans="1:25" x14ac:dyDescent="0.3">
      <c r="A67" s="17">
        <v>1</v>
      </c>
      <c r="B67" s="2">
        <v>1.68</v>
      </c>
      <c r="C67" s="5">
        <v>0.01</v>
      </c>
      <c r="D67" s="5">
        <v>6.9999999999999997E-7</v>
      </c>
      <c r="E67" s="5">
        <v>1E-4</v>
      </c>
      <c r="F67" s="5">
        <f t="shared" ref="F67:F81" si="4">B67/D67</f>
        <v>2400000</v>
      </c>
    </row>
    <row r="68" spans="1:25" x14ac:dyDescent="0.3">
      <c r="A68" s="17">
        <v>2</v>
      </c>
      <c r="B68" s="2">
        <v>2.52</v>
      </c>
      <c r="C68" s="5">
        <v>0.01</v>
      </c>
      <c r="D68" s="5">
        <v>8.9999999999999996E-7</v>
      </c>
      <c r="E68" s="5">
        <v>1E-4</v>
      </c>
      <c r="F68" s="5">
        <f t="shared" si="4"/>
        <v>2800000</v>
      </c>
    </row>
    <row r="69" spans="1:25" x14ac:dyDescent="0.3">
      <c r="A69" s="17">
        <v>3</v>
      </c>
      <c r="B69" s="2">
        <v>2.91</v>
      </c>
      <c r="C69" s="5">
        <v>0.01</v>
      </c>
      <c r="D69" s="5">
        <v>9.9999999999999995E-7</v>
      </c>
      <c r="E69" s="5">
        <v>1E-4</v>
      </c>
      <c r="F69" s="5">
        <f t="shared" si="4"/>
        <v>2910000.0000000005</v>
      </c>
    </row>
    <row r="70" spans="1:25" x14ac:dyDescent="0.3">
      <c r="A70" s="17">
        <v>4</v>
      </c>
      <c r="B70" s="2">
        <v>3.6</v>
      </c>
      <c r="C70" s="5">
        <v>0.01</v>
      </c>
      <c r="D70" s="5">
        <v>1.1000000000000001E-6</v>
      </c>
      <c r="E70" s="5">
        <v>1E-4</v>
      </c>
      <c r="F70" s="5">
        <f t="shared" si="4"/>
        <v>3272727.2727272725</v>
      </c>
    </row>
    <row r="71" spans="1:25" x14ac:dyDescent="0.3">
      <c r="A71" s="17">
        <v>5</v>
      </c>
      <c r="B71" s="2">
        <v>4.45</v>
      </c>
      <c r="C71" s="5">
        <v>0.01</v>
      </c>
      <c r="D71" s="5">
        <v>1.3E-6</v>
      </c>
      <c r="E71" s="5">
        <v>1E-4</v>
      </c>
      <c r="F71" s="5">
        <f t="shared" si="4"/>
        <v>3423076.923076923</v>
      </c>
    </row>
    <row r="72" spans="1:25" x14ac:dyDescent="0.3">
      <c r="A72" s="17">
        <v>6</v>
      </c>
      <c r="B72" s="2">
        <v>4.95</v>
      </c>
      <c r="C72" s="5">
        <v>0.01</v>
      </c>
      <c r="D72" s="5">
        <v>1.3999999999999999E-6</v>
      </c>
      <c r="E72" s="5">
        <v>1E-4</v>
      </c>
      <c r="F72" s="5">
        <f t="shared" si="4"/>
        <v>3535714.2857142859</v>
      </c>
    </row>
    <row r="73" spans="1:25" x14ac:dyDescent="0.3">
      <c r="A73" s="17">
        <v>7</v>
      </c>
      <c r="B73" s="2">
        <v>5.47</v>
      </c>
      <c r="C73" s="5">
        <v>0.01</v>
      </c>
      <c r="D73" s="5">
        <v>1.5999999999999999E-6</v>
      </c>
      <c r="E73" s="5">
        <v>1E-4</v>
      </c>
      <c r="F73" s="5">
        <f t="shared" si="4"/>
        <v>3418750</v>
      </c>
    </row>
    <row r="74" spans="1:25" x14ac:dyDescent="0.3">
      <c r="A74" s="17">
        <v>8</v>
      </c>
      <c r="B74" s="2">
        <v>5.98</v>
      </c>
      <c r="C74" s="5">
        <v>0.01</v>
      </c>
      <c r="D74" s="5">
        <v>1.7E-6</v>
      </c>
      <c r="E74" s="5">
        <v>1E-4</v>
      </c>
      <c r="F74" s="5">
        <f t="shared" si="4"/>
        <v>3517647.0588235296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>
        <v>9</v>
      </c>
      <c r="B75" s="2">
        <v>6.46</v>
      </c>
      <c r="C75" s="5">
        <v>0.01</v>
      </c>
      <c r="D75" s="5">
        <v>1.7999999999999999E-6</v>
      </c>
      <c r="E75" s="5">
        <v>1E-4</v>
      </c>
      <c r="F75" s="5">
        <f t="shared" si="4"/>
        <v>3588888.888888889</v>
      </c>
    </row>
    <row r="76" spans="1:25" x14ac:dyDescent="0.3">
      <c r="A76" s="17">
        <v>10</v>
      </c>
      <c r="B76" s="2">
        <v>7.16</v>
      </c>
      <c r="C76" s="5">
        <v>0.01</v>
      </c>
      <c r="D76" s="5">
        <v>1.9999999999999999E-6</v>
      </c>
      <c r="E76" s="5">
        <v>1E-4</v>
      </c>
      <c r="F76" s="5">
        <f t="shared" si="4"/>
        <v>3580000.0000000005</v>
      </c>
    </row>
    <row r="77" spans="1:25" x14ac:dyDescent="0.3">
      <c r="A77" s="17">
        <v>11</v>
      </c>
      <c r="B77" s="2">
        <v>7.99</v>
      </c>
      <c r="C77" s="5">
        <v>0.01</v>
      </c>
      <c r="D77" s="5">
        <v>2.2000000000000001E-6</v>
      </c>
      <c r="E77" s="5">
        <v>1E-4</v>
      </c>
      <c r="F77" s="5">
        <f t="shared" si="4"/>
        <v>3631818.1818181816</v>
      </c>
    </row>
    <row r="78" spans="1:25" x14ac:dyDescent="0.3">
      <c r="A78" s="17">
        <v>12</v>
      </c>
      <c r="B78" s="2">
        <v>8.6999999999999993</v>
      </c>
      <c r="C78" s="5">
        <v>0.01</v>
      </c>
      <c r="D78" s="5">
        <v>2.3999999999999999E-6</v>
      </c>
      <c r="E78" s="5">
        <v>1E-4</v>
      </c>
      <c r="F78" s="5">
        <f t="shared" si="4"/>
        <v>3625000</v>
      </c>
    </row>
    <row r="79" spans="1:25" x14ac:dyDescent="0.3">
      <c r="A79" s="17">
        <v>13</v>
      </c>
      <c r="B79" s="2">
        <v>9.15</v>
      </c>
      <c r="C79" s="5">
        <v>0.01</v>
      </c>
      <c r="D79" s="5">
        <v>2.5000000000000002E-6</v>
      </c>
      <c r="E79" s="5">
        <v>1E-4</v>
      </c>
      <c r="F79" s="5">
        <f t="shared" si="4"/>
        <v>3660000</v>
      </c>
      <c r="I79" s="1"/>
      <c r="V79" s="1" t="s">
        <v>3</v>
      </c>
      <c r="W79" s="1"/>
      <c r="X79" s="1"/>
      <c r="Y79" s="6">
        <v>0.01</v>
      </c>
    </row>
    <row r="80" spans="1:25" x14ac:dyDescent="0.3">
      <c r="A80" s="17">
        <v>14</v>
      </c>
      <c r="B80" s="2">
        <v>9.3800000000000008</v>
      </c>
      <c r="C80" s="5">
        <v>0.01</v>
      </c>
      <c r="D80" s="5">
        <v>2.5000000000000002E-6</v>
      </c>
      <c r="E80" s="5">
        <v>1E-4</v>
      </c>
      <c r="F80" s="5">
        <f t="shared" si="4"/>
        <v>3752000</v>
      </c>
      <c r="I80" s="4"/>
      <c r="V80" s="1" t="s">
        <v>27</v>
      </c>
      <c r="W80" s="1"/>
      <c r="X80" s="1"/>
      <c r="Y80" s="6">
        <v>9.9999999999999995E-7</v>
      </c>
    </row>
    <row r="81" spans="1:25" x14ac:dyDescent="0.3">
      <c r="A81" s="17">
        <v>15</v>
      </c>
      <c r="B81" s="2">
        <v>9.9</v>
      </c>
      <c r="C81" s="5">
        <v>0.01</v>
      </c>
      <c r="D81" s="5">
        <v>2.6000000000000001E-6</v>
      </c>
      <c r="E81" s="5">
        <v>1E-4</v>
      </c>
      <c r="F81" s="5">
        <f t="shared" si="4"/>
        <v>3807692.3076923075</v>
      </c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 t="s">
        <v>6</v>
      </c>
      <c r="B83" s="2">
        <f>AVERAGE(B67:B81)</f>
        <v>6.02</v>
      </c>
      <c r="D83" s="5">
        <f>AVERAGE(D67:D81)</f>
        <v>1.7133333333333332E-6</v>
      </c>
      <c r="E83" s="4"/>
      <c r="F83" s="5">
        <f>AVERAGE(F67:F81)</f>
        <v>3394887.6612494262</v>
      </c>
      <c r="I83" s="4"/>
      <c r="J83" s="1"/>
      <c r="K83" s="1"/>
      <c r="L83" s="1"/>
      <c r="M83" s="3"/>
      <c r="N83" s="9"/>
      <c r="O83" s="3"/>
      <c r="V83" s="1" t="s">
        <v>25</v>
      </c>
      <c r="W83" s="1"/>
      <c r="X83" s="1"/>
      <c r="Y83" s="6">
        <v>470</v>
      </c>
    </row>
    <row r="84" spans="1:25" x14ac:dyDescent="0.3">
      <c r="A84" s="17" t="s">
        <v>7</v>
      </c>
      <c r="B84" s="2">
        <f>STDEVA(B67:B81)</f>
        <v>2.66224126844818</v>
      </c>
      <c r="D84" s="5">
        <f>STDEVA(D67:D81)</f>
        <v>6.3680751371494486E-7</v>
      </c>
      <c r="E84" s="4"/>
      <c r="F84" s="5">
        <f>STDEVA(F67:F81)</f>
        <v>394535.0166596687</v>
      </c>
      <c r="I84" s="4"/>
      <c r="J84" s="1"/>
      <c r="K84" s="1"/>
      <c r="L84" s="1"/>
      <c r="Y84" s="6"/>
    </row>
    <row r="85" spans="1:25" x14ac:dyDescent="0.3">
      <c r="A85" s="17" t="s">
        <v>8</v>
      </c>
      <c r="B85" s="2">
        <f>B84/SQRT(10)</f>
        <v>0.84187460891920085</v>
      </c>
      <c r="D85" s="5">
        <f>D84/SQRT(10)</f>
        <v>2.0137621744481388E-7</v>
      </c>
      <c r="E85" s="4"/>
      <c r="F85" s="5">
        <f t="shared" ref="F85" si="5">F84/SQRT(10)</f>
        <v>124762.92693370297</v>
      </c>
      <c r="I85" s="4"/>
      <c r="J85" s="1"/>
      <c r="K85" s="1"/>
      <c r="L85" s="1"/>
      <c r="V85" s="1" t="s">
        <v>4</v>
      </c>
      <c r="W85" s="1"/>
      <c r="X85" s="1"/>
      <c r="Y85" s="6">
        <f>SQRT(((1/D111)*B113)^2+(-(B111/(D111^2))*D113)^2)</f>
        <v>110.53496611955116</v>
      </c>
    </row>
    <row r="86" spans="1:25" x14ac:dyDescent="0.3">
      <c r="I86" s="4"/>
      <c r="Y86" s="6"/>
    </row>
    <row r="87" spans="1:25" x14ac:dyDescent="0.3">
      <c r="I87" s="4"/>
      <c r="V87" s="1" t="s">
        <v>22</v>
      </c>
      <c r="W87" s="1"/>
      <c r="X87" s="1"/>
      <c r="Y87" s="6">
        <f>SLOPE(Tabela516[V (V)],Tabela516[I (A)])</f>
        <v>465.55989729092471</v>
      </c>
    </row>
    <row r="88" spans="1:25" x14ac:dyDescent="0.3">
      <c r="I88" s="4"/>
      <c r="V88" s="1"/>
      <c r="W88" s="1"/>
      <c r="X88" s="1"/>
    </row>
    <row r="89" spans="1:25" x14ac:dyDescent="0.3">
      <c r="A89" s="1" t="s">
        <v>11</v>
      </c>
      <c r="B89" s="1"/>
      <c r="C89" s="1"/>
      <c r="D89" s="1"/>
      <c r="E89" s="1"/>
      <c r="F89" s="1"/>
      <c r="I89" s="4"/>
      <c r="V89" s="1" t="s">
        <v>23</v>
      </c>
      <c r="W89" s="1"/>
      <c r="X89" s="1"/>
      <c r="Y89" s="10">
        <f>((Y83-Y87)/Y83)</f>
        <v>9.4470270405857242E-3</v>
      </c>
    </row>
    <row r="90" spans="1:25" x14ac:dyDescent="0.3">
      <c r="I90" s="4"/>
      <c r="V90" s="12" t="s">
        <v>24</v>
      </c>
      <c r="W90" s="12"/>
      <c r="X90" s="12"/>
      <c r="Y90" s="11">
        <f>ABS((Y83-F111)/Y83)</f>
        <v>7.4915092966851629E-3</v>
      </c>
    </row>
    <row r="91" spans="1:25" x14ac:dyDescent="0.3">
      <c r="I91" s="4"/>
    </row>
    <row r="92" spans="1:25" x14ac:dyDescent="0.3">
      <c r="I92" s="4"/>
    </row>
    <row r="93" spans="1:25" x14ac:dyDescent="0.3">
      <c r="A93" s="17" t="s">
        <v>12</v>
      </c>
      <c r="B93" s="17"/>
      <c r="C93" s="17"/>
      <c r="D93" s="17"/>
      <c r="E93" s="17"/>
      <c r="F93" s="17"/>
      <c r="I93" s="4"/>
    </row>
    <row r="94" spans="1:25" x14ac:dyDescent="0.3">
      <c r="A94" s="1" t="s">
        <v>1</v>
      </c>
      <c r="B94" s="1" t="s">
        <v>16</v>
      </c>
      <c r="C94" s="1" t="s">
        <v>17</v>
      </c>
      <c r="D94" s="1" t="s">
        <v>19</v>
      </c>
      <c r="E94" s="1" t="s">
        <v>18</v>
      </c>
      <c r="F94" s="1" t="s">
        <v>20</v>
      </c>
      <c r="I94" s="4"/>
    </row>
    <row r="95" spans="1:25" x14ac:dyDescent="0.3">
      <c r="A95" s="17">
        <v>1</v>
      </c>
      <c r="B95" s="2">
        <v>0.81</v>
      </c>
      <c r="C95" s="5">
        <v>0.01</v>
      </c>
      <c r="D95" s="5">
        <v>1.714E-3</v>
      </c>
      <c r="E95" s="5">
        <v>4.9999999999999998E-7</v>
      </c>
      <c r="F95" s="5">
        <f t="shared" ref="F95:F109" si="6">B95/D95</f>
        <v>472.57876312718787</v>
      </c>
    </row>
    <row r="96" spans="1:25" x14ac:dyDescent="0.3">
      <c r="A96" s="17">
        <v>2</v>
      </c>
      <c r="B96" s="2">
        <v>1.44</v>
      </c>
      <c r="C96" s="5">
        <v>0.01</v>
      </c>
      <c r="D96" s="5">
        <v>3.0699999999999998E-3</v>
      </c>
      <c r="E96" s="5">
        <v>5.0000000000000004E-6</v>
      </c>
      <c r="F96" s="5">
        <f t="shared" si="6"/>
        <v>469.05537459283391</v>
      </c>
    </row>
    <row r="97" spans="1:25" x14ac:dyDescent="0.3">
      <c r="A97" s="17">
        <v>3</v>
      </c>
      <c r="B97" s="2">
        <v>2.15</v>
      </c>
      <c r="C97" s="5">
        <v>0.01</v>
      </c>
      <c r="D97" s="5">
        <v>4.7404999999999999E-3</v>
      </c>
      <c r="E97" s="5">
        <v>1.55E-4</v>
      </c>
      <c r="F97" s="5">
        <f t="shared" si="6"/>
        <v>453.53865625988817</v>
      </c>
    </row>
    <row r="98" spans="1:25" x14ac:dyDescent="0.3">
      <c r="A98" s="17">
        <v>4</v>
      </c>
      <c r="B98" s="2">
        <v>3.06</v>
      </c>
      <c r="C98" s="5">
        <v>0.01</v>
      </c>
      <c r="D98" s="5">
        <v>6.5395000000000002E-3</v>
      </c>
      <c r="E98" s="5">
        <v>6.0000000000000002E-6</v>
      </c>
      <c r="F98" s="5">
        <f t="shared" si="6"/>
        <v>467.92568239162017</v>
      </c>
    </row>
    <row r="99" spans="1:25" x14ac:dyDescent="0.3">
      <c r="A99" s="17">
        <v>5</v>
      </c>
      <c r="B99" s="2">
        <v>3.68</v>
      </c>
      <c r="C99" s="5">
        <v>0.01</v>
      </c>
      <c r="D99" s="5">
        <v>7.8584999999999992E-3</v>
      </c>
      <c r="E99" s="5">
        <v>6.9999999999999999E-6</v>
      </c>
      <c r="F99" s="5">
        <f t="shared" si="6"/>
        <v>468.28275116116316</v>
      </c>
    </row>
    <row r="100" spans="1:25" x14ac:dyDescent="0.3">
      <c r="A100" s="17">
        <v>6</v>
      </c>
      <c r="B100" s="2">
        <v>4.53</v>
      </c>
      <c r="C100" s="5">
        <v>0.01</v>
      </c>
      <c r="D100" s="5">
        <v>9.6395000000000005E-3</v>
      </c>
      <c r="E100" s="5">
        <v>6.0000000000000002E-6</v>
      </c>
      <c r="F100" s="5">
        <f t="shared" si="6"/>
        <v>469.94138700140047</v>
      </c>
    </row>
    <row r="101" spans="1:25" x14ac:dyDescent="0.3">
      <c r="A101" s="17">
        <v>7</v>
      </c>
      <c r="B101" s="2">
        <v>5.12</v>
      </c>
      <c r="C101" s="5">
        <v>0.01</v>
      </c>
      <c r="D101" s="5">
        <v>1.0932000000000001E-2</v>
      </c>
      <c r="E101" s="5">
        <v>1.9999999999999999E-6</v>
      </c>
      <c r="F101" s="5">
        <f t="shared" si="6"/>
        <v>468.34979875594581</v>
      </c>
      <c r="I101" s="6"/>
    </row>
    <row r="102" spans="1:25" x14ac:dyDescent="0.3">
      <c r="A102" s="17">
        <v>8</v>
      </c>
      <c r="B102" s="2">
        <v>5.93</v>
      </c>
      <c r="C102" s="5">
        <v>0.01</v>
      </c>
      <c r="D102" s="5">
        <v>1.2722499999999999E-2</v>
      </c>
      <c r="E102" s="5">
        <v>3.0000000000000001E-6</v>
      </c>
      <c r="F102" s="5">
        <f t="shared" si="6"/>
        <v>466.10336018864217</v>
      </c>
    </row>
    <row r="103" spans="1:25" x14ac:dyDescent="0.3">
      <c r="A103" s="17">
        <v>9</v>
      </c>
      <c r="B103" s="2">
        <v>6.83</v>
      </c>
      <c r="C103" s="5">
        <v>0.01</v>
      </c>
      <c r="D103" s="5">
        <v>1.465E-2</v>
      </c>
      <c r="E103" s="5" t="s">
        <v>21</v>
      </c>
      <c r="F103" s="5">
        <f t="shared" si="6"/>
        <v>466.21160409556313</v>
      </c>
      <c r="I103" s="1"/>
      <c r="V103" s="1" t="s">
        <v>3</v>
      </c>
      <c r="W103" s="1"/>
      <c r="X103" s="1"/>
      <c r="Y103" s="16">
        <v>0.01</v>
      </c>
    </row>
    <row r="104" spans="1:25" x14ac:dyDescent="0.3">
      <c r="A104" s="17">
        <v>10</v>
      </c>
      <c r="B104" s="2">
        <v>7.14</v>
      </c>
      <c r="C104" s="5">
        <v>0.01</v>
      </c>
      <c r="D104" s="5">
        <v>1.5311999999999999E-2</v>
      </c>
      <c r="E104" s="5">
        <v>9.9999999999999995E-7</v>
      </c>
      <c r="F104" s="5">
        <f t="shared" si="6"/>
        <v>466.30094043887146</v>
      </c>
      <c r="I104" s="4"/>
      <c r="V104" s="1" t="s">
        <v>27</v>
      </c>
      <c r="W104" s="1"/>
      <c r="X104" s="1"/>
      <c r="Y104" s="6">
        <v>9.9999999999999995E-7</v>
      </c>
    </row>
    <row r="105" spans="1:25" x14ac:dyDescent="0.3">
      <c r="A105" s="17">
        <v>11</v>
      </c>
      <c r="B105" s="2">
        <v>7.96</v>
      </c>
      <c r="C105" s="5">
        <v>0.01</v>
      </c>
      <c r="D105" s="5">
        <v>1.7070999999999999E-2</v>
      </c>
      <c r="E105" s="5" t="s">
        <v>21</v>
      </c>
      <c r="F105" s="5">
        <f t="shared" si="6"/>
        <v>466.28785659891042</v>
      </c>
      <c r="I105" s="4"/>
    </row>
    <row r="106" spans="1:25" x14ac:dyDescent="0.3">
      <c r="A106" s="17">
        <v>12</v>
      </c>
      <c r="B106" s="2">
        <v>8.6300000000000008</v>
      </c>
      <c r="C106" s="5">
        <v>0.01</v>
      </c>
      <c r="D106" s="5">
        <v>1.8512500000000001E-2</v>
      </c>
      <c r="E106" s="5">
        <v>5.0000000000000004E-6</v>
      </c>
      <c r="F106" s="5">
        <f t="shared" si="6"/>
        <v>466.17150573936533</v>
      </c>
      <c r="I106" s="4"/>
    </row>
    <row r="107" spans="1:25" x14ac:dyDescent="0.3">
      <c r="A107" s="17">
        <v>13</v>
      </c>
      <c r="B107" s="2">
        <v>9.06</v>
      </c>
      <c r="C107" s="5">
        <v>0.01</v>
      </c>
      <c r="D107" s="5">
        <v>1.9453999999999999E-2</v>
      </c>
      <c r="E107" s="5">
        <v>3.9999999999999998E-6</v>
      </c>
      <c r="F107" s="5">
        <f t="shared" si="6"/>
        <v>465.71399198108361</v>
      </c>
      <c r="I107" s="4"/>
      <c r="J107" s="1"/>
      <c r="K107" s="1"/>
      <c r="L107" s="1"/>
      <c r="M107" s="3"/>
      <c r="N107" s="9"/>
      <c r="O107" s="3"/>
      <c r="V107" s="1" t="s">
        <v>25</v>
      </c>
      <c r="W107" s="1"/>
      <c r="X107" s="1"/>
      <c r="Y107" s="6">
        <v>10000</v>
      </c>
    </row>
    <row r="108" spans="1:25" x14ac:dyDescent="0.3">
      <c r="A108" s="17">
        <v>14</v>
      </c>
      <c r="B108" s="2">
        <v>9.49</v>
      </c>
      <c r="C108" s="5">
        <v>0.01</v>
      </c>
      <c r="D108" s="5">
        <v>2.0382000000000001E-2</v>
      </c>
      <c r="E108" s="5">
        <v>9.9999999999999995E-7</v>
      </c>
      <c r="F108" s="5">
        <f t="shared" si="6"/>
        <v>465.60690805612796</v>
      </c>
      <c r="I108" s="4"/>
      <c r="J108" s="1"/>
      <c r="K108" s="1"/>
      <c r="L108" s="1"/>
      <c r="Y108" s="6"/>
    </row>
    <row r="109" spans="1:25" x14ac:dyDescent="0.3">
      <c r="A109" s="17">
        <v>15</v>
      </c>
      <c r="B109" s="2">
        <v>10</v>
      </c>
      <c r="C109" s="5">
        <v>0.01</v>
      </c>
      <c r="D109" s="5">
        <v>2.1499999999999998E-2</v>
      </c>
      <c r="E109" s="5">
        <v>9.9999999999999995E-7</v>
      </c>
      <c r="F109" s="5">
        <f t="shared" si="6"/>
        <v>465.11627906976747</v>
      </c>
      <c r="I109" s="4"/>
      <c r="J109" s="1"/>
      <c r="K109" s="1"/>
      <c r="L109" s="1"/>
      <c r="V109" s="1" t="s">
        <v>4</v>
      </c>
      <c r="W109" s="1"/>
      <c r="X109" s="1"/>
      <c r="Y109" s="6">
        <f>SQRT(((1/D135)*B137)^2+(-(B135/(D135^2))*D137)^2)</f>
        <v>2612.0114556618387</v>
      </c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 t="s">
        <v>6</v>
      </c>
      <c r="B111" s="2">
        <f>AVERAGE(B95:B109)</f>
        <v>5.7219999999999995</v>
      </c>
      <c r="D111" s="5">
        <f>AVERAGE(D95:D109)</f>
        <v>1.2273200000000001E-2</v>
      </c>
      <c r="E111" s="4"/>
      <c r="F111" s="2">
        <f>AVERAGE(F95:F109)</f>
        <v>466.47899063055797</v>
      </c>
      <c r="I111" s="4"/>
      <c r="V111" s="1" t="s">
        <v>22</v>
      </c>
      <c r="W111" s="1"/>
      <c r="X111" s="1"/>
      <c r="Y111" s="6">
        <f>SLOPE(Tabela517[V (V)],Tabela517[I (A)])</f>
        <v>10057.504745271553</v>
      </c>
    </row>
    <row r="112" spans="1:25" x14ac:dyDescent="0.3">
      <c r="A112" s="17" t="s">
        <v>7</v>
      </c>
      <c r="B112" s="2">
        <f>STDEVA(B95:B109)</f>
        <v>3.031381580354787</v>
      </c>
      <c r="D112" s="5">
        <f>STDEVA(D95:D109)</f>
        <v>6.5110933737298335E-3</v>
      </c>
      <c r="E112" s="4"/>
      <c r="F112" s="2">
        <f>STDEVA(F95:F109)</f>
        <v>4.1032210501884805</v>
      </c>
      <c r="I112" s="4"/>
      <c r="V112" s="1"/>
      <c r="W112" s="1"/>
      <c r="X112" s="1"/>
    </row>
    <row r="113" spans="1:25" x14ac:dyDescent="0.3">
      <c r="A113" s="17" t="s">
        <v>8</v>
      </c>
      <c r="B113" s="2">
        <f>B112/SQRT(10)</f>
        <v>0.95860702510018592</v>
      </c>
      <c r="D113" s="5">
        <f>D112/SQRT(10)</f>
        <v>2.0589885119016217E-3</v>
      </c>
      <c r="E113" s="4"/>
      <c r="F113" s="2">
        <f t="shared" ref="F113" si="7">F112/SQRT(10)</f>
        <v>1.2975524261743667</v>
      </c>
      <c r="I113" s="4"/>
      <c r="V113" s="1" t="s">
        <v>23</v>
      </c>
      <c r="W113" s="1"/>
      <c r="X113" s="1"/>
      <c r="Y113" s="10">
        <f>ABS((Y107-Y111)/Y107)</f>
        <v>5.7504745271553474E-3</v>
      </c>
    </row>
    <row r="114" spans="1:25" x14ac:dyDescent="0.3">
      <c r="I114" s="4"/>
      <c r="V114" s="12" t="s">
        <v>24</v>
      </c>
      <c r="W114" s="12"/>
      <c r="X114" s="12"/>
      <c r="Y114" s="11">
        <f>ABS((Y107-F135)/Y107)</f>
        <v>5.2067968264465888E-3</v>
      </c>
    </row>
    <row r="115" spans="1:25" x14ac:dyDescent="0.3">
      <c r="I115" s="4"/>
    </row>
    <row r="116" spans="1:25" x14ac:dyDescent="0.3">
      <c r="I116" s="4"/>
    </row>
    <row r="117" spans="1:25" x14ac:dyDescent="0.3">
      <c r="A117" s="17" t="s">
        <v>14</v>
      </c>
      <c r="B117" s="17"/>
      <c r="C117" s="17"/>
      <c r="D117" s="17"/>
      <c r="E117" s="17"/>
      <c r="F117" s="17"/>
      <c r="I117" s="4"/>
    </row>
    <row r="118" spans="1:25" x14ac:dyDescent="0.3">
      <c r="A118" s="1" t="s">
        <v>1</v>
      </c>
      <c r="B118" s="1" t="s">
        <v>16</v>
      </c>
      <c r="C118" s="1" t="s">
        <v>17</v>
      </c>
      <c r="D118" s="1" t="s">
        <v>19</v>
      </c>
      <c r="E118" s="1" t="s">
        <v>18</v>
      </c>
      <c r="F118" s="1" t="s">
        <v>20</v>
      </c>
      <c r="I118" s="4"/>
    </row>
    <row r="119" spans="1:25" x14ac:dyDescent="0.3">
      <c r="A119" s="17">
        <v>1</v>
      </c>
      <c r="B119" s="8">
        <v>0.77</v>
      </c>
      <c r="C119" s="7">
        <v>0.01</v>
      </c>
      <c r="D119" s="7">
        <v>7.7999999999999999E-5</v>
      </c>
      <c r="E119" s="7">
        <v>9.9999999999999995E-7</v>
      </c>
      <c r="F119" s="7">
        <f t="shared" ref="F119:F133" si="8">B119/D119</f>
        <v>9871.794871794873</v>
      </c>
    </row>
    <row r="120" spans="1:25" x14ac:dyDescent="0.3">
      <c r="A120" s="17">
        <v>2</v>
      </c>
      <c r="B120" s="8">
        <v>1.48</v>
      </c>
      <c r="C120" s="15" t="s">
        <v>28</v>
      </c>
      <c r="D120" s="7">
        <v>1.46E-4</v>
      </c>
      <c r="E120" s="7">
        <v>9.9999999999999995E-7</v>
      </c>
      <c r="F120" s="7">
        <f t="shared" si="8"/>
        <v>10136.986301369863</v>
      </c>
    </row>
    <row r="121" spans="1:25" x14ac:dyDescent="0.3">
      <c r="A121" s="17">
        <v>3</v>
      </c>
      <c r="B121" s="8">
        <v>1.81</v>
      </c>
      <c r="C121" s="7">
        <v>0.01</v>
      </c>
      <c r="D121" s="7">
        <v>1.7999999999999998E-4</v>
      </c>
      <c r="E121" s="7">
        <v>9.9999999999999995E-7</v>
      </c>
      <c r="F121" s="7">
        <f t="shared" si="8"/>
        <v>10055.555555555557</v>
      </c>
    </row>
    <row r="122" spans="1:25" x14ac:dyDescent="0.3">
      <c r="A122" s="17">
        <v>4</v>
      </c>
      <c r="B122" s="8">
        <v>2.2799999999999998</v>
      </c>
      <c r="C122" s="7">
        <v>0.01</v>
      </c>
      <c r="D122" s="7">
        <v>2.2700000000000002E-4</v>
      </c>
      <c r="E122" s="7">
        <v>9.9999999999999995E-7</v>
      </c>
      <c r="F122" s="7">
        <f t="shared" si="8"/>
        <v>10044.052863436122</v>
      </c>
    </row>
    <row r="123" spans="1:25" x14ac:dyDescent="0.3">
      <c r="A123" s="17">
        <v>5</v>
      </c>
      <c r="B123" s="8">
        <v>2.74</v>
      </c>
      <c r="C123" s="7">
        <v>0.01</v>
      </c>
      <c r="D123" s="7">
        <v>2.7300000000000002E-4</v>
      </c>
      <c r="E123" s="7">
        <v>9.9999999999999995E-7</v>
      </c>
      <c r="F123" s="7">
        <f t="shared" si="8"/>
        <v>10036.630036630037</v>
      </c>
    </row>
    <row r="124" spans="1:25" x14ac:dyDescent="0.3">
      <c r="A124" s="17">
        <v>6</v>
      </c>
      <c r="B124" s="8">
        <v>3.18</v>
      </c>
      <c r="C124" s="7">
        <v>0.01</v>
      </c>
      <c r="D124" s="7">
        <v>3.1700000000000001E-4</v>
      </c>
      <c r="E124" s="7">
        <v>9.9999999999999995E-7</v>
      </c>
      <c r="F124" s="7">
        <f t="shared" si="8"/>
        <v>10031.545741324921</v>
      </c>
    </row>
    <row r="125" spans="1:25" x14ac:dyDescent="0.3">
      <c r="A125" s="17">
        <v>7</v>
      </c>
      <c r="B125" s="8">
        <v>3.68</v>
      </c>
      <c r="C125" s="7">
        <v>0.01</v>
      </c>
      <c r="D125" s="7">
        <v>3.6600000000000001E-4</v>
      </c>
      <c r="E125" s="7">
        <v>9.9999999999999995E-7</v>
      </c>
      <c r="F125" s="7">
        <f t="shared" si="8"/>
        <v>10054.644808743169</v>
      </c>
    </row>
    <row r="126" spans="1:25" x14ac:dyDescent="0.3">
      <c r="A126" s="17">
        <v>8</v>
      </c>
      <c r="B126" s="8">
        <v>4.33</v>
      </c>
      <c r="C126" s="7">
        <v>0.01</v>
      </c>
      <c r="D126" s="7">
        <v>4.2900000000000002E-4</v>
      </c>
      <c r="E126" s="7">
        <v>9.9999999999999995E-7</v>
      </c>
      <c r="F126" s="7">
        <f t="shared" si="8"/>
        <v>10093.240093240092</v>
      </c>
    </row>
    <row r="127" spans="1:25" x14ac:dyDescent="0.3">
      <c r="A127" s="17">
        <v>9</v>
      </c>
      <c r="B127" s="8">
        <v>4.8</v>
      </c>
      <c r="C127" s="7">
        <v>0.01</v>
      </c>
      <c r="D127" s="7">
        <v>4.7599999999999997E-4</v>
      </c>
      <c r="E127" s="7">
        <v>9.9999999999999995E-7</v>
      </c>
      <c r="F127" s="7">
        <f t="shared" si="8"/>
        <v>10084.033613445379</v>
      </c>
      <c r="I127" s="1"/>
      <c r="V127" s="1" t="s">
        <v>3</v>
      </c>
      <c r="W127" s="1"/>
      <c r="X127" s="1"/>
      <c r="Y127" s="6">
        <v>0.01</v>
      </c>
    </row>
    <row r="128" spans="1:25" x14ac:dyDescent="0.3">
      <c r="A128" s="17">
        <v>10</v>
      </c>
      <c r="B128" s="8">
        <v>5.56</v>
      </c>
      <c r="C128" s="7">
        <v>0.01</v>
      </c>
      <c r="D128" s="7">
        <v>5.5200000000000008E-4</v>
      </c>
      <c r="E128" s="7">
        <v>9.9999999999999995E-7</v>
      </c>
      <c r="F128" s="7">
        <f t="shared" si="8"/>
        <v>10072.46376811594</v>
      </c>
      <c r="I128" s="4"/>
      <c r="V128" s="1" t="s">
        <v>27</v>
      </c>
      <c r="W128" s="1"/>
      <c r="X128" s="1"/>
      <c r="Y128" s="6">
        <v>9.9999999999999995E-8</v>
      </c>
    </row>
    <row r="129" spans="1:25" x14ac:dyDescent="0.3">
      <c r="A129" s="17">
        <v>11</v>
      </c>
      <c r="B129" s="8">
        <v>5.96</v>
      </c>
      <c r="C129" s="7">
        <v>0.01</v>
      </c>
      <c r="D129" s="7">
        <v>5.9099999999999995E-4</v>
      </c>
      <c r="E129" s="7">
        <v>9.9999999999999995E-7</v>
      </c>
      <c r="F129" s="7">
        <f t="shared" si="8"/>
        <v>10084.60236886633</v>
      </c>
      <c r="I129" s="4"/>
      <c r="Y129" s="6"/>
    </row>
    <row r="130" spans="1:25" x14ac:dyDescent="0.3">
      <c r="A130" s="17">
        <v>12</v>
      </c>
      <c r="B130" s="8">
        <v>6.8</v>
      </c>
      <c r="C130" s="7">
        <v>0.01</v>
      </c>
      <c r="D130" s="7">
        <v>6.7500000000000004E-4</v>
      </c>
      <c r="E130" s="7">
        <v>9.9999999999999995E-7</v>
      </c>
      <c r="F130" s="7">
        <f t="shared" si="8"/>
        <v>10074.074074074073</v>
      </c>
      <c r="I130" s="4"/>
      <c r="Y130" s="6"/>
    </row>
    <row r="131" spans="1:25" x14ac:dyDescent="0.3">
      <c r="A131" s="17">
        <v>13</v>
      </c>
      <c r="B131" s="8">
        <v>7.64</v>
      </c>
      <c r="C131" s="7">
        <v>0.01</v>
      </c>
      <c r="D131" s="7">
        <v>7.5799999999999999E-4</v>
      </c>
      <c r="E131" s="7">
        <v>9.9999999999999995E-7</v>
      </c>
      <c r="F131" s="7">
        <f t="shared" si="8"/>
        <v>10079.155672823219</v>
      </c>
      <c r="I131" s="4"/>
      <c r="J131" s="1"/>
      <c r="K131" s="1"/>
      <c r="L131" s="1"/>
      <c r="M131" s="3"/>
      <c r="N131" s="9"/>
      <c r="O131" s="3"/>
      <c r="V131" s="1" t="s">
        <v>25</v>
      </c>
      <c r="W131" s="1"/>
      <c r="X131" s="1"/>
      <c r="Y131" s="6">
        <v>6800000</v>
      </c>
    </row>
    <row r="132" spans="1:25" x14ac:dyDescent="0.3">
      <c r="A132" s="17">
        <v>14</v>
      </c>
      <c r="B132" s="8">
        <v>8.44</v>
      </c>
      <c r="C132" s="7">
        <v>0.01</v>
      </c>
      <c r="D132" s="7">
        <v>8.4499999999999994E-4</v>
      </c>
      <c r="E132" s="7">
        <v>9.9999999999999995E-7</v>
      </c>
      <c r="F132" s="7">
        <f t="shared" si="8"/>
        <v>9988.165680473372</v>
      </c>
      <c r="I132" s="4"/>
      <c r="J132" s="1"/>
      <c r="K132" s="1"/>
      <c r="L132" s="1"/>
      <c r="Y132" s="6"/>
    </row>
    <row r="133" spans="1:25" x14ac:dyDescent="0.3">
      <c r="A133" s="17">
        <v>15</v>
      </c>
      <c r="B133" s="8">
        <v>9.52</v>
      </c>
      <c r="C133" s="7">
        <v>0.01</v>
      </c>
      <c r="D133" s="7">
        <v>9.4499999999999998E-4</v>
      </c>
      <c r="E133" s="7">
        <v>9.9999999999999995E-7</v>
      </c>
      <c r="F133" s="7">
        <f t="shared" si="8"/>
        <v>10074.074074074073</v>
      </c>
      <c r="I133" s="4"/>
      <c r="J133" s="1"/>
      <c r="K133" s="1"/>
      <c r="L133" s="1"/>
      <c r="V133" s="1" t="s">
        <v>4</v>
      </c>
      <c r="W133" s="1"/>
      <c r="X133" s="1"/>
      <c r="Y133" s="6">
        <f>SQRT(((1/D159)*B161)^2+(-(B159/(D159^2))*D161)^2)</f>
        <v>634526.55757414585</v>
      </c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 t="s">
        <v>6</v>
      </c>
      <c r="B135" s="2">
        <f>AVERAGE(B119:B133)</f>
        <v>4.5993333333333331</v>
      </c>
      <c r="D135" s="5">
        <f>AVERAGE(D119:D133)</f>
        <v>4.5719999999999995E-4</v>
      </c>
      <c r="E135" s="4"/>
      <c r="F135" s="5">
        <f>AVERAGE(F119:F133)</f>
        <v>10052.067968264466</v>
      </c>
      <c r="I135" s="4"/>
      <c r="V135" s="1" t="s">
        <v>22</v>
      </c>
      <c r="W135" s="1"/>
      <c r="X135" s="1"/>
      <c r="Y135" s="6">
        <f>SLOPE(Tabela515[V (V)],Tabela515[I (A)])</f>
        <v>4175199.6242367299</v>
      </c>
    </row>
    <row r="136" spans="1:25" x14ac:dyDescent="0.3">
      <c r="A136" s="17" t="s">
        <v>7</v>
      </c>
      <c r="B136" s="2">
        <f>STDEVA(B119:B133)</f>
        <v>2.6700708034129166</v>
      </c>
      <c r="D136" s="5">
        <f>STDEVA(D119:D133)</f>
        <v>2.6547348535884221E-4</v>
      </c>
      <c r="E136" s="4"/>
      <c r="F136" s="5">
        <f>STDEVA(F119:F133)</f>
        <v>60.017411251811424</v>
      </c>
      <c r="I136" s="4"/>
      <c r="V136" s="1"/>
      <c r="W136" s="1"/>
      <c r="X136" s="1"/>
    </row>
    <row r="137" spans="1:25" x14ac:dyDescent="0.3">
      <c r="A137" s="17" t="s">
        <v>8</v>
      </c>
      <c r="B137" s="2">
        <f>B136/SQRT(10)</f>
        <v>0.84435052527005017</v>
      </c>
      <c r="D137" s="5">
        <f>D136/SQRT(10)</f>
        <v>8.3950087211730399E-5</v>
      </c>
      <c r="E137" s="4"/>
      <c r="F137" s="5">
        <f t="shared" ref="F137" si="9">F136/SQRT(10)</f>
        <v>18.979171882274159</v>
      </c>
      <c r="I137" s="4"/>
      <c r="V137" s="1" t="s">
        <v>23</v>
      </c>
      <c r="W137" s="1"/>
      <c r="X137" s="1"/>
      <c r="Y137" s="10">
        <f>ABS(Y131-Y135)/Y131</f>
        <v>0.38600005525930442</v>
      </c>
    </row>
    <row r="138" spans="1:25" x14ac:dyDescent="0.3">
      <c r="D138" s="6"/>
      <c r="I138" s="4"/>
      <c r="V138" s="12" t="s">
        <v>24</v>
      </c>
      <c r="W138" s="12"/>
      <c r="X138" s="12"/>
      <c r="Y138" s="11">
        <f>ABS(Y131-F159)/Y131</f>
        <v>0.44018062833281024</v>
      </c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 t="s">
        <v>15</v>
      </c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 t="s">
        <v>1</v>
      </c>
      <c r="B142" s="1" t="s">
        <v>16</v>
      </c>
      <c r="C142" s="1" t="s">
        <v>17</v>
      </c>
      <c r="D142" s="1" t="s">
        <v>19</v>
      </c>
      <c r="E142" s="1" t="s">
        <v>18</v>
      </c>
      <c r="F142" s="1" t="s">
        <v>20</v>
      </c>
      <c r="I142" s="4"/>
      <c r="V142" s="1"/>
      <c r="W142" s="1"/>
      <c r="X142" s="1"/>
      <c r="Y142" s="1"/>
    </row>
    <row r="143" spans="1:25" x14ac:dyDescent="0.3">
      <c r="A143" s="17">
        <v>1</v>
      </c>
      <c r="B143" s="2">
        <v>0.95</v>
      </c>
      <c r="C143" s="5">
        <v>0.01</v>
      </c>
      <c r="D143" s="5">
        <v>2.9999999999999999E-7</v>
      </c>
      <c r="E143" s="5">
        <v>9.9999999999999995E-8</v>
      </c>
      <c r="F143" s="5">
        <f t="shared" ref="F143:F157" si="10">B143/D143</f>
        <v>3166666.6666666665</v>
      </c>
      <c r="V143" s="1"/>
      <c r="W143" s="1"/>
      <c r="X143" s="1"/>
      <c r="Y143" s="1"/>
    </row>
    <row r="144" spans="1:25" x14ac:dyDescent="0.3">
      <c r="A144" s="17">
        <v>2</v>
      </c>
      <c r="B144" s="2">
        <v>1.74</v>
      </c>
      <c r="C144" s="5">
        <v>0.01</v>
      </c>
      <c r="D144" s="5">
        <v>4.9999999999999998E-7</v>
      </c>
      <c r="E144" s="5">
        <v>9.9999999999999995E-8</v>
      </c>
      <c r="F144" s="5">
        <f t="shared" si="10"/>
        <v>3480000</v>
      </c>
      <c r="V144" s="1"/>
      <c r="W144" s="1"/>
      <c r="X144" s="1"/>
      <c r="Y144" s="1"/>
    </row>
    <row r="145" spans="1:25" x14ac:dyDescent="0.3">
      <c r="A145" s="17">
        <v>3</v>
      </c>
      <c r="B145" s="2">
        <v>2.99</v>
      </c>
      <c r="C145" s="5">
        <v>0.01</v>
      </c>
      <c r="D145" s="5">
        <v>7.9999999999999996E-7</v>
      </c>
      <c r="E145" s="5">
        <v>9.9999999999999995E-8</v>
      </c>
      <c r="F145" s="5">
        <f t="shared" si="10"/>
        <v>3737500.0000000005</v>
      </c>
      <c r="V145" s="1"/>
      <c r="W145" s="1"/>
      <c r="X145" s="1"/>
      <c r="Y145" s="1"/>
    </row>
    <row r="146" spans="1:25" x14ac:dyDescent="0.3">
      <c r="A146" s="17">
        <v>4</v>
      </c>
      <c r="B146" s="2">
        <v>4.01</v>
      </c>
      <c r="C146" s="5">
        <v>0.01</v>
      </c>
      <c r="D146" s="5">
        <v>1.1000000000000001E-6</v>
      </c>
      <c r="E146" s="5">
        <v>9.9999999999999995E-8</v>
      </c>
      <c r="F146" s="5">
        <f t="shared" si="10"/>
        <v>3645454.5454545449</v>
      </c>
      <c r="V146" s="1"/>
      <c r="W146" s="1"/>
      <c r="X146" s="1"/>
      <c r="Y146" s="1"/>
    </row>
    <row r="147" spans="1:25" x14ac:dyDescent="0.3">
      <c r="A147" s="17">
        <v>5</v>
      </c>
      <c r="B147" s="2">
        <v>4.58</v>
      </c>
      <c r="C147" s="5">
        <v>0.01</v>
      </c>
      <c r="D147" s="5">
        <v>1.1999999999999999E-6</v>
      </c>
      <c r="E147" s="5">
        <v>9.9999999999999995E-8</v>
      </c>
      <c r="F147" s="5">
        <f t="shared" si="10"/>
        <v>3816666.666666667</v>
      </c>
    </row>
    <row r="148" spans="1:25" x14ac:dyDescent="0.3">
      <c r="A148" s="17">
        <v>6</v>
      </c>
      <c r="B148" s="2">
        <v>5.52</v>
      </c>
      <c r="C148" s="5">
        <v>0.01</v>
      </c>
      <c r="D148" s="5">
        <v>1.5E-6</v>
      </c>
      <c r="E148" s="5">
        <v>9.9999999999999995E-8</v>
      </c>
      <c r="F148" s="5">
        <f t="shared" si="10"/>
        <v>3679999.9999999995</v>
      </c>
    </row>
    <row r="149" spans="1:25" x14ac:dyDescent="0.3">
      <c r="A149" s="17">
        <v>7</v>
      </c>
      <c r="B149" s="2">
        <v>6.12</v>
      </c>
      <c r="C149" s="5">
        <v>0.01</v>
      </c>
      <c r="D149" s="5">
        <v>1.5999999999999999E-6</v>
      </c>
      <c r="E149" s="5">
        <v>9.9999999999999995E-8</v>
      </c>
      <c r="F149" s="5">
        <f t="shared" si="10"/>
        <v>3825000.0000000005</v>
      </c>
    </row>
    <row r="150" spans="1:25" x14ac:dyDescent="0.3">
      <c r="A150" s="17">
        <v>8</v>
      </c>
      <c r="B150" s="2">
        <v>6.54</v>
      </c>
      <c r="C150" s="5">
        <v>0.01</v>
      </c>
      <c r="D150" s="5">
        <v>1.7E-6</v>
      </c>
      <c r="E150" s="5">
        <v>9.9999999999999995E-8</v>
      </c>
      <c r="F150" s="5">
        <f t="shared" si="10"/>
        <v>3847058.8235294116</v>
      </c>
    </row>
    <row r="151" spans="1:25" x14ac:dyDescent="0.3">
      <c r="A151" s="17">
        <v>9</v>
      </c>
      <c r="B151" s="2">
        <v>7.22</v>
      </c>
      <c r="C151" s="5">
        <v>0.01</v>
      </c>
      <c r="D151" s="5">
        <v>1.7999999999999999E-6</v>
      </c>
      <c r="E151" s="5">
        <v>9.9999999999999995E-8</v>
      </c>
      <c r="F151" s="5">
        <f t="shared" si="10"/>
        <v>4011111.111111111</v>
      </c>
    </row>
    <row r="152" spans="1:25" x14ac:dyDescent="0.3">
      <c r="A152" s="17">
        <v>10</v>
      </c>
      <c r="B152" s="2">
        <v>7.66</v>
      </c>
      <c r="C152" s="5">
        <v>0.01</v>
      </c>
      <c r="D152" s="5">
        <v>1.9E-6</v>
      </c>
      <c r="E152" s="5">
        <v>9.9999999999999995E-8</v>
      </c>
      <c r="F152" s="5">
        <f t="shared" si="10"/>
        <v>4031578.9473684211</v>
      </c>
    </row>
    <row r="153" spans="1:25" x14ac:dyDescent="0.3">
      <c r="A153" s="17">
        <v>11</v>
      </c>
      <c r="B153" s="2">
        <v>8.25</v>
      </c>
      <c r="C153" s="5">
        <v>0.01</v>
      </c>
      <c r="D153" s="5">
        <v>2.0999999999999998E-6</v>
      </c>
      <c r="E153" s="5">
        <v>9.9999999999999995E-8</v>
      </c>
      <c r="F153" s="5">
        <f t="shared" si="10"/>
        <v>3928571.4285714291</v>
      </c>
    </row>
    <row r="154" spans="1:25" x14ac:dyDescent="0.3">
      <c r="A154" s="17">
        <v>12</v>
      </c>
      <c r="B154" s="2">
        <v>8.82</v>
      </c>
      <c r="C154" s="5">
        <v>0.01</v>
      </c>
      <c r="D154" s="5">
        <v>2.2000000000000001E-6</v>
      </c>
      <c r="E154" s="5">
        <v>9.9999999999999995E-8</v>
      </c>
      <c r="F154" s="5">
        <f t="shared" si="10"/>
        <v>4009090.9090909092</v>
      </c>
    </row>
    <row r="155" spans="1:25" x14ac:dyDescent="0.3">
      <c r="A155" s="17">
        <v>13</v>
      </c>
      <c r="B155" s="2">
        <v>9</v>
      </c>
      <c r="C155" s="5">
        <v>0.01</v>
      </c>
      <c r="D155" s="5">
        <v>2.3E-6</v>
      </c>
      <c r="E155" s="5">
        <v>9.9999999999999995E-8</v>
      </c>
      <c r="F155" s="5">
        <f t="shared" si="10"/>
        <v>3913043.4782608696</v>
      </c>
    </row>
    <row r="156" spans="1:25" x14ac:dyDescent="0.3">
      <c r="A156" s="17">
        <v>14</v>
      </c>
      <c r="B156" s="2">
        <v>9.7100000000000009</v>
      </c>
      <c r="C156" s="5">
        <v>0.01</v>
      </c>
      <c r="D156" s="5">
        <v>2.3999999999999999E-6</v>
      </c>
      <c r="E156" s="5">
        <v>9.9999999999999995E-8</v>
      </c>
      <c r="F156" s="5">
        <f t="shared" si="10"/>
        <v>4045833.333333334</v>
      </c>
    </row>
    <row r="157" spans="1:25" x14ac:dyDescent="0.3">
      <c r="A157" s="17">
        <v>15</v>
      </c>
      <c r="B157" s="2">
        <v>9.91</v>
      </c>
      <c r="C157" s="5">
        <v>0.01</v>
      </c>
      <c r="D157" s="5">
        <v>2.5000000000000002E-6</v>
      </c>
      <c r="E157" s="5">
        <v>9.9999999999999995E-8</v>
      </c>
      <c r="F157" s="5">
        <f t="shared" si="10"/>
        <v>3963999.9999999995</v>
      </c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 t="s">
        <v>6</v>
      </c>
      <c r="B159" s="2">
        <f>AVERAGE(B143:B157)</f>
        <v>6.2013333333333343</v>
      </c>
      <c r="D159" s="5">
        <f>AVERAGE(D143:D157)</f>
        <v>1.5933333333333335E-6</v>
      </c>
      <c r="E159" s="4"/>
      <c r="F159" s="5">
        <f>AVERAGE(F143:F157)</f>
        <v>3806771.7273368905</v>
      </c>
    </row>
    <row r="160" spans="1:25" x14ac:dyDescent="0.3">
      <c r="A160" s="17" t="s">
        <v>7</v>
      </c>
      <c r="B160" s="2">
        <f>STDEVA(B143:B157)</f>
        <v>2.8526450549487934</v>
      </c>
      <c r="D160" s="5">
        <f>STDEVA(D143:D157)</f>
        <v>6.8916789025054048E-7</v>
      </c>
      <c r="E160" s="4"/>
      <c r="F160" s="5">
        <f>STDEVA(F143:F157)</f>
        <v>240042.60206381421</v>
      </c>
    </row>
    <row r="161" spans="1:6" x14ac:dyDescent="0.3">
      <c r="A161" s="17" t="s">
        <v>8</v>
      </c>
      <c r="B161" s="2">
        <f>B160/SQRT(15)</f>
        <v>0.73654978603050791</v>
      </c>
      <c r="D161" s="5">
        <f>D160/SQRT(15)</f>
        <v>1.7794238411208293E-7</v>
      </c>
      <c r="E161" s="4"/>
      <c r="F161" s="5">
        <f>F160/SQRT(15)</f>
        <v>61978.733344896435</v>
      </c>
    </row>
  </sheetData>
  <mergeCells count="7">
    <mergeCell ref="A41:F41"/>
    <mergeCell ref="A2:H2"/>
    <mergeCell ref="J13:M13"/>
    <mergeCell ref="J15:M15"/>
    <mergeCell ref="J17:M17"/>
    <mergeCell ref="J19:M19"/>
    <mergeCell ref="J3:K3"/>
  </mergeCells>
  <phoneticPr fontId="2" type="noConversion"/>
  <pageMargins left="3.937007874015748E-2" right="3.937007874015748E-2" top="3.937007874015748E-2" bottom="3.937007874015748E-2" header="3.937007874015748E-2" footer="3.937007874015748E-2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R3 CA</vt:lpstr>
      <vt:lpstr>R2 CA</vt:lpstr>
      <vt:lpstr>R1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2022-03-16T16:52:18Z</cp:lastPrinted>
  <dcterms:created xsi:type="dcterms:W3CDTF">2022-03-09T11:20:33Z</dcterms:created>
  <dcterms:modified xsi:type="dcterms:W3CDTF">2022-03-16T17:22:37Z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