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DD40FB20-585F-45EC-A55E-1B6A7566868A}" xr6:coauthVersionLast="47" xr6:coauthVersionMax="47" xr10:uidLastSave="{00000000-0000-0000-0000-000000000000}"/>
  <bookViews>
    <workbookView xWindow="-108" yWindow="-108" windowWidth="23256" windowHeight="12456" xr2:uid="{CF471F3A-E1A0-4176-A48E-87D105974DF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G7" i="1" s="1"/>
  <c r="H7" i="1" s="1"/>
  <c r="G14" i="1" l="1"/>
  <c r="H14" i="1" s="1"/>
  <c r="G13" i="1"/>
  <c r="H13" i="1" s="1"/>
  <c r="G4" i="1"/>
  <c r="H4" i="1" s="1"/>
  <c r="G18" i="1"/>
  <c r="H18" i="1" s="1"/>
  <c r="G9" i="1"/>
  <c r="H9" i="1" s="1"/>
  <c r="G11" i="1"/>
  <c r="H11" i="1" s="1"/>
  <c r="G17" i="1"/>
  <c r="H17" i="1" s="1"/>
  <c r="G10" i="1"/>
  <c r="H10" i="1" s="1"/>
  <c r="G16" i="1"/>
  <c r="H16" i="1" s="1"/>
  <c r="G8" i="1"/>
  <c r="H8" i="1" s="1"/>
  <c r="G6" i="1"/>
  <c r="H6" i="1" s="1"/>
  <c r="G5" i="1"/>
  <c r="H5" i="1" s="1"/>
  <c r="G12" i="1"/>
  <c r="H12" i="1" s="1"/>
  <c r="G15" i="1"/>
  <c r="H15" i="1" s="1"/>
  <c r="X44" i="1" l="1"/>
  <c r="X46" i="1" s="1"/>
  <c r="B44" i="1"/>
  <c r="D45" i="1"/>
  <c r="D46" i="1" s="1"/>
  <c r="D44" i="1"/>
  <c r="X135" i="1"/>
  <c r="X137" i="1" s="1"/>
  <c r="X111" i="1"/>
  <c r="X113" i="1" s="1"/>
  <c r="X87" i="1"/>
  <c r="X89" i="1" s="1"/>
  <c r="X59" i="1"/>
  <c r="X61" i="1" s="1"/>
  <c r="W9" i="1"/>
  <c r="W11" i="1" s="1"/>
  <c r="D68" i="1"/>
  <c r="D145" i="1"/>
  <c r="D144" i="1" l="1"/>
  <c r="D146" i="1"/>
  <c r="F39" i="1"/>
  <c r="F41" i="1"/>
  <c r="B20" i="1"/>
  <c r="B21" i="1"/>
  <c r="B22" i="1" s="1"/>
  <c r="D21" i="1"/>
  <c r="D22" i="1" s="1"/>
  <c r="D20" i="1"/>
  <c r="B69" i="1"/>
  <c r="B70" i="1" s="1"/>
  <c r="B68" i="1"/>
  <c r="D69" i="1"/>
  <c r="D70" i="1" s="1"/>
  <c r="B97" i="1"/>
  <c r="B98" i="1" s="1"/>
  <c r="B96" i="1"/>
  <c r="D121" i="1"/>
  <c r="D122" i="1" s="1"/>
  <c r="B121" i="1"/>
  <c r="B122" i="1" s="1"/>
  <c r="B120" i="1"/>
  <c r="D120" i="1"/>
  <c r="B144" i="1"/>
  <c r="B145" i="1"/>
  <c r="B146" i="1" s="1"/>
  <c r="F138" i="1"/>
  <c r="F139" i="1"/>
  <c r="F140" i="1"/>
  <c r="F141" i="1"/>
  <c r="F142" i="1"/>
  <c r="F114" i="1"/>
  <c r="F115" i="1"/>
  <c r="F116" i="1"/>
  <c r="F117" i="1"/>
  <c r="F118" i="1"/>
  <c r="F90" i="1"/>
  <c r="F91" i="1"/>
  <c r="F92" i="1"/>
  <c r="F93" i="1"/>
  <c r="F94" i="1"/>
  <c r="F62" i="1"/>
  <c r="F63" i="1"/>
  <c r="F64" i="1"/>
  <c r="F65" i="1"/>
  <c r="F66" i="1"/>
  <c r="F18" i="1"/>
  <c r="F14" i="1"/>
  <c r="F15" i="1"/>
  <c r="F16" i="1"/>
  <c r="F17" i="1"/>
  <c r="F137" i="1"/>
  <c r="F136" i="1"/>
  <c r="F135" i="1"/>
  <c r="F134" i="1"/>
  <c r="F133" i="1"/>
  <c r="F132" i="1"/>
  <c r="F131" i="1"/>
  <c r="F130" i="1"/>
  <c r="F129" i="1"/>
  <c r="F113" i="1"/>
  <c r="F112" i="1"/>
  <c r="F111" i="1"/>
  <c r="F110" i="1"/>
  <c r="F109" i="1"/>
  <c r="F108" i="1"/>
  <c r="F107" i="1"/>
  <c r="F106" i="1"/>
  <c r="F105" i="1"/>
  <c r="F104" i="1"/>
  <c r="F89" i="1"/>
  <c r="F88" i="1"/>
  <c r="F87" i="1"/>
  <c r="F86" i="1"/>
  <c r="F85" i="1"/>
  <c r="F84" i="1"/>
  <c r="F83" i="1"/>
  <c r="F82" i="1"/>
  <c r="F81" i="1"/>
  <c r="F61" i="1"/>
  <c r="F60" i="1"/>
  <c r="F59" i="1"/>
  <c r="F58" i="1"/>
  <c r="F57" i="1"/>
  <c r="F56" i="1"/>
  <c r="F55" i="1"/>
  <c r="F54" i="1"/>
  <c r="F53" i="1"/>
  <c r="F52" i="1"/>
  <c r="F4" i="1"/>
  <c r="F5" i="1"/>
  <c r="F6" i="1"/>
  <c r="F7" i="1"/>
  <c r="F8" i="1"/>
  <c r="F9" i="1"/>
  <c r="F10" i="1"/>
  <c r="F11" i="1"/>
  <c r="F12" i="1"/>
  <c r="F13" i="1"/>
  <c r="X57" i="1" l="1"/>
  <c r="F20" i="1"/>
  <c r="W12" i="1" s="1"/>
  <c r="D96" i="1"/>
  <c r="D97" i="1"/>
  <c r="D98" i="1" s="1"/>
  <c r="F80" i="1"/>
  <c r="F97" i="1" s="1"/>
  <c r="F98" i="1" s="1"/>
  <c r="F120" i="1"/>
  <c r="X114" i="1" s="1"/>
  <c r="F128" i="1"/>
  <c r="F145" i="1" s="1"/>
  <c r="F146" i="1" s="1"/>
  <c r="F121" i="1"/>
  <c r="F122" i="1" s="1"/>
  <c r="F69" i="1"/>
  <c r="F70" i="1" s="1"/>
  <c r="F21" i="1"/>
  <c r="F22" i="1" s="1"/>
  <c r="F68" i="1"/>
  <c r="X62" i="1" s="1"/>
  <c r="X133" i="1"/>
  <c r="X109" i="1"/>
  <c r="W7" i="1"/>
  <c r="F144" i="1" l="1"/>
  <c r="X138" i="1" s="1"/>
  <c r="X85" i="1"/>
  <c r="F96" i="1"/>
  <c r="X90" i="1" s="1"/>
  <c r="F37" i="1"/>
  <c r="F35" i="1" l="1"/>
  <c r="F33" i="1" l="1"/>
  <c r="F29" i="1" l="1"/>
  <c r="F31" i="1"/>
  <c r="F40" i="1"/>
  <c r="F42" i="1"/>
  <c r="B45" i="1"/>
  <c r="B46" i="1" s="1"/>
  <c r="X42" i="1" s="1"/>
  <c r="F28" i="1"/>
  <c r="F38" i="1"/>
  <c r="F30" i="1"/>
  <c r="F32" i="1"/>
  <c r="F36" i="1"/>
  <c r="F34" i="1"/>
  <c r="F45" i="1" l="1"/>
  <c r="F46" i="1" s="1"/>
  <c r="F44" i="1"/>
  <c r="X4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<sst xmlns="http://schemas.openxmlformats.org/spreadsheetml/2006/main" count="110" uniqueCount="32">
  <si>
    <t>Voltagem</t>
  </si>
  <si>
    <t>Numero de Medição</t>
  </si>
  <si>
    <t>Corrente Elétrica</t>
  </si>
  <si>
    <t>Incerteza do Multimetro (V) :</t>
  </si>
  <si>
    <r>
      <t>Incerteza da Resistência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 :</t>
    </r>
  </si>
  <si>
    <t>Resistência</t>
  </si>
  <si>
    <t>Média</t>
  </si>
  <si>
    <t>Desvio Padrão</t>
  </si>
  <si>
    <t>Incerteza na Média</t>
  </si>
  <si>
    <t>Ciruito A Resistência 2</t>
  </si>
  <si>
    <t>Ciruito A Resistência 1</t>
  </si>
  <si>
    <t>Circuito B</t>
  </si>
  <si>
    <t>Ciruito B Resistência 1</t>
  </si>
  <si>
    <t>Ciruito A Resistência 3</t>
  </si>
  <si>
    <t>Ciruito B Resistência 2</t>
  </si>
  <si>
    <t>Ciruito B Resistência 3</t>
  </si>
  <si>
    <t>V (V)</t>
  </si>
  <si>
    <t>u(V)</t>
  </si>
  <si>
    <t>u(I)</t>
  </si>
  <si>
    <t>I (A)</t>
  </si>
  <si>
    <t>R (Ω)</t>
  </si>
  <si>
    <t>1,00E-06*</t>
  </si>
  <si>
    <t>Resistência (Regressão linear):</t>
  </si>
  <si>
    <t>Erro relativo á previsão (%) :</t>
  </si>
  <si>
    <t>Erro Média em relacao á previsao(%):</t>
  </si>
  <si>
    <t>Previsão da Resistência:</t>
  </si>
  <si>
    <t>Incerteza da Resistência (Ω) :</t>
  </si>
  <si>
    <t>Incerteza do Multimetro (A) :</t>
  </si>
  <si>
    <t>2,00E-02*</t>
  </si>
  <si>
    <t>Fit</t>
  </si>
  <si>
    <t>Residuo</t>
  </si>
  <si>
    <t>ANALISE ESTATISTICA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</si>
</sst>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11" fontId="0" fillId="0" borderId="0" xfId="0" applyNumberForma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4" fillId="0" borderId="0" xfId="0" applyFont="1" applyAlignment="1"/>
    <xf numFmtId="10" fontId="0" fillId="0" borderId="0" xfId="0" applyNumberFormat="1" applyAlignment="1">
      <alignment horizontal="center"/>
    </xf>
    <xf numFmtId="11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1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11" fontId="0" fillId="0" borderId="1" xfId="0" applyNumberFormat="1" applyBorder="1"/>
    <xf numFmtId="10" fontId="0" fillId="0" borderId="1" xfId="2" applyNumberFormat="1" applyFont="1" applyBorder="1"/>
    <xf numFmtId="0" fontId="4" fillId="0" borderId="1" xfId="0" applyFont="1" applyBorder="1" applyAlignment="1"/>
    <xf numFmtId="10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</cellXfs>
  <cellStyles count="3">
    <cellStyle name="Moeda" xfId="1" builtinId="4"/>
    <cellStyle name="Normal" xfId="0" builtinId="0"/>
    <cellStyle name="Percentagem" xfId="2" builtinId="5"/>
  </cellStyles>
  <dxfs count="79"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9.9865000000000006E-3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Folha1!$B$4:$B$18</c:f>
              <c:numCache>
                <c:formatCode>0.00</c:formatCode>
                <c:ptCount val="15"/>
                <c:pt idx="0">
                  <c:v>0.72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2.4500000000000002</c:v>
                </c:pt>
                <c:pt idx="5">
                  <c:v>2.92</c:v>
                </c:pt>
                <c:pt idx="6">
                  <c:v>3.4</c:v>
                </c:pt>
                <c:pt idx="7">
                  <c:v>3.87</c:v>
                </c:pt>
                <c:pt idx="8">
                  <c:v>4.41</c:v>
                </c:pt>
                <c:pt idx="9">
                  <c:v>4.8600000000000003</c:v>
                </c:pt>
                <c:pt idx="10">
                  <c:v>5.41</c:v>
                </c:pt>
                <c:pt idx="11">
                  <c:v>5.95</c:v>
                </c:pt>
                <c:pt idx="12">
                  <c:v>6.43</c:v>
                </c:pt>
                <c:pt idx="13">
                  <c:v>6.93</c:v>
                </c:pt>
                <c:pt idx="14">
                  <c:v>7.45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D-446E-8871-50DC848B9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7.7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Folha1!$D$28:$D$42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Folha1!$B$28:$B$42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6D-4FEE-9315-DF488B441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Folha1!$D$52:$D$66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Folha1!$B$52:$B$66</c:f>
              <c:numCache>
                <c:formatCode>0.00</c:formatCode>
                <c:ptCount val="15"/>
                <c:pt idx="0">
                  <c:v>1.68</c:v>
                </c:pt>
                <c:pt idx="1">
                  <c:v>2.52</c:v>
                </c:pt>
                <c:pt idx="2">
                  <c:v>2.91</c:v>
                </c:pt>
                <c:pt idx="3">
                  <c:v>3.6</c:v>
                </c:pt>
                <c:pt idx="4">
                  <c:v>4.45</c:v>
                </c:pt>
                <c:pt idx="5">
                  <c:v>4.95</c:v>
                </c:pt>
                <c:pt idx="6">
                  <c:v>5.47</c:v>
                </c:pt>
                <c:pt idx="7">
                  <c:v>5.98</c:v>
                </c:pt>
                <c:pt idx="8">
                  <c:v>6.46</c:v>
                </c:pt>
                <c:pt idx="9">
                  <c:v>7.16</c:v>
                </c:pt>
                <c:pt idx="10">
                  <c:v>7.99</c:v>
                </c:pt>
                <c:pt idx="11">
                  <c:v>8.6999999999999993</c:v>
                </c:pt>
                <c:pt idx="12">
                  <c:v>9.15</c:v>
                </c:pt>
                <c:pt idx="13">
                  <c:v>9.3800000000000008</c:v>
                </c:pt>
                <c:pt idx="1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B6-4D5A-BFE0-2A290B658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Folha1!$D$80:$D$94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Folha1!$B$80:$B$94</c:f>
              <c:numCache>
                <c:formatCode>0.00</c:formatCode>
                <c:ptCount val="15"/>
                <c:pt idx="0">
                  <c:v>0.81</c:v>
                </c:pt>
                <c:pt idx="1">
                  <c:v>1.44</c:v>
                </c:pt>
                <c:pt idx="2">
                  <c:v>2.15</c:v>
                </c:pt>
                <c:pt idx="3">
                  <c:v>3.06</c:v>
                </c:pt>
                <c:pt idx="4">
                  <c:v>3.68</c:v>
                </c:pt>
                <c:pt idx="5">
                  <c:v>4.53</c:v>
                </c:pt>
                <c:pt idx="6">
                  <c:v>5.12</c:v>
                </c:pt>
                <c:pt idx="7">
                  <c:v>5.93</c:v>
                </c:pt>
                <c:pt idx="8">
                  <c:v>6.83</c:v>
                </c:pt>
                <c:pt idx="9">
                  <c:v>7.14</c:v>
                </c:pt>
                <c:pt idx="10">
                  <c:v>7.96</c:v>
                </c:pt>
                <c:pt idx="11">
                  <c:v>8.6300000000000008</c:v>
                </c:pt>
                <c:pt idx="12">
                  <c:v>9.06</c:v>
                </c:pt>
                <c:pt idx="13">
                  <c:v>9.49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BC-4ABA-976B-7E49605E1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Folha1!$D$104:$D$118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Folha1!$B$104:$B$118</c:f>
              <c:numCache>
                <c:formatCode>0.00</c:formatCode>
                <c:ptCount val="15"/>
                <c:pt idx="0">
                  <c:v>0.77</c:v>
                </c:pt>
                <c:pt idx="1">
                  <c:v>1.48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2.74</c:v>
                </c:pt>
                <c:pt idx="5">
                  <c:v>3.18</c:v>
                </c:pt>
                <c:pt idx="6">
                  <c:v>3.68</c:v>
                </c:pt>
                <c:pt idx="7">
                  <c:v>4.33</c:v>
                </c:pt>
                <c:pt idx="8">
                  <c:v>4.8</c:v>
                </c:pt>
                <c:pt idx="9">
                  <c:v>5.56</c:v>
                </c:pt>
                <c:pt idx="10">
                  <c:v>5.96</c:v>
                </c:pt>
                <c:pt idx="11">
                  <c:v>6.8</c:v>
                </c:pt>
                <c:pt idx="12">
                  <c:v>7.64</c:v>
                </c:pt>
                <c:pt idx="13">
                  <c:v>8.44</c:v>
                </c:pt>
                <c:pt idx="14">
                  <c:v>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62-4D5E-8690-4E2546E0E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Folha1!$D$128:$D$142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Folha1!$B$128:$B$142</c:f>
              <c:numCache>
                <c:formatCode>0.00</c:formatCode>
                <c:ptCount val="15"/>
                <c:pt idx="0">
                  <c:v>0.95</c:v>
                </c:pt>
                <c:pt idx="1">
                  <c:v>1.74</c:v>
                </c:pt>
                <c:pt idx="2">
                  <c:v>2.99</c:v>
                </c:pt>
                <c:pt idx="3">
                  <c:v>4.01</c:v>
                </c:pt>
                <c:pt idx="4">
                  <c:v>4.58</c:v>
                </c:pt>
                <c:pt idx="5">
                  <c:v>5.52</c:v>
                </c:pt>
                <c:pt idx="6">
                  <c:v>6.12</c:v>
                </c:pt>
                <c:pt idx="7">
                  <c:v>6.54</c:v>
                </c:pt>
                <c:pt idx="8">
                  <c:v>7.22</c:v>
                </c:pt>
                <c:pt idx="9">
                  <c:v>7.66</c:v>
                </c:pt>
                <c:pt idx="10">
                  <c:v>8.25</c:v>
                </c:pt>
                <c:pt idx="11">
                  <c:v>8.82</c:v>
                </c:pt>
                <c:pt idx="12">
                  <c:v>9</c:v>
                </c:pt>
                <c:pt idx="13">
                  <c:v>9.7100000000000009</c:v>
                </c:pt>
                <c:pt idx="14">
                  <c:v>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1A-420D-B40E-FD8BA8BC2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Folha1!$H$3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9.9865000000000006E-3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Folha1!$H$4:$H$18</c:f>
              <c:numCache>
                <c:formatCode>0.00</c:formatCode>
                <c:ptCount val="15"/>
                <c:pt idx="0">
                  <c:v>1.4298058739939945E-3</c:v>
                </c:pt>
                <c:pt idx="1">
                  <c:v>9.4320499910607314E-3</c:v>
                </c:pt>
                <c:pt idx="2">
                  <c:v>7.7751546043092201E-3</c:v>
                </c:pt>
                <c:pt idx="3">
                  <c:v>2.5244914862508905E-2</c:v>
                </c:pt>
                <c:pt idx="4">
                  <c:v>4.9241664668788765E-3</c:v>
                </c:pt>
                <c:pt idx="5">
                  <c:v>1.8344898825873646E-2</c:v>
                </c:pt>
                <c:pt idx="6">
                  <c:v>1.1543658308986959E-2</c:v>
                </c:pt>
                <c:pt idx="7">
                  <c:v>1.7815106761859489E-2</c:v>
                </c:pt>
                <c:pt idx="8">
                  <c:v>-0.2309273189850316</c:v>
                </c:pt>
                <c:pt idx="9">
                  <c:v>1.443603518257941E-2</c:v>
                </c:pt>
                <c:pt idx="10">
                  <c:v>3.8592276710827988E-2</c:v>
                </c:pt>
                <c:pt idx="11">
                  <c:v>1.8719783802793266E-2</c:v>
                </c:pt>
                <c:pt idx="12">
                  <c:v>1.5911000532183195E-2</c:v>
                </c:pt>
                <c:pt idx="13">
                  <c:v>2.0567758465123376E-2</c:v>
                </c:pt>
                <c:pt idx="14">
                  <c:v>2.619070859605177E-2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1-4857-AAE8-8949BC9F2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8842957130359"/>
          <c:y val="0.5305898221055702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68580</xdr:colOff>
      <xdr:row>14</xdr:row>
      <xdr:rowOff>160021</xdr:rowOff>
    </xdr:from>
    <xdr:to>
      <xdr:col>18</xdr:col>
      <xdr:colOff>121920</xdr:colOff>
      <xdr:row>29</xdr:row>
      <xdr:rowOff>38101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21B313-E974-4C2B-B7FB-55441C807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283845</xdr:colOff>
      <xdr:row>33</xdr:row>
      <xdr:rowOff>95250</xdr:rowOff>
    </xdr:from>
    <xdr:to>
      <xdr:col>19</xdr:col>
      <xdr:colOff>0</xdr:colOff>
      <xdr:row>53</xdr:row>
      <xdr:rowOff>95250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DD50A22-C4D8-4024-B741-B819F89E1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601980</xdr:colOff>
      <xdr:row>49</xdr:row>
      <xdr:rowOff>15240</xdr:rowOff>
    </xdr:from>
    <xdr:to>
      <xdr:col>16</xdr:col>
      <xdr:colOff>297180</xdr:colOff>
      <xdr:row>69</xdr:row>
      <xdr:rowOff>15240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C74E9382-5B8C-4192-BD8C-62482BC9FD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76</xdr:row>
      <xdr:rowOff>137160</xdr:rowOff>
    </xdr:from>
    <xdr:to>
      <xdr:col>16</xdr:col>
      <xdr:colOff>304800</xdr:colOff>
      <xdr:row>96</xdr:row>
      <xdr:rowOff>137160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62D4724-30F8-4438-83D3-34EC1A71F9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7620</xdr:colOff>
      <xdr:row>101</xdr:row>
      <xdr:rowOff>167640</xdr:rowOff>
    </xdr:from>
    <xdr:to>
      <xdr:col>16</xdr:col>
      <xdr:colOff>312420</xdr:colOff>
      <xdr:row>121</xdr:row>
      <xdr:rowOff>167640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3ADC6370-182E-4B5A-8F19-590970290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125</xdr:row>
      <xdr:rowOff>175260</xdr:rowOff>
    </xdr:from>
    <xdr:to>
      <xdr:col>16</xdr:col>
      <xdr:colOff>304800</xdr:colOff>
      <xdr:row>145</xdr:row>
      <xdr:rowOff>175260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C7A4D904-AD53-4B81-9DA6-EDBD59976E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60960</xdr:colOff>
      <xdr:row>0</xdr:row>
      <xdr:rowOff>15240</xdr:rowOff>
    </xdr:from>
    <xdr:to>
      <xdr:col>18</xdr:col>
      <xdr:colOff>502920</xdr:colOff>
      <xdr:row>14</xdr:row>
      <xdr:rowOff>38566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70AF65-CC33-4EAA-B686-0537C52C7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B2E42-3817-413B-9C33-33DD89DD5E35}" name="Tabela5" displayName="Tabela5" ref="A3:H18" headerRowDxfId="78" dataDxfId="77">
  <autoFilter ref="A3:H18" xr:uid="{9C5B2E42-3817-413B-9C33-33DD89DD5E35}"/>
  <tableColumns count="8">
    <tableColumn id="1" xr3:uid="{9DD51987-C1BC-4ED6-8FEC-B5E9EEBD87E4}" name="Numero de Medição" totalsRowLabel="Total" dataDxfId="76" totalsRowDxfId="75"/>
    <tableColumn id="2" xr3:uid="{15D1FA17-1AE6-4DD2-8292-D64CE9308936}" name="V (V)" dataDxfId="2" totalsRowDxfId="74"/>
    <tableColumn id="5" xr3:uid="{7C02DDDF-3141-4D0A-9AF5-518B2A531A4C}" name="u(V)" dataDxfId="3"/>
    <tableColumn id="3" xr3:uid="{5BFB6233-8250-4878-B204-A8C660E33AB0}" name="I (A)" dataDxfId="1"/>
    <tableColumn id="6" xr3:uid="{D00D6C69-A1D9-4D13-9A2F-60BE40695798}" name="u(I)" dataDxfId="0" totalsRowDxfId="73"/>
    <tableColumn id="4" xr3:uid="{419C236C-08C9-42EB-933C-7880265CDDD8}" name="R (Ω)" totalsRowFunction="count" dataDxfId="6" totalsRowDxfId="72">
      <calculatedColumnFormula>B4/D4</calculatedColumnFormula>
    </tableColumn>
    <tableColumn id="8" xr3:uid="{5D26FCBD-106E-427B-AC75-BD87B08904B4}" name="Fit" dataDxfId="5" totalsRowDxfId="8">
      <calculatedColumnFormula>$J$4*Tabela5[[#This Row],[I (A)]]+$K$4</calculatedColumnFormula>
    </tableColumn>
    <tableColumn id="9" xr3:uid="{4F6967FE-8E66-46D5-89AC-72983E1166AF}" name="Residuo" dataDxfId="4" totalsRowDxfId="7">
      <calculatedColumnFormula>Tabela5[[#This Row],[V (V)]]-Tabela5[[#This Row],[Fit]]</calculatedColumnFormula>
    </tableColumn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947E35-7A5F-4B7A-83C9-EDC56314766C}" name="Tabela513" displayName="Tabela513" ref="A27:F42" headerRowDxfId="71" dataDxfId="70">
  <autoFilter ref="A27:F42" xr:uid="{69947E35-7A5F-4B7A-83C9-EDC56314766C}"/>
  <tableColumns count="6">
    <tableColumn id="1" xr3:uid="{71843C50-F2B2-4812-B490-8BF118C0297E}" name="Numero de Medição" totalsRowLabel="Total" dataDxfId="69" totalsRowDxfId="68"/>
    <tableColumn id="2" xr3:uid="{991DA961-5670-4F45-9567-BEB5B16C9F9F}" name="Voltagem" dataDxfId="67"/>
    <tableColumn id="5" xr3:uid="{D016CBE5-CAE9-43D8-BDA7-51C54CA2663A}" name="u(V)" dataDxfId="66" dataCellStyle="Moeda"/>
    <tableColumn id="3" xr3:uid="{D8270B4F-B072-4BED-8F6B-32BF8798E9F7}" name="Corrente Elétrica" dataDxfId="65" totalsRowDxfId="64" dataCellStyle="Moeda"/>
    <tableColumn id="6" xr3:uid="{ADFD343F-0A14-4F6B-B60A-AC165360EBBD}" name="u(I)" dataDxfId="63" totalsRowDxfId="62" dataCellStyle="Moeda"/>
    <tableColumn id="4" xr3:uid="{9EAEEDAC-6D0F-473B-A32D-883D869F1ED1}" name="Resistência" totalsRowFunction="count" dataDxfId="61" totalsRowDxfId="60" dataCellStyle="Moeda">
      <calculatedColumnFormula>B28/D28</calculatedColumnFormula>
    </tableColumn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1B89758-6540-410C-9D6E-6615E7F30F73}" name="Tabela515" displayName="Tabela515" ref="A51:F66" headerRowDxfId="59" dataDxfId="58">
  <autoFilter ref="A51:F66" xr:uid="{21B89758-6540-410C-9D6E-6615E7F30F73}"/>
  <tableColumns count="6">
    <tableColumn id="1" xr3:uid="{42A0E4D7-25BB-48A1-879F-59A29E5FDEC0}" name="Numero de Medição" totalsRowLabel="Total" dataDxfId="57" totalsRowDxfId="56"/>
    <tableColumn id="2" xr3:uid="{47CBB6DA-76E3-4208-B8AC-53ED1356227C}" name="V (V)" dataDxfId="55" totalsRowDxfId="54"/>
    <tableColumn id="7" xr3:uid="{339EC1BF-6347-49FE-8C68-674FFE212D24}" name="u(V)" dataDxfId="53" totalsRowDxfId="52"/>
    <tableColumn id="3" xr3:uid="{D546E76A-468E-464B-A2CB-4F07756EC755}" name="I (A)" dataDxfId="51" totalsRowDxfId="50"/>
    <tableColumn id="8" xr3:uid="{26E97079-5B7D-4585-A322-17562E32181D}" name="u(I)" dataDxfId="49" totalsRowDxfId="48"/>
    <tableColumn id="4" xr3:uid="{9B5FBD40-E7C9-4AF1-B58C-93484A227F08}" name="R (Ω)" totalsRowFunction="count" dataDxfId="47" totalsRowDxfId="46">
      <calculatedColumnFormula>B52/D52</calculatedColumnFormula>
    </tableColumn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42DD33C-4153-4F72-9A4D-037FCE993F86}" name="Tabela516" displayName="Tabela516" ref="A79:F94" headerRowDxfId="45" dataDxfId="44">
  <autoFilter ref="A79:F94" xr:uid="{A42DD33C-4153-4F72-9A4D-037FCE993F86}"/>
  <tableColumns count="6">
    <tableColumn id="1" xr3:uid="{DA8929B6-8358-4286-BBE7-87E237EAAF4B}" name="Numero de Medição" totalsRowLabel="Total" dataDxfId="43" totalsRowDxfId="42"/>
    <tableColumn id="2" xr3:uid="{AB952BEB-A90E-4961-B158-2A68B404E244}" name="V (V)" dataDxfId="41" totalsRowDxfId="40"/>
    <tableColumn id="5" xr3:uid="{DBBC59F9-D98C-4686-97C1-BEE96C71F346}" name="u(V)" dataDxfId="39" totalsRowDxfId="38"/>
    <tableColumn id="3" xr3:uid="{8245E335-11B5-4743-B73E-528AAAF1A734}" name="I (A)" dataDxfId="37"/>
    <tableColumn id="6" xr3:uid="{7F838851-7F2E-40AB-96BC-7EA7E1DA6457}" name="u(I)" dataDxfId="36"/>
    <tableColumn id="4" xr3:uid="{A7DC4E2F-8B36-4153-B12F-2CB9A0F3C0FE}" name="R (Ω)" totalsRowFunction="count" dataDxfId="35" totalsRowDxfId="34">
      <calculatedColumnFormula>B80/D80</calculatedColumnFormula>
    </tableColumn>
  </tableColumns>
  <tableStyleInfo name="TableStyleLight8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535E9FF-E56C-4068-8E82-CCB88E5535D2}" name="Tabela517" displayName="Tabela517" ref="A103:F118" headerRowDxfId="33" dataDxfId="32">
  <autoFilter ref="A103:F118" xr:uid="{3535E9FF-E56C-4068-8E82-CCB88E5535D2}"/>
  <tableColumns count="6">
    <tableColumn id="1" xr3:uid="{E5653933-D5F0-40E0-9126-7D5C5E6E076F}" name="Numero de Medição" totalsRowLabel="Total" dataDxfId="31" totalsRowDxfId="30"/>
    <tableColumn id="2" xr3:uid="{4047F096-802D-4A82-8556-4FDCD1CBA596}" name="V (V)" dataDxfId="29"/>
    <tableColumn id="5" xr3:uid="{39BCB85A-98A6-4169-ABBD-53EC7B090C38}" name="u(V)" dataDxfId="28"/>
    <tableColumn id="3" xr3:uid="{6A2E6146-0EF7-407B-BF4F-00BD8FF043CE}" name="I (A)" dataDxfId="27"/>
    <tableColumn id="6" xr3:uid="{527997B1-B87F-41CF-8B06-19A40E1B12DD}" name="u(I)" dataDxfId="26" totalsRowDxfId="25"/>
    <tableColumn id="4" xr3:uid="{5A9E15A7-8097-42C6-A5E9-38F4A78C1117}" name="R (Ω)" totalsRowFunction="count" dataDxfId="24" totalsRowDxfId="23">
      <calculatedColumnFormula>B104/D104</calculatedColumnFormula>
    </tableColumn>
  </tableColumns>
  <tableStyleInfo name="TableStyleLight8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CC2E761-7EDB-4227-A85C-DDC7184409AF}" name="Tabela518" displayName="Tabela518" ref="A127:F142" headerRowDxfId="22" dataDxfId="21">
  <autoFilter ref="A127:F142" xr:uid="{BCC2E761-7EDB-4227-A85C-DDC7184409AF}"/>
  <tableColumns count="6">
    <tableColumn id="1" xr3:uid="{FF1DBC2D-D6EA-47E0-9253-0394DF3401A6}" name="Numero de Medição" totalsRowLabel="Total" dataDxfId="20" totalsRowDxfId="19"/>
    <tableColumn id="2" xr3:uid="{E8262805-4EA5-4DDE-9F58-1568CDE64B65}" name="V (V)" dataDxfId="18" totalsRowDxfId="17"/>
    <tableColumn id="5" xr3:uid="{A83FC60C-ADB5-4B27-B59A-4BF99A9A0315}" name="u(V)" dataDxfId="16" totalsRowDxfId="15"/>
    <tableColumn id="3" xr3:uid="{4DCE768E-96BA-4F88-9C29-8BC5D79A7E60}" name="I (A)" dataDxfId="14" totalsRowDxfId="13"/>
    <tableColumn id="6" xr3:uid="{FB7AB7EF-F243-4E85-AE65-90CC109B64B6}" name="u(I)" dataDxfId="12" totalsRowDxfId="11"/>
    <tableColumn id="4" xr3:uid="{DC14564C-AA8B-4953-90CB-3874FB98E31D}" name="R (Ω)" totalsRowFunction="count" dataDxfId="10" totalsRowDxfId="9">
      <calculatedColumnFormula>B128/D128</calculatedColumnFormula>
    </tableColumn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03218-B9C9-404B-9527-BE511EBEF28A}">
  <we:reference id="wa104379190" version="2.0.0.0" store="pt-PT" storeType="OMEX"/>
  <we:alternateReferences>
    <we:reference id="wa104379190" version="2.0.0.0" store="WA104379190" storeType="OMEX"/>
  </we:alternateReferences>
  <we:properties/>
  <we:bindings>
    <we:binding id="RangeSelect" type="matrix" appref="{EBF7A827-4287-4B11-A03D-8B56046FE39E}"/>
    <we:binding id="InputY" type="matrix" appref="{EF659F33-B27D-477A-BED5-49EA59CEFAD8}"/>
    <we:binding id="InputX" type="matrix" appref="{1FAC1EA7-7C57-444F-A795-D14AD7B737CD}"/>
    <we:binding id="Output" type="matrix" appref="{5BE6B1A2-8B0E-4A4B-89F6-D17106E225D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EA2-7506-43DA-BD0E-18E2DA668FCC}">
  <dimension ref="A2:X146"/>
  <sheetViews>
    <sheetView tabSelected="1" topLeftCell="A22" zoomScaleNormal="100" workbookViewId="0">
      <selection activeCell="U36" sqref="U36:X47"/>
    </sheetView>
  </sheetViews>
  <sheetFormatPr defaultRowHeight="14.4" x14ac:dyDescent="0.3"/>
  <cols>
    <col min="1" max="1" width="17.6640625" customWidth="1"/>
    <col min="2" max="2" width="11" customWidth="1"/>
    <col min="3" max="3" width="10" customWidth="1"/>
    <col min="4" max="4" width="14.5546875" customWidth="1"/>
    <col min="5" max="5" width="9.33203125" bestFit="1" customWidth="1"/>
    <col min="6" max="6" width="11.88671875" bestFit="1" customWidth="1"/>
    <col min="7" max="8" width="9.21875" style="1" customWidth="1"/>
    <col min="23" max="23" width="11.21875" customWidth="1"/>
    <col min="24" max="24" width="10.6640625" customWidth="1"/>
  </cols>
  <sheetData>
    <row r="2" spans="1:23" x14ac:dyDescent="0.3">
      <c r="A2" s="17" t="s">
        <v>10</v>
      </c>
      <c r="B2" s="17"/>
      <c r="C2" s="17"/>
      <c r="D2" s="17"/>
      <c r="E2" s="17"/>
      <c r="F2" s="17"/>
      <c r="G2" s="17"/>
      <c r="H2" s="17"/>
      <c r="T2" s="24" t="s">
        <v>3</v>
      </c>
      <c r="U2" s="24"/>
      <c r="V2" s="24"/>
      <c r="W2" s="25">
        <v>0.01</v>
      </c>
    </row>
    <row r="3" spans="1:23" x14ac:dyDescent="0.3">
      <c r="A3" s="1" t="s">
        <v>1</v>
      </c>
      <c r="B3" s="9" t="s">
        <v>16</v>
      </c>
      <c r="C3" s="9" t="s">
        <v>17</v>
      </c>
      <c r="D3" s="9" t="s">
        <v>19</v>
      </c>
      <c r="E3" s="9" t="s">
        <v>18</v>
      </c>
      <c r="F3" s="9" t="s">
        <v>20</v>
      </c>
      <c r="G3" s="9" t="s">
        <v>29</v>
      </c>
      <c r="H3" s="9" t="s">
        <v>30</v>
      </c>
      <c r="I3" s="1"/>
      <c r="J3" s="23" t="s">
        <v>31</v>
      </c>
      <c r="K3" s="23"/>
      <c r="T3" s="24" t="s">
        <v>27</v>
      </c>
      <c r="U3" s="24"/>
      <c r="V3" s="24"/>
      <c r="W3" s="25">
        <v>9.9999999999999995E-8</v>
      </c>
    </row>
    <row r="4" spans="1:23" x14ac:dyDescent="0.3">
      <c r="A4" s="9">
        <v>1</v>
      </c>
      <c r="B4" s="2">
        <v>0.72</v>
      </c>
      <c r="C4" s="5">
        <v>0.01</v>
      </c>
      <c r="D4" s="5">
        <v>1.5375E-3</v>
      </c>
      <c r="E4" s="5">
        <v>9.9999999999999995E-8</v>
      </c>
      <c r="F4" s="5">
        <f>B4/D4</f>
        <v>468.29268292682923</v>
      </c>
      <c r="G4" s="2">
        <f>$J$4*Tabela5[[#This Row],[I (A)]]+$K$4</f>
        <v>0.71857019412600598</v>
      </c>
      <c r="H4" s="2">
        <f>Tabela5[[#This Row],[V (V)]]-Tabela5[[#This Row],[Fit]]</f>
        <v>1.4298058739939945E-3</v>
      </c>
      <c r="I4" s="1"/>
      <c r="J4" s="20" cm="1">
        <f t="array" ref="J4:K8">LINEST(Tabela5[V (V)],Tabela5[I (A)],TRUE,TRUE)</f>
        <v>464.23921468327922</v>
      </c>
      <c r="K4" s="20">
        <v>4.8024015504641859E-3</v>
      </c>
      <c r="T4" s="29"/>
      <c r="U4" s="30"/>
      <c r="V4" s="30"/>
      <c r="W4" s="31"/>
    </row>
    <row r="5" spans="1:23" x14ac:dyDescent="0.3">
      <c r="A5" s="9">
        <v>2</v>
      </c>
      <c r="B5" s="2">
        <v>1</v>
      </c>
      <c r="C5" s="5">
        <v>0.01</v>
      </c>
      <c r="D5" s="5">
        <v>2.1234000000000001E-3</v>
      </c>
      <c r="E5" s="5">
        <v>9.9999999999999995E-8</v>
      </c>
      <c r="F5" s="5">
        <f>B5/D5</f>
        <v>470.94282754073652</v>
      </c>
      <c r="G5" s="2">
        <f>$J$4*Tabela5[[#This Row],[I (A)]]+$K$4</f>
        <v>0.99056795000893927</v>
      </c>
      <c r="H5" s="2">
        <f>Tabela5[[#This Row],[V (V)]]-Tabela5[[#This Row],[Fit]]</f>
        <v>9.4320499910607314E-3</v>
      </c>
      <c r="I5" s="1"/>
      <c r="J5" s="20">
        <v>3.8006521695006943</v>
      </c>
      <c r="K5" s="20">
        <v>3.6662496657451686E-2</v>
      </c>
      <c r="T5" s="24" t="s">
        <v>25</v>
      </c>
      <c r="U5" s="24"/>
      <c r="V5" s="24"/>
      <c r="W5" s="25">
        <v>470</v>
      </c>
    </row>
    <row r="6" spans="1:23" x14ac:dyDescent="0.3">
      <c r="A6" s="9">
        <v>3</v>
      </c>
      <c r="B6" s="2">
        <v>1.5</v>
      </c>
      <c r="C6" s="5">
        <v>0.01</v>
      </c>
      <c r="D6" s="5">
        <v>3.2039999999999998E-3</v>
      </c>
      <c r="E6" s="5">
        <v>9.9999999999999995E-8</v>
      </c>
      <c r="F6" s="5">
        <f>B6/D6</f>
        <v>468.16479400749068</v>
      </c>
      <c r="G6" s="2">
        <f>$J$4*Tabela5[[#This Row],[I (A)]]+$K$4</f>
        <v>1.4922248453956908</v>
      </c>
      <c r="H6" s="2">
        <f>Tabela5[[#This Row],[V (V)]]-Tabela5[[#This Row],[Fit]]</f>
        <v>7.7751546043092201E-3</v>
      </c>
      <c r="I6" s="1"/>
      <c r="J6" s="20">
        <v>0.99912944199347653</v>
      </c>
      <c r="K6" s="20">
        <v>6.6989062946331016E-2</v>
      </c>
      <c r="T6" s="29"/>
      <c r="U6" s="30"/>
      <c r="V6" s="30"/>
      <c r="W6" s="31"/>
    </row>
    <row r="7" spans="1:23" x14ac:dyDescent="0.3">
      <c r="A7" s="9">
        <v>4</v>
      </c>
      <c r="B7" s="2">
        <v>2</v>
      </c>
      <c r="C7" s="5">
        <v>0.01</v>
      </c>
      <c r="D7" s="5">
        <v>4.2433999999999996E-3</v>
      </c>
      <c r="E7" s="5">
        <v>9.9999999999999995E-8</v>
      </c>
      <c r="F7" s="5">
        <f>B7/D7</f>
        <v>471.32016778997979</v>
      </c>
      <c r="G7" s="2">
        <f>$J$4*Tabela5[[#This Row],[I (A)]]+$K$4</f>
        <v>1.9747550851374911</v>
      </c>
      <c r="H7" s="2">
        <f>Tabela5[[#This Row],[V (V)]]-Tabela5[[#This Row],[Fit]]</f>
        <v>2.5244914862508905E-2</v>
      </c>
      <c r="I7" s="1"/>
      <c r="J7" s="20">
        <v>14919.950937885862</v>
      </c>
      <c r="K7" s="20">
        <v>13</v>
      </c>
      <c r="L7" s="1"/>
      <c r="M7" s="1"/>
      <c r="N7" s="1"/>
      <c r="O7" s="3"/>
      <c r="P7" s="9"/>
      <c r="Q7" s="3"/>
      <c r="R7" s="3"/>
      <c r="S7" s="3"/>
      <c r="T7" s="24" t="s">
        <v>4</v>
      </c>
      <c r="U7" s="24"/>
      <c r="V7" s="24"/>
      <c r="W7" s="25">
        <f>SQRT(((1/D20)*B22)^2+(-(B20/(D20^2))*D22)^2)</f>
        <v>115.08094791750561</v>
      </c>
    </row>
    <row r="8" spans="1:23" x14ac:dyDescent="0.3">
      <c r="A8" s="9">
        <v>5</v>
      </c>
      <c r="B8" s="2">
        <v>2.4500000000000002</v>
      </c>
      <c r="C8" s="5">
        <v>0.01</v>
      </c>
      <c r="D8" s="5">
        <v>5.2564999999999999E-3</v>
      </c>
      <c r="E8" s="5">
        <v>9.9999999999999995E-8</v>
      </c>
      <c r="F8" s="5">
        <f>B8/D8</f>
        <v>466.08960334823558</v>
      </c>
      <c r="G8" s="2">
        <f>$J$4*Tabela5[[#This Row],[I (A)]]+$K$4</f>
        <v>2.4450758335331213</v>
      </c>
      <c r="H8" s="2">
        <f>Tabela5[[#This Row],[V (V)]]-Tabela5[[#This Row],[Fit]]</f>
        <v>4.9241664668788765E-3</v>
      </c>
      <c r="I8" s="1"/>
      <c r="J8" s="20">
        <v>66.953795384125769</v>
      </c>
      <c r="K8" s="20">
        <v>5.8337949207557478E-2</v>
      </c>
      <c r="L8" s="1"/>
      <c r="M8" s="1"/>
      <c r="N8" s="1"/>
      <c r="T8" s="29"/>
      <c r="U8" s="30"/>
      <c r="V8" s="30"/>
      <c r="W8" s="31"/>
    </row>
    <row r="9" spans="1:23" x14ac:dyDescent="0.3">
      <c r="A9" s="9">
        <v>6</v>
      </c>
      <c r="B9" s="2">
        <v>2.92</v>
      </c>
      <c r="C9" s="5">
        <v>0.01</v>
      </c>
      <c r="D9" s="5">
        <v>6.2399999999999999E-3</v>
      </c>
      <c r="E9" s="5">
        <v>9.9999999999999995E-8</v>
      </c>
      <c r="F9" s="5">
        <f>B9/D9</f>
        <v>467.94871794871796</v>
      </c>
      <c r="G9" s="2">
        <f>$J$4*Tabela5[[#This Row],[I (A)]]+$K$4</f>
        <v>2.9016551011741263</v>
      </c>
      <c r="H9" s="2">
        <f>Tabela5[[#This Row],[V (V)]]-Tabela5[[#This Row],[Fit]]</f>
        <v>1.8344898825873646E-2</v>
      </c>
      <c r="I9" s="1"/>
      <c r="J9" s="1"/>
      <c r="K9" s="4"/>
      <c r="L9" s="1"/>
      <c r="M9" s="1"/>
      <c r="N9" s="1"/>
      <c r="T9" s="24" t="s">
        <v>22</v>
      </c>
      <c r="U9" s="24"/>
      <c r="V9" s="24"/>
      <c r="W9" s="25">
        <f>SLOPE(Tabela5[V (V)],Tabela5[I (A)])</f>
        <v>464.23921468327904</v>
      </c>
    </row>
    <row r="10" spans="1:23" x14ac:dyDescent="0.3">
      <c r="A10" s="9">
        <v>7</v>
      </c>
      <c r="B10" s="2">
        <v>3.4</v>
      </c>
      <c r="C10" s="5">
        <v>0.01</v>
      </c>
      <c r="D10" s="5">
        <v>7.2886000000000001E-3</v>
      </c>
      <c r="E10" s="5">
        <v>9.9999999999999995E-8</v>
      </c>
      <c r="F10" s="5">
        <f>B10/D10</f>
        <v>466.48190324616525</v>
      </c>
      <c r="G10" s="2">
        <f>$J$4*Tabela5[[#This Row],[I (A)]]+$K$4</f>
        <v>3.388456341691013</v>
      </c>
      <c r="H10" s="2">
        <f>Tabela5[[#This Row],[V (V)]]-Tabela5[[#This Row],[Fit]]</f>
        <v>1.1543658308986959E-2</v>
      </c>
      <c r="I10" s="1"/>
      <c r="J10" s="1"/>
      <c r="K10" s="4"/>
      <c r="T10" s="29"/>
      <c r="U10" s="30"/>
      <c r="V10" s="30"/>
      <c r="W10" s="31"/>
    </row>
    <row r="11" spans="1:23" x14ac:dyDescent="0.3">
      <c r="A11" s="9">
        <v>8</v>
      </c>
      <c r="B11" s="2">
        <v>3.87</v>
      </c>
      <c r="C11" s="5">
        <v>0.01</v>
      </c>
      <c r="D11" s="5">
        <v>8.2874999999999997E-3</v>
      </c>
      <c r="E11" s="5">
        <v>9.9999999999999995E-8</v>
      </c>
      <c r="F11" s="5">
        <f>B11/D11</f>
        <v>466.96832579185525</v>
      </c>
      <c r="G11" s="2">
        <f>$J$4*Tabela5[[#This Row],[I (A)]]+$K$4</f>
        <v>3.8521848932381406</v>
      </c>
      <c r="H11" s="2">
        <f>Tabela5[[#This Row],[V (V)]]-Tabela5[[#This Row],[Fit]]</f>
        <v>1.7815106761859489E-2</v>
      </c>
      <c r="I11" s="1"/>
      <c r="J11" s="1"/>
      <c r="K11" s="4"/>
      <c r="T11" s="24" t="s">
        <v>23</v>
      </c>
      <c r="U11" s="24"/>
      <c r="V11" s="24"/>
      <c r="W11" s="26">
        <f>ABS((W5-W9)/W5)</f>
        <v>1.2256990035576501E-2</v>
      </c>
    </row>
    <row r="12" spans="1:23" x14ac:dyDescent="0.3">
      <c r="A12" s="9">
        <v>9</v>
      </c>
      <c r="B12" s="2">
        <v>4.41</v>
      </c>
      <c r="C12" s="5">
        <v>0.01</v>
      </c>
      <c r="D12" s="5">
        <v>9.9865000000000006E-3</v>
      </c>
      <c r="E12" s="5">
        <v>9.9999999999999995E-8</v>
      </c>
      <c r="F12" s="5">
        <f>B12/D12</f>
        <v>441.59615480899214</v>
      </c>
      <c r="G12" s="2">
        <f>$J$4*Tabela5[[#This Row],[I (A)]]+$K$4</f>
        <v>4.6409273189850317</v>
      </c>
      <c r="H12" s="2">
        <f>Tabela5[[#This Row],[V (V)]]-Tabela5[[#This Row],[Fit]]</f>
        <v>-0.2309273189850316</v>
      </c>
      <c r="I12" s="1"/>
      <c r="J12" s="1"/>
      <c r="K12" s="4"/>
      <c r="T12" s="27" t="s">
        <v>24</v>
      </c>
      <c r="U12" s="27"/>
      <c r="V12" s="27"/>
      <c r="W12" s="28">
        <f>ABS((W5-F20)/W5)</f>
        <v>9.1024993524850759E-3</v>
      </c>
    </row>
    <row r="13" spans="1:23" x14ac:dyDescent="0.3">
      <c r="A13" s="9">
        <v>10</v>
      </c>
      <c r="B13" s="2">
        <v>4.8600000000000003</v>
      </c>
      <c r="C13" s="5">
        <v>0.01</v>
      </c>
      <c r="D13" s="5">
        <v>1.04273E-2</v>
      </c>
      <c r="E13" s="5">
        <v>9.9999999999999995E-8</v>
      </c>
      <c r="F13" s="5">
        <f>B13/D13</f>
        <v>466.08422122697152</v>
      </c>
      <c r="G13" s="2">
        <f>$J$4*Tabela5[[#This Row],[I (A)]]+$K$4</f>
        <v>4.8455639648174209</v>
      </c>
      <c r="H13" s="2">
        <f>Tabela5[[#This Row],[V (V)]]-Tabela5[[#This Row],[Fit]]</f>
        <v>1.443603518257941E-2</v>
      </c>
      <c r="I13" s="1"/>
      <c r="J13" s="1"/>
      <c r="K13" s="4"/>
      <c r="T13" s="32"/>
      <c r="U13" s="32"/>
      <c r="V13" s="32"/>
      <c r="W13" s="32"/>
    </row>
    <row r="14" spans="1:23" x14ac:dyDescent="0.3">
      <c r="A14" s="9">
        <v>11</v>
      </c>
      <c r="B14" s="2">
        <v>5.41</v>
      </c>
      <c r="C14" s="5">
        <v>0.01</v>
      </c>
      <c r="D14" s="5">
        <v>1.1560000000000001E-2</v>
      </c>
      <c r="E14" s="5">
        <v>4.0000000000000003E-5</v>
      </c>
      <c r="F14" s="5">
        <f>B14/D14</f>
        <v>467.99307958477505</v>
      </c>
      <c r="G14" s="2">
        <f>$J$4*Tabela5[[#This Row],[I (A)]]+$K$4</f>
        <v>5.3714077232891722</v>
      </c>
      <c r="H14" s="2">
        <f>Tabela5[[#This Row],[V (V)]]-Tabela5[[#This Row],[Fit]]</f>
        <v>3.8592276710827988E-2</v>
      </c>
      <c r="I14" s="1"/>
      <c r="J14" s="1"/>
      <c r="K14" s="4"/>
    </row>
    <row r="15" spans="1:23" x14ac:dyDescent="0.3">
      <c r="A15" s="9">
        <v>12</v>
      </c>
      <c r="B15" s="2">
        <v>5.95</v>
      </c>
      <c r="C15" s="5">
        <v>0.01</v>
      </c>
      <c r="D15" s="5">
        <v>1.2766E-2</v>
      </c>
      <c r="E15" s="5">
        <v>9.9999999999999995E-7</v>
      </c>
      <c r="F15" s="5">
        <f>B15/D15</f>
        <v>466.08177972740094</v>
      </c>
      <c r="G15" s="2">
        <f>$J$4*Tabela5[[#This Row],[I (A)]]+$K$4</f>
        <v>5.9312802161972069</v>
      </c>
      <c r="H15" s="2">
        <f>Tabela5[[#This Row],[V (V)]]-Tabela5[[#This Row],[Fit]]</f>
        <v>1.8719783802793266E-2</v>
      </c>
      <c r="I15" s="1"/>
      <c r="J15" s="1"/>
      <c r="K15" s="4"/>
    </row>
    <row r="16" spans="1:23" x14ac:dyDescent="0.3">
      <c r="A16" s="9">
        <v>13</v>
      </c>
      <c r="B16" s="2">
        <v>6.43</v>
      </c>
      <c r="C16" s="5">
        <v>0.01</v>
      </c>
      <c r="D16" s="5">
        <v>1.3806000000000001E-2</v>
      </c>
      <c r="E16" s="5" t="s">
        <v>21</v>
      </c>
      <c r="F16" s="5">
        <f>B16/D16</f>
        <v>465.73953353614365</v>
      </c>
      <c r="G16" s="2">
        <f>$J$4*Tabela5[[#This Row],[I (A)]]+$K$4</f>
        <v>6.4140889994678165</v>
      </c>
      <c r="H16" s="2">
        <f>Tabela5[[#This Row],[V (V)]]-Tabela5[[#This Row],[Fit]]</f>
        <v>1.5911000532183195E-2</v>
      </c>
      <c r="I16" s="1"/>
      <c r="J16" s="1"/>
      <c r="K16" s="4"/>
    </row>
    <row r="17" spans="1:15" x14ac:dyDescent="0.3">
      <c r="A17" s="9">
        <v>14</v>
      </c>
      <c r="B17" s="2">
        <v>6.93</v>
      </c>
      <c r="C17" s="5">
        <v>0.01</v>
      </c>
      <c r="D17" s="5">
        <v>1.4873000000000001E-2</v>
      </c>
      <c r="E17" s="5">
        <v>3.0000000000000001E-6</v>
      </c>
      <c r="F17" s="5">
        <f>B17/D17</f>
        <v>465.9450010085389</v>
      </c>
      <c r="G17" s="2">
        <f>$J$4*Tabela5[[#This Row],[I (A)]]+$K$4</f>
        <v>6.9094322415348763</v>
      </c>
      <c r="H17" s="2">
        <f>Tabela5[[#This Row],[V (V)]]-Tabela5[[#This Row],[Fit]]</f>
        <v>2.0567758465123376E-2</v>
      </c>
      <c r="I17" s="1"/>
      <c r="J17" s="1"/>
      <c r="K17" s="4"/>
    </row>
    <row r="18" spans="1:15" x14ac:dyDescent="0.3">
      <c r="A18" s="9">
        <v>15</v>
      </c>
      <c r="B18" s="2">
        <v>7.45</v>
      </c>
      <c r="C18" s="5">
        <v>0.01</v>
      </c>
      <c r="D18" s="5">
        <v>1.5980999999999999E-2</v>
      </c>
      <c r="E18" s="5">
        <v>9.9999999999999995E-7</v>
      </c>
      <c r="F18" s="5">
        <f>B18/D18</f>
        <v>466.17858707214822</v>
      </c>
      <c r="G18" s="2">
        <f>$J$4*Tabela5[[#This Row],[I (A)]]+$K$4</f>
        <v>7.4238092914039484</v>
      </c>
      <c r="H18" s="2">
        <f>Tabela5[[#This Row],[V (V)]]-Tabela5[[#This Row],[Fit]]</f>
        <v>2.619070859605177E-2</v>
      </c>
      <c r="I18" s="1"/>
      <c r="J18" s="1"/>
      <c r="K18" s="4"/>
    </row>
    <row r="19" spans="1:15" x14ac:dyDescent="0.3">
      <c r="A19" s="1"/>
      <c r="B19" s="1"/>
      <c r="C19" s="1"/>
      <c r="D19" s="1"/>
      <c r="E19" s="1"/>
    </row>
    <row r="20" spans="1:15" x14ac:dyDescent="0.3">
      <c r="A20" s="18" t="s">
        <v>6</v>
      </c>
      <c r="B20" s="19">
        <f>AVERAGE(B4:B18)</f>
        <v>3.9533333333333336</v>
      </c>
      <c r="C20" s="20"/>
      <c r="D20" s="21">
        <f>AVERAGE(D4:D18)</f>
        <v>8.5053799999999999E-3</v>
      </c>
      <c r="E20" s="22"/>
      <c r="F20" s="21">
        <f>AVERAGE(F4:F18)</f>
        <v>465.72182530433201</v>
      </c>
    </row>
    <row r="21" spans="1:15" x14ac:dyDescent="0.3">
      <c r="A21" s="18" t="s">
        <v>7</v>
      </c>
      <c r="B21" s="19">
        <f>STDEVA(B4:B18)</f>
        <v>2.187825622023142</v>
      </c>
      <c r="C21" s="20"/>
      <c r="D21" s="21">
        <f>STDEVA(D4:D18)</f>
        <v>4.7106600023169333E-3</v>
      </c>
      <c r="E21" s="22"/>
      <c r="F21" s="21">
        <f>STDEVA(F4:F18)</f>
        <v>6.8978760942238413</v>
      </c>
    </row>
    <row r="22" spans="1:15" x14ac:dyDescent="0.3">
      <c r="A22" s="18" t="s">
        <v>8</v>
      </c>
      <c r="B22" s="19">
        <f>B21/SQRT(10)</f>
        <v>0.69185120888677698</v>
      </c>
      <c r="C22" s="20"/>
      <c r="D22" s="21">
        <f>D21/SQRT(10)</f>
        <v>1.4896414889975563E-3</v>
      </c>
      <c r="E22" s="22"/>
      <c r="F22" s="21">
        <f t="shared" ref="F22" si="0">F21/SQRT(10)</f>
        <v>2.1812999475373567</v>
      </c>
    </row>
    <row r="26" spans="1:15" x14ac:dyDescent="0.3">
      <c r="A26" s="17" t="s">
        <v>9</v>
      </c>
      <c r="B26" s="17"/>
      <c r="C26" s="17"/>
      <c r="D26" s="17"/>
      <c r="E26" s="17"/>
      <c r="F26" s="17"/>
    </row>
    <row r="27" spans="1:15" x14ac:dyDescent="0.3">
      <c r="A27" s="1" t="s">
        <v>1</v>
      </c>
      <c r="B27" s="1" t="s">
        <v>0</v>
      </c>
      <c r="C27" s="1" t="s">
        <v>17</v>
      </c>
      <c r="D27" s="1" t="s">
        <v>2</v>
      </c>
      <c r="E27" s="1" t="s">
        <v>18</v>
      </c>
      <c r="F27" s="1" t="s">
        <v>5</v>
      </c>
      <c r="I27" s="1"/>
    </row>
    <row r="28" spans="1:15" x14ac:dyDescent="0.3">
      <c r="A28" s="9">
        <v>1</v>
      </c>
      <c r="B28" s="2">
        <v>0.78</v>
      </c>
      <c r="C28" s="14">
        <v>1E-3</v>
      </c>
      <c r="D28" s="14">
        <v>8.0000000000000007E-5</v>
      </c>
      <c r="E28" s="14">
        <v>9.9999999999999995E-7</v>
      </c>
      <c r="F28" s="14">
        <f t="shared" ref="F28:F42" si="1">B28/D28</f>
        <v>9750</v>
      </c>
      <c r="I28" s="4"/>
    </row>
    <row r="29" spans="1:15" x14ac:dyDescent="0.3">
      <c r="A29" s="9">
        <v>2</v>
      </c>
      <c r="B29" s="2">
        <v>1.22</v>
      </c>
      <c r="C29" s="14">
        <v>1E-3</v>
      </c>
      <c r="D29" s="14">
        <v>1.2999999999999999E-4</v>
      </c>
      <c r="E29" s="14">
        <v>9.9999999999999995E-7</v>
      </c>
      <c r="F29" s="14">
        <f t="shared" si="1"/>
        <v>9384.6153846153848</v>
      </c>
      <c r="I29" s="4"/>
    </row>
    <row r="30" spans="1:15" x14ac:dyDescent="0.3">
      <c r="A30" s="9">
        <v>3</v>
      </c>
      <c r="B30" s="2">
        <v>2.36</v>
      </c>
      <c r="C30" s="14">
        <v>1E-3</v>
      </c>
      <c r="D30" s="14">
        <v>2.3699999999999999E-4</v>
      </c>
      <c r="E30" s="14">
        <v>9.9999999999999995E-7</v>
      </c>
      <c r="F30" s="14">
        <f t="shared" si="1"/>
        <v>9957.8059071729949</v>
      </c>
      <c r="I30" s="4"/>
    </row>
    <row r="31" spans="1:15" x14ac:dyDescent="0.3">
      <c r="A31" s="9">
        <v>4</v>
      </c>
      <c r="B31" s="2">
        <v>3.48</v>
      </c>
      <c r="C31" s="14">
        <v>1E-3</v>
      </c>
      <c r="D31" s="14">
        <v>3.48E-4</v>
      </c>
      <c r="E31" s="14">
        <v>9.9999999999999995E-7</v>
      </c>
      <c r="F31" s="14">
        <f t="shared" si="1"/>
        <v>10000</v>
      </c>
      <c r="I31" s="4"/>
      <c r="J31" s="1"/>
      <c r="K31" s="1"/>
      <c r="L31" s="1"/>
      <c r="M31" s="3"/>
      <c r="N31" s="9"/>
      <c r="O31" s="3"/>
    </row>
    <row r="32" spans="1:15" x14ac:dyDescent="0.3">
      <c r="A32" s="9">
        <v>5</v>
      </c>
      <c r="B32" s="2">
        <v>4.25</v>
      </c>
      <c r="C32" s="14">
        <v>1E-3</v>
      </c>
      <c r="D32" s="14">
        <v>4.2400000000000001E-4</v>
      </c>
      <c r="E32" s="14">
        <v>9.9999999999999995E-7</v>
      </c>
      <c r="F32" s="14">
        <f t="shared" si="1"/>
        <v>10023.584905660377</v>
      </c>
      <c r="I32" s="4"/>
      <c r="J32" s="1"/>
      <c r="K32" s="1"/>
      <c r="L32" s="1"/>
    </row>
    <row r="33" spans="1:24" x14ac:dyDescent="0.3">
      <c r="A33" s="9">
        <v>6</v>
      </c>
      <c r="B33" s="2">
        <v>5.34</v>
      </c>
      <c r="C33" s="14">
        <v>1E-3</v>
      </c>
      <c r="D33" s="14">
        <v>5.3700000000000004E-4</v>
      </c>
      <c r="E33" s="14">
        <v>9.9999999999999995E-7</v>
      </c>
      <c r="F33" s="14">
        <f t="shared" si="1"/>
        <v>9944.1340782122898</v>
      </c>
      <c r="I33" s="4"/>
      <c r="J33" s="1"/>
      <c r="K33" s="1"/>
      <c r="L33" s="1"/>
    </row>
    <row r="34" spans="1:24" x14ac:dyDescent="0.3">
      <c r="A34" s="9">
        <v>7</v>
      </c>
      <c r="B34" s="2">
        <v>5.99</v>
      </c>
      <c r="C34" s="14">
        <v>1E-3</v>
      </c>
      <c r="D34" s="14">
        <v>5.5999999999999995E-4</v>
      </c>
      <c r="E34" s="14">
        <v>9.9999999999999995E-7</v>
      </c>
      <c r="F34" s="14">
        <f t="shared" si="1"/>
        <v>10696.428571428572</v>
      </c>
      <c r="I34" s="4"/>
    </row>
    <row r="35" spans="1:24" x14ac:dyDescent="0.3">
      <c r="A35" s="9">
        <v>8</v>
      </c>
      <c r="B35" s="2">
        <v>6.81</v>
      </c>
      <c r="C35" s="14">
        <v>1E-3</v>
      </c>
      <c r="D35" s="14">
        <v>6.78E-4</v>
      </c>
      <c r="E35" s="14">
        <v>9.9999999999999995E-7</v>
      </c>
      <c r="F35" s="14">
        <f t="shared" si="1"/>
        <v>10044.247787610619</v>
      </c>
      <c r="I35" s="4"/>
    </row>
    <row r="36" spans="1:24" x14ac:dyDescent="0.3">
      <c r="A36" s="9">
        <v>9</v>
      </c>
      <c r="B36" s="2">
        <v>7.38</v>
      </c>
      <c r="C36" s="14">
        <v>1E-3</v>
      </c>
      <c r="D36" s="14">
        <v>7.3399999999999995E-4</v>
      </c>
      <c r="E36" s="14">
        <v>9.9999999999999995E-7</v>
      </c>
      <c r="F36" s="14">
        <f t="shared" si="1"/>
        <v>10054.49591280654</v>
      </c>
      <c r="I36" s="4"/>
      <c r="U36" s="1" t="s">
        <v>3</v>
      </c>
      <c r="V36" s="1"/>
      <c r="W36" s="1"/>
      <c r="X36" s="6">
        <v>0.01</v>
      </c>
    </row>
    <row r="37" spans="1:24" x14ac:dyDescent="0.3">
      <c r="A37" s="9">
        <v>10</v>
      </c>
      <c r="B37" s="2">
        <v>7.95</v>
      </c>
      <c r="C37" s="14">
        <v>1E-3</v>
      </c>
      <c r="D37" s="14">
        <v>7.9100000000000004E-4</v>
      </c>
      <c r="E37" s="14">
        <v>9.9999999999999995E-7</v>
      </c>
      <c r="F37" s="14">
        <f t="shared" si="1"/>
        <v>10050.568900126422</v>
      </c>
      <c r="I37" s="4"/>
      <c r="U37" s="1" t="s">
        <v>27</v>
      </c>
      <c r="V37" s="1"/>
      <c r="W37" s="1"/>
      <c r="X37" s="6">
        <v>9.9999999999999995E-7</v>
      </c>
    </row>
    <row r="38" spans="1:24" x14ac:dyDescent="0.3">
      <c r="A38" s="9">
        <v>11</v>
      </c>
      <c r="B38" s="2">
        <v>8.24</v>
      </c>
      <c r="C38" s="14">
        <v>1E-3</v>
      </c>
      <c r="D38" s="14">
        <v>8.1899999999999996E-4</v>
      </c>
      <c r="E38" s="14">
        <v>9.9999999999999995E-7</v>
      </c>
      <c r="F38" s="14">
        <f t="shared" si="1"/>
        <v>10061.050061050062</v>
      </c>
      <c r="I38" s="4"/>
      <c r="X38" s="6"/>
    </row>
    <row r="39" spans="1:24" x14ac:dyDescent="0.3">
      <c r="A39" s="9">
        <v>12</v>
      </c>
      <c r="B39" s="2">
        <v>8.9</v>
      </c>
      <c r="C39" s="14">
        <v>1E-3</v>
      </c>
      <c r="D39" s="14">
        <v>8.8500000000000004E-4</v>
      </c>
      <c r="E39" s="14">
        <v>9.9999999999999995E-7</v>
      </c>
      <c r="F39" s="14">
        <f t="shared" si="1"/>
        <v>10056.497175141243</v>
      </c>
      <c r="I39" s="4"/>
      <c r="X39" s="6"/>
    </row>
    <row r="40" spans="1:24" x14ac:dyDescent="0.3">
      <c r="A40" s="9">
        <v>13</v>
      </c>
      <c r="B40" s="2">
        <v>9.44</v>
      </c>
      <c r="C40" s="14">
        <v>1E-3</v>
      </c>
      <c r="D40" s="14">
        <v>9.3800000000000003E-4</v>
      </c>
      <c r="E40" s="14">
        <v>9.9999999999999995E-7</v>
      </c>
      <c r="F40" s="14">
        <f t="shared" si="1"/>
        <v>10063.965884861407</v>
      </c>
      <c r="I40" s="4"/>
      <c r="U40" s="1" t="s">
        <v>25</v>
      </c>
      <c r="V40" s="1"/>
      <c r="W40" s="1"/>
      <c r="X40" s="6">
        <v>10000</v>
      </c>
    </row>
    <row r="41" spans="1:24" x14ac:dyDescent="0.3">
      <c r="A41" s="9">
        <v>14</v>
      </c>
      <c r="B41" s="2">
        <v>9.77</v>
      </c>
      <c r="C41" s="14">
        <v>1E-3</v>
      </c>
      <c r="D41" s="14">
        <v>9.7099999999999997E-4</v>
      </c>
      <c r="E41" s="14">
        <v>9.9999999999999995E-7</v>
      </c>
      <c r="F41" s="14">
        <f t="shared" si="1"/>
        <v>10061.791967044284</v>
      </c>
      <c r="I41" s="4"/>
      <c r="X41" s="6"/>
    </row>
    <row r="42" spans="1:24" x14ac:dyDescent="0.3">
      <c r="A42" s="9">
        <v>15</v>
      </c>
      <c r="B42" s="2">
        <v>9.98</v>
      </c>
      <c r="C42" s="14">
        <v>1E-3</v>
      </c>
      <c r="D42" s="14">
        <v>9.9200000000000004E-4</v>
      </c>
      <c r="E42" s="14">
        <v>9.9999999999999995E-7</v>
      </c>
      <c r="F42" s="14">
        <f t="shared" si="1"/>
        <v>10060.483870967742</v>
      </c>
      <c r="I42" s="4"/>
      <c r="U42" s="1" t="s">
        <v>26</v>
      </c>
      <c r="V42" s="1"/>
      <c r="W42" s="1"/>
      <c r="X42" s="6">
        <f>SQRT(((1/D44)*B46)^2+(-(B44/(D44^2))*D46)^2)</f>
        <v>2275.6957077765142</v>
      </c>
    </row>
    <row r="43" spans="1:24" x14ac:dyDescent="0.3">
      <c r="A43" s="1"/>
      <c r="B43" s="1"/>
      <c r="C43" s="1"/>
      <c r="D43" s="1"/>
      <c r="E43" s="1"/>
      <c r="X43" s="6"/>
    </row>
    <row r="44" spans="1:24" x14ac:dyDescent="0.3">
      <c r="A44" s="9" t="s">
        <v>6</v>
      </c>
      <c r="B44" s="2">
        <f>AVERAGE(B28:B42)</f>
        <v>6.1260000000000003</v>
      </c>
      <c r="C44" s="2"/>
      <c r="D44" s="5">
        <f>AVERAGE(D28:D42)</f>
        <v>6.0826666666666663E-4</v>
      </c>
      <c r="E44" s="4"/>
      <c r="F44" s="5">
        <f>AVERAGE(F28:F42)</f>
        <v>10013.978027113197</v>
      </c>
      <c r="U44" s="1" t="s">
        <v>22</v>
      </c>
      <c r="V44" s="1"/>
      <c r="W44" s="1"/>
      <c r="X44" s="6">
        <f>SLOPE(Tabela513[Voltagem],Tabela513[Corrente Elétrica])</f>
        <v>10104.290262959435</v>
      </c>
    </row>
    <row r="45" spans="1:24" x14ac:dyDescent="0.3">
      <c r="A45" s="9" t="s">
        <v>7</v>
      </c>
      <c r="B45" s="2">
        <f>STDEVA(B28:B42)</f>
        <v>3.1010869062314277</v>
      </c>
      <c r="C45" s="2"/>
      <c r="D45" s="5">
        <f>STDEVA(D28:D42)</f>
        <v>3.0675128749681294E-4</v>
      </c>
      <c r="E45" s="4"/>
      <c r="F45" s="5">
        <f>STDEVA(F28:F42)</f>
        <v>261.13897472485797</v>
      </c>
      <c r="U45" s="1"/>
      <c r="V45" s="1"/>
      <c r="W45" s="1"/>
    </row>
    <row r="46" spans="1:24" x14ac:dyDescent="0.3">
      <c r="A46" s="9" t="s">
        <v>8</v>
      </c>
      <c r="B46" s="2">
        <f>B45/SQRT(10)</f>
        <v>0.98064978458163166</v>
      </c>
      <c r="C46" s="2"/>
      <c r="D46" s="5">
        <f t="shared" ref="D46:F46" si="2">D45/SQRT(10)</f>
        <v>9.7003274367905937E-5</v>
      </c>
      <c r="E46" s="4"/>
      <c r="F46" s="5">
        <f t="shared" si="2"/>
        <v>82.57939459716934</v>
      </c>
      <c r="U46" s="1" t="s">
        <v>23</v>
      </c>
      <c r="V46" s="1"/>
      <c r="W46" s="1"/>
      <c r="X46" s="10">
        <f>ABS((X40-X44)/X40)</f>
        <v>1.042902629594355E-2</v>
      </c>
    </row>
    <row r="47" spans="1:24" x14ac:dyDescent="0.3">
      <c r="U47" s="12" t="s">
        <v>24</v>
      </c>
      <c r="V47" s="12"/>
      <c r="W47" s="12"/>
      <c r="X47" s="11">
        <f>ABS((X40-F44)/X40)</f>
        <v>1.3978027113196732E-3</v>
      </c>
    </row>
    <row r="50" spans="1:24" x14ac:dyDescent="0.3">
      <c r="A50" s="17" t="s">
        <v>13</v>
      </c>
      <c r="B50" s="17"/>
      <c r="C50" s="17"/>
      <c r="D50" s="17"/>
      <c r="E50" s="17"/>
      <c r="F50" s="17"/>
    </row>
    <row r="51" spans="1:24" x14ac:dyDescent="0.3">
      <c r="A51" s="1" t="s">
        <v>1</v>
      </c>
      <c r="B51" s="9" t="s">
        <v>16</v>
      </c>
      <c r="C51" s="9" t="s">
        <v>17</v>
      </c>
      <c r="D51" s="9" t="s">
        <v>19</v>
      </c>
      <c r="E51" s="9" t="s">
        <v>18</v>
      </c>
      <c r="F51" s="9" t="s">
        <v>20</v>
      </c>
      <c r="I51" s="1"/>
      <c r="U51" s="1" t="s">
        <v>3</v>
      </c>
      <c r="V51" s="1"/>
      <c r="W51" s="1"/>
      <c r="X51" s="6">
        <v>0.01</v>
      </c>
    </row>
    <row r="52" spans="1:24" x14ac:dyDescent="0.3">
      <c r="A52" s="9">
        <v>1</v>
      </c>
      <c r="B52" s="2">
        <v>1.68</v>
      </c>
      <c r="C52" s="5">
        <v>0.01</v>
      </c>
      <c r="D52" s="5">
        <v>6.9999999999999997E-7</v>
      </c>
      <c r="E52" s="5">
        <v>1E-4</v>
      </c>
      <c r="F52" s="5">
        <f t="shared" ref="F52:F66" si="3">B52/D52</f>
        <v>2400000</v>
      </c>
      <c r="I52" s="4"/>
      <c r="U52" s="1" t="s">
        <v>27</v>
      </c>
      <c r="V52" s="1"/>
      <c r="W52" s="1"/>
      <c r="X52" s="6">
        <v>1E-4</v>
      </c>
    </row>
    <row r="53" spans="1:24" x14ac:dyDescent="0.3">
      <c r="A53" s="9">
        <v>2</v>
      </c>
      <c r="B53" s="2">
        <v>2.52</v>
      </c>
      <c r="C53" s="5">
        <v>0.01</v>
      </c>
      <c r="D53" s="5">
        <v>8.9999999999999996E-7</v>
      </c>
      <c r="E53" s="5">
        <v>1E-4</v>
      </c>
      <c r="F53" s="5">
        <f t="shared" si="3"/>
        <v>2800000</v>
      </c>
      <c r="I53" s="4"/>
      <c r="X53" s="6"/>
    </row>
    <row r="54" spans="1:24" x14ac:dyDescent="0.3">
      <c r="A54" s="9">
        <v>3</v>
      </c>
      <c r="B54" s="2">
        <v>2.91</v>
      </c>
      <c r="C54" s="5">
        <v>0.01</v>
      </c>
      <c r="D54" s="5">
        <v>9.9999999999999995E-7</v>
      </c>
      <c r="E54" s="5">
        <v>1E-4</v>
      </c>
      <c r="F54" s="5">
        <f t="shared" si="3"/>
        <v>2910000.0000000005</v>
      </c>
      <c r="I54" s="4"/>
      <c r="X54" s="6"/>
    </row>
    <row r="55" spans="1:24" x14ac:dyDescent="0.3">
      <c r="A55" s="9">
        <v>4</v>
      </c>
      <c r="B55" s="2">
        <v>3.6</v>
      </c>
      <c r="C55" s="5">
        <v>0.01</v>
      </c>
      <c r="D55" s="5">
        <v>1.1000000000000001E-6</v>
      </c>
      <c r="E55" s="5">
        <v>1E-4</v>
      </c>
      <c r="F55" s="5">
        <f t="shared" si="3"/>
        <v>3272727.2727272725</v>
      </c>
      <c r="I55" s="4"/>
      <c r="J55" s="1"/>
      <c r="K55" s="1"/>
      <c r="L55" s="1"/>
      <c r="M55" s="3"/>
      <c r="N55" s="9"/>
      <c r="O55" s="3"/>
      <c r="U55" s="1" t="s">
        <v>25</v>
      </c>
      <c r="V55" s="1"/>
      <c r="W55" s="1"/>
      <c r="X55" s="6">
        <v>6800000</v>
      </c>
    </row>
    <row r="56" spans="1:24" x14ac:dyDescent="0.3">
      <c r="A56" s="9">
        <v>5</v>
      </c>
      <c r="B56" s="2">
        <v>4.45</v>
      </c>
      <c r="C56" s="5">
        <v>0.01</v>
      </c>
      <c r="D56" s="5">
        <v>1.3E-6</v>
      </c>
      <c r="E56" s="5">
        <v>1E-4</v>
      </c>
      <c r="F56" s="5">
        <f t="shared" si="3"/>
        <v>3423076.923076923</v>
      </c>
      <c r="I56" s="4"/>
      <c r="J56" s="1"/>
      <c r="K56" s="1"/>
      <c r="L56" s="1"/>
      <c r="X56" s="6"/>
    </row>
    <row r="57" spans="1:24" x14ac:dyDescent="0.3">
      <c r="A57" s="9">
        <v>6</v>
      </c>
      <c r="B57" s="2">
        <v>4.95</v>
      </c>
      <c r="C57" s="5">
        <v>0.01</v>
      </c>
      <c r="D57" s="5">
        <v>1.3999999999999999E-6</v>
      </c>
      <c r="E57" s="5">
        <v>1E-4</v>
      </c>
      <c r="F57" s="5">
        <f t="shared" si="3"/>
        <v>3535714.2857142859</v>
      </c>
      <c r="I57" s="4"/>
      <c r="J57" s="1"/>
      <c r="K57" s="1"/>
      <c r="L57" s="1"/>
      <c r="U57" s="1" t="s">
        <v>4</v>
      </c>
      <c r="V57" s="1"/>
      <c r="W57" s="1"/>
      <c r="X57" s="6">
        <f>SQRT(((1/D68)*B70)^2+(-(B68/(D68^2))*D70)^2)</f>
        <v>641862.27200783929</v>
      </c>
    </row>
    <row r="58" spans="1:24" x14ac:dyDescent="0.3">
      <c r="A58" s="9">
        <v>7</v>
      </c>
      <c r="B58" s="2">
        <v>5.47</v>
      </c>
      <c r="C58" s="5">
        <v>0.01</v>
      </c>
      <c r="D58" s="5">
        <v>1.5999999999999999E-6</v>
      </c>
      <c r="E58" s="5">
        <v>1E-4</v>
      </c>
      <c r="F58" s="5">
        <f t="shared" si="3"/>
        <v>3418750</v>
      </c>
      <c r="I58" s="4"/>
      <c r="X58" s="6"/>
    </row>
    <row r="59" spans="1:24" x14ac:dyDescent="0.3">
      <c r="A59" s="9">
        <v>8</v>
      </c>
      <c r="B59" s="2">
        <v>5.98</v>
      </c>
      <c r="C59" s="5">
        <v>0.01</v>
      </c>
      <c r="D59" s="5">
        <v>1.7E-6</v>
      </c>
      <c r="E59" s="5">
        <v>1E-4</v>
      </c>
      <c r="F59" s="5">
        <f t="shared" si="3"/>
        <v>3517647.0588235296</v>
      </c>
      <c r="I59" s="4"/>
      <c r="U59" s="1" t="s">
        <v>22</v>
      </c>
      <c r="V59" s="1"/>
      <c r="W59" s="1"/>
      <c r="X59" s="6">
        <f>SLOPE(Tabela515[V (V)],Tabela515[I (A)])</f>
        <v>4175199.6242367299</v>
      </c>
    </row>
    <row r="60" spans="1:24" x14ac:dyDescent="0.3">
      <c r="A60" s="9">
        <v>9</v>
      </c>
      <c r="B60" s="2">
        <v>6.46</v>
      </c>
      <c r="C60" s="5">
        <v>0.01</v>
      </c>
      <c r="D60" s="5">
        <v>1.7999999999999999E-6</v>
      </c>
      <c r="E60" s="5">
        <v>1E-4</v>
      </c>
      <c r="F60" s="5">
        <f t="shared" si="3"/>
        <v>3588888.888888889</v>
      </c>
      <c r="I60" s="4"/>
      <c r="U60" s="1"/>
      <c r="V60" s="1"/>
      <c r="W60" s="1"/>
    </row>
    <row r="61" spans="1:24" x14ac:dyDescent="0.3">
      <c r="A61" s="9">
        <v>10</v>
      </c>
      <c r="B61" s="2">
        <v>7.16</v>
      </c>
      <c r="C61" s="5">
        <v>0.01</v>
      </c>
      <c r="D61" s="5">
        <v>1.9999999999999999E-6</v>
      </c>
      <c r="E61" s="5">
        <v>1E-4</v>
      </c>
      <c r="F61" s="5">
        <f t="shared" si="3"/>
        <v>3580000.0000000005</v>
      </c>
      <c r="I61" s="4"/>
      <c r="U61" s="1" t="s">
        <v>23</v>
      </c>
      <c r="V61" s="1"/>
      <c r="W61" s="1"/>
      <c r="X61" s="10">
        <f>((X55-X59)/X55)</f>
        <v>0.38600005525930442</v>
      </c>
    </row>
    <row r="62" spans="1:24" x14ac:dyDescent="0.3">
      <c r="A62" s="9">
        <v>11</v>
      </c>
      <c r="B62" s="2">
        <v>7.99</v>
      </c>
      <c r="C62" s="5">
        <v>0.01</v>
      </c>
      <c r="D62" s="5">
        <v>2.2000000000000001E-6</v>
      </c>
      <c r="E62" s="5">
        <v>1E-4</v>
      </c>
      <c r="F62" s="5">
        <f t="shared" si="3"/>
        <v>3631818.1818181816</v>
      </c>
      <c r="I62" s="4"/>
      <c r="U62" s="12" t="s">
        <v>24</v>
      </c>
      <c r="V62" s="12"/>
      <c r="W62" s="12"/>
      <c r="X62" s="11">
        <f>(X55-F68)/X55</f>
        <v>0.50075181452214323</v>
      </c>
    </row>
    <row r="63" spans="1:24" x14ac:dyDescent="0.3">
      <c r="A63" s="9">
        <v>12</v>
      </c>
      <c r="B63" s="2">
        <v>8.6999999999999993</v>
      </c>
      <c r="C63" s="5">
        <v>0.01</v>
      </c>
      <c r="D63" s="5">
        <v>2.3999999999999999E-6</v>
      </c>
      <c r="E63" s="5">
        <v>1E-4</v>
      </c>
      <c r="F63" s="5">
        <f t="shared" si="3"/>
        <v>3625000</v>
      </c>
      <c r="I63" s="4"/>
    </row>
    <row r="64" spans="1:24" x14ac:dyDescent="0.3">
      <c r="A64" s="9">
        <v>13</v>
      </c>
      <c r="B64" s="2">
        <v>9.15</v>
      </c>
      <c r="C64" s="5">
        <v>0.01</v>
      </c>
      <c r="D64" s="5">
        <v>2.5000000000000002E-6</v>
      </c>
      <c r="E64" s="5">
        <v>1E-4</v>
      </c>
      <c r="F64" s="5">
        <f t="shared" si="3"/>
        <v>3660000</v>
      </c>
      <c r="I64" s="4"/>
    </row>
    <row r="65" spans="1:24" x14ac:dyDescent="0.3">
      <c r="A65" s="9">
        <v>14</v>
      </c>
      <c r="B65" s="2">
        <v>9.3800000000000008</v>
      </c>
      <c r="C65" s="5">
        <v>0.01</v>
      </c>
      <c r="D65" s="5">
        <v>2.5000000000000002E-6</v>
      </c>
      <c r="E65" s="5">
        <v>1E-4</v>
      </c>
      <c r="F65" s="5">
        <f t="shared" si="3"/>
        <v>3752000</v>
      </c>
      <c r="I65" s="4"/>
    </row>
    <row r="66" spans="1:24" x14ac:dyDescent="0.3">
      <c r="A66" s="9">
        <v>15</v>
      </c>
      <c r="B66" s="2">
        <v>9.9</v>
      </c>
      <c r="C66" s="5">
        <v>0.01</v>
      </c>
      <c r="D66" s="5">
        <v>2.6000000000000001E-6</v>
      </c>
      <c r="E66" s="5">
        <v>1E-4</v>
      </c>
      <c r="F66" s="5">
        <f t="shared" si="3"/>
        <v>3807692.3076923075</v>
      </c>
      <c r="I66" s="4"/>
    </row>
    <row r="67" spans="1:24" x14ac:dyDescent="0.3">
      <c r="A67" s="1"/>
      <c r="B67" s="1"/>
      <c r="C67" s="1"/>
      <c r="D67" s="1"/>
      <c r="E67" s="1"/>
    </row>
    <row r="68" spans="1:24" x14ac:dyDescent="0.3">
      <c r="A68" s="9" t="s">
        <v>6</v>
      </c>
      <c r="B68" s="2">
        <f>AVERAGE(B52:B66)</f>
        <v>6.02</v>
      </c>
      <c r="D68" s="5">
        <f>AVERAGE(D52:D66)</f>
        <v>1.7133333333333332E-6</v>
      </c>
      <c r="E68" s="4"/>
      <c r="F68" s="5">
        <f>AVERAGE(F52:F66)</f>
        <v>3394887.6612494262</v>
      </c>
    </row>
    <row r="69" spans="1:24" x14ac:dyDescent="0.3">
      <c r="A69" s="9" t="s">
        <v>7</v>
      </c>
      <c r="B69" s="2">
        <f>STDEVA(B52:B66)</f>
        <v>2.66224126844818</v>
      </c>
      <c r="D69" s="5">
        <f>STDEVA(D52:D66)</f>
        <v>6.3680751371494486E-7</v>
      </c>
      <c r="E69" s="4"/>
      <c r="F69" s="5">
        <f>STDEVA(F52:F66)</f>
        <v>394535.0166596687</v>
      </c>
    </row>
    <row r="70" spans="1:24" x14ac:dyDescent="0.3">
      <c r="A70" s="9" t="s">
        <v>8</v>
      </c>
      <c r="B70" s="2">
        <f>B69/SQRT(10)</f>
        <v>0.84187460891920085</v>
      </c>
      <c r="D70" s="5">
        <f>D69/SQRT(10)</f>
        <v>2.0137621744481388E-7</v>
      </c>
      <c r="E70" s="4"/>
      <c r="F70" s="5">
        <f t="shared" ref="F70" si="4">F69/SQRT(10)</f>
        <v>124762.92693370297</v>
      </c>
    </row>
    <row r="74" spans="1:24" x14ac:dyDescent="0.3">
      <c r="A74" s="1" t="s">
        <v>11</v>
      </c>
      <c r="B74" s="1"/>
      <c r="C74" s="1"/>
      <c r="D74" s="1"/>
      <c r="E74" s="1"/>
      <c r="F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8" spans="1:24" x14ac:dyDescent="0.3">
      <c r="A78" s="17" t="s">
        <v>12</v>
      </c>
      <c r="B78" s="17"/>
      <c r="C78" s="17"/>
      <c r="D78" s="17"/>
      <c r="E78" s="17"/>
      <c r="F78" s="17"/>
    </row>
    <row r="79" spans="1:24" x14ac:dyDescent="0.3">
      <c r="A79" s="1" t="s">
        <v>1</v>
      </c>
      <c r="B79" s="1" t="s">
        <v>16</v>
      </c>
      <c r="C79" s="1" t="s">
        <v>17</v>
      </c>
      <c r="D79" s="1" t="s">
        <v>19</v>
      </c>
      <c r="E79" s="1" t="s">
        <v>18</v>
      </c>
      <c r="F79" s="1" t="s">
        <v>20</v>
      </c>
      <c r="I79" s="1"/>
      <c r="U79" s="1" t="s">
        <v>3</v>
      </c>
      <c r="V79" s="1"/>
      <c r="W79" s="1"/>
      <c r="X79" s="6">
        <v>0.01</v>
      </c>
    </row>
    <row r="80" spans="1:24" x14ac:dyDescent="0.3">
      <c r="A80" s="9">
        <v>1</v>
      </c>
      <c r="B80" s="2">
        <v>0.81</v>
      </c>
      <c r="C80" s="5">
        <v>0.01</v>
      </c>
      <c r="D80" s="5">
        <v>1.714E-3</v>
      </c>
      <c r="E80" s="5">
        <v>4.9999999999999998E-7</v>
      </c>
      <c r="F80" s="5">
        <f t="shared" ref="F80:F94" si="5">B80/D80</f>
        <v>472.57876312718787</v>
      </c>
      <c r="I80" s="4"/>
      <c r="U80" s="1" t="s">
        <v>27</v>
      </c>
      <c r="V80" s="1"/>
      <c r="W80" s="1"/>
      <c r="X80" s="6">
        <v>9.9999999999999995E-7</v>
      </c>
    </row>
    <row r="81" spans="1:24" x14ac:dyDescent="0.3">
      <c r="A81" s="9">
        <v>2</v>
      </c>
      <c r="B81" s="2">
        <v>1.44</v>
      </c>
      <c r="C81" s="5">
        <v>0.01</v>
      </c>
      <c r="D81" s="5">
        <v>3.0699999999999998E-3</v>
      </c>
      <c r="E81" s="5">
        <v>5.0000000000000004E-6</v>
      </c>
      <c r="F81" s="5">
        <f t="shared" si="5"/>
        <v>469.05537459283391</v>
      </c>
      <c r="I81" s="4"/>
      <c r="X81" s="6"/>
    </row>
    <row r="82" spans="1:24" x14ac:dyDescent="0.3">
      <c r="A82" s="9">
        <v>3</v>
      </c>
      <c r="B82" s="2">
        <v>2.15</v>
      </c>
      <c r="C82" s="5">
        <v>0.01</v>
      </c>
      <c r="D82" s="5">
        <v>4.7404999999999999E-3</v>
      </c>
      <c r="E82" s="5">
        <v>1.55E-4</v>
      </c>
      <c r="F82" s="5">
        <f t="shared" si="5"/>
        <v>453.53865625988817</v>
      </c>
      <c r="I82" s="4"/>
      <c r="X82" s="6"/>
    </row>
    <row r="83" spans="1:24" x14ac:dyDescent="0.3">
      <c r="A83" s="9">
        <v>4</v>
      </c>
      <c r="B83" s="2">
        <v>3.06</v>
      </c>
      <c r="C83" s="5">
        <v>0.01</v>
      </c>
      <c r="D83" s="5">
        <v>6.5395000000000002E-3</v>
      </c>
      <c r="E83" s="5">
        <v>6.0000000000000002E-6</v>
      </c>
      <c r="F83" s="5">
        <f t="shared" si="5"/>
        <v>467.92568239162017</v>
      </c>
      <c r="I83" s="4"/>
      <c r="J83" s="1"/>
      <c r="K83" s="1"/>
      <c r="L83" s="1"/>
      <c r="M83" s="3"/>
      <c r="N83" s="9"/>
      <c r="O83" s="3"/>
      <c r="U83" s="1" t="s">
        <v>25</v>
      </c>
      <c r="V83" s="1"/>
      <c r="W83" s="1"/>
      <c r="X83" s="6">
        <v>470</v>
      </c>
    </row>
    <row r="84" spans="1:24" x14ac:dyDescent="0.3">
      <c r="A84" s="9">
        <v>5</v>
      </c>
      <c r="B84" s="2">
        <v>3.68</v>
      </c>
      <c r="C84" s="5">
        <v>0.01</v>
      </c>
      <c r="D84" s="5">
        <v>7.8584999999999992E-3</v>
      </c>
      <c r="E84" s="5">
        <v>6.9999999999999999E-6</v>
      </c>
      <c r="F84" s="5">
        <f t="shared" si="5"/>
        <v>468.28275116116316</v>
      </c>
      <c r="I84" s="4"/>
      <c r="J84" s="1"/>
      <c r="K84" s="1"/>
      <c r="L84" s="1"/>
      <c r="X84" s="6"/>
    </row>
    <row r="85" spans="1:24" x14ac:dyDescent="0.3">
      <c r="A85" s="9">
        <v>6</v>
      </c>
      <c r="B85" s="2">
        <v>4.53</v>
      </c>
      <c r="C85" s="5">
        <v>0.01</v>
      </c>
      <c r="D85" s="5">
        <v>9.6395000000000005E-3</v>
      </c>
      <c r="E85" s="5">
        <v>6.0000000000000002E-6</v>
      </c>
      <c r="F85" s="5">
        <f t="shared" si="5"/>
        <v>469.94138700140047</v>
      </c>
      <c r="I85" s="4"/>
      <c r="J85" s="1"/>
      <c r="K85" s="1"/>
      <c r="L85" s="1"/>
      <c r="U85" s="1" t="s">
        <v>4</v>
      </c>
      <c r="V85" s="1"/>
      <c r="W85" s="1"/>
      <c r="X85" s="6">
        <f>SQRT(((1/D96)*B98)^2+(-(B96/(D96^2))*D98)^2)</f>
        <v>110.53496611955116</v>
      </c>
    </row>
    <row r="86" spans="1:24" x14ac:dyDescent="0.3">
      <c r="A86" s="9">
        <v>7</v>
      </c>
      <c r="B86" s="2">
        <v>5.12</v>
      </c>
      <c r="C86" s="5">
        <v>0.01</v>
      </c>
      <c r="D86" s="5">
        <v>1.0932000000000001E-2</v>
      </c>
      <c r="E86" s="5">
        <v>1.9999999999999999E-6</v>
      </c>
      <c r="F86" s="5">
        <f t="shared" si="5"/>
        <v>468.34979875594581</v>
      </c>
      <c r="I86" s="4"/>
      <c r="X86" s="6"/>
    </row>
    <row r="87" spans="1:24" x14ac:dyDescent="0.3">
      <c r="A87" s="9">
        <v>8</v>
      </c>
      <c r="B87" s="2">
        <v>5.93</v>
      </c>
      <c r="C87" s="5">
        <v>0.01</v>
      </c>
      <c r="D87" s="5">
        <v>1.2722499999999999E-2</v>
      </c>
      <c r="E87" s="5">
        <v>3.0000000000000001E-6</v>
      </c>
      <c r="F87" s="5">
        <f t="shared" si="5"/>
        <v>466.10336018864217</v>
      </c>
      <c r="I87" s="4"/>
      <c r="U87" s="1" t="s">
        <v>22</v>
      </c>
      <c r="V87" s="1"/>
      <c r="W87" s="1"/>
      <c r="X87" s="6">
        <f>SLOPE(Tabela516[V (V)],Tabela516[I (A)])</f>
        <v>465.55989729092471</v>
      </c>
    </row>
    <row r="88" spans="1:24" x14ac:dyDescent="0.3">
      <c r="A88" s="9">
        <v>9</v>
      </c>
      <c r="B88" s="2">
        <v>6.83</v>
      </c>
      <c r="C88" s="5">
        <v>0.01</v>
      </c>
      <c r="D88" s="5">
        <v>1.465E-2</v>
      </c>
      <c r="E88" s="5" t="s">
        <v>21</v>
      </c>
      <c r="F88" s="5">
        <f t="shared" si="5"/>
        <v>466.21160409556313</v>
      </c>
      <c r="I88" s="4"/>
      <c r="U88" s="1"/>
      <c r="V88" s="1"/>
      <c r="W88" s="1"/>
    </row>
    <row r="89" spans="1:24" x14ac:dyDescent="0.3">
      <c r="A89" s="9">
        <v>10</v>
      </c>
      <c r="B89" s="2">
        <v>7.14</v>
      </c>
      <c r="C89" s="5">
        <v>0.01</v>
      </c>
      <c r="D89" s="5">
        <v>1.5311999999999999E-2</v>
      </c>
      <c r="E89" s="5">
        <v>9.9999999999999995E-7</v>
      </c>
      <c r="F89" s="5">
        <f t="shared" si="5"/>
        <v>466.30094043887146</v>
      </c>
      <c r="I89" s="4"/>
      <c r="U89" s="1" t="s">
        <v>23</v>
      </c>
      <c r="V89" s="1"/>
      <c r="W89" s="1"/>
      <c r="X89" s="10">
        <f>((X83-X87)/X83)</f>
        <v>9.4470270405857242E-3</v>
      </c>
    </row>
    <row r="90" spans="1:24" x14ac:dyDescent="0.3">
      <c r="A90" s="9">
        <v>11</v>
      </c>
      <c r="B90" s="2">
        <v>7.96</v>
      </c>
      <c r="C90" s="5">
        <v>0.01</v>
      </c>
      <c r="D90" s="5">
        <v>1.7070999999999999E-2</v>
      </c>
      <c r="E90" s="5" t="s">
        <v>21</v>
      </c>
      <c r="F90" s="5">
        <f t="shared" si="5"/>
        <v>466.28785659891042</v>
      </c>
      <c r="I90" s="4"/>
      <c r="U90" s="12" t="s">
        <v>24</v>
      </c>
      <c r="V90" s="12"/>
      <c r="W90" s="12"/>
      <c r="X90" s="11">
        <f>ABS((X83-F96)/X83)</f>
        <v>7.4915092966851629E-3</v>
      </c>
    </row>
    <row r="91" spans="1:24" x14ac:dyDescent="0.3">
      <c r="A91" s="9">
        <v>12</v>
      </c>
      <c r="B91" s="2">
        <v>8.6300000000000008</v>
      </c>
      <c r="C91" s="5">
        <v>0.01</v>
      </c>
      <c r="D91" s="5">
        <v>1.8512500000000001E-2</v>
      </c>
      <c r="E91" s="5">
        <v>5.0000000000000004E-6</v>
      </c>
      <c r="F91" s="5">
        <f t="shared" si="5"/>
        <v>466.17150573936533</v>
      </c>
      <c r="I91" s="4"/>
    </row>
    <row r="92" spans="1:24" x14ac:dyDescent="0.3">
      <c r="A92" s="9">
        <v>13</v>
      </c>
      <c r="B92" s="2">
        <v>9.06</v>
      </c>
      <c r="C92" s="5">
        <v>0.01</v>
      </c>
      <c r="D92" s="5">
        <v>1.9453999999999999E-2</v>
      </c>
      <c r="E92" s="5">
        <v>3.9999999999999998E-6</v>
      </c>
      <c r="F92" s="5">
        <f t="shared" si="5"/>
        <v>465.71399198108361</v>
      </c>
      <c r="I92" s="4"/>
    </row>
    <row r="93" spans="1:24" x14ac:dyDescent="0.3">
      <c r="A93" s="9">
        <v>14</v>
      </c>
      <c r="B93" s="2">
        <v>9.49</v>
      </c>
      <c r="C93" s="5">
        <v>0.01</v>
      </c>
      <c r="D93" s="5">
        <v>2.0382000000000001E-2</v>
      </c>
      <c r="E93" s="5">
        <v>9.9999999999999995E-7</v>
      </c>
      <c r="F93" s="5">
        <f t="shared" si="5"/>
        <v>465.60690805612796</v>
      </c>
      <c r="I93" s="4"/>
    </row>
    <row r="94" spans="1:24" x14ac:dyDescent="0.3">
      <c r="A94" s="9">
        <v>15</v>
      </c>
      <c r="B94" s="2">
        <v>10</v>
      </c>
      <c r="C94" s="5">
        <v>0.01</v>
      </c>
      <c r="D94" s="5">
        <v>2.1499999999999998E-2</v>
      </c>
      <c r="E94" s="5">
        <v>9.9999999999999995E-7</v>
      </c>
      <c r="F94" s="5">
        <f t="shared" si="5"/>
        <v>465.11627906976747</v>
      </c>
      <c r="I94" s="4"/>
    </row>
    <row r="95" spans="1:24" x14ac:dyDescent="0.3">
      <c r="A95" s="1"/>
      <c r="B95" s="1"/>
      <c r="C95" s="1"/>
      <c r="D95" s="1"/>
      <c r="E95" s="1"/>
    </row>
    <row r="96" spans="1:24" x14ac:dyDescent="0.3">
      <c r="A96" s="9" t="s">
        <v>6</v>
      </c>
      <c r="B96" s="2">
        <f>AVERAGE(B80:B94)</f>
        <v>5.7219999999999995</v>
      </c>
      <c r="D96" s="5">
        <f>AVERAGE(D80:D94)</f>
        <v>1.2273200000000001E-2</v>
      </c>
      <c r="E96" s="4"/>
      <c r="F96" s="2">
        <f>AVERAGE(F80:F94)</f>
        <v>466.47899063055797</v>
      </c>
    </row>
    <row r="97" spans="1:24" x14ac:dyDescent="0.3">
      <c r="A97" s="9" t="s">
        <v>7</v>
      </c>
      <c r="B97" s="2">
        <f>STDEVA(B80:B94)</f>
        <v>3.031381580354787</v>
      </c>
      <c r="D97" s="5">
        <f>STDEVA(D80:D94)</f>
        <v>6.5110933737298335E-3</v>
      </c>
      <c r="E97" s="4"/>
      <c r="F97" s="2">
        <f>STDEVA(F80:F94)</f>
        <v>4.1032210501884805</v>
      </c>
    </row>
    <row r="98" spans="1:24" x14ac:dyDescent="0.3">
      <c r="A98" s="9" t="s">
        <v>8</v>
      </c>
      <c r="B98" s="2">
        <f>B97/SQRT(10)</f>
        <v>0.95860702510018592</v>
      </c>
      <c r="D98" s="5">
        <f>D97/SQRT(10)</f>
        <v>2.0589885119016217E-3</v>
      </c>
      <c r="E98" s="4"/>
      <c r="F98" s="2">
        <f t="shared" ref="F98" si="6">F97/SQRT(10)</f>
        <v>1.2975524261743667</v>
      </c>
    </row>
    <row r="101" spans="1:24" x14ac:dyDescent="0.3">
      <c r="I101" s="6"/>
    </row>
    <row r="102" spans="1:24" x14ac:dyDescent="0.3">
      <c r="A102" s="17" t="s">
        <v>14</v>
      </c>
      <c r="B102" s="17"/>
      <c r="C102" s="17"/>
      <c r="D102" s="17"/>
      <c r="E102" s="17"/>
      <c r="F102" s="17"/>
    </row>
    <row r="103" spans="1:24" x14ac:dyDescent="0.3">
      <c r="A103" s="1" t="s">
        <v>1</v>
      </c>
      <c r="B103" s="1" t="s">
        <v>16</v>
      </c>
      <c r="C103" s="1" t="s">
        <v>17</v>
      </c>
      <c r="D103" s="1" t="s">
        <v>19</v>
      </c>
      <c r="E103" s="1" t="s">
        <v>18</v>
      </c>
      <c r="F103" s="1" t="s">
        <v>20</v>
      </c>
      <c r="I103" s="1"/>
      <c r="U103" s="1" t="s">
        <v>3</v>
      </c>
      <c r="V103" s="1"/>
      <c r="W103" s="1"/>
      <c r="X103" s="16">
        <v>0.01</v>
      </c>
    </row>
    <row r="104" spans="1:24" x14ac:dyDescent="0.3">
      <c r="A104" s="9">
        <v>1</v>
      </c>
      <c r="B104" s="8">
        <v>0.77</v>
      </c>
      <c r="C104" s="7">
        <v>0.01</v>
      </c>
      <c r="D104" s="7">
        <v>7.7999999999999999E-5</v>
      </c>
      <c r="E104" s="7">
        <v>9.9999999999999995E-7</v>
      </c>
      <c r="F104" s="7">
        <f t="shared" ref="F104:F118" si="7">B104/D104</f>
        <v>9871.794871794873</v>
      </c>
      <c r="I104" s="4"/>
      <c r="U104" s="1" t="s">
        <v>27</v>
      </c>
      <c r="V104" s="1"/>
      <c r="W104" s="1"/>
      <c r="X104" s="6">
        <v>9.9999999999999995E-7</v>
      </c>
    </row>
    <row r="105" spans="1:24" x14ac:dyDescent="0.3">
      <c r="A105" s="9">
        <v>2</v>
      </c>
      <c r="B105" s="8">
        <v>1.48</v>
      </c>
      <c r="C105" s="15" t="s">
        <v>28</v>
      </c>
      <c r="D105" s="7">
        <v>1.46E-4</v>
      </c>
      <c r="E105" s="7">
        <v>9.9999999999999995E-7</v>
      </c>
      <c r="F105" s="7">
        <f t="shared" si="7"/>
        <v>10136.986301369863</v>
      </c>
      <c r="I105" s="4"/>
    </row>
    <row r="106" spans="1:24" x14ac:dyDescent="0.3">
      <c r="A106" s="9">
        <v>3</v>
      </c>
      <c r="B106" s="8">
        <v>1.81</v>
      </c>
      <c r="C106" s="7">
        <v>0.01</v>
      </c>
      <c r="D106" s="7">
        <v>1.7999999999999998E-4</v>
      </c>
      <c r="E106" s="7">
        <v>9.9999999999999995E-7</v>
      </c>
      <c r="F106" s="7">
        <f t="shared" si="7"/>
        <v>10055.555555555557</v>
      </c>
      <c r="I106" s="4"/>
    </row>
    <row r="107" spans="1:24" x14ac:dyDescent="0.3">
      <c r="A107" s="9">
        <v>4</v>
      </c>
      <c r="B107" s="8">
        <v>2.2799999999999998</v>
      </c>
      <c r="C107" s="7">
        <v>0.01</v>
      </c>
      <c r="D107" s="7">
        <v>2.2700000000000002E-4</v>
      </c>
      <c r="E107" s="7">
        <v>9.9999999999999995E-7</v>
      </c>
      <c r="F107" s="7">
        <f t="shared" si="7"/>
        <v>10044.052863436122</v>
      </c>
      <c r="I107" s="4"/>
      <c r="J107" s="1"/>
      <c r="K107" s="1"/>
      <c r="L107" s="1"/>
      <c r="M107" s="3"/>
      <c r="N107" s="9"/>
      <c r="O107" s="3"/>
      <c r="U107" s="1" t="s">
        <v>25</v>
      </c>
      <c r="V107" s="1"/>
      <c r="W107" s="1"/>
      <c r="X107" s="6">
        <v>10000</v>
      </c>
    </row>
    <row r="108" spans="1:24" x14ac:dyDescent="0.3">
      <c r="A108" s="9">
        <v>5</v>
      </c>
      <c r="B108" s="8">
        <v>2.74</v>
      </c>
      <c r="C108" s="7">
        <v>0.01</v>
      </c>
      <c r="D108" s="7">
        <v>2.7300000000000002E-4</v>
      </c>
      <c r="E108" s="7">
        <v>9.9999999999999995E-7</v>
      </c>
      <c r="F108" s="7">
        <f t="shared" si="7"/>
        <v>10036.630036630037</v>
      </c>
      <c r="I108" s="4"/>
      <c r="J108" s="1"/>
      <c r="K108" s="1"/>
      <c r="L108" s="1"/>
      <c r="X108" s="6"/>
    </row>
    <row r="109" spans="1:24" x14ac:dyDescent="0.3">
      <c r="A109" s="9">
        <v>6</v>
      </c>
      <c r="B109" s="8">
        <v>3.18</v>
      </c>
      <c r="C109" s="7">
        <v>0.01</v>
      </c>
      <c r="D109" s="7">
        <v>3.1700000000000001E-4</v>
      </c>
      <c r="E109" s="7">
        <v>9.9999999999999995E-7</v>
      </c>
      <c r="F109" s="7">
        <f t="shared" si="7"/>
        <v>10031.545741324921</v>
      </c>
      <c r="I109" s="4"/>
      <c r="J109" s="1"/>
      <c r="K109" s="1"/>
      <c r="L109" s="1"/>
      <c r="U109" s="1" t="s">
        <v>4</v>
      </c>
      <c r="V109" s="1"/>
      <c r="W109" s="1"/>
      <c r="X109" s="6">
        <f>SQRT(((1/D120)*B122)^2+(-(B120/(D120^2))*D122)^2)</f>
        <v>2612.0114556618387</v>
      </c>
    </row>
    <row r="110" spans="1:24" x14ac:dyDescent="0.3">
      <c r="A110" s="9">
        <v>7</v>
      </c>
      <c r="B110" s="8">
        <v>3.68</v>
      </c>
      <c r="C110" s="7">
        <v>0.01</v>
      </c>
      <c r="D110" s="7">
        <v>3.6600000000000001E-4</v>
      </c>
      <c r="E110" s="7">
        <v>9.9999999999999995E-7</v>
      </c>
      <c r="F110" s="7">
        <f t="shared" si="7"/>
        <v>10054.644808743169</v>
      </c>
      <c r="I110" s="4"/>
      <c r="X110" s="6"/>
    </row>
    <row r="111" spans="1:24" x14ac:dyDescent="0.3">
      <c r="A111" s="9">
        <v>8</v>
      </c>
      <c r="B111" s="8">
        <v>4.33</v>
      </c>
      <c r="C111" s="7">
        <v>0.01</v>
      </c>
      <c r="D111" s="7">
        <v>4.2900000000000002E-4</v>
      </c>
      <c r="E111" s="7">
        <v>9.9999999999999995E-7</v>
      </c>
      <c r="F111" s="7">
        <f t="shared" si="7"/>
        <v>10093.240093240092</v>
      </c>
      <c r="I111" s="4"/>
      <c r="U111" s="1" t="s">
        <v>22</v>
      </c>
      <c r="V111" s="1"/>
      <c r="W111" s="1"/>
      <c r="X111" s="6">
        <f>SLOPE(Tabela517[V (V)],Tabela517[I (A)])</f>
        <v>10057.504745271553</v>
      </c>
    </row>
    <row r="112" spans="1:24" x14ac:dyDescent="0.3">
      <c r="A112" s="9">
        <v>9</v>
      </c>
      <c r="B112" s="8">
        <v>4.8</v>
      </c>
      <c r="C112" s="7">
        <v>0.01</v>
      </c>
      <c r="D112" s="7">
        <v>4.7599999999999997E-4</v>
      </c>
      <c r="E112" s="7">
        <v>9.9999999999999995E-7</v>
      </c>
      <c r="F112" s="7">
        <f t="shared" si="7"/>
        <v>10084.033613445379</v>
      </c>
      <c r="I112" s="4"/>
      <c r="U112" s="1"/>
      <c r="V112" s="1"/>
      <c r="W112" s="1"/>
    </row>
    <row r="113" spans="1:24" x14ac:dyDescent="0.3">
      <c r="A113" s="9">
        <v>10</v>
      </c>
      <c r="B113" s="8">
        <v>5.56</v>
      </c>
      <c r="C113" s="7">
        <v>0.01</v>
      </c>
      <c r="D113" s="7">
        <v>5.5200000000000008E-4</v>
      </c>
      <c r="E113" s="7">
        <v>9.9999999999999995E-7</v>
      </c>
      <c r="F113" s="7">
        <f t="shared" si="7"/>
        <v>10072.46376811594</v>
      </c>
      <c r="I113" s="4"/>
      <c r="U113" s="1" t="s">
        <v>23</v>
      </c>
      <c r="V113" s="1"/>
      <c r="W113" s="1"/>
      <c r="X113" s="10">
        <f>ABS((X107-X111)/X107)</f>
        <v>5.7504745271553474E-3</v>
      </c>
    </row>
    <row r="114" spans="1:24" x14ac:dyDescent="0.3">
      <c r="A114" s="9">
        <v>11</v>
      </c>
      <c r="B114" s="8">
        <v>5.96</v>
      </c>
      <c r="C114" s="7">
        <v>0.01</v>
      </c>
      <c r="D114" s="7">
        <v>5.9099999999999995E-4</v>
      </c>
      <c r="E114" s="7">
        <v>9.9999999999999995E-7</v>
      </c>
      <c r="F114" s="7">
        <f t="shared" si="7"/>
        <v>10084.60236886633</v>
      </c>
      <c r="I114" s="4"/>
      <c r="U114" s="12" t="s">
        <v>24</v>
      </c>
      <c r="V114" s="12"/>
      <c r="W114" s="12"/>
      <c r="X114" s="11">
        <f>ABS((X107-F120)/X107)</f>
        <v>5.2067968264465888E-3</v>
      </c>
    </row>
    <row r="115" spans="1:24" x14ac:dyDescent="0.3">
      <c r="A115" s="9">
        <v>12</v>
      </c>
      <c r="B115" s="8">
        <v>6.8</v>
      </c>
      <c r="C115" s="7">
        <v>0.01</v>
      </c>
      <c r="D115" s="7">
        <v>6.7500000000000004E-4</v>
      </c>
      <c r="E115" s="7">
        <v>9.9999999999999995E-7</v>
      </c>
      <c r="F115" s="7">
        <f t="shared" si="7"/>
        <v>10074.074074074073</v>
      </c>
      <c r="I115" s="4"/>
    </row>
    <row r="116" spans="1:24" x14ac:dyDescent="0.3">
      <c r="A116" s="9">
        <v>13</v>
      </c>
      <c r="B116" s="8">
        <v>7.64</v>
      </c>
      <c r="C116" s="7">
        <v>0.01</v>
      </c>
      <c r="D116" s="7">
        <v>7.5799999999999999E-4</v>
      </c>
      <c r="E116" s="7">
        <v>9.9999999999999995E-7</v>
      </c>
      <c r="F116" s="7">
        <f t="shared" si="7"/>
        <v>10079.155672823219</v>
      </c>
      <c r="I116" s="4"/>
    </row>
    <row r="117" spans="1:24" x14ac:dyDescent="0.3">
      <c r="A117" s="9">
        <v>14</v>
      </c>
      <c r="B117" s="8">
        <v>8.44</v>
      </c>
      <c r="C117" s="7">
        <v>0.01</v>
      </c>
      <c r="D117" s="7">
        <v>8.4499999999999994E-4</v>
      </c>
      <c r="E117" s="7">
        <v>9.9999999999999995E-7</v>
      </c>
      <c r="F117" s="7">
        <f t="shared" si="7"/>
        <v>9988.165680473372</v>
      </c>
      <c r="I117" s="4"/>
    </row>
    <row r="118" spans="1:24" x14ac:dyDescent="0.3">
      <c r="A118" s="9">
        <v>15</v>
      </c>
      <c r="B118" s="8">
        <v>9.52</v>
      </c>
      <c r="C118" s="7">
        <v>0.01</v>
      </c>
      <c r="D118" s="7">
        <v>9.4499999999999998E-4</v>
      </c>
      <c r="E118" s="7">
        <v>9.9999999999999995E-7</v>
      </c>
      <c r="F118" s="7">
        <f t="shared" si="7"/>
        <v>10074.074074074073</v>
      </c>
      <c r="I118" s="4"/>
    </row>
    <row r="119" spans="1:24" x14ac:dyDescent="0.3">
      <c r="A119" s="1"/>
      <c r="B119" s="1"/>
      <c r="C119" s="1"/>
      <c r="D119" s="1"/>
      <c r="E119" s="1"/>
    </row>
    <row r="120" spans="1:24" x14ac:dyDescent="0.3">
      <c r="A120" s="9" t="s">
        <v>6</v>
      </c>
      <c r="B120" s="2">
        <f>AVERAGE(B104:B118)</f>
        <v>4.5993333333333331</v>
      </c>
      <c r="D120" s="5">
        <f>AVERAGE(D104:D118)</f>
        <v>4.5719999999999995E-4</v>
      </c>
      <c r="E120" s="4"/>
      <c r="F120" s="5">
        <f>AVERAGE(F104:F118)</f>
        <v>10052.067968264466</v>
      </c>
    </row>
    <row r="121" spans="1:24" x14ac:dyDescent="0.3">
      <c r="A121" s="9" t="s">
        <v>7</v>
      </c>
      <c r="B121" s="2">
        <f>STDEVA(B104:B118)</f>
        <v>2.6700708034129166</v>
      </c>
      <c r="D121" s="5">
        <f>STDEVA(D104:D118)</f>
        <v>2.6547348535884221E-4</v>
      </c>
      <c r="E121" s="4"/>
      <c r="F121" s="5">
        <f>STDEVA(F104:F118)</f>
        <v>60.017411251811424</v>
      </c>
    </row>
    <row r="122" spans="1:24" x14ac:dyDescent="0.3">
      <c r="A122" s="9" t="s">
        <v>8</v>
      </c>
      <c r="B122" s="2">
        <f>B121/SQRT(10)</f>
        <v>0.84435052527005017</v>
      </c>
      <c r="D122" s="5">
        <f>D121/SQRT(10)</f>
        <v>8.3950087211730399E-5</v>
      </c>
      <c r="E122" s="4"/>
      <c r="F122" s="5">
        <f t="shared" ref="F122" si="8">F121/SQRT(10)</f>
        <v>18.979171882274159</v>
      </c>
    </row>
    <row r="123" spans="1:24" x14ac:dyDescent="0.3">
      <c r="D123" s="6"/>
    </row>
    <row r="126" spans="1:24" x14ac:dyDescent="0.3">
      <c r="A126" s="17" t="s">
        <v>15</v>
      </c>
      <c r="B126" s="17"/>
      <c r="C126" s="17"/>
      <c r="D126" s="17"/>
      <c r="E126" s="17"/>
      <c r="F126" s="17"/>
    </row>
    <row r="127" spans="1:24" x14ac:dyDescent="0.3">
      <c r="A127" s="1" t="s">
        <v>1</v>
      </c>
      <c r="B127" s="1" t="s">
        <v>16</v>
      </c>
      <c r="C127" s="1" t="s">
        <v>17</v>
      </c>
      <c r="D127" s="1" t="s">
        <v>19</v>
      </c>
      <c r="E127" s="1" t="s">
        <v>18</v>
      </c>
      <c r="F127" s="1" t="s">
        <v>20</v>
      </c>
      <c r="I127" s="1"/>
      <c r="U127" s="1" t="s">
        <v>3</v>
      </c>
      <c r="V127" s="1"/>
      <c r="W127" s="1"/>
      <c r="X127" s="6">
        <v>0.01</v>
      </c>
    </row>
    <row r="128" spans="1:24" x14ac:dyDescent="0.3">
      <c r="A128" s="9">
        <v>1</v>
      </c>
      <c r="B128" s="2">
        <v>0.95</v>
      </c>
      <c r="C128" s="5">
        <v>0.01</v>
      </c>
      <c r="D128" s="5">
        <v>2.9999999999999999E-7</v>
      </c>
      <c r="E128" s="5">
        <v>9.9999999999999995E-8</v>
      </c>
      <c r="F128" s="5">
        <f t="shared" ref="F128:F142" si="9">B128/D128</f>
        <v>3166666.6666666665</v>
      </c>
      <c r="I128" s="4"/>
      <c r="U128" s="1" t="s">
        <v>27</v>
      </c>
      <c r="V128" s="1"/>
      <c r="W128" s="1"/>
      <c r="X128" s="6">
        <v>9.9999999999999995E-8</v>
      </c>
    </row>
    <row r="129" spans="1:24" x14ac:dyDescent="0.3">
      <c r="A129" s="9">
        <v>2</v>
      </c>
      <c r="B129" s="2">
        <v>1.74</v>
      </c>
      <c r="C129" s="5">
        <v>0.01</v>
      </c>
      <c r="D129" s="5">
        <v>4.9999999999999998E-7</v>
      </c>
      <c r="E129" s="5">
        <v>9.9999999999999995E-8</v>
      </c>
      <c r="F129" s="5">
        <f t="shared" si="9"/>
        <v>3480000</v>
      </c>
      <c r="I129" s="4"/>
      <c r="X129" s="6"/>
    </row>
    <row r="130" spans="1:24" x14ac:dyDescent="0.3">
      <c r="A130" s="9">
        <v>3</v>
      </c>
      <c r="B130" s="2">
        <v>2.99</v>
      </c>
      <c r="C130" s="5">
        <v>0.01</v>
      </c>
      <c r="D130" s="5">
        <v>7.9999999999999996E-7</v>
      </c>
      <c r="E130" s="5">
        <v>9.9999999999999995E-8</v>
      </c>
      <c r="F130" s="5">
        <f t="shared" si="9"/>
        <v>3737500.0000000005</v>
      </c>
      <c r="I130" s="4"/>
      <c r="X130" s="6"/>
    </row>
    <row r="131" spans="1:24" x14ac:dyDescent="0.3">
      <c r="A131" s="9">
        <v>4</v>
      </c>
      <c r="B131" s="2">
        <v>4.01</v>
      </c>
      <c r="C131" s="5">
        <v>0.01</v>
      </c>
      <c r="D131" s="5">
        <v>1.1000000000000001E-6</v>
      </c>
      <c r="E131" s="5">
        <v>9.9999999999999995E-8</v>
      </c>
      <c r="F131" s="5">
        <f t="shared" si="9"/>
        <v>3645454.5454545449</v>
      </c>
      <c r="I131" s="4"/>
      <c r="J131" s="1"/>
      <c r="K131" s="1"/>
      <c r="L131" s="1"/>
      <c r="M131" s="3"/>
      <c r="N131" s="9"/>
      <c r="O131" s="3"/>
      <c r="U131" s="1" t="s">
        <v>25</v>
      </c>
      <c r="V131" s="1"/>
      <c r="W131" s="1"/>
      <c r="X131" s="6">
        <v>6800000</v>
      </c>
    </row>
    <row r="132" spans="1:24" x14ac:dyDescent="0.3">
      <c r="A132" s="9">
        <v>5</v>
      </c>
      <c r="B132" s="2">
        <v>4.58</v>
      </c>
      <c r="C132" s="5">
        <v>0.01</v>
      </c>
      <c r="D132" s="5">
        <v>1.1999999999999999E-6</v>
      </c>
      <c r="E132" s="5">
        <v>9.9999999999999995E-8</v>
      </c>
      <c r="F132" s="5">
        <f t="shared" si="9"/>
        <v>3816666.666666667</v>
      </c>
      <c r="I132" s="4"/>
      <c r="J132" s="1"/>
      <c r="K132" s="1"/>
      <c r="L132" s="1"/>
      <c r="X132" s="6"/>
    </row>
    <row r="133" spans="1:24" x14ac:dyDescent="0.3">
      <c r="A133" s="9">
        <v>6</v>
      </c>
      <c r="B133" s="2">
        <v>5.52</v>
      </c>
      <c r="C133" s="5">
        <v>0.01</v>
      </c>
      <c r="D133" s="5">
        <v>1.5E-6</v>
      </c>
      <c r="E133" s="5">
        <v>9.9999999999999995E-8</v>
      </c>
      <c r="F133" s="5">
        <f t="shared" si="9"/>
        <v>3679999.9999999995</v>
      </c>
      <c r="I133" s="4"/>
      <c r="J133" s="1"/>
      <c r="K133" s="1"/>
      <c r="L133" s="1"/>
      <c r="U133" s="1" t="s">
        <v>4</v>
      </c>
      <c r="V133" s="1"/>
      <c r="W133" s="1"/>
      <c r="X133" s="6">
        <f>SQRT(((1/D144)*B146)^2+(-(B144/(D144^2))*D146)^2)</f>
        <v>634526.55757414585</v>
      </c>
    </row>
    <row r="134" spans="1:24" x14ac:dyDescent="0.3">
      <c r="A134" s="9">
        <v>7</v>
      </c>
      <c r="B134" s="2">
        <v>6.12</v>
      </c>
      <c r="C134" s="5">
        <v>0.01</v>
      </c>
      <c r="D134" s="5">
        <v>1.5999999999999999E-6</v>
      </c>
      <c r="E134" s="5">
        <v>9.9999999999999995E-8</v>
      </c>
      <c r="F134" s="5">
        <f t="shared" si="9"/>
        <v>3825000.0000000005</v>
      </c>
      <c r="I134" s="4"/>
      <c r="X134" s="6"/>
    </row>
    <row r="135" spans="1:24" x14ac:dyDescent="0.3">
      <c r="A135" s="9">
        <v>8</v>
      </c>
      <c r="B135" s="2">
        <v>6.54</v>
      </c>
      <c r="C135" s="5">
        <v>0.01</v>
      </c>
      <c r="D135" s="5">
        <v>1.7E-6</v>
      </c>
      <c r="E135" s="5">
        <v>9.9999999999999995E-8</v>
      </c>
      <c r="F135" s="5">
        <f t="shared" si="9"/>
        <v>3847058.8235294116</v>
      </c>
      <c r="I135" s="4"/>
      <c r="U135" s="1" t="s">
        <v>22</v>
      </c>
      <c r="V135" s="1"/>
      <c r="W135" s="1"/>
      <c r="X135" s="6">
        <f>SLOPE(Tabela515[V (V)],Tabela515[I (A)])</f>
        <v>4175199.6242367299</v>
      </c>
    </row>
    <row r="136" spans="1:24" x14ac:dyDescent="0.3">
      <c r="A136" s="9">
        <v>9</v>
      </c>
      <c r="B136" s="2">
        <v>7.22</v>
      </c>
      <c r="C136" s="5">
        <v>0.01</v>
      </c>
      <c r="D136" s="5">
        <v>1.7999999999999999E-6</v>
      </c>
      <c r="E136" s="5">
        <v>9.9999999999999995E-8</v>
      </c>
      <c r="F136" s="5">
        <f t="shared" si="9"/>
        <v>4011111.111111111</v>
      </c>
      <c r="I136" s="4"/>
      <c r="U136" s="1"/>
      <c r="V136" s="1"/>
      <c r="W136" s="1"/>
    </row>
    <row r="137" spans="1:24" x14ac:dyDescent="0.3">
      <c r="A137" s="9">
        <v>10</v>
      </c>
      <c r="B137" s="2">
        <v>7.66</v>
      </c>
      <c r="C137" s="5">
        <v>0.01</v>
      </c>
      <c r="D137" s="5">
        <v>1.9E-6</v>
      </c>
      <c r="E137" s="5">
        <v>9.9999999999999995E-8</v>
      </c>
      <c r="F137" s="5">
        <f t="shared" si="9"/>
        <v>4031578.9473684211</v>
      </c>
      <c r="I137" s="4"/>
      <c r="U137" s="1" t="s">
        <v>23</v>
      </c>
      <c r="V137" s="1"/>
      <c r="W137" s="1"/>
      <c r="X137" s="10">
        <f>ABS(X131-X135)/X131</f>
        <v>0.38600005525930442</v>
      </c>
    </row>
    <row r="138" spans="1:24" x14ac:dyDescent="0.3">
      <c r="A138" s="9">
        <v>11</v>
      </c>
      <c r="B138" s="2">
        <v>8.25</v>
      </c>
      <c r="C138" s="5">
        <v>0.01</v>
      </c>
      <c r="D138" s="5">
        <v>2.0999999999999998E-6</v>
      </c>
      <c r="E138" s="5">
        <v>9.9999999999999995E-8</v>
      </c>
      <c r="F138" s="5">
        <f t="shared" si="9"/>
        <v>3928571.4285714291</v>
      </c>
      <c r="I138" s="4"/>
      <c r="U138" s="12" t="s">
        <v>24</v>
      </c>
      <c r="V138" s="12"/>
      <c r="W138" s="12"/>
      <c r="X138" s="11">
        <f>ABS(X131-F144)/X131</f>
        <v>0.44018062833281024</v>
      </c>
    </row>
    <row r="139" spans="1:24" x14ac:dyDescent="0.3">
      <c r="A139" s="9">
        <v>12</v>
      </c>
      <c r="B139" s="2">
        <v>8.82</v>
      </c>
      <c r="C139" s="5">
        <v>0.01</v>
      </c>
      <c r="D139" s="5">
        <v>2.2000000000000001E-6</v>
      </c>
      <c r="E139" s="5">
        <v>9.9999999999999995E-8</v>
      </c>
      <c r="F139" s="5">
        <f t="shared" si="9"/>
        <v>4009090.9090909092</v>
      </c>
      <c r="I139" s="4"/>
      <c r="U139" s="12"/>
      <c r="V139" s="12"/>
      <c r="W139" s="12"/>
      <c r="X139" s="13"/>
    </row>
    <row r="140" spans="1:24" x14ac:dyDescent="0.3">
      <c r="A140" s="9">
        <v>13</v>
      </c>
      <c r="B140" s="2">
        <v>9</v>
      </c>
      <c r="C140" s="5">
        <v>0.01</v>
      </c>
      <c r="D140" s="5">
        <v>2.3E-6</v>
      </c>
      <c r="E140" s="5">
        <v>9.9999999999999995E-8</v>
      </c>
      <c r="F140" s="5">
        <f t="shared" si="9"/>
        <v>3913043.4782608696</v>
      </c>
      <c r="I140" s="4"/>
      <c r="U140" s="1"/>
      <c r="V140" s="1"/>
      <c r="W140" s="1"/>
      <c r="X140" s="1"/>
    </row>
    <row r="141" spans="1:24" x14ac:dyDescent="0.3">
      <c r="A141" s="9">
        <v>14</v>
      </c>
      <c r="B141" s="2">
        <v>9.7100000000000009</v>
      </c>
      <c r="C141" s="5">
        <v>0.01</v>
      </c>
      <c r="D141" s="5">
        <v>2.3999999999999999E-6</v>
      </c>
      <c r="E141" s="5">
        <v>9.9999999999999995E-8</v>
      </c>
      <c r="F141" s="5">
        <f t="shared" si="9"/>
        <v>4045833.333333334</v>
      </c>
      <c r="I141" s="4"/>
      <c r="U141" s="1"/>
      <c r="V141" s="1"/>
      <c r="W141" s="1"/>
      <c r="X141" s="1"/>
    </row>
    <row r="142" spans="1:24" x14ac:dyDescent="0.3">
      <c r="A142" s="9">
        <v>15</v>
      </c>
      <c r="B142" s="2">
        <v>9.91</v>
      </c>
      <c r="C142" s="5">
        <v>0.01</v>
      </c>
      <c r="D142" s="5">
        <v>2.5000000000000002E-6</v>
      </c>
      <c r="E142" s="5">
        <v>9.9999999999999995E-8</v>
      </c>
      <c r="F142" s="5">
        <f t="shared" si="9"/>
        <v>3963999.9999999995</v>
      </c>
      <c r="I142" s="4"/>
      <c r="U142" s="1"/>
      <c r="V142" s="1"/>
      <c r="W142" s="1"/>
      <c r="X142" s="1"/>
    </row>
    <row r="143" spans="1:24" x14ac:dyDescent="0.3">
      <c r="A143" s="1"/>
      <c r="B143" s="1"/>
      <c r="C143" s="1"/>
      <c r="D143" s="1"/>
      <c r="E143" s="1"/>
      <c r="U143" s="1"/>
      <c r="V143" s="1"/>
      <c r="W143" s="1"/>
      <c r="X143" s="1"/>
    </row>
    <row r="144" spans="1:24" x14ac:dyDescent="0.3">
      <c r="A144" s="9" t="s">
        <v>6</v>
      </c>
      <c r="B144" s="2">
        <f>AVERAGE(B128:B142)</f>
        <v>6.2013333333333343</v>
      </c>
      <c r="D144" s="5">
        <f>AVERAGE(D128:D142)</f>
        <v>1.5933333333333335E-6</v>
      </c>
      <c r="E144" s="4"/>
      <c r="F144" s="5">
        <f>AVERAGE(F128:F142)</f>
        <v>3806771.7273368905</v>
      </c>
      <c r="U144" s="1"/>
      <c r="V144" s="1"/>
      <c r="W144" s="1"/>
      <c r="X144" s="1"/>
    </row>
    <row r="145" spans="1:24" x14ac:dyDescent="0.3">
      <c r="A145" s="9" t="s">
        <v>7</v>
      </c>
      <c r="B145" s="2">
        <f>STDEVA(B128:B142)</f>
        <v>2.8526450549487934</v>
      </c>
      <c r="D145" s="5">
        <f>STDEVA(D128:D142)</f>
        <v>6.8916789025054048E-7</v>
      </c>
      <c r="E145" s="4"/>
      <c r="F145" s="5">
        <f>STDEVA(F128:F142)</f>
        <v>240042.60206381421</v>
      </c>
      <c r="U145" s="1"/>
      <c r="V145" s="1"/>
      <c r="W145" s="1"/>
      <c r="X145" s="1"/>
    </row>
    <row r="146" spans="1:24" x14ac:dyDescent="0.3">
      <c r="A146" s="9" t="s">
        <v>8</v>
      </c>
      <c r="B146" s="2">
        <f>B145/SQRT(15)</f>
        <v>0.73654978603050791</v>
      </c>
      <c r="D146" s="5">
        <f>D145/SQRT(15)</f>
        <v>1.7794238411208293E-7</v>
      </c>
      <c r="E146" s="4"/>
      <c r="F146" s="5">
        <f>F145/SQRT(15)</f>
        <v>61978.733344896435</v>
      </c>
      <c r="U146" s="1"/>
      <c r="V146" s="1"/>
      <c r="W146" s="1"/>
      <c r="X146" s="1"/>
    </row>
  </sheetData>
  <mergeCells count="11">
    <mergeCell ref="T4:W4"/>
    <mergeCell ref="T6:W6"/>
    <mergeCell ref="T8:W8"/>
    <mergeCell ref="T10:W10"/>
    <mergeCell ref="J3:K3"/>
    <mergeCell ref="A26:F26"/>
    <mergeCell ref="A2:H2"/>
    <mergeCell ref="A50:F50"/>
    <mergeCell ref="A78:F78"/>
    <mergeCell ref="A102:F102"/>
    <mergeCell ref="A126:F126"/>
  </mergeCells>
  <phoneticPr fontId="2" type="noConversion"/>
  <pageMargins left="0.7" right="0.7" top="0.75" bottom="0.75" header="0.3" footer="0.3"/>
  <pageSetup paperSize="9" orientation="landscape" horizontalDpi="0" verticalDpi="0" r:id="rId1"/>
  <drawing r:id="rId2"/>
  <tableParts count="6">
    <tablePart r:id="rId3"/>
    <tablePart r:id="rId4"/>
    <tablePart r:id="rId5"/>
    <tablePart r:id="rId6"/>
    <tablePart r:id="rId7"/>
    <tablePart r:id="rId8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BF7A827-4287-4B11-A03D-8B56046FE39E}">
          <xm:f>Folha1!1:1048576</xm:f>
        </x15:webExtension>
        <x15:webExtension appRef="{EF659F33-B27D-477A-BED5-49EA59CEFAD8}">
          <xm:f>Folha1!$B$4:$B$18</xm:f>
        </x15:webExtension>
        <x15:webExtension appRef="{1FAC1EA7-7C57-444F-A795-D14AD7B737CD}">
          <xm:f>Folha1!$D$4:$D$18</xm:f>
        </x15:webExtension>
        <x15:webExtension appRef="{5BE6B1A2-8B0E-4A4B-89F6-D17106E225DD}">
          <xm:f>Folha1!$V$14:$AE$31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52C624EF34AD478A5856EC85ED098F" ma:contentTypeVersion="8" ma:contentTypeDescription="Criar um novo documento." ma:contentTypeScope="" ma:versionID="13f11bc05279c011ff2d322d3f66fd67">
  <xsd:schema xmlns:xsd="http://www.w3.org/2001/XMLSchema" xmlns:xs="http://www.w3.org/2001/XMLSchema" xmlns:p="http://schemas.microsoft.com/office/2006/metadata/properties" xmlns:ns3="50696793-6437-4e87-ba7e-0fc4fcfbac97" targetNamespace="http://schemas.microsoft.com/office/2006/metadata/properties" ma:root="true" ma:fieldsID="ffcb33e49fcbec99d603f857985d8417" ns3:_="">
    <xsd:import namespace="50696793-6437-4e87-ba7e-0fc4fcfbac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96793-6437-4e87-ba7e-0fc4fcfba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52E65F-37E5-422E-B821-5F797BE3D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96793-6437-4e87-ba7e-0fc4fcfba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169DA3-410F-42F9-98E4-43875082A5B2}">
  <ds:schemaRefs>
    <ds:schemaRef ds:uri="50696793-6437-4e87-ba7e-0fc4fcfbac97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F8CA081-A56A-407E-BC39-67D7C2082E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cp:lastPrinted>2022-03-16T16:10:01Z</cp:lastPrinted>
  <dcterms:created xsi:type="dcterms:W3CDTF">2022-03-09T11:20:33Z</dcterms:created>
  <dcterms:modified xsi:type="dcterms:W3CDTF">2022-03-16T16:24:19Z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0x0101004B52C624EF34AD478A5856EC85ED098F</vt:lpwstr>
  </property>
</Properties>
</file>