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4C78A2ED-30D9-4D59-BBF7-80B5BD34DED1}" xr6:coauthVersionLast="47" xr6:coauthVersionMax="47" xr10:uidLastSave="{00000000-0000-0000-0000-000000000000}"/>
  <bookViews>
    <workbookView xWindow="-108" yWindow="-108" windowWidth="23256" windowHeight="12456" xr2:uid="{CF471F3A-E1A0-4176-A48E-87D105974DFD}"/>
  </bookViews>
  <sheets>
    <sheet name="R3 CA" sheetId="4" r:id="rId1"/>
    <sheet name="R2 CA" sheetId="2" r:id="rId2"/>
    <sheet name="R1 C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0" i="4" l="1"/>
  <c r="D161" i="4" s="1"/>
  <c r="B160" i="4"/>
  <c r="B161" i="4" s="1"/>
  <c r="Y133" i="4" s="1"/>
  <c r="D159" i="4"/>
  <c r="B159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60" i="4" s="1"/>
  <c r="F161" i="4" s="1"/>
  <c r="D136" i="4"/>
  <c r="D137" i="4" s="1"/>
  <c r="B136" i="4"/>
  <c r="B137" i="4" s="1"/>
  <c r="Y109" i="4" s="1"/>
  <c r="Y135" i="4"/>
  <c r="Y137" i="4" s="1"/>
  <c r="D135" i="4"/>
  <c r="B135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36" i="4" s="1"/>
  <c r="F137" i="4" s="1"/>
  <c r="F121" i="4"/>
  <c r="F120" i="4"/>
  <c r="F119" i="4"/>
  <c r="F135" i="4" s="1"/>
  <c r="Y114" i="4" s="1"/>
  <c r="D113" i="4"/>
  <c r="B113" i="4"/>
  <c r="D112" i="4"/>
  <c r="B112" i="4"/>
  <c r="Y111" i="4"/>
  <c r="Y113" i="4" s="1"/>
  <c r="D111" i="4"/>
  <c r="Y85" i="4" s="1"/>
  <c r="B111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112" i="4" s="1"/>
  <c r="F113" i="4" s="1"/>
  <c r="Y87" i="4"/>
  <c r="Y89" i="4" s="1"/>
  <c r="B85" i="4"/>
  <c r="D84" i="4"/>
  <c r="D85" i="4" s="1"/>
  <c r="B84" i="4"/>
  <c r="D83" i="4"/>
  <c r="B83" i="4"/>
  <c r="Y57" i="4" s="1"/>
  <c r="F81" i="4"/>
  <c r="F80" i="4"/>
  <c r="F79" i="4"/>
  <c r="F78" i="4"/>
  <c r="F77" i="4"/>
  <c r="F76" i="4"/>
  <c r="F75" i="4"/>
  <c r="F74" i="4"/>
  <c r="F73" i="4"/>
  <c r="F72" i="4"/>
  <c r="F71" i="4"/>
  <c r="F84" i="4" s="1"/>
  <c r="F85" i="4" s="1"/>
  <c r="F70" i="4"/>
  <c r="F69" i="4"/>
  <c r="F68" i="4"/>
  <c r="F83" i="4" s="1"/>
  <c r="Y62" i="4" s="1"/>
  <c r="F67" i="4"/>
  <c r="D61" i="4"/>
  <c r="B61" i="4"/>
  <c r="D60" i="4"/>
  <c r="B60" i="4"/>
  <c r="Y59" i="4"/>
  <c r="Y61" i="4" s="1"/>
  <c r="D59" i="4"/>
  <c r="Y42" i="4" s="1"/>
  <c r="B59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Y44" i="4"/>
  <c r="Y46" i="4" s="1"/>
  <c r="F44" i="4"/>
  <c r="F43" i="4"/>
  <c r="F60" i="4" s="1"/>
  <c r="F61" i="4" s="1"/>
  <c r="D21" i="4"/>
  <c r="D22" i="4" s="1"/>
  <c r="B21" i="4"/>
  <c r="B22" i="4" s="1"/>
  <c r="D20" i="4"/>
  <c r="B20" i="4"/>
  <c r="M18" i="4"/>
  <c r="M20" i="4" s="1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J4" i="4" a="1"/>
  <c r="J4" i="4" s="1"/>
  <c r="F4" i="4"/>
  <c r="F21" i="4" s="1"/>
  <c r="F22" i="4" s="1"/>
  <c r="J4" i="1" a="1"/>
  <c r="J4" i="1" s="1"/>
  <c r="G7" i="1" s="1"/>
  <c r="H7" i="1" s="1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21" i="2" s="1"/>
  <c r="F22" i="2" s="1"/>
  <c r="B22" i="2"/>
  <c r="D21" i="2"/>
  <c r="D22" i="2" s="1"/>
  <c r="B21" i="2"/>
  <c r="D20" i="2"/>
  <c r="B20" i="2"/>
  <c r="M18" i="2"/>
  <c r="M20" i="2" s="1"/>
  <c r="J4" i="2" a="1"/>
  <c r="J4" i="2" s="1"/>
  <c r="M16" i="4" l="1"/>
  <c r="G16" i="4"/>
  <c r="H16" i="4" s="1"/>
  <c r="G8" i="4"/>
  <c r="H8" i="4" s="1"/>
  <c r="G18" i="4"/>
  <c r="H18" i="4" s="1"/>
  <c r="G13" i="4"/>
  <c r="H13" i="4" s="1"/>
  <c r="G5" i="4"/>
  <c r="H5" i="4" s="1"/>
  <c r="G10" i="4"/>
  <c r="H10" i="4" s="1"/>
  <c r="G15" i="4"/>
  <c r="H15" i="4" s="1"/>
  <c r="G7" i="4"/>
  <c r="H7" i="4" s="1"/>
  <c r="G17" i="4"/>
  <c r="H17" i="4" s="1"/>
  <c r="G12" i="4"/>
  <c r="H12" i="4" s="1"/>
  <c r="G9" i="4"/>
  <c r="H9" i="4" s="1"/>
  <c r="G11" i="4"/>
  <c r="H11" i="4" s="1"/>
  <c r="G14" i="4"/>
  <c r="H14" i="4" s="1"/>
  <c r="G6" i="4"/>
  <c r="H6" i="4" s="1"/>
  <c r="G4" i="4"/>
  <c r="H4" i="4" s="1"/>
  <c r="F159" i="4"/>
  <c r="Y138" i="4" s="1"/>
  <c r="F59" i="4"/>
  <c r="Y47" i="4" s="1"/>
  <c r="F111" i="4"/>
  <c r="Y90" i="4" s="1"/>
  <c r="F20" i="4"/>
  <c r="M21" i="4" s="1"/>
  <c r="G16" i="2"/>
  <c r="H16" i="2" s="1"/>
  <c r="G8" i="2"/>
  <c r="H8" i="2" s="1"/>
  <c r="G18" i="2"/>
  <c r="H18" i="2" s="1"/>
  <c r="G5" i="2"/>
  <c r="H5" i="2" s="1"/>
  <c r="G13" i="2"/>
  <c r="H13" i="2" s="1"/>
  <c r="G10" i="2"/>
  <c r="H10" i="2" s="1"/>
  <c r="G9" i="2"/>
  <c r="H9" i="2" s="1"/>
  <c r="G15" i="2"/>
  <c r="H15" i="2" s="1"/>
  <c r="G7" i="2"/>
  <c r="H7" i="2" s="1"/>
  <c r="G4" i="2"/>
  <c r="H4" i="2" s="1"/>
  <c r="G11" i="2"/>
  <c r="H11" i="2" s="1"/>
  <c r="G17" i="2"/>
  <c r="H17" i="2" s="1"/>
  <c r="G12" i="2"/>
  <c r="H12" i="2" s="1"/>
  <c r="G14" i="2"/>
  <c r="H14" i="2" s="1"/>
  <c r="G6" i="2"/>
  <c r="H6" i="2" s="1"/>
  <c r="M16" i="2"/>
  <c r="F20" i="2"/>
  <c r="M21" i="2" s="1"/>
  <c r="G14" i="1"/>
  <c r="H14" i="1" s="1"/>
  <c r="G13" i="1"/>
  <c r="H13" i="1" s="1"/>
  <c r="G4" i="1"/>
  <c r="H4" i="1" s="1"/>
  <c r="G18" i="1"/>
  <c r="H18" i="1" s="1"/>
  <c r="G9" i="1"/>
  <c r="H9" i="1" s="1"/>
  <c r="G11" i="1"/>
  <c r="H11" i="1" s="1"/>
  <c r="G17" i="1"/>
  <c r="H17" i="1" s="1"/>
  <c r="G10" i="1"/>
  <c r="H10" i="1" s="1"/>
  <c r="G16" i="1"/>
  <c r="H16" i="1" s="1"/>
  <c r="G8" i="1"/>
  <c r="H8" i="1" s="1"/>
  <c r="G6" i="1"/>
  <c r="H6" i="1" s="1"/>
  <c r="G5" i="1"/>
  <c r="H5" i="1" s="1"/>
  <c r="G12" i="1"/>
  <c r="H12" i="1" s="1"/>
  <c r="G15" i="1"/>
  <c r="H15" i="1" s="1"/>
  <c r="Y44" i="1" l="1"/>
  <c r="Y46" i="1" s="1"/>
  <c r="B59" i="1"/>
  <c r="D60" i="1"/>
  <c r="D61" i="1" s="1"/>
  <c r="D59" i="1"/>
  <c r="Y135" i="1"/>
  <c r="Y137" i="1" s="1"/>
  <c r="Y111" i="1"/>
  <c r="Y113" i="1" s="1"/>
  <c r="Y87" i="1"/>
  <c r="Y89" i="1" s="1"/>
  <c r="Y59" i="1"/>
  <c r="Y61" i="1" s="1"/>
  <c r="M18" i="1"/>
  <c r="M20" i="1" s="1"/>
  <c r="D83" i="1"/>
  <c r="D160" i="1"/>
  <c r="D159" i="1" l="1"/>
  <c r="D161" i="1"/>
  <c r="F54" i="1"/>
  <c r="F56" i="1"/>
  <c r="B20" i="1"/>
  <c r="B21" i="1"/>
  <c r="B22" i="1" s="1"/>
  <c r="D21" i="1"/>
  <c r="D22" i="1" s="1"/>
  <c r="D20" i="1"/>
  <c r="B84" i="1"/>
  <c r="B85" i="1" s="1"/>
  <c r="B83" i="1"/>
  <c r="D84" i="1"/>
  <c r="D85" i="1" s="1"/>
  <c r="B112" i="1"/>
  <c r="B113" i="1" s="1"/>
  <c r="B111" i="1"/>
  <c r="D136" i="1"/>
  <c r="D137" i="1" s="1"/>
  <c r="B136" i="1"/>
  <c r="B137" i="1" s="1"/>
  <c r="B135" i="1"/>
  <c r="D135" i="1"/>
  <c r="B159" i="1"/>
  <c r="B160" i="1"/>
  <c r="B161" i="1" s="1"/>
  <c r="F153" i="1"/>
  <c r="F154" i="1"/>
  <c r="F155" i="1"/>
  <c r="F156" i="1"/>
  <c r="F157" i="1"/>
  <c r="F129" i="1"/>
  <c r="F130" i="1"/>
  <c r="F131" i="1"/>
  <c r="F132" i="1"/>
  <c r="F133" i="1"/>
  <c r="F105" i="1"/>
  <c r="F106" i="1"/>
  <c r="F107" i="1"/>
  <c r="F108" i="1"/>
  <c r="F109" i="1"/>
  <c r="F77" i="1"/>
  <c r="F78" i="1"/>
  <c r="F79" i="1"/>
  <c r="F80" i="1"/>
  <c r="F81" i="1"/>
  <c r="F18" i="1"/>
  <c r="F14" i="1"/>
  <c r="F15" i="1"/>
  <c r="F16" i="1"/>
  <c r="F17" i="1"/>
  <c r="F152" i="1"/>
  <c r="F151" i="1"/>
  <c r="F150" i="1"/>
  <c r="F149" i="1"/>
  <c r="F148" i="1"/>
  <c r="F147" i="1"/>
  <c r="F146" i="1"/>
  <c r="F145" i="1"/>
  <c r="F144" i="1"/>
  <c r="F128" i="1"/>
  <c r="F127" i="1"/>
  <c r="F126" i="1"/>
  <c r="F125" i="1"/>
  <c r="F124" i="1"/>
  <c r="F123" i="1"/>
  <c r="F122" i="1"/>
  <c r="F121" i="1"/>
  <c r="F120" i="1"/>
  <c r="F119" i="1"/>
  <c r="F104" i="1"/>
  <c r="F103" i="1"/>
  <c r="F102" i="1"/>
  <c r="F101" i="1"/>
  <c r="F100" i="1"/>
  <c r="F99" i="1"/>
  <c r="F98" i="1"/>
  <c r="F97" i="1"/>
  <c r="F96" i="1"/>
  <c r="F76" i="1"/>
  <c r="F75" i="1"/>
  <c r="F74" i="1"/>
  <c r="F73" i="1"/>
  <c r="F72" i="1"/>
  <c r="F71" i="1"/>
  <c r="F70" i="1"/>
  <c r="F69" i="1"/>
  <c r="F68" i="1"/>
  <c r="F67" i="1"/>
  <c r="F4" i="1"/>
  <c r="F5" i="1"/>
  <c r="F6" i="1"/>
  <c r="F7" i="1"/>
  <c r="F8" i="1"/>
  <c r="F9" i="1"/>
  <c r="F10" i="1"/>
  <c r="F11" i="1"/>
  <c r="F12" i="1"/>
  <c r="F13" i="1"/>
  <c r="Y57" i="1" l="1"/>
  <c r="F20" i="1"/>
  <c r="M21" i="1" s="1"/>
  <c r="D111" i="1"/>
  <c r="D112" i="1"/>
  <c r="D113" i="1" s="1"/>
  <c r="F95" i="1"/>
  <c r="F112" i="1" s="1"/>
  <c r="F113" i="1" s="1"/>
  <c r="F135" i="1"/>
  <c r="Y114" i="1" s="1"/>
  <c r="F143" i="1"/>
  <c r="F160" i="1" s="1"/>
  <c r="F161" i="1" s="1"/>
  <c r="F136" i="1"/>
  <c r="F137" i="1" s="1"/>
  <c r="F84" i="1"/>
  <c r="F85" i="1" s="1"/>
  <c r="F21" i="1"/>
  <c r="F22" i="1" s="1"/>
  <c r="F83" i="1"/>
  <c r="Y62" i="1" s="1"/>
  <c r="Y133" i="1"/>
  <c r="Y109" i="1"/>
  <c r="M16" i="1"/>
  <c r="F159" i="1" l="1"/>
  <c r="Y138" i="1" s="1"/>
  <c r="Y85" i="1"/>
  <c r="F111" i="1"/>
  <c r="Y90" i="1" s="1"/>
  <c r="F52" i="1"/>
  <c r="F50" i="1" l="1"/>
  <c r="F48" i="1" l="1"/>
  <c r="F44" i="1" l="1"/>
  <c r="F46" i="1"/>
  <c r="F55" i="1"/>
  <c r="F57" i="1"/>
  <c r="B60" i="1"/>
  <c r="B61" i="1" s="1"/>
  <c r="Y42" i="1" s="1"/>
  <c r="F43" i="1"/>
  <c r="F53" i="1"/>
  <c r="F45" i="1"/>
  <c r="F47" i="1"/>
  <c r="F51" i="1"/>
  <c r="F49" i="1"/>
  <c r="F60" i="1" l="1"/>
  <c r="F61" i="1" s="1"/>
  <c r="F59" i="1"/>
  <c r="Y4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<sst xmlns="http://schemas.openxmlformats.org/spreadsheetml/2006/main" count="242" uniqueCount="33">
  <si>
    <t>Voltagem</t>
  </si>
  <si>
    <t>Numero de Medição</t>
  </si>
  <si>
    <t>Corrente Elétrica</t>
  </si>
  <si>
    <t>Incerteza do Multimetro (V) :</t>
  </si>
  <si>
    <r>
      <t>Incerteza da Resistência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 :</t>
    </r>
  </si>
  <si>
    <t>Resistência</t>
  </si>
  <si>
    <t>Média</t>
  </si>
  <si>
    <t>Desvio Padrão</t>
  </si>
  <si>
    <t>Incerteza na Média</t>
  </si>
  <si>
    <t>Ciruito A Resistência 2</t>
  </si>
  <si>
    <t>Ciruito A Resistência 1</t>
  </si>
  <si>
    <t>Circuito B</t>
  </si>
  <si>
    <t>Ciruito B Resistência 1</t>
  </si>
  <si>
    <t>Ciruito A Resistência 3</t>
  </si>
  <si>
    <t>Ciruito B Resistência 2</t>
  </si>
  <si>
    <t>Ciruito B Resistência 3</t>
  </si>
  <si>
    <t>V (V)</t>
  </si>
  <si>
    <t>u(V)</t>
  </si>
  <si>
    <t>u(I)</t>
  </si>
  <si>
    <t>I (A)</t>
  </si>
  <si>
    <t>R (Ω)</t>
  </si>
  <si>
    <t>1,00E-06*</t>
  </si>
  <si>
    <t>Resistência (Regressão linear):</t>
  </si>
  <si>
    <t>Erro relativo á previsão (%) :</t>
  </si>
  <si>
    <t>Erro Média em relacao á previsao(%):</t>
  </si>
  <si>
    <t>Previsão da Resistência:</t>
  </si>
  <si>
    <t>Incerteza da Resistência (Ω) :</t>
  </si>
  <si>
    <t>Incerteza do Multimetro (A) :</t>
  </si>
  <si>
    <t>2,00E-02*</t>
  </si>
  <si>
    <t>Fit</t>
  </si>
  <si>
    <t>Residuo</t>
  </si>
  <si>
    <t>ANALISE ESTATISTICA</t>
  </si>
  <si>
    <t>3,00E-06*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</si>
</sst>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/>
    <xf numFmtId="11" fontId="0" fillId="0" borderId="0" xfId="0" applyNumberForma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4" fillId="0" borderId="0" xfId="0" applyFont="1" applyAlignment="1"/>
    <xf numFmtId="10" fontId="0" fillId="0" borderId="0" xfId="0" applyNumberFormat="1" applyAlignment="1">
      <alignment horizontal="center"/>
    </xf>
    <xf numFmtId="11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11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2" fontId="0" fillId="0" borderId="1" xfId="0" applyNumberFormat="1" applyBorder="1" applyAlignment="1"/>
    <xf numFmtId="0" fontId="0" fillId="0" borderId="1" xfId="0" applyBorder="1" applyAlignment="1"/>
    <xf numFmtId="11" fontId="0" fillId="0" borderId="1" xfId="0" applyNumberFormat="1" applyBorder="1"/>
    <xf numFmtId="10" fontId="0" fillId="0" borderId="1" xfId="2" applyNumberFormat="1" applyFont="1" applyBorder="1"/>
    <xf numFmtId="0" fontId="4" fillId="0" borderId="1" xfId="0" applyFont="1" applyBorder="1" applyAlignment="1"/>
    <xf numFmtId="10" fontId="0" fillId="0" borderId="1" xfId="0" applyNumberForma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74"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'R3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9.4865000000000001E-3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'R3 CA'!$B$4:$B$18</c:f>
              <c:numCache>
                <c:formatCode>0.00</c:formatCode>
                <c:ptCount val="15"/>
                <c:pt idx="0">
                  <c:v>0.72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2.4500000000000002</c:v>
                </c:pt>
                <c:pt idx="5">
                  <c:v>2.92</c:v>
                </c:pt>
                <c:pt idx="6">
                  <c:v>3.4</c:v>
                </c:pt>
                <c:pt idx="7">
                  <c:v>3.87</c:v>
                </c:pt>
                <c:pt idx="8">
                  <c:v>4.41</c:v>
                </c:pt>
                <c:pt idx="9">
                  <c:v>4.8600000000000003</c:v>
                </c:pt>
                <c:pt idx="10">
                  <c:v>5.41</c:v>
                </c:pt>
                <c:pt idx="11">
                  <c:v>5.95</c:v>
                </c:pt>
                <c:pt idx="12">
                  <c:v>6.43</c:v>
                </c:pt>
                <c:pt idx="13">
                  <c:v>6.93</c:v>
                </c:pt>
                <c:pt idx="14">
                  <c:v>7.45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BF-48CC-84AA-E3A0FEC6F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7.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'R3 CA'!$D$43:$D$57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'R3 CA'!$B$43:$B$57</c:f>
              <c:numCache>
                <c:formatCode>0.00</c:formatCode>
                <c:ptCount val="15"/>
                <c:pt idx="0">
                  <c:v>0.78</c:v>
                </c:pt>
                <c:pt idx="1">
                  <c:v>1.22</c:v>
                </c:pt>
                <c:pt idx="2">
                  <c:v>2.36</c:v>
                </c:pt>
                <c:pt idx="3">
                  <c:v>3.48</c:v>
                </c:pt>
                <c:pt idx="4">
                  <c:v>4.25</c:v>
                </c:pt>
                <c:pt idx="5">
                  <c:v>5.34</c:v>
                </c:pt>
                <c:pt idx="6">
                  <c:v>5.99</c:v>
                </c:pt>
                <c:pt idx="7">
                  <c:v>6.81</c:v>
                </c:pt>
                <c:pt idx="8">
                  <c:v>7.38</c:v>
                </c:pt>
                <c:pt idx="9">
                  <c:v>7.95</c:v>
                </c:pt>
                <c:pt idx="10">
                  <c:v>8.24</c:v>
                </c:pt>
                <c:pt idx="11">
                  <c:v>8.9</c:v>
                </c:pt>
                <c:pt idx="12">
                  <c:v>9.44</c:v>
                </c:pt>
                <c:pt idx="13">
                  <c:v>9.77</c:v>
                </c:pt>
                <c:pt idx="14">
                  <c:v>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6E-4598-A512-4D70AC48D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'R3 CA'!$D$67:$D$81</c:f>
              <c:numCache>
                <c:formatCode>0.00E+00</c:formatCode>
                <c:ptCount val="15"/>
                <c:pt idx="0">
                  <c:v>6.9999999999999997E-7</c:v>
                </c:pt>
                <c:pt idx="1">
                  <c:v>8.9999999999999996E-7</c:v>
                </c:pt>
                <c:pt idx="2">
                  <c:v>9.9999999999999995E-7</c:v>
                </c:pt>
                <c:pt idx="3">
                  <c:v>1.1000000000000001E-6</c:v>
                </c:pt>
                <c:pt idx="4">
                  <c:v>1.3E-6</c:v>
                </c:pt>
                <c:pt idx="5">
                  <c:v>1.3999999999999999E-6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1.9999999999999999E-6</c:v>
                </c:pt>
                <c:pt idx="10">
                  <c:v>2.2000000000000001E-6</c:v>
                </c:pt>
                <c:pt idx="11">
                  <c:v>2.3999999999999999E-6</c:v>
                </c:pt>
                <c:pt idx="12">
                  <c:v>2.5000000000000002E-6</c:v>
                </c:pt>
                <c:pt idx="13">
                  <c:v>2.5000000000000002E-6</c:v>
                </c:pt>
                <c:pt idx="14">
                  <c:v>2.6000000000000001E-6</c:v>
                </c:pt>
              </c:numCache>
            </c:numRef>
          </c:xVal>
          <c:yVal>
            <c:numRef>
              <c:f>'R3 CA'!$B$67:$B$81</c:f>
              <c:numCache>
                <c:formatCode>0.00</c:formatCode>
                <c:ptCount val="15"/>
                <c:pt idx="0">
                  <c:v>1.68</c:v>
                </c:pt>
                <c:pt idx="1">
                  <c:v>2.52</c:v>
                </c:pt>
                <c:pt idx="2">
                  <c:v>2.91</c:v>
                </c:pt>
                <c:pt idx="3">
                  <c:v>3.6</c:v>
                </c:pt>
                <c:pt idx="4">
                  <c:v>4.45</c:v>
                </c:pt>
                <c:pt idx="5">
                  <c:v>4.95</c:v>
                </c:pt>
                <c:pt idx="6">
                  <c:v>5.47</c:v>
                </c:pt>
                <c:pt idx="7">
                  <c:v>5.98</c:v>
                </c:pt>
                <c:pt idx="8">
                  <c:v>6.46</c:v>
                </c:pt>
                <c:pt idx="9">
                  <c:v>7.16</c:v>
                </c:pt>
                <c:pt idx="10">
                  <c:v>7.99</c:v>
                </c:pt>
                <c:pt idx="11">
                  <c:v>8.6999999999999993</c:v>
                </c:pt>
                <c:pt idx="12">
                  <c:v>9.15</c:v>
                </c:pt>
                <c:pt idx="13">
                  <c:v>9.3800000000000008</c:v>
                </c:pt>
                <c:pt idx="14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52-424B-8C41-56F653B4B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'R3 CA'!$D$95:$D$109</c:f>
              <c:numCache>
                <c:formatCode>0.00E+00</c:formatCode>
                <c:ptCount val="15"/>
                <c:pt idx="0">
                  <c:v>1.714E-3</c:v>
                </c:pt>
                <c:pt idx="1">
                  <c:v>3.0699999999999998E-3</c:v>
                </c:pt>
                <c:pt idx="2">
                  <c:v>4.7404999999999999E-3</c:v>
                </c:pt>
                <c:pt idx="3">
                  <c:v>6.5395000000000002E-3</c:v>
                </c:pt>
                <c:pt idx="4">
                  <c:v>7.8584999999999992E-3</c:v>
                </c:pt>
                <c:pt idx="5">
                  <c:v>9.6395000000000005E-3</c:v>
                </c:pt>
                <c:pt idx="6">
                  <c:v>1.0932000000000001E-2</c:v>
                </c:pt>
                <c:pt idx="7">
                  <c:v>1.2722499999999999E-2</c:v>
                </c:pt>
                <c:pt idx="8">
                  <c:v>1.465E-2</c:v>
                </c:pt>
                <c:pt idx="9">
                  <c:v>1.5311999999999999E-2</c:v>
                </c:pt>
                <c:pt idx="10">
                  <c:v>1.7070999999999999E-2</c:v>
                </c:pt>
                <c:pt idx="11">
                  <c:v>1.8512500000000001E-2</c:v>
                </c:pt>
                <c:pt idx="12">
                  <c:v>1.9453999999999999E-2</c:v>
                </c:pt>
                <c:pt idx="13">
                  <c:v>2.0382000000000001E-2</c:v>
                </c:pt>
                <c:pt idx="14">
                  <c:v>2.1499999999999998E-2</c:v>
                </c:pt>
              </c:numCache>
            </c:numRef>
          </c:xVal>
          <c:yVal>
            <c:numRef>
              <c:f>'R3 CA'!$B$95:$B$109</c:f>
              <c:numCache>
                <c:formatCode>0.00</c:formatCode>
                <c:ptCount val="15"/>
                <c:pt idx="0">
                  <c:v>0.81</c:v>
                </c:pt>
                <c:pt idx="1">
                  <c:v>1.44</c:v>
                </c:pt>
                <c:pt idx="2">
                  <c:v>2.15</c:v>
                </c:pt>
                <c:pt idx="3">
                  <c:v>3.06</c:v>
                </c:pt>
                <c:pt idx="4">
                  <c:v>3.68</c:v>
                </c:pt>
                <c:pt idx="5">
                  <c:v>4.53</c:v>
                </c:pt>
                <c:pt idx="6">
                  <c:v>5.12</c:v>
                </c:pt>
                <c:pt idx="7">
                  <c:v>5.93</c:v>
                </c:pt>
                <c:pt idx="8">
                  <c:v>6.83</c:v>
                </c:pt>
                <c:pt idx="9">
                  <c:v>7.14</c:v>
                </c:pt>
                <c:pt idx="10">
                  <c:v>7.96</c:v>
                </c:pt>
                <c:pt idx="11">
                  <c:v>8.6300000000000008</c:v>
                </c:pt>
                <c:pt idx="12">
                  <c:v>9.06</c:v>
                </c:pt>
                <c:pt idx="13">
                  <c:v>9.49</c:v>
                </c:pt>
                <c:pt idx="1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41-437F-BC3C-0365FDC8A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'R3 CA'!$D$119:$D$133</c:f>
              <c:numCache>
                <c:formatCode>0.00E+00</c:formatCode>
                <c:ptCount val="15"/>
                <c:pt idx="0">
                  <c:v>7.7999999999999999E-5</c:v>
                </c:pt>
                <c:pt idx="1">
                  <c:v>1.46E-4</c:v>
                </c:pt>
                <c:pt idx="2">
                  <c:v>1.7999999999999998E-4</c:v>
                </c:pt>
                <c:pt idx="3">
                  <c:v>2.2700000000000002E-4</c:v>
                </c:pt>
                <c:pt idx="4">
                  <c:v>2.7300000000000002E-4</c:v>
                </c:pt>
                <c:pt idx="5">
                  <c:v>3.1700000000000001E-4</c:v>
                </c:pt>
                <c:pt idx="6">
                  <c:v>3.6600000000000001E-4</c:v>
                </c:pt>
                <c:pt idx="7">
                  <c:v>4.2900000000000002E-4</c:v>
                </c:pt>
                <c:pt idx="8">
                  <c:v>4.7599999999999997E-4</c:v>
                </c:pt>
                <c:pt idx="9">
                  <c:v>5.5200000000000008E-4</c:v>
                </c:pt>
                <c:pt idx="10">
                  <c:v>5.9099999999999995E-4</c:v>
                </c:pt>
                <c:pt idx="11">
                  <c:v>6.7500000000000004E-4</c:v>
                </c:pt>
                <c:pt idx="12">
                  <c:v>7.5799999999999999E-4</c:v>
                </c:pt>
                <c:pt idx="13">
                  <c:v>8.4499999999999994E-4</c:v>
                </c:pt>
                <c:pt idx="14">
                  <c:v>9.4499999999999998E-4</c:v>
                </c:pt>
              </c:numCache>
            </c:numRef>
          </c:xVal>
          <c:yVal>
            <c:numRef>
              <c:f>'R3 CA'!$B$119:$B$133</c:f>
              <c:numCache>
                <c:formatCode>0.00</c:formatCode>
                <c:ptCount val="15"/>
                <c:pt idx="0">
                  <c:v>0.77</c:v>
                </c:pt>
                <c:pt idx="1">
                  <c:v>1.48</c:v>
                </c:pt>
                <c:pt idx="2">
                  <c:v>1.81</c:v>
                </c:pt>
                <c:pt idx="3">
                  <c:v>2.2799999999999998</c:v>
                </c:pt>
                <c:pt idx="4">
                  <c:v>2.74</c:v>
                </c:pt>
                <c:pt idx="5">
                  <c:v>3.18</c:v>
                </c:pt>
                <c:pt idx="6">
                  <c:v>3.68</c:v>
                </c:pt>
                <c:pt idx="7">
                  <c:v>4.33</c:v>
                </c:pt>
                <c:pt idx="8">
                  <c:v>4.8</c:v>
                </c:pt>
                <c:pt idx="9">
                  <c:v>5.56</c:v>
                </c:pt>
                <c:pt idx="10">
                  <c:v>5.96</c:v>
                </c:pt>
                <c:pt idx="11">
                  <c:v>6.8</c:v>
                </c:pt>
                <c:pt idx="12">
                  <c:v>7.64</c:v>
                </c:pt>
                <c:pt idx="13">
                  <c:v>8.44</c:v>
                </c:pt>
                <c:pt idx="14">
                  <c:v>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59-49CC-B9F4-CB272D165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'R3 CA'!$D$143:$D$157</c:f>
              <c:numCache>
                <c:formatCode>0.00E+00</c:formatCode>
                <c:ptCount val="15"/>
                <c:pt idx="0">
                  <c:v>2.9999999999999999E-7</c:v>
                </c:pt>
                <c:pt idx="1">
                  <c:v>4.9999999999999998E-7</c:v>
                </c:pt>
                <c:pt idx="2">
                  <c:v>7.9999999999999996E-7</c:v>
                </c:pt>
                <c:pt idx="3">
                  <c:v>1.1000000000000001E-6</c:v>
                </c:pt>
                <c:pt idx="4">
                  <c:v>1.1999999999999999E-6</c:v>
                </c:pt>
                <c:pt idx="5">
                  <c:v>1.5E-6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1.9E-6</c:v>
                </c:pt>
                <c:pt idx="10">
                  <c:v>2.0999999999999998E-6</c:v>
                </c:pt>
                <c:pt idx="11">
                  <c:v>2.2000000000000001E-6</c:v>
                </c:pt>
                <c:pt idx="12">
                  <c:v>2.3E-6</c:v>
                </c:pt>
                <c:pt idx="13">
                  <c:v>2.3999999999999999E-6</c:v>
                </c:pt>
                <c:pt idx="14">
                  <c:v>2.5000000000000002E-6</c:v>
                </c:pt>
              </c:numCache>
            </c:numRef>
          </c:xVal>
          <c:yVal>
            <c:numRef>
              <c:f>'R3 CA'!$B$143:$B$157</c:f>
              <c:numCache>
                <c:formatCode>0.00</c:formatCode>
                <c:ptCount val="15"/>
                <c:pt idx="0">
                  <c:v>0.95</c:v>
                </c:pt>
                <c:pt idx="1">
                  <c:v>1.74</c:v>
                </c:pt>
                <c:pt idx="2">
                  <c:v>2.99</c:v>
                </c:pt>
                <c:pt idx="3">
                  <c:v>4.01</c:v>
                </c:pt>
                <c:pt idx="4">
                  <c:v>4.58</c:v>
                </c:pt>
                <c:pt idx="5">
                  <c:v>5.52</c:v>
                </c:pt>
                <c:pt idx="6">
                  <c:v>6.12</c:v>
                </c:pt>
                <c:pt idx="7">
                  <c:v>6.54</c:v>
                </c:pt>
                <c:pt idx="8">
                  <c:v>7.22</c:v>
                </c:pt>
                <c:pt idx="9">
                  <c:v>7.66</c:v>
                </c:pt>
                <c:pt idx="10">
                  <c:v>8.25</c:v>
                </c:pt>
                <c:pt idx="11">
                  <c:v>8.82</c:v>
                </c:pt>
                <c:pt idx="12">
                  <c:v>9</c:v>
                </c:pt>
                <c:pt idx="13">
                  <c:v>9.7100000000000009</c:v>
                </c:pt>
                <c:pt idx="14">
                  <c:v>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D5-49BC-825D-504151623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'R3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'R3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9.4865000000000001E-3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'R3 CA'!$H$4:$H$18</c:f>
              <c:numCache>
                <c:formatCode>0.00</c:formatCode>
                <c:ptCount val="15"/>
                <c:pt idx="0">
                  <c:v>-6.1797212596539364E-3</c:v>
                </c:pt>
                <c:pt idx="1">
                  <c:v>1.1579992574330955E-3</c:v>
                </c:pt>
                <c:pt idx="2">
                  <c:v>-1.7245049399310375E-3</c:v>
                </c:pt>
                <c:pt idx="3">
                  <c:v>1.4566375253720398E-2</c:v>
                </c:pt>
                <c:pt idx="4">
                  <c:v>-6.9034239340917125E-3</c:v>
                </c:pt>
                <c:pt idx="5">
                  <c:v>5.4018297415443506E-3</c:v>
                </c:pt>
                <c:pt idx="6">
                  <c:v>-2.5887254142547E-3</c:v>
                </c:pt>
                <c:pt idx="7">
                  <c:v>2.5497777851284376E-3</c:v>
                </c:pt>
                <c:pt idx="8">
                  <c:v>-1.5432937866028063E-2</c:v>
                </c:pt>
                <c:pt idx="9">
                  <c:v>-3.2562396880537747E-3</c:v>
                </c:pt>
                <c:pt idx="10">
                  <c:v>1.961530158128344E-2</c:v>
                </c:pt>
                <c:pt idx="11">
                  <c:v>-1.6250279227154607E-3</c:v>
                </c:pt>
                <c:pt idx="12">
                  <c:v>-5.6133717735944444E-3</c:v>
                </c:pt>
                <c:pt idx="13">
                  <c:v>-2.1667976282930823E-3</c:v>
                </c:pt>
                <c:pt idx="14">
                  <c:v>2.1994668075038248E-3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5-4F92-943E-E482A1040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8842957130359"/>
          <c:y val="0.53058982210557026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'R2 CA'!$D$4:$D$18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'R2 CA'!$B$4:$B$18</c:f>
              <c:numCache>
                <c:formatCode>0.00</c:formatCode>
                <c:ptCount val="15"/>
                <c:pt idx="0">
                  <c:v>0.78</c:v>
                </c:pt>
                <c:pt idx="1">
                  <c:v>1.22</c:v>
                </c:pt>
                <c:pt idx="2">
                  <c:v>2.36</c:v>
                </c:pt>
                <c:pt idx="3">
                  <c:v>3.48</c:v>
                </c:pt>
                <c:pt idx="4">
                  <c:v>4.25</c:v>
                </c:pt>
                <c:pt idx="5">
                  <c:v>5.34</c:v>
                </c:pt>
                <c:pt idx="6">
                  <c:v>5.99</c:v>
                </c:pt>
                <c:pt idx="7">
                  <c:v>6.81</c:v>
                </c:pt>
                <c:pt idx="8">
                  <c:v>7.38</c:v>
                </c:pt>
                <c:pt idx="9">
                  <c:v>7.95</c:v>
                </c:pt>
                <c:pt idx="10">
                  <c:v>8.24</c:v>
                </c:pt>
                <c:pt idx="11">
                  <c:v>8.9</c:v>
                </c:pt>
                <c:pt idx="12">
                  <c:v>9.44</c:v>
                </c:pt>
                <c:pt idx="13">
                  <c:v>9.77</c:v>
                </c:pt>
                <c:pt idx="14">
                  <c:v>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20-4C36-999C-33389B3A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7.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'R2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 CA'!$D$4:$D$18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'R2 CA'!$H$4:$H$18</c:f>
              <c:numCache>
                <c:formatCode>0.00</c:formatCode>
                <c:ptCount val="15"/>
                <c:pt idx="0">
                  <c:v>-8.2402637539642498E-3</c:v>
                </c:pt>
                <c:pt idx="1">
                  <c:v>-7.3454776901935803E-2</c:v>
                </c:pt>
                <c:pt idx="2">
                  <c:v>-1.4613835038595369E-2</c:v>
                </c:pt>
                <c:pt idx="3">
                  <c:v>-1.6190054227092521E-2</c:v>
                </c:pt>
                <c:pt idx="4">
                  <c:v>-1.4116114212009201E-2</c:v>
                </c:pt>
                <c:pt idx="5">
                  <c:v>-6.5900913926426163E-2</c:v>
                </c:pt>
                <c:pt idx="6">
                  <c:v>0.35170041002550789</c:v>
                </c:pt>
                <c:pt idx="7">
                  <c:v>-2.0605841003705549E-2</c:v>
                </c:pt>
                <c:pt idx="8">
                  <c:v>-1.6446095729433452E-2</c:v>
                </c:pt>
                <c:pt idx="9">
                  <c:v>-2.2390640718121801E-2</c:v>
                </c:pt>
                <c:pt idx="10">
                  <c:v>-1.5310768080984971E-2</c:v>
                </c:pt>
                <c:pt idx="11">
                  <c:v>-2.2193925436306827E-2</c:v>
                </c:pt>
                <c:pt idx="12">
                  <c:v>-1.7721309373159855E-2</c:v>
                </c:pt>
                <c:pt idx="13">
                  <c:v>-2.1162888050820783E-2</c:v>
                </c:pt>
                <c:pt idx="14">
                  <c:v>-2.3352983572966224E-2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E-424D-A2BD-39D95B2FC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8842957130359"/>
          <c:y val="0.53058982210557026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'R1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9.9865000000000006E-3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'R1 CA'!$B$4:$B$18</c:f>
              <c:numCache>
                <c:formatCode>0.00</c:formatCode>
                <c:ptCount val="15"/>
                <c:pt idx="0">
                  <c:v>0.72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2.4500000000000002</c:v>
                </c:pt>
                <c:pt idx="5">
                  <c:v>2.92</c:v>
                </c:pt>
                <c:pt idx="6">
                  <c:v>3.4</c:v>
                </c:pt>
                <c:pt idx="7">
                  <c:v>3.87</c:v>
                </c:pt>
                <c:pt idx="8">
                  <c:v>4.41</c:v>
                </c:pt>
                <c:pt idx="9">
                  <c:v>4.8600000000000003</c:v>
                </c:pt>
                <c:pt idx="10">
                  <c:v>5.41</c:v>
                </c:pt>
                <c:pt idx="11">
                  <c:v>5.95</c:v>
                </c:pt>
                <c:pt idx="12">
                  <c:v>6.43</c:v>
                </c:pt>
                <c:pt idx="13">
                  <c:v>6.93</c:v>
                </c:pt>
                <c:pt idx="14">
                  <c:v>7.45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D-446E-8871-50DC848B9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7.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'R1 CA'!$D$43:$D$57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'R1 CA'!$B$43:$B$57</c:f>
              <c:numCache>
                <c:formatCode>0.00</c:formatCode>
                <c:ptCount val="15"/>
                <c:pt idx="0">
                  <c:v>0.78</c:v>
                </c:pt>
                <c:pt idx="1">
                  <c:v>1.22</c:v>
                </c:pt>
                <c:pt idx="2">
                  <c:v>2.36</c:v>
                </c:pt>
                <c:pt idx="3">
                  <c:v>3.48</c:v>
                </c:pt>
                <c:pt idx="4">
                  <c:v>4.25</c:v>
                </c:pt>
                <c:pt idx="5">
                  <c:v>5.34</c:v>
                </c:pt>
                <c:pt idx="6">
                  <c:v>5.99</c:v>
                </c:pt>
                <c:pt idx="7">
                  <c:v>6.81</c:v>
                </c:pt>
                <c:pt idx="8">
                  <c:v>7.38</c:v>
                </c:pt>
                <c:pt idx="9">
                  <c:v>7.95</c:v>
                </c:pt>
                <c:pt idx="10">
                  <c:v>8.24</c:v>
                </c:pt>
                <c:pt idx="11">
                  <c:v>8.9</c:v>
                </c:pt>
                <c:pt idx="12">
                  <c:v>9.44</c:v>
                </c:pt>
                <c:pt idx="13">
                  <c:v>9.77</c:v>
                </c:pt>
                <c:pt idx="14">
                  <c:v>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6D-4FEE-9315-DF488B441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'R1 CA'!$D$67:$D$81</c:f>
              <c:numCache>
                <c:formatCode>0.00E+00</c:formatCode>
                <c:ptCount val="15"/>
                <c:pt idx="0">
                  <c:v>6.9999999999999997E-7</c:v>
                </c:pt>
                <c:pt idx="1">
                  <c:v>8.9999999999999996E-7</c:v>
                </c:pt>
                <c:pt idx="2">
                  <c:v>9.9999999999999995E-7</c:v>
                </c:pt>
                <c:pt idx="3">
                  <c:v>1.1000000000000001E-6</c:v>
                </c:pt>
                <c:pt idx="4">
                  <c:v>1.3E-6</c:v>
                </c:pt>
                <c:pt idx="5">
                  <c:v>1.3999999999999999E-6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1.9999999999999999E-6</c:v>
                </c:pt>
                <c:pt idx="10">
                  <c:v>2.2000000000000001E-6</c:v>
                </c:pt>
                <c:pt idx="11">
                  <c:v>2.3999999999999999E-6</c:v>
                </c:pt>
                <c:pt idx="12">
                  <c:v>2.5000000000000002E-6</c:v>
                </c:pt>
                <c:pt idx="13">
                  <c:v>2.5000000000000002E-6</c:v>
                </c:pt>
                <c:pt idx="14">
                  <c:v>2.6000000000000001E-6</c:v>
                </c:pt>
              </c:numCache>
            </c:numRef>
          </c:xVal>
          <c:yVal>
            <c:numRef>
              <c:f>'R1 CA'!$B$67:$B$81</c:f>
              <c:numCache>
                <c:formatCode>0.00</c:formatCode>
                <c:ptCount val="15"/>
                <c:pt idx="0">
                  <c:v>1.68</c:v>
                </c:pt>
                <c:pt idx="1">
                  <c:v>2.52</c:v>
                </c:pt>
                <c:pt idx="2">
                  <c:v>2.91</c:v>
                </c:pt>
                <c:pt idx="3">
                  <c:v>3.6</c:v>
                </c:pt>
                <c:pt idx="4">
                  <c:v>4.45</c:v>
                </c:pt>
                <c:pt idx="5">
                  <c:v>4.95</c:v>
                </c:pt>
                <c:pt idx="6">
                  <c:v>5.47</c:v>
                </c:pt>
                <c:pt idx="7">
                  <c:v>5.98</c:v>
                </c:pt>
                <c:pt idx="8">
                  <c:v>6.46</c:v>
                </c:pt>
                <c:pt idx="9">
                  <c:v>7.16</c:v>
                </c:pt>
                <c:pt idx="10">
                  <c:v>7.99</c:v>
                </c:pt>
                <c:pt idx="11">
                  <c:v>8.6999999999999993</c:v>
                </c:pt>
                <c:pt idx="12">
                  <c:v>9.15</c:v>
                </c:pt>
                <c:pt idx="13">
                  <c:v>9.3800000000000008</c:v>
                </c:pt>
                <c:pt idx="14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B6-4D5A-BFE0-2A290B658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'R1 CA'!$D$95:$D$109</c:f>
              <c:numCache>
                <c:formatCode>0.00E+00</c:formatCode>
                <c:ptCount val="15"/>
                <c:pt idx="0">
                  <c:v>1.714E-3</c:v>
                </c:pt>
                <c:pt idx="1">
                  <c:v>3.0699999999999998E-3</c:v>
                </c:pt>
                <c:pt idx="2">
                  <c:v>4.7404999999999999E-3</c:v>
                </c:pt>
                <c:pt idx="3">
                  <c:v>6.5395000000000002E-3</c:v>
                </c:pt>
                <c:pt idx="4">
                  <c:v>7.8584999999999992E-3</c:v>
                </c:pt>
                <c:pt idx="5">
                  <c:v>9.6395000000000005E-3</c:v>
                </c:pt>
                <c:pt idx="6">
                  <c:v>1.0932000000000001E-2</c:v>
                </c:pt>
                <c:pt idx="7">
                  <c:v>1.2722499999999999E-2</c:v>
                </c:pt>
                <c:pt idx="8">
                  <c:v>1.465E-2</c:v>
                </c:pt>
                <c:pt idx="9">
                  <c:v>1.5311999999999999E-2</c:v>
                </c:pt>
                <c:pt idx="10">
                  <c:v>1.7070999999999999E-2</c:v>
                </c:pt>
                <c:pt idx="11">
                  <c:v>1.8512500000000001E-2</c:v>
                </c:pt>
                <c:pt idx="12">
                  <c:v>1.9453999999999999E-2</c:v>
                </c:pt>
                <c:pt idx="13">
                  <c:v>2.0382000000000001E-2</c:v>
                </c:pt>
                <c:pt idx="14">
                  <c:v>2.1499999999999998E-2</c:v>
                </c:pt>
              </c:numCache>
            </c:numRef>
          </c:xVal>
          <c:yVal>
            <c:numRef>
              <c:f>'R1 CA'!$B$95:$B$109</c:f>
              <c:numCache>
                <c:formatCode>0.00</c:formatCode>
                <c:ptCount val="15"/>
                <c:pt idx="0">
                  <c:v>0.81</c:v>
                </c:pt>
                <c:pt idx="1">
                  <c:v>1.44</c:v>
                </c:pt>
                <c:pt idx="2">
                  <c:v>2.15</c:v>
                </c:pt>
                <c:pt idx="3">
                  <c:v>3.06</c:v>
                </c:pt>
                <c:pt idx="4">
                  <c:v>3.68</c:v>
                </c:pt>
                <c:pt idx="5">
                  <c:v>4.53</c:v>
                </c:pt>
                <c:pt idx="6">
                  <c:v>5.12</c:v>
                </c:pt>
                <c:pt idx="7">
                  <c:v>5.93</c:v>
                </c:pt>
                <c:pt idx="8">
                  <c:v>6.83</c:v>
                </c:pt>
                <c:pt idx="9">
                  <c:v>7.14</c:v>
                </c:pt>
                <c:pt idx="10">
                  <c:v>7.96</c:v>
                </c:pt>
                <c:pt idx="11">
                  <c:v>8.6300000000000008</c:v>
                </c:pt>
                <c:pt idx="12">
                  <c:v>9.06</c:v>
                </c:pt>
                <c:pt idx="13">
                  <c:v>9.49</c:v>
                </c:pt>
                <c:pt idx="1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BC-4ABA-976B-7E49605E1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'R1 CA'!$D$119:$D$133</c:f>
              <c:numCache>
                <c:formatCode>0.00E+00</c:formatCode>
                <c:ptCount val="15"/>
                <c:pt idx="0">
                  <c:v>7.7999999999999999E-5</c:v>
                </c:pt>
                <c:pt idx="1">
                  <c:v>1.46E-4</c:v>
                </c:pt>
                <c:pt idx="2">
                  <c:v>1.7999999999999998E-4</c:v>
                </c:pt>
                <c:pt idx="3">
                  <c:v>2.2700000000000002E-4</c:v>
                </c:pt>
                <c:pt idx="4">
                  <c:v>2.7300000000000002E-4</c:v>
                </c:pt>
                <c:pt idx="5">
                  <c:v>3.1700000000000001E-4</c:v>
                </c:pt>
                <c:pt idx="6">
                  <c:v>3.6600000000000001E-4</c:v>
                </c:pt>
                <c:pt idx="7">
                  <c:v>4.2900000000000002E-4</c:v>
                </c:pt>
                <c:pt idx="8">
                  <c:v>4.7599999999999997E-4</c:v>
                </c:pt>
                <c:pt idx="9">
                  <c:v>5.5200000000000008E-4</c:v>
                </c:pt>
                <c:pt idx="10">
                  <c:v>5.9099999999999995E-4</c:v>
                </c:pt>
                <c:pt idx="11">
                  <c:v>6.7500000000000004E-4</c:v>
                </c:pt>
                <c:pt idx="12">
                  <c:v>7.5799999999999999E-4</c:v>
                </c:pt>
                <c:pt idx="13">
                  <c:v>8.4499999999999994E-4</c:v>
                </c:pt>
                <c:pt idx="14">
                  <c:v>9.4499999999999998E-4</c:v>
                </c:pt>
              </c:numCache>
            </c:numRef>
          </c:xVal>
          <c:yVal>
            <c:numRef>
              <c:f>'R1 CA'!$B$119:$B$133</c:f>
              <c:numCache>
                <c:formatCode>0.00</c:formatCode>
                <c:ptCount val="15"/>
                <c:pt idx="0">
                  <c:v>0.77</c:v>
                </c:pt>
                <c:pt idx="1">
                  <c:v>1.48</c:v>
                </c:pt>
                <c:pt idx="2">
                  <c:v>1.81</c:v>
                </c:pt>
                <c:pt idx="3">
                  <c:v>2.2799999999999998</c:v>
                </c:pt>
                <c:pt idx="4">
                  <c:v>2.74</c:v>
                </c:pt>
                <c:pt idx="5">
                  <c:v>3.18</c:v>
                </c:pt>
                <c:pt idx="6">
                  <c:v>3.68</c:v>
                </c:pt>
                <c:pt idx="7">
                  <c:v>4.33</c:v>
                </c:pt>
                <c:pt idx="8">
                  <c:v>4.8</c:v>
                </c:pt>
                <c:pt idx="9">
                  <c:v>5.56</c:v>
                </c:pt>
                <c:pt idx="10">
                  <c:v>5.96</c:v>
                </c:pt>
                <c:pt idx="11">
                  <c:v>6.8</c:v>
                </c:pt>
                <c:pt idx="12">
                  <c:v>7.64</c:v>
                </c:pt>
                <c:pt idx="13">
                  <c:v>8.44</c:v>
                </c:pt>
                <c:pt idx="14">
                  <c:v>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62-4D5E-8690-4E2546E0E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'R1 CA'!$D$143:$D$157</c:f>
              <c:numCache>
                <c:formatCode>0.00E+00</c:formatCode>
                <c:ptCount val="15"/>
                <c:pt idx="0">
                  <c:v>2.9999999999999999E-7</c:v>
                </c:pt>
                <c:pt idx="1">
                  <c:v>4.9999999999999998E-7</c:v>
                </c:pt>
                <c:pt idx="2">
                  <c:v>7.9999999999999996E-7</c:v>
                </c:pt>
                <c:pt idx="3">
                  <c:v>1.1000000000000001E-6</c:v>
                </c:pt>
                <c:pt idx="4">
                  <c:v>1.1999999999999999E-6</c:v>
                </c:pt>
                <c:pt idx="5">
                  <c:v>1.5E-6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1.9E-6</c:v>
                </c:pt>
                <c:pt idx="10">
                  <c:v>2.0999999999999998E-6</c:v>
                </c:pt>
                <c:pt idx="11">
                  <c:v>2.2000000000000001E-6</c:v>
                </c:pt>
                <c:pt idx="12">
                  <c:v>2.3E-6</c:v>
                </c:pt>
                <c:pt idx="13">
                  <c:v>2.3999999999999999E-6</c:v>
                </c:pt>
                <c:pt idx="14">
                  <c:v>2.5000000000000002E-6</c:v>
                </c:pt>
              </c:numCache>
            </c:numRef>
          </c:xVal>
          <c:yVal>
            <c:numRef>
              <c:f>'R1 CA'!$B$143:$B$157</c:f>
              <c:numCache>
                <c:formatCode>0.00</c:formatCode>
                <c:ptCount val="15"/>
                <c:pt idx="0">
                  <c:v>0.95</c:v>
                </c:pt>
                <c:pt idx="1">
                  <c:v>1.74</c:v>
                </c:pt>
                <c:pt idx="2">
                  <c:v>2.99</c:v>
                </c:pt>
                <c:pt idx="3">
                  <c:v>4.01</c:v>
                </c:pt>
                <c:pt idx="4">
                  <c:v>4.58</c:v>
                </c:pt>
                <c:pt idx="5">
                  <c:v>5.52</c:v>
                </c:pt>
                <c:pt idx="6">
                  <c:v>6.12</c:v>
                </c:pt>
                <c:pt idx="7">
                  <c:v>6.54</c:v>
                </c:pt>
                <c:pt idx="8">
                  <c:v>7.22</c:v>
                </c:pt>
                <c:pt idx="9">
                  <c:v>7.66</c:v>
                </c:pt>
                <c:pt idx="10">
                  <c:v>8.25</c:v>
                </c:pt>
                <c:pt idx="11">
                  <c:v>8.82</c:v>
                </c:pt>
                <c:pt idx="12">
                  <c:v>9</c:v>
                </c:pt>
                <c:pt idx="13">
                  <c:v>9.7100000000000009</c:v>
                </c:pt>
                <c:pt idx="14">
                  <c:v>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1A-420D-B40E-FD8BA8BC2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'R1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'R1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9.9865000000000006E-3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'R1 CA'!$H$4:$H$18</c:f>
              <c:numCache>
                <c:formatCode>0.00</c:formatCode>
                <c:ptCount val="15"/>
                <c:pt idx="0">
                  <c:v>1.4298058739939945E-3</c:v>
                </c:pt>
                <c:pt idx="1">
                  <c:v>9.4320499910607314E-3</c:v>
                </c:pt>
                <c:pt idx="2">
                  <c:v>7.7751546043092201E-3</c:v>
                </c:pt>
                <c:pt idx="3">
                  <c:v>2.5244914862508905E-2</c:v>
                </c:pt>
                <c:pt idx="4">
                  <c:v>4.9241664668788765E-3</c:v>
                </c:pt>
                <c:pt idx="5">
                  <c:v>1.8344898825873646E-2</c:v>
                </c:pt>
                <c:pt idx="6">
                  <c:v>1.1543658308986959E-2</c:v>
                </c:pt>
                <c:pt idx="7">
                  <c:v>1.7815106761859489E-2</c:v>
                </c:pt>
                <c:pt idx="8">
                  <c:v>-0.2309273189850316</c:v>
                </c:pt>
                <c:pt idx="9">
                  <c:v>1.443603518257941E-2</c:v>
                </c:pt>
                <c:pt idx="10">
                  <c:v>3.8592276710827988E-2</c:v>
                </c:pt>
                <c:pt idx="11">
                  <c:v>1.8719783802793266E-2</c:v>
                </c:pt>
                <c:pt idx="12">
                  <c:v>1.5911000532183195E-2</c:v>
                </c:pt>
                <c:pt idx="13">
                  <c:v>2.0567758465123376E-2</c:v>
                </c:pt>
                <c:pt idx="14">
                  <c:v>2.619070859605177E-2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D1-4857-AAE8-8949BC9F2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8842957130359"/>
          <c:y val="0.53058982210557026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106679</xdr:colOff>
      <xdr:row>22</xdr:row>
      <xdr:rowOff>160021</xdr:rowOff>
    </xdr:from>
    <xdr:to>
      <xdr:col>13</xdr:col>
      <xdr:colOff>533400</xdr:colOff>
      <xdr:row>37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BBA721-5002-4D89-950D-4C38B36F8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314325</xdr:colOff>
      <xdr:row>39</xdr:row>
      <xdr:rowOff>148590</xdr:rowOff>
    </xdr:from>
    <xdr:to>
      <xdr:col>20</xdr:col>
      <xdr:colOff>30480</xdr:colOff>
      <xdr:row>59</xdr:row>
      <xdr:rowOff>148590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D80C0F0-C5B0-4EF4-950D-742D27A1C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601980</xdr:colOff>
      <xdr:row>49</xdr:row>
      <xdr:rowOff>15240</xdr:rowOff>
    </xdr:from>
    <xdr:to>
      <xdr:col>16</xdr:col>
      <xdr:colOff>297180</xdr:colOff>
      <xdr:row>69</xdr:row>
      <xdr:rowOff>15240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711CA20-0423-4B3D-9E2E-FB7F481E6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76</xdr:row>
      <xdr:rowOff>137160</xdr:rowOff>
    </xdr:from>
    <xdr:to>
      <xdr:col>16</xdr:col>
      <xdr:colOff>304800</xdr:colOff>
      <xdr:row>96</xdr:row>
      <xdr:rowOff>137160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E89FE75-9A9D-4C80-BB8B-E56F9D37F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7620</xdr:colOff>
      <xdr:row>101</xdr:row>
      <xdr:rowOff>167640</xdr:rowOff>
    </xdr:from>
    <xdr:to>
      <xdr:col>16</xdr:col>
      <xdr:colOff>312420</xdr:colOff>
      <xdr:row>121</xdr:row>
      <xdr:rowOff>167640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F847A5E-C581-48A8-B4CE-F0318543FD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125</xdr:row>
      <xdr:rowOff>175260</xdr:rowOff>
    </xdr:from>
    <xdr:to>
      <xdr:col>16</xdr:col>
      <xdr:colOff>304800</xdr:colOff>
      <xdr:row>145</xdr:row>
      <xdr:rowOff>175260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9ACC0B2-0378-46B6-8BA8-61087364E1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182880</xdr:colOff>
      <xdr:row>22</xdr:row>
      <xdr:rowOff>167640</xdr:rowOff>
    </xdr:from>
    <xdr:to>
      <xdr:col>5</xdr:col>
      <xdr:colOff>669432</xdr:colOff>
      <xdr:row>38</xdr:row>
      <xdr:rowOff>83820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8016FD0-F081-4B24-A4D5-1717E9D74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106679</xdr:colOff>
      <xdr:row>22</xdr:row>
      <xdr:rowOff>160021</xdr:rowOff>
    </xdr:from>
    <xdr:to>
      <xdr:col>13</xdr:col>
      <xdr:colOff>533400</xdr:colOff>
      <xdr:row>37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5F2D60-4673-4B97-9300-580F09B7B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182880</xdr:colOff>
      <xdr:row>22</xdr:row>
      <xdr:rowOff>167640</xdr:rowOff>
    </xdr:from>
    <xdr:to>
      <xdr:col>5</xdr:col>
      <xdr:colOff>669432</xdr:colOff>
      <xdr:row>38</xdr:row>
      <xdr:rowOff>83820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82A45BE-37F2-4CAE-8B6D-174C3FFBF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106679</xdr:colOff>
      <xdr:row>22</xdr:row>
      <xdr:rowOff>160021</xdr:rowOff>
    </xdr:from>
    <xdr:to>
      <xdr:col>13</xdr:col>
      <xdr:colOff>533400</xdr:colOff>
      <xdr:row>37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21B313-E974-4C2B-B7FB-55441C807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314325</xdr:colOff>
      <xdr:row>39</xdr:row>
      <xdr:rowOff>148590</xdr:rowOff>
    </xdr:from>
    <xdr:to>
      <xdr:col>20</xdr:col>
      <xdr:colOff>30480</xdr:colOff>
      <xdr:row>59</xdr:row>
      <xdr:rowOff>148590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DD50A22-C4D8-4024-B741-B819F89E1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601980</xdr:colOff>
      <xdr:row>49</xdr:row>
      <xdr:rowOff>15240</xdr:rowOff>
    </xdr:from>
    <xdr:to>
      <xdr:col>16</xdr:col>
      <xdr:colOff>297180</xdr:colOff>
      <xdr:row>69</xdr:row>
      <xdr:rowOff>15240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C74E9382-5B8C-4192-BD8C-62482BC9FD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76</xdr:row>
      <xdr:rowOff>137160</xdr:rowOff>
    </xdr:from>
    <xdr:to>
      <xdr:col>16</xdr:col>
      <xdr:colOff>304800</xdr:colOff>
      <xdr:row>96</xdr:row>
      <xdr:rowOff>137160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62D4724-30F8-4438-83D3-34EC1A71F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7620</xdr:colOff>
      <xdr:row>101</xdr:row>
      <xdr:rowOff>167640</xdr:rowOff>
    </xdr:from>
    <xdr:to>
      <xdr:col>16</xdr:col>
      <xdr:colOff>312420</xdr:colOff>
      <xdr:row>121</xdr:row>
      <xdr:rowOff>167640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3ADC6370-182E-4B5A-8F19-590970290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125</xdr:row>
      <xdr:rowOff>175260</xdr:rowOff>
    </xdr:from>
    <xdr:to>
      <xdr:col>16</xdr:col>
      <xdr:colOff>304800</xdr:colOff>
      <xdr:row>145</xdr:row>
      <xdr:rowOff>175260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C7A4D904-AD53-4B81-9DA6-EDBD59976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182880</xdr:colOff>
      <xdr:row>22</xdr:row>
      <xdr:rowOff>167640</xdr:rowOff>
    </xdr:from>
    <xdr:to>
      <xdr:col>5</xdr:col>
      <xdr:colOff>669432</xdr:colOff>
      <xdr:row>38</xdr:row>
      <xdr:rowOff>83820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70AF65-CC33-4EAA-B686-0537C52C7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41102B-D886-4686-BF43-25DC255C159F}" name="Tabela59" displayName="Tabela59" ref="A3:H18" headerRowDxfId="173" dataDxfId="172">
  <autoFilter ref="A3:H18" xr:uid="{9C5B2E42-3817-413B-9C33-33DD89DD5E35}"/>
  <tableColumns count="8">
    <tableColumn id="1" xr3:uid="{CB1610DE-1A75-4964-BFFA-797C860127B9}" name="Numero de Medição" totalsRowLabel="Total" dataDxfId="171" totalsRowDxfId="170"/>
    <tableColumn id="2" xr3:uid="{F3523595-9BBC-45DC-A437-8DABC8389766}" name="V (V)" dataDxfId="169" totalsRowDxfId="168"/>
    <tableColumn id="5" xr3:uid="{853C39B3-3EDC-49EA-8062-B2FEFCA58DCD}" name="u(V)" dataDxfId="167"/>
    <tableColumn id="3" xr3:uid="{D52C3B05-232E-49DC-BE05-A51CCC35DC34}" name="I (A)" dataDxfId="166"/>
    <tableColumn id="6" xr3:uid="{8D363E62-2DBC-4599-80C5-9E8B05567846}" name="u(I)" dataDxfId="165" totalsRowDxfId="164"/>
    <tableColumn id="4" xr3:uid="{BFA14C47-C72D-4F33-9331-0ED77D6F7655}" name="R (Ω)" totalsRowFunction="count" dataDxfId="163" totalsRowDxfId="162">
      <calculatedColumnFormula>B4/D4</calculatedColumnFormula>
    </tableColumn>
    <tableColumn id="8" xr3:uid="{59D677C7-6DE3-408F-B24F-DBC917BCB1DC}" name="Fit" dataDxfId="161" totalsRowDxfId="160">
      <calculatedColumnFormula>$J$4*Tabela59[[#This Row],[I (A)]]+$K$4</calculatedColumnFormula>
    </tableColumn>
    <tableColumn id="9" xr3:uid="{FB81627E-5E76-4944-8A75-10E635C1D839}" name="Residuo" dataDxfId="159" totalsRowDxfId="158">
      <calculatedColumnFormula>Tabela59[[#This Row],[V (V)]]-Tabela59[[#This Row],[Fit]]</calculatedColumnFormula>
    </tableColumn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DD7421-EF1D-4BC0-8ED9-A63BFB06AB19}" name="Tabela51310" displayName="Tabela51310" ref="A42:F57" headerRowDxfId="157" dataDxfId="156">
  <autoFilter ref="A42:F57" xr:uid="{69947E35-7A5F-4B7A-83C9-EDC56314766C}"/>
  <tableColumns count="6">
    <tableColumn id="1" xr3:uid="{07A8A6C3-C48C-472A-B73E-5F4F78F3C49F}" name="Numero de Medição" totalsRowLabel="Total" dataDxfId="155" totalsRowDxfId="154"/>
    <tableColumn id="2" xr3:uid="{AD6068E0-E33D-49DE-8748-9EC06B048742}" name="Voltagem" dataDxfId="153"/>
    <tableColumn id="5" xr3:uid="{D27F5606-502B-4B26-9671-119A8AF7B13C}" name="u(V)" dataDxfId="152"/>
    <tableColumn id="3" xr3:uid="{F84C2BE2-E9FC-490C-A387-C7753C934DE3}" name="Corrente Elétrica" dataDxfId="151" totalsRowDxfId="150"/>
    <tableColumn id="6" xr3:uid="{30FE2DB4-9B0E-41CF-A523-DA0892F17A5D}" name="u(I)" dataDxfId="149" totalsRowDxfId="148"/>
    <tableColumn id="4" xr3:uid="{4AB4A32D-D819-4065-AB35-819B8222419F}" name="Resistência" totalsRowFunction="count" dataDxfId="147" totalsRowDxfId="146">
      <calculatedColumnFormula>B43/D43</calculatedColumnFormula>
    </tableColumn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A953DC-A322-498F-A19B-B21F7F0E15C9}" name="Tabela51511" displayName="Tabela51511" ref="A66:F81" headerRowDxfId="145" dataDxfId="144">
  <autoFilter ref="A66:F81" xr:uid="{21B89758-6540-410C-9D6E-6615E7F30F73}"/>
  <tableColumns count="6">
    <tableColumn id="1" xr3:uid="{58A63172-0AA3-46AC-A45A-6243BE068E61}" name="Numero de Medição" totalsRowLabel="Total" dataDxfId="143" totalsRowDxfId="142"/>
    <tableColumn id="2" xr3:uid="{DD0C36DC-EA3A-4FA0-B77E-D87A6463B3A8}" name="V (V)" dataDxfId="141" totalsRowDxfId="140"/>
    <tableColumn id="7" xr3:uid="{31BCB860-8337-41A0-8CFD-B654BE8F9A90}" name="u(V)" dataDxfId="139" totalsRowDxfId="138"/>
    <tableColumn id="3" xr3:uid="{6AAF4455-2C20-43F4-9CA2-F4CD29A28986}" name="I (A)" dataDxfId="137" totalsRowDxfId="136"/>
    <tableColumn id="8" xr3:uid="{6FAFA2B3-B9B9-46E1-A1F7-04DDF582A622}" name="u(I)" dataDxfId="135" totalsRowDxfId="134"/>
    <tableColumn id="4" xr3:uid="{08ED0521-254A-488E-8CCD-19886B3E1098}" name="R (Ω)" totalsRowFunction="count" dataDxfId="133" totalsRowDxfId="132">
      <calculatedColumnFormula>B67/D67</calculatedColumnFormula>
    </tableColumn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96FF49-DD34-465F-966F-1C7437438535}" name="Tabela51612" displayName="Tabela51612" ref="A94:F109" headerRowDxfId="131" dataDxfId="130">
  <autoFilter ref="A94:F109" xr:uid="{A42DD33C-4153-4F72-9A4D-037FCE993F86}"/>
  <tableColumns count="6">
    <tableColumn id="1" xr3:uid="{11C5B112-D974-4C55-9970-027ACEA5FEAD}" name="Numero de Medição" totalsRowLabel="Total" dataDxfId="129" totalsRowDxfId="128"/>
    <tableColumn id="2" xr3:uid="{34853D8C-4337-4F6F-956B-8DFD2BCA0BF5}" name="V (V)" dataDxfId="127" totalsRowDxfId="126"/>
    <tableColumn id="5" xr3:uid="{90C9AF6F-366F-4C36-B500-1ED65EFD0A21}" name="u(V)" dataDxfId="125" totalsRowDxfId="124"/>
    <tableColumn id="3" xr3:uid="{904F08DC-67B7-4E57-B105-C7CCDD215F90}" name="I (A)" dataDxfId="123"/>
    <tableColumn id="6" xr3:uid="{9C8B4467-27A2-4804-B223-FCFB4FEE2EFC}" name="u(I)" dataDxfId="122"/>
    <tableColumn id="4" xr3:uid="{118CCBA4-C9EB-4EC1-99BD-3C0399EFAB58}" name="R (Ω)" totalsRowFunction="count" dataDxfId="121" totalsRowDxfId="120">
      <calculatedColumnFormula>B95/D95</calculatedColumnFormula>
    </tableColumn>
  </tableColumns>
  <tableStyleInfo name="TableStyleLight8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4A462F6-E635-43C5-99E5-0FFFA21445F0}" name="Tabela51714" displayName="Tabela51714" ref="A118:F133" headerRowDxfId="119" dataDxfId="118">
  <autoFilter ref="A118:F133" xr:uid="{3535E9FF-E56C-4068-8E82-CCB88E5535D2}"/>
  <tableColumns count="6">
    <tableColumn id="1" xr3:uid="{87AD16E2-2F45-43EF-A323-0101A8C476AD}" name="Numero de Medição" totalsRowLabel="Total" dataDxfId="117" totalsRowDxfId="116"/>
    <tableColumn id="2" xr3:uid="{EBDF0055-4C91-4169-90EC-EE1E4EB4BF6C}" name="V (V)" dataDxfId="115"/>
    <tableColumn id="5" xr3:uid="{100FA3B4-C550-403E-B6D6-960B86BF9264}" name="u(V)" dataDxfId="114"/>
    <tableColumn id="3" xr3:uid="{217C370D-B825-4D5C-A00E-04B64F51BFC3}" name="I (A)" dataDxfId="113"/>
    <tableColumn id="6" xr3:uid="{29666DD6-31F2-4143-AEEE-A351F4B13B5C}" name="u(I)" dataDxfId="112" totalsRowDxfId="111"/>
    <tableColumn id="4" xr3:uid="{02C734A3-8EB5-42B6-A669-A909A7173DB0}" name="R (Ω)" totalsRowFunction="count" dataDxfId="110" totalsRowDxfId="109">
      <calculatedColumnFormula>B119/D119</calculatedColumnFormula>
    </tableColumn>
  </tableColumns>
  <tableStyleInfo name="TableStyleLight8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4B8708-D7FD-4A0E-BB9E-EB86AA70760A}" name="Tabela51819" displayName="Tabela51819" ref="A142:F157" headerRowDxfId="108" dataDxfId="107">
  <autoFilter ref="A142:F157" xr:uid="{BCC2E761-7EDB-4227-A85C-DDC7184409AF}"/>
  <tableColumns count="6">
    <tableColumn id="1" xr3:uid="{73228F04-746F-4954-AD0B-F27C277BAE4F}" name="Numero de Medição" totalsRowLabel="Total" dataDxfId="106" totalsRowDxfId="105"/>
    <tableColumn id="2" xr3:uid="{D7562051-8DA5-44A7-B4AF-DA43BD9254F6}" name="V (V)" dataDxfId="104" totalsRowDxfId="103"/>
    <tableColumn id="5" xr3:uid="{6B85E416-3514-455F-B4B3-853BD4259D44}" name="u(V)" dataDxfId="102" totalsRowDxfId="101"/>
    <tableColumn id="3" xr3:uid="{A5F6B675-05FF-48A7-A6D9-0F1837340B02}" name="I (A)" dataDxfId="100" totalsRowDxfId="99"/>
    <tableColumn id="6" xr3:uid="{F3DEE24F-E173-4F3D-9CD4-1088CEF3EDB6}" name="u(I)" dataDxfId="98" totalsRowDxfId="97"/>
    <tableColumn id="4" xr3:uid="{A8BDF2D1-A40F-4636-A48B-41C95EB27F79}" name="R (Ω)" totalsRowFunction="count" dataDxfId="96" totalsRowDxfId="95">
      <calculatedColumnFormula>B143/D143</calculatedColumnFormula>
    </tableColumn>
  </tableColumns>
  <tableStyleInfo name="TableStyleLight8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1089C-760B-462C-AB9E-689E83BCD178}" name="Tabela52" displayName="Tabela52" ref="A3:H18" headerRowDxfId="94" dataDxfId="93">
  <autoFilter ref="A3:H18" xr:uid="{9C5B2E42-3817-413B-9C33-33DD89DD5E35}"/>
  <tableColumns count="8">
    <tableColumn id="1" xr3:uid="{C435C4C2-AD8B-4A0D-8142-885D37A761EF}" name="Numero de Medição" totalsRowLabel="Total" dataDxfId="92" totalsRowDxfId="91"/>
    <tableColumn id="2" xr3:uid="{6B35960F-D78D-4095-8E3D-043220512137}" name="V (V)" dataDxfId="90" totalsRowDxfId="89"/>
    <tableColumn id="5" xr3:uid="{031EBECC-806A-461A-AB65-77E7C29FBD0C}" name="u(V)" dataDxfId="88"/>
    <tableColumn id="3" xr3:uid="{1FA96904-73C1-478B-9F6A-51FD7892E2E7}" name="I (A)" dataDxfId="87"/>
    <tableColumn id="6" xr3:uid="{34147ADB-8798-43D2-BFFA-00E5D3131EDA}" name="u(I)" dataDxfId="86" totalsRowDxfId="85"/>
    <tableColumn id="4" xr3:uid="{6B9C80B7-684C-49A0-A019-D59C4D0F8B19}" name="R (Ω)" totalsRowFunction="count" dataDxfId="84" totalsRowDxfId="83">
      <calculatedColumnFormula>B4/D4</calculatedColumnFormula>
    </tableColumn>
    <tableColumn id="8" xr3:uid="{D11CAD9A-864D-4A63-AE75-7C81DDEF3CF3}" name="Fit" dataDxfId="82" totalsRowDxfId="81">
      <calculatedColumnFormula>$J$4*Tabela52[[#This Row],[I (A)]]+$K$4</calculatedColumnFormula>
    </tableColumn>
    <tableColumn id="9" xr3:uid="{81B39A70-B15B-4519-A957-7D0ADA3F6F0B}" name="Residuo" dataDxfId="80" totalsRowDxfId="79">
      <calculatedColumnFormula>Tabela52[[#This Row],[V (V)]]-Tabela52[[#This Row],[Fit]]</calculatedColumnFormula>
    </tableColumn>
  </tableColumns>
  <tableStyleInfo name="TableStyleLight8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5B2E42-3817-413B-9C33-33DD89DD5E35}" name="Tabela5" displayName="Tabela5" ref="A3:H18" headerRowDxfId="78" dataDxfId="77">
  <autoFilter ref="A3:H18" xr:uid="{9C5B2E42-3817-413B-9C33-33DD89DD5E35}"/>
  <tableColumns count="8">
    <tableColumn id="1" xr3:uid="{9DD51987-C1BC-4ED6-8FEC-B5E9EEBD87E4}" name="Numero de Medição" totalsRowLabel="Total" dataDxfId="76" totalsRowDxfId="75"/>
    <tableColumn id="2" xr3:uid="{15D1FA17-1AE6-4DD2-8292-D64CE9308936}" name="V (V)" dataDxfId="74" totalsRowDxfId="73"/>
    <tableColumn id="5" xr3:uid="{7C02DDDF-3141-4D0A-9AF5-518B2A531A4C}" name="u(V)" dataDxfId="72"/>
    <tableColumn id="3" xr3:uid="{5BFB6233-8250-4878-B204-A8C660E33AB0}" name="I (A)" dataDxfId="71"/>
    <tableColumn id="6" xr3:uid="{D00D6C69-A1D9-4D13-9A2F-60BE40695798}" name="u(I)" dataDxfId="70" totalsRowDxfId="69"/>
    <tableColumn id="4" xr3:uid="{419C236C-08C9-42EB-933C-7880265CDDD8}" name="R (Ω)" totalsRowFunction="count" dataDxfId="68" totalsRowDxfId="67">
      <calculatedColumnFormula>B4/D4</calculatedColumnFormula>
    </tableColumn>
    <tableColumn id="8" xr3:uid="{5D26FCBD-106E-427B-AC75-BD87B08904B4}" name="Fit" dataDxfId="66" totalsRowDxfId="65">
      <calculatedColumnFormula>$J$4*Tabela5[[#This Row],[I (A)]]+$K$4</calculatedColumnFormula>
    </tableColumn>
    <tableColumn id="9" xr3:uid="{4F6967FE-8E66-46D5-89AC-72983E1166AF}" name="Residuo" dataDxfId="64" totalsRowDxfId="63">
      <calculatedColumnFormula>Tabela5[[#This Row],[V (V)]]-Tabela5[[#This Row],[Fit]]</calculatedColumnFormula>
    </tableColumn>
  </tableColumns>
  <tableStyleInfo name="TableStyleLight8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947E35-7A5F-4B7A-83C9-EDC56314766C}" name="Tabela513" displayName="Tabela513" ref="A42:F57" headerRowDxfId="62" dataDxfId="61">
  <autoFilter ref="A42:F57" xr:uid="{69947E35-7A5F-4B7A-83C9-EDC56314766C}"/>
  <tableColumns count="6">
    <tableColumn id="1" xr3:uid="{71843C50-F2B2-4812-B490-8BF118C0297E}" name="Numero de Medição" totalsRowLabel="Total" dataDxfId="60" totalsRowDxfId="59"/>
    <tableColumn id="2" xr3:uid="{991DA961-5670-4F45-9567-BEB5B16C9F9F}" name="Voltagem" dataDxfId="58"/>
    <tableColumn id="5" xr3:uid="{D016CBE5-CAE9-43D8-BDA7-51C54CA2663A}" name="u(V)" dataDxfId="57"/>
    <tableColumn id="3" xr3:uid="{D8270B4F-B072-4BED-8F6B-32BF8798E9F7}" name="Corrente Elétrica" dataDxfId="56" totalsRowDxfId="55"/>
    <tableColumn id="6" xr3:uid="{ADFD343F-0A14-4F6B-B60A-AC165360EBBD}" name="u(I)" dataDxfId="54" totalsRowDxfId="53"/>
    <tableColumn id="4" xr3:uid="{9EAEEDAC-6D0F-473B-A32D-883D869F1ED1}" name="Resistência" totalsRowFunction="count" dataDxfId="52" totalsRowDxfId="51">
      <calculatedColumnFormula>B43/D43</calculatedColumnFormula>
    </tableColumn>
  </tableColumns>
  <tableStyleInfo name="TableStyleLight8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1B89758-6540-410C-9D6E-6615E7F30F73}" name="Tabela515" displayName="Tabela515" ref="A66:F81" headerRowDxfId="50" dataDxfId="49">
  <autoFilter ref="A66:F81" xr:uid="{21B89758-6540-410C-9D6E-6615E7F30F73}"/>
  <tableColumns count="6">
    <tableColumn id="1" xr3:uid="{42A0E4D7-25BB-48A1-879F-59A29E5FDEC0}" name="Numero de Medição" totalsRowLabel="Total" dataDxfId="48" totalsRowDxfId="47"/>
    <tableColumn id="2" xr3:uid="{47CBB6DA-76E3-4208-B8AC-53ED1356227C}" name="V (V)" dataDxfId="46" totalsRowDxfId="45"/>
    <tableColumn id="7" xr3:uid="{339EC1BF-6347-49FE-8C68-674FFE212D24}" name="u(V)" dataDxfId="44" totalsRowDxfId="43"/>
    <tableColumn id="3" xr3:uid="{D546E76A-468E-464B-A2CB-4F07756EC755}" name="I (A)" dataDxfId="42" totalsRowDxfId="41"/>
    <tableColumn id="8" xr3:uid="{26E97079-5B7D-4585-A322-17562E32181D}" name="u(I)" dataDxfId="40" totalsRowDxfId="39"/>
    <tableColumn id="4" xr3:uid="{9B5FBD40-E7C9-4AF1-B58C-93484A227F08}" name="R (Ω)" totalsRowFunction="count" dataDxfId="38" totalsRowDxfId="37">
      <calculatedColumnFormula>B67/D67</calculatedColumnFormula>
    </tableColumn>
  </tableColumns>
  <tableStyleInfo name="TableStyleLight8" showFirstColumn="0" showLastColumn="0" showRowStripes="1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42DD33C-4153-4F72-9A4D-037FCE993F86}" name="Tabela516" displayName="Tabela516" ref="A94:F109" headerRowDxfId="36" dataDxfId="35">
  <autoFilter ref="A94:F109" xr:uid="{A42DD33C-4153-4F72-9A4D-037FCE993F86}"/>
  <tableColumns count="6">
    <tableColumn id="1" xr3:uid="{DA8929B6-8358-4286-BBE7-87E237EAAF4B}" name="Numero de Medição" totalsRowLabel="Total" dataDxfId="34" totalsRowDxfId="33"/>
    <tableColumn id="2" xr3:uid="{AB952BEB-A90E-4961-B158-2A68B404E244}" name="V (V)" dataDxfId="32" totalsRowDxfId="31"/>
    <tableColumn id="5" xr3:uid="{DBBC59F9-D98C-4686-97C1-BEE96C71F346}" name="u(V)" dataDxfId="30" totalsRowDxfId="29"/>
    <tableColumn id="3" xr3:uid="{8245E335-11B5-4743-B73E-528AAAF1A734}" name="I (A)" dataDxfId="28"/>
    <tableColumn id="6" xr3:uid="{7F838851-7F2E-40AB-96BC-7EA7E1DA6457}" name="u(I)" dataDxfId="27"/>
    <tableColumn id="4" xr3:uid="{A7DC4E2F-8B36-4153-B12F-2CB9A0F3C0FE}" name="R (Ω)" totalsRowFunction="count" dataDxfId="26" totalsRowDxfId="25">
      <calculatedColumnFormula>B95/D95</calculatedColumnFormula>
    </tableColumn>
  </tableColumns>
  <tableStyleInfo name="TableStyleLight8" showFirstColumn="0" showLastColumn="0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535E9FF-E56C-4068-8E82-CCB88E5535D2}" name="Tabela517" displayName="Tabela517" ref="A118:F133" headerRowDxfId="24" dataDxfId="23">
  <autoFilter ref="A118:F133" xr:uid="{3535E9FF-E56C-4068-8E82-CCB88E5535D2}"/>
  <tableColumns count="6">
    <tableColumn id="1" xr3:uid="{E5653933-D5F0-40E0-9126-7D5C5E6E076F}" name="Numero de Medição" totalsRowLabel="Total" dataDxfId="22" totalsRowDxfId="21"/>
    <tableColumn id="2" xr3:uid="{4047F096-802D-4A82-8556-4FDCD1CBA596}" name="V (V)" dataDxfId="20"/>
    <tableColumn id="5" xr3:uid="{39BCB85A-98A6-4169-ABBD-53EC7B090C38}" name="u(V)" dataDxfId="19"/>
    <tableColumn id="3" xr3:uid="{6A2E6146-0EF7-407B-BF4F-00BD8FF043CE}" name="I (A)" dataDxfId="18"/>
    <tableColumn id="6" xr3:uid="{527997B1-B87F-41CF-8B06-19A40E1B12DD}" name="u(I)" dataDxfId="17" totalsRowDxfId="16"/>
    <tableColumn id="4" xr3:uid="{5A9E15A7-8097-42C6-A5E9-38F4A78C1117}" name="R (Ω)" totalsRowFunction="count" dataDxfId="15" totalsRowDxfId="14">
      <calculatedColumnFormula>B119/D119</calculatedColumnFormula>
    </tableColumn>
  </tableColumns>
  <tableStyleInfo name="TableStyleLight8" showFirstColumn="0" showLastColumn="0" showRowStripes="1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CC2E761-7EDB-4227-A85C-DDC7184409AF}" name="Tabela518" displayName="Tabela518" ref="A142:F157" headerRowDxfId="13" dataDxfId="12">
  <autoFilter ref="A142:F157" xr:uid="{BCC2E761-7EDB-4227-A85C-DDC7184409AF}"/>
  <tableColumns count="6">
    <tableColumn id="1" xr3:uid="{FF1DBC2D-D6EA-47E0-9253-0394DF3401A6}" name="Numero de Medição" totalsRowLabel="Total" dataDxfId="11" totalsRowDxfId="10"/>
    <tableColumn id="2" xr3:uid="{E8262805-4EA5-4DDE-9F58-1568CDE64B65}" name="V (V)" dataDxfId="9" totalsRowDxfId="8"/>
    <tableColumn id="5" xr3:uid="{A83FC60C-ADB5-4B27-B59A-4BF99A9A0315}" name="u(V)" dataDxfId="7" totalsRowDxfId="6"/>
    <tableColumn id="3" xr3:uid="{4DCE768E-96BA-4F88-9C29-8BC5D79A7E60}" name="I (A)" dataDxfId="5" totalsRowDxfId="4"/>
    <tableColumn id="6" xr3:uid="{FB7AB7EF-F243-4E85-AE65-90CC109B64B6}" name="u(I)" dataDxfId="3" totalsRowDxfId="2"/>
    <tableColumn id="4" xr3:uid="{DC14564C-AA8B-4953-90CB-3874FB98E31D}" name="R (Ω)" totalsRowFunction="count" dataDxfId="1" totalsRowDxfId="0">
      <calculatedColumnFormula>B143/D143</calculatedColumnFormula>
    </tableColumn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703218-B9C9-404B-9527-BE511EBEF28A}">
  <we:reference id="wa104379190" version="2.0.0.0" store="pt-PT" storeType="OMEX"/>
  <we:alternateReferences>
    <we:reference id="wa104379190" version="2.0.0.0" store="WA104379190" storeType="OMEX"/>
  </we:alternateReferences>
  <we:properties/>
  <we:bindings>
    <we:binding id="RangeSelect" type="matrix" appref="{EBF7A827-4287-4B11-A03D-8B56046FE39E}"/>
    <we:binding id="InputY" type="matrix" appref="{EF659F33-B27D-477A-BED5-49EA59CEFAD8}"/>
    <we:binding id="InputX" type="matrix" appref="{1FAC1EA7-7C57-444F-A795-D14AD7B737CD}"/>
    <we:binding id="Output" type="matrix" appref="{5BE6B1A2-8B0E-4A4B-89F6-D17106E225D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9787-5A62-4C9E-A40B-31623266B0E9}">
  <dimension ref="A2:Y161"/>
  <sheetViews>
    <sheetView tabSelected="1" topLeftCell="A3" zoomScaleNormal="100" workbookViewId="0">
      <selection activeCell="I21" sqref="I21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10" max="10" width="9.21875" customWidth="1"/>
    <col min="11" max="11" width="9" bestFit="1" customWidth="1"/>
    <col min="24" max="24" width="11.21875" customWidth="1"/>
    <col min="25" max="25" width="10.6640625" customWidth="1"/>
  </cols>
  <sheetData>
    <row r="2" spans="1:24" x14ac:dyDescent="0.3">
      <c r="A2" s="32" t="s">
        <v>10</v>
      </c>
      <c r="B2" s="32"/>
      <c r="C2" s="32"/>
      <c r="D2" s="32"/>
      <c r="E2" s="32"/>
      <c r="F2" s="32"/>
      <c r="G2" s="32"/>
      <c r="H2" s="32"/>
    </row>
    <row r="3" spans="1:24" x14ac:dyDescent="0.3">
      <c r="A3" s="1" t="s">
        <v>1</v>
      </c>
      <c r="B3" s="30" t="s">
        <v>16</v>
      </c>
      <c r="C3" s="30" t="s">
        <v>17</v>
      </c>
      <c r="D3" s="30" t="s">
        <v>19</v>
      </c>
      <c r="E3" s="30" t="s">
        <v>18</v>
      </c>
      <c r="F3" s="30" t="s">
        <v>20</v>
      </c>
      <c r="G3" s="30" t="s">
        <v>29</v>
      </c>
      <c r="H3" s="30" t="s">
        <v>30</v>
      </c>
      <c r="I3" s="1"/>
      <c r="J3" s="33" t="s">
        <v>31</v>
      </c>
      <c r="K3" s="33"/>
    </row>
    <row r="4" spans="1:24" x14ac:dyDescent="0.3">
      <c r="A4" s="30">
        <v>1</v>
      </c>
      <c r="B4" s="2">
        <v>0.72</v>
      </c>
      <c r="C4" s="5">
        <v>0.01</v>
      </c>
      <c r="D4" s="5">
        <v>1.5375E-3</v>
      </c>
      <c r="E4" s="5">
        <v>9.9999999999999995E-8</v>
      </c>
      <c r="F4" s="5">
        <f t="shared" ref="F4:F18" si="0">B4/D4</f>
        <v>468.29268292682923</v>
      </c>
      <c r="G4" s="2">
        <f>$J$4*Tabela59[[#This Row],[I (A)]]+$K$4</f>
        <v>0.72617972125965391</v>
      </c>
      <c r="H4" s="2">
        <f>Tabela59[[#This Row],[V (V)]]-Tabela59[[#This Row],[Fit]]</f>
        <v>-6.1797212596539364E-3</v>
      </c>
      <c r="I4" s="1"/>
      <c r="J4" s="31" cm="1">
        <f t="array" ref="J4:K8">LINEST(Tabela59[V (V)],Tabela59[I (A)],TRUE,TRUE)</f>
        <v>465.37340754892119</v>
      </c>
      <c r="K4" s="31">
        <v>1.0668107153187556E-2</v>
      </c>
    </row>
    <row r="5" spans="1:24" x14ac:dyDescent="0.3">
      <c r="A5" s="30">
        <v>2</v>
      </c>
      <c r="B5" s="2">
        <v>1</v>
      </c>
      <c r="C5" s="5">
        <v>0.01</v>
      </c>
      <c r="D5" s="5">
        <v>2.1234000000000001E-3</v>
      </c>
      <c r="E5" s="5">
        <v>9.9999999999999995E-8</v>
      </c>
      <c r="F5" s="5">
        <f t="shared" si="0"/>
        <v>470.94282754073652</v>
      </c>
      <c r="G5" s="2">
        <f>$J$4*Tabela59[[#This Row],[I (A)]]+$K$4</f>
        <v>0.9988420007425669</v>
      </c>
      <c r="H5" s="2">
        <f>Tabela59[[#This Row],[V (V)]]-Tabela59[[#This Row],[Fit]]</f>
        <v>1.1579992574330955E-3</v>
      </c>
      <c r="I5" s="1"/>
      <c r="J5" s="31">
        <v>0.50404609178452187</v>
      </c>
      <c r="K5" s="31">
        <v>4.8452268459604148E-3</v>
      </c>
    </row>
    <row r="6" spans="1:24" x14ac:dyDescent="0.3">
      <c r="A6" s="30">
        <v>3</v>
      </c>
      <c r="B6" s="2">
        <v>1.5</v>
      </c>
      <c r="C6" s="5">
        <v>0.01</v>
      </c>
      <c r="D6" s="5">
        <v>3.2039999999999998E-3</v>
      </c>
      <c r="E6" s="5">
        <v>9.9999999999999995E-8</v>
      </c>
      <c r="F6" s="5">
        <f t="shared" si="0"/>
        <v>468.16479400749068</v>
      </c>
      <c r="G6" s="2">
        <f>$J$4*Tabela59[[#This Row],[I (A)]]+$K$4</f>
        <v>1.501724504939931</v>
      </c>
      <c r="H6" s="2">
        <f>Tabela59[[#This Row],[V (V)]]-Tabela59[[#This Row],[Fit]]</f>
        <v>-1.7245049399310375E-3</v>
      </c>
      <c r="I6" s="1"/>
      <c r="J6" s="31">
        <v>0.9999847498503176</v>
      </c>
      <c r="K6" s="31">
        <v>8.8662934058695349E-3</v>
      </c>
    </row>
    <row r="7" spans="1:24" x14ac:dyDescent="0.3">
      <c r="A7" s="30">
        <v>4</v>
      </c>
      <c r="B7" s="2">
        <v>2</v>
      </c>
      <c r="C7" s="5">
        <v>0.01</v>
      </c>
      <c r="D7" s="5">
        <v>4.2433999999999996E-3</v>
      </c>
      <c r="E7" s="5">
        <v>9.9999999999999995E-8</v>
      </c>
      <c r="F7" s="5">
        <f t="shared" si="0"/>
        <v>471.32016778997979</v>
      </c>
      <c r="G7" s="2">
        <f>$J$4*Tabela59[[#This Row],[I (A)]]+$K$4</f>
        <v>1.9854336247462796</v>
      </c>
      <c r="H7" s="2">
        <f>Tabela59[[#This Row],[V (V)]]-Tabela59[[#This Row],[Fit]]</f>
        <v>1.4566375253720398E-2</v>
      </c>
      <c r="I7" s="1"/>
      <c r="J7" s="31">
        <v>852437.6493893984</v>
      </c>
      <c r="K7" s="31">
        <v>13</v>
      </c>
      <c r="L7" s="1"/>
      <c r="M7" s="1"/>
      <c r="N7" s="1"/>
      <c r="O7" s="3"/>
      <c r="P7" s="30"/>
      <c r="Q7" s="3"/>
      <c r="R7" s="3"/>
      <c r="S7" s="3"/>
      <c r="T7" s="3"/>
    </row>
    <row r="8" spans="1:24" x14ac:dyDescent="0.3">
      <c r="A8" s="30">
        <v>5</v>
      </c>
      <c r="B8" s="2">
        <v>2.4500000000000002</v>
      </c>
      <c r="C8" s="5">
        <v>0.01</v>
      </c>
      <c r="D8" s="5">
        <v>5.2564999999999999E-3</v>
      </c>
      <c r="E8" s="5">
        <v>9.9999999999999995E-8</v>
      </c>
      <c r="F8" s="5">
        <f t="shared" si="0"/>
        <v>466.08960334823558</v>
      </c>
      <c r="G8" s="2">
        <f>$J$4*Tabela59[[#This Row],[I (A)]]+$K$4</f>
        <v>2.4569034239340919</v>
      </c>
      <c r="H8" s="2">
        <f>Tabela59[[#This Row],[V (V)]]-Tabela59[[#This Row],[Fit]]</f>
        <v>-6.9034239340917125E-3</v>
      </c>
      <c r="I8" s="1"/>
      <c r="J8" s="31">
        <v>67.011111388269455</v>
      </c>
      <c r="K8" s="31">
        <v>1.0219450638665529E-3</v>
      </c>
      <c r="L8" s="1"/>
      <c r="M8" s="1"/>
      <c r="N8" s="1"/>
    </row>
    <row r="9" spans="1:24" x14ac:dyDescent="0.3">
      <c r="A9" s="30">
        <v>6</v>
      </c>
      <c r="B9" s="2">
        <v>2.92</v>
      </c>
      <c r="C9" s="5">
        <v>0.01</v>
      </c>
      <c r="D9" s="5">
        <v>6.2399999999999999E-3</v>
      </c>
      <c r="E9" s="5">
        <v>9.9999999999999995E-8</v>
      </c>
      <c r="F9" s="5">
        <f t="shared" si="0"/>
        <v>467.94871794871796</v>
      </c>
      <c r="G9" s="2">
        <f>$J$4*Tabela59[[#This Row],[I (A)]]+$K$4</f>
        <v>2.9145981702584556</v>
      </c>
      <c r="H9" s="2">
        <f>Tabela59[[#This Row],[V (V)]]-Tabela59[[#This Row],[Fit]]</f>
        <v>5.4018297415443506E-3</v>
      </c>
      <c r="I9" s="1"/>
      <c r="J9" s="1"/>
      <c r="K9" s="4"/>
      <c r="L9" s="1"/>
      <c r="M9" s="1"/>
      <c r="N9" s="1"/>
    </row>
    <row r="10" spans="1:24" x14ac:dyDescent="0.3">
      <c r="A10" s="30">
        <v>7</v>
      </c>
      <c r="B10" s="2">
        <v>3.4</v>
      </c>
      <c r="C10" s="5">
        <v>0.01</v>
      </c>
      <c r="D10" s="5">
        <v>7.2886000000000001E-3</v>
      </c>
      <c r="E10" s="5">
        <v>9.9999999999999995E-8</v>
      </c>
      <c r="F10" s="5">
        <f t="shared" si="0"/>
        <v>466.48190324616525</v>
      </c>
      <c r="G10" s="2">
        <f>$J$4*Tabela59[[#This Row],[I (A)]]+$K$4</f>
        <v>3.4025887254142546</v>
      </c>
      <c r="H10" s="2">
        <f>Tabela59[[#This Row],[V (V)]]-Tabela59[[#This Row],[Fit]]</f>
        <v>-2.5887254142547E-3</v>
      </c>
      <c r="I10" s="1"/>
      <c r="J10" s="1"/>
      <c r="K10" s="4"/>
    </row>
    <row r="11" spans="1:24" x14ac:dyDescent="0.3">
      <c r="A11" s="30">
        <v>8</v>
      </c>
      <c r="B11" s="2">
        <v>3.87</v>
      </c>
      <c r="C11" s="5">
        <v>0.01</v>
      </c>
      <c r="D11" s="5">
        <v>8.2874999999999997E-3</v>
      </c>
      <c r="E11" s="5">
        <v>9.9999999999999995E-8</v>
      </c>
      <c r="F11" s="5">
        <f t="shared" si="0"/>
        <v>466.96832579185525</v>
      </c>
      <c r="G11" s="2">
        <f>$J$4*Tabela59[[#This Row],[I (A)]]+$K$4</f>
        <v>3.8674502222148717</v>
      </c>
      <c r="H11" s="2">
        <f>Tabela59[[#This Row],[V (V)]]-Tabela59[[#This Row],[Fit]]</f>
        <v>2.5497777851284376E-3</v>
      </c>
      <c r="I11" s="1"/>
      <c r="J11" s="23" t="s">
        <v>3</v>
      </c>
      <c r="K11" s="23"/>
      <c r="L11" s="23"/>
      <c r="M11" s="24">
        <v>0.01</v>
      </c>
    </row>
    <row r="12" spans="1:24" x14ac:dyDescent="0.3">
      <c r="A12" s="30">
        <v>9</v>
      </c>
      <c r="B12" s="2">
        <v>4.41</v>
      </c>
      <c r="C12" s="5">
        <v>0.01</v>
      </c>
      <c r="D12" s="5">
        <v>9.4865000000000001E-3</v>
      </c>
      <c r="E12" s="5">
        <v>9.9999999999999995E-8</v>
      </c>
      <c r="F12" s="5">
        <f t="shared" si="0"/>
        <v>464.87113266220422</v>
      </c>
      <c r="G12" s="2">
        <f>$J$4*Tabela59[[#This Row],[I (A)]]+$K$4</f>
        <v>4.4254329378660282</v>
      </c>
      <c r="H12" s="2">
        <f>Tabela59[[#This Row],[V (V)]]-Tabela59[[#This Row],[Fit]]</f>
        <v>-1.5432937866028063E-2</v>
      </c>
      <c r="I12" s="1"/>
      <c r="J12" s="23" t="s">
        <v>27</v>
      </c>
      <c r="K12" s="23"/>
      <c r="L12" s="23"/>
      <c r="M12" s="24">
        <v>9.9999999999999995E-8</v>
      </c>
    </row>
    <row r="13" spans="1:24" x14ac:dyDescent="0.3">
      <c r="A13" s="30">
        <v>10</v>
      </c>
      <c r="B13" s="2">
        <v>4.8600000000000003</v>
      </c>
      <c r="C13" s="5">
        <v>0.01</v>
      </c>
      <c r="D13" s="5">
        <v>1.04273E-2</v>
      </c>
      <c r="E13" s="5">
        <v>9.9999999999999995E-8</v>
      </c>
      <c r="F13" s="5">
        <f t="shared" si="0"/>
        <v>466.08422122697152</v>
      </c>
      <c r="G13" s="2">
        <f>$J$4*Tabela59[[#This Row],[I (A)]]+$K$4</f>
        <v>4.8632562396880541</v>
      </c>
      <c r="H13" s="2">
        <f>Tabela59[[#This Row],[V (V)]]-Tabela59[[#This Row],[Fit]]</f>
        <v>-3.2562396880537747E-3</v>
      </c>
      <c r="I13" s="1"/>
      <c r="J13" s="34"/>
      <c r="K13" s="35"/>
      <c r="L13" s="35"/>
      <c r="M13" s="36"/>
      <c r="U13" s="28"/>
      <c r="V13" s="28"/>
      <c r="W13" s="28"/>
      <c r="X13" s="28"/>
    </row>
    <row r="14" spans="1:24" x14ac:dyDescent="0.3">
      <c r="A14" s="30">
        <v>11</v>
      </c>
      <c r="B14" s="2">
        <v>5.41</v>
      </c>
      <c r="C14" s="5">
        <v>0.01</v>
      </c>
      <c r="D14" s="5">
        <v>1.1560000000000001E-2</v>
      </c>
      <c r="E14" s="5">
        <v>4.0000000000000003E-5</v>
      </c>
      <c r="F14" s="5">
        <f t="shared" si="0"/>
        <v>467.99307958477505</v>
      </c>
      <c r="G14" s="2">
        <f>$J$4*Tabela59[[#This Row],[I (A)]]+$K$4</f>
        <v>5.3903846984187167</v>
      </c>
      <c r="H14" s="2">
        <f>Tabela59[[#This Row],[V (V)]]-Tabela59[[#This Row],[Fit]]</f>
        <v>1.961530158128344E-2</v>
      </c>
      <c r="I14" s="1"/>
      <c r="J14" s="23" t="s">
        <v>25</v>
      </c>
      <c r="K14" s="23"/>
      <c r="L14" s="23"/>
      <c r="M14" s="24">
        <v>470</v>
      </c>
    </row>
    <row r="15" spans="1:24" x14ac:dyDescent="0.3">
      <c r="A15" s="30">
        <v>12</v>
      </c>
      <c r="B15" s="2">
        <v>5.95</v>
      </c>
      <c r="C15" s="5">
        <v>0.01</v>
      </c>
      <c r="D15" s="5">
        <v>1.2766E-2</v>
      </c>
      <c r="E15" s="5">
        <v>9.9999999999999995E-7</v>
      </c>
      <c r="F15" s="5">
        <f t="shared" si="0"/>
        <v>466.08177972740094</v>
      </c>
      <c r="G15" s="2">
        <f>$J$4*Tabela59[[#This Row],[I (A)]]+$K$4</f>
        <v>5.9516250279227156</v>
      </c>
      <c r="H15" s="2">
        <f>Tabela59[[#This Row],[V (V)]]-Tabela59[[#This Row],[Fit]]</f>
        <v>-1.6250279227154607E-3</v>
      </c>
      <c r="I15" s="1"/>
      <c r="J15" s="34"/>
      <c r="K15" s="35"/>
      <c r="L15" s="35"/>
      <c r="M15" s="36"/>
    </row>
    <row r="16" spans="1:24" x14ac:dyDescent="0.3">
      <c r="A16" s="30">
        <v>13</v>
      </c>
      <c r="B16" s="2">
        <v>6.43</v>
      </c>
      <c r="C16" s="5">
        <v>0.01</v>
      </c>
      <c r="D16" s="5">
        <v>1.3806000000000001E-2</v>
      </c>
      <c r="E16" s="5" t="s">
        <v>21</v>
      </c>
      <c r="F16" s="5">
        <f t="shared" si="0"/>
        <v>465.73953353614365</v>
      </c>
      <c r="G16" s="2">
        <f>$J$4*Tabela59[[#This Row],[I (A)]]+$K$4</f>
        <v>6.4356133717735942</v>
      </c>
      <c r="H16" s="2">
        <f>Tabela59[[#This Row],[V (V)]]-Tabela59[[#This Row],[Fit]]</f>
        <v>-5.6133717735944444E-3</v>
      </c>
      <c r="I16" s="1"/>
      <c r="J16" s="23" t="s">
        <v>4</v>
      </c>
      <c r="K16" s="23"/>
      <c r="L16" s="23"/>
      <c r="M16" s="24">
        <f>SQRT(((1/D20)*B22)^2+(-(B20/(D20^2))*D22)^2)</f>
        <v>115.64457411168775</v>
      </c>
    </row>
    <row r="17" spans="1:15" x14ac:dyDescent="0.3">
      <c r="A17" s="30">
        <v>14</v>
      </c>
      <c r="B17" s="2">
        <v>6.93</v>
      </c>
      <c r="C17" s="5">
        <v>0.01</v>
      </c>
      <c r="D17" s="5">
        <v>1.4873000000000001E-2</v>
      </c>
      <c r="E17" s="5" t="s">
        <v>32</v>
      </c>
      <c r="F17" s="5">
        <f t="shared" si="0"/>
        <v>465.9450010085389</v>
      </c>
      <c r="G17" s="2">
        <f>$J$4*Tabela59[[#This Row],[I (A)]]+$K$4</f>
        <v>6.9321667976282928</v>
      </c>
      <c r="H17" s="2">
        <f>Tabela59[[#This Row],[V (V)]]-Tabela59[[#This Row],[Fit]]</f>
        <v>-2.1667976282930823E-3</v>
      </c>
      <c r="I17" s="1"/>
      <c r="J17" s="34"/>
      <c r="K17" s="35"/>
      <c r="L17" s="35"/>
      <c r="M17" s="36"/>
    </row>
    <row r="18" spans="1:15" x14ac:dyDescent="0.3">
      <c r="A18" s="30">
        <v>15</v>
      </c>
      <c r="B18" s="2">
        <v>7.45</v>
      </c>
      <c r="C18" s="5">
        <v>0.01</v>
      </c>
      <c r="D18" s="5">
        <v>1.5980999999999999E-2</v>
      </c>
      <c r="E18" s="5">
        <v>9.9999999999999995E-7</v>
      </c>
      <c r="F18" s="5">
        <f t="shared" si="0"/>
        <v>466.17858707214822</v>
      </c>
      <c r="G18" s="2">
        <f>$J$4*Tabela59[[#This Row],[I (A)]]+$K$4</f>
        <v>7.4478005331924964</v>
      </c>
      <c r="H18" s="2">
        <f>Tabela59[[#This Row],[V (V)]]-Tabela59[[#This Row],[Fit]]</f>
        <v>2.1994668075038248E-3</v>
      </c>
      <c r="I18" s="1"/>
      <c r="J18" s="23" t="s">
        <v>22</v>
      </c>
      <c r="K18" s="23"/>
      <c r="L18" s="23"/>
      <c r="M18" s="24">
        <f>SLOPE(Tabela59[V (V)],Tabela59[I (A)])</f>
        <v>465.37340754892131</v>
      </c>
    </row>
    <row r="19" spans="1:15" x14ac:dyDescent="0.3">
      <c r="A19" s="1"/>
      <c r="B19" s="1"/>
      <c r="C19" s="1"/>
      <c r="D19" s="1"/>
      <c r="E19" s="1"/>
      <c r="J19" s="34"/>
      <c r="K19" s="35"/>
      <c r="L19" s="35"/>
      <c r="M19" s="36"/>
    </row>
    <row r="20" spans="1:15" x14ac:dyDescent="0.3">
      <c r="A20" s="29" t="s">
        <v>6</v>
      </c>
      <c r="B20" s="19">
        <f>AVERAGE(B4:B18)</f>
        <v>3.9533333333333336</v>
      </c>
      <c r="C20" s="20"/>
      <c r="D20" s="21">
        <f>AVERAGE(D4:D18)</f>
        <v>8.4720466666666668E-3</v>
      </c>
      <c r="E20" s="22"/>
      <c r="F20" s="21">
        <f>AVERAGE(F4:F18)</f>
        <v>467.27349049454619</v>
      </c>
      <c r="J20" s="23" t="s">
        <v>23</v>
      </c>
      <c r="K20" s="23"/>
      <c r="L20" s="23"/>
      <c r="M20" s="25">
        <f>ABS((M14-M18)/M14)</f>
        <v>9.8438137256993477E-3</v>
      </c>
    </row>
    <row r="21" spans="1:15" x14ac:dyDescent="0.3">
      <c r="A21" s="29" t="s">
        <v>7</v>
      </c>
      <c r="B21" s="19">
        <f>STDEVA(B4:B18)</f>
        <v>2.187825622023142</v>
      </c>
      <c r="C21" s="20"/>
      <c r="D21" s="21">
        <f>STDEVA(D4:D18)</f>
        <v>4.7011902788954372E-3</v>
      </c>
      <c r="E21" s="22"/>
      <c r="F21" s="21">
        <f>STDEVA(F4:F18)</f>
        <v>1.8649100465002957</v>
      </c>
      <c r="J21" s="26" t="s">
        <v>24</v>
      </c>
      <c r="K21" s="26"/>
      <c r="L21" s="26"/>
      <c r="M21" s="27">
        <f>ABS((M14-F20)/M14)</f>
        <v>5.8010840541570319E-3</v>
      </c>
    </row>
    <row r="22" spans="1:15" x14ac:dyDescent="0.3">
      <c r="A22" s="29" t="s">
        <v>8</v>
      </c>
      <c r="B22" s="19">
        <f>B21/SQRT(10)</f>
        <v>0.69185120888677698</v>
      </c>
      <c r="C22" s="20"/>
      <c r="D22" s="21">
        <f>D21/SQRT(10)</f>
        <v>1.4866468995151792E-3</v>
      </c>
      <c r="E22" s="22"/>
      <c r="F22" s="21">
        <f t="shared" ref="F22" si="1">F21/SQRT(10)</f>
        <v>0.58973633782714585</v>
      </c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30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 t="s">
        <v>3</v>
      </c>
      <c r="W36" s="1"/>
      <c r="X36" s="1"/>
      <c r="Y36" s="6">
        <v>0.01</v>
      </c>
    </row>
    <row r="37" spans="1:25" x14ac:dyDescent="0.3">
      <c r="I37" s="4"/>
      <c r="V37" s="1" t="s">
        <v>27</v>
      </c>
      <c r="W37" s="1"/>
      <c r="X37" s="1"/>
      <c r="Y37" s="6">
        <v>9.9999999999999995E-7</v>
      </c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 t="s">
        <v>25</v>
      </c>
      <c r="W40" s="1"/>
      <c r="X40" s="1"/>
      <c r="Y40" s="6">
        <v>10000</v>
      </c>
    </row>
    <row r="41" spans="1:25" x14ac:dyDescent="0.3">
      <c r="A41" s="32" t="s">
        <v>9</v>
      </c>
      <c r="B41" s="32"/>
      <c r="C41" s="32"/>
      <c r="D41" s="32"/>
      <c r="E41" s="32"/>
      <c r="F41" s="32"/>
      <c r="I41" s="4"/>
      <c r="Y41" s="6"/>
    </row>
    <row r="42" spans="1:25" x14ac:dyDescent="0.3">
      <c r="A42" s="1" t="s">
        <v>1</v>
      </c>
      <c r="B42" s="1" t="s">
        <v>0</v>
      </c>
      <c r="C42" s="1" t="s">
        <v>17</v>
      </c>
      <c r="D42" s="1" t="s">
        <v>2</v>
      </c>
      <c r="E42" s="1" t="s">
        <v>18</v>
      </c>
      <c r="F42" s="1" t="s">
        <v>5</v>
      </c>
      <c r="I42" s="4"/>
      <c r="V42" s="1" t="s">
        <v>26</v>
      </c>
      <c r="W42" s="1"/>
      <c r="X42" s="1"/>
      <c r="Y42" s="6">
        <f>SQRT(((1/D59)*B61)^2+(-(B59/(D59^2))*D61)^2)</f>
        <v>2275.6957077765142</v>
      </c>
    </row>
    <row r="43" spans="1:25" x14ac:dyDescent="0.3">
      <c r="A43" s="30">
        <v>1</v>
      </c>
      <c r="B43" s="2">
        <v>0.78</v>
      </c>
      <c r="C43" s="14">
        <v>1E-3</v>
      </c>
      <c r="D43" s="14">
        <v>8.0000000000000007E-5</v>
      </c>
      <c r="E43" s="14">
        <v>9.9999999999999995E-7</v>
      </c>
      <c r="F43" s="14">
        <f t="shared" ref="F43:F57" si="2">B43/D43</f>
        <v>9750</v>
      </c>
      <c r="Y43" s="6"/>
    </row>
    <row r="44" spans="1:25" x14ac:dyDescent="0.3">
      <c r="A44" s="30">
        <v>2</v>
      </c>
      <c r="B44" s="2">
        <v>1.22</v>
      </c>
      <c r="C44" s="14">
        <v>1E-3</v>
      </c>
      <c r="D44" s="14">
        <v>1.2999999999999999E-4</v>
      </c>
      <c r="E44" s="14">
        <v>9.9999999999999995E-7</v>
      </c>
      <c r="F44" s="14">
        <f t="shared" si="2"/>
        <v>9384.6153846153848</v>
      </c>
      <c r="V44" s="1" t="s">
        <v>22</v>
      </c>
      <c r="W44" s="1"/>
      <c r="X44" s="1"/>
      <c r="Y44" s="6">
        <f>SLOPE(Tabela51310[Voltagem],Tabela51310[Corrente Elétrica])</f>
        <v>10104.290262959435</v>
      </c>
    </row>
    <row r="45" spans="1:25" x14ac:dyDescent="0.3">
      <c r="A45" s="30">
        <v>3</v>
      </c>
      <c r="B45" s="2">
        <v>2.36</v>
      </c>
      <c r="C45" s="14">
        <v>1E-3</v>
      </c>
      <c r="D45" s="14">
        <v>2.3699999999999999E-4</v>
      </c>
      <c r="E45" s="14">
        <v>9.9999999999999995E-7</v>
      </c>
      <c r="F45" s="14">
        <f t="shared" si="2"/>
        <v>9957.8059071729949</v>
      </c>
      <c r="V45" s="1"/>
      <c r="W45" s="1"/>
      <c r="X45" s="1"/>
    </row>
    <row r="46" spans="1:25" x14ac:dyDescent="0.3">
      <c r="A46" s="30">
        <v>4</v>
      </c>
      <c r="B46" s="2">
        <v>3.48</v>
      </c>
      <c r="C46" s="14">
        <v>1E-3</v>
      </c>
      <c r="D46" s="14">
        <v>3.48E-4</v>
      </c>
      <c r="E46" s="14">
        <v>9.9999999999999995E-7</v>
      </c>
      <c r="F46" s="14">
        <f t="shared" si="2"/>
        <v>10000</v>
      </c>
      <c r="V46" s="1" t="s">
        <v>23</v>
      </c>
      <c r="W46" s="1"/>
      <c r="X46" s="1"/>
      <c r="Y46" s="10">
        <f>ABS((Y40-Y44)/Y40)</f>
        <v>1.042902629594355E-2</v>
      </c>
    </row>
    <row r="47" spans="1:25" x14ac:dyDescent="0.3">
      <c r="A47" s="30">
        <v>5</v>
      </c>
      <c r="B47" s="2">
        <v>4.25</v>
      </c>
      <c r="C47" s="14">
        <v>1E-3</v>
      </c>
      <c r="D47" s="14">
        <v>4.2400000000000001E-4</v>
      </c>
      <c r="E47" s="14">
        <v>9.9999999999999995E-7</v>
      </c>
      <c r="F47" s="14">
        <f t="shared" si="2"/>
        <v>10023.584905660377</v>
      </c>
      <c r="V47" s="12" t="s">
        <v>24</v>
      </c>
      <c r="W47" s="12"/>
      <c r="X47" s="12"/>
      <c r="Y47" s="11">
        <f>ABS((Y40-F59)/Y40)</f>
        <v>1.3978027113196732E-3</v>
      </c>
    </row>
    <row r="48" spans="1:25" x14ac:dyDescent="0.3">
      <c r="A48" s="30">
        <v>6</v>
      </c>
      <c r="B48" s="2">
        <v>5.34</v>
      </c>
      <c r="C48" s="14">
        <v>1E-3</v>
      </c>
      <c r="D48" s="14">
        <v>5.3700000000000004E-4</v>
      </c>
      <c r="E48" s="14">
        <v>9.9999999999999995E-7</v>
      </c>
      <c r="F48" s="14">
        <f t="shared" si="2"/>
        <v>9944.1340782122898</v>
      </c>
    </row>
    <row r="49" spans="1:25" x14ac:dyDescent="0.3">
      <c r="A49" s="30">
        <v>7</v>
      </c>
      <c r="B49" s="2">
        <v>5.99</v>
      </c>
      <c r="C49" s="14">
        <v>1E-3</v>
      </c>
      <c r="D49" s="14">
        <v>5.5999999999999995E-4</v>
      </c>
      <c r="E49" s="14">
        <v>9.9999999999999995E-7</v>
      </c>
      <c r="F49" s="14">
        <f t="shared" si="2"/>
        <v>10696.428571428572</v>
      </c>
    </row>
    <row r="50" spans="1:25" x14ac:dyDescent="0.3">
      <c r="A50" s="30">
        <v>8</v>
      </c>
      <c r="B50" s="2">
        <v>6.81</v>
      </c>
      <c r="C50" s="14">
        <v>1E-3</v>
      </c>
      <c r="D50" s="14">
        <v>6.78E-4</v>
      </c>
      <c r="E50" s="14">
        <v>9.9999999999999995E-7</v>
      </c>
      <c r="F50" s="14">
        <f t="shared" si="2"/>
        <v>10044.247787610619</v>
      </c>
    </row>
    <row r="51" spans="1:25" x14ac:dyDescent="0.3">
      <c r="A51" s="30">
        <v>9</v>
      </c>
      <c r="B51" s="2">
        <v>7.38</v>
      </c>
      <c r="C51" s="14">
        <v>1E-3</v>
      </c>
      <c r="D51" s="14">
        <v>7.3399999999999995E-4</v>
      </c>
      <c r="E51" s="14">
        <v>9.9999999999999995E-7</v>
      </c>
      <c r="F51" s="14">
        <f t="shared" si="2"/>
        <v>10054.49591280654</v>
      </c>
      <c r="I51" s="1"/>
      <c r="V51" s="1" t="s">
        <v>3</v>
      </c>
      <c r="W51" s="1"/>
      <c r="X51" s="1"/>
      <c r="Y51" s="6">
        <v>0.01</v>
      </c>
    </row>
    <row r="52" spans="1:25" x14ac:dyDescent="0.3">
      <c r="A52" s="30">
        <v>10</v>
      </c>
      <c r="B52" s="2">
        <v>7.95</v>
      </c>
      <c r="C52" s="14">
        <v>1E-3</v>
      </c>
      <c r="D52" s="14">
        <v>7.9100000000000004E-4</v>
      </c>
      <c r="E52" s="14">
        <v>9.9999999999999995E-7</v>
      </c>
      <c r="F52" s="14">
        <f t="shared" si="2"/>
        <v>10050.568900126422</v>
      </c>
      <c r="I52" s="4"/>
      <c r="V52" s="1" t="s">
        <v>27</v>
      </c>
      <c r="W52" s="1"/>
      <c r="X52" s="1"/>
      <c r="Y52" s="6">
        <v>1E-4</v>
      </c>
    </row>
    <row r="53" spans="1:25" x14ac:dyDescent="0.3">
      <c r="A53" s="30">
        <v>11</v>
      </c>
      <c r="B53" s="2">
        <v>8.24</v>
      </c>
      <c r="C53" s="14">
        <v>1E-3</v>
      </c>
      <c r="D53" s="14">
        <v>8.1899999999999996E-4</v>
      </c>
      <c r="E53" s="14">
        <v>9.9999999999999995E-7</v>
      </c>
      <c r="F53" s="14">
        <f t="shared" si="2"/>
        <v>10061.050061050062</v>
      </c>
      <c r="I53" s="4"/>
      <c r="Y53" s="6"/>
    </row>
    <row r="54" spans="1:25" x14ac:dyDescent="0.3">
      <c r="A54" s="30">
        <v>12</v>
      </c>
      <c r="B54" s="2">
        <v>8.9</v>
      </c>
      <c r="C54" s="14">
        <v>1E-3</v>
      </c>
      <c r="D54" s="14">
        <v>8.8500000000000004E-4</v>
      </c>
      <c r="E54" s="14">
        <v>9.9999999999999995E-7</v>
      </c>
      <c r="F54" s="14">
        <f t="shared" si="2"/>
        <v>10056.497175141243</v>
      </c>
      <c r="I54" s="4"/>
      <c r="Y54" s="6"/>
    </row>
    <row r="55" spans="1:25" x14ac:dyDescent="0.3">
      <c r="A55" s="30">
        <v>13</v>
      </c>
      <c r="B55" s="2">
        <v>9.44</v>
      </c>
      <c r="C55" s="14">
        <v>1E-3</v>
      </c>
      <c r="D55" s="14">
        <v>9.3800000000000003E-4</v>
      </c>
      <c r="E55" s="14">
        <v>9.9999999999999995E-7</v>
      </c>
      <c r="F55" s="14">
        <f t="shared" si="2"/>
        <v>10063.965884861407</v>
      </c>
      <c r="I55" s="4"/>
      <c r="J55" s="1"/>
      <c r="K55" s="1"/>
      <c r="L55" s="1"/>
      <c r="M55" s="3"/>
      <c r="N55" s="30"/>
      <c r="O55" s="3"/>
      <c r="V55" s="1" t="s">
        <v>25</v>
      </c>
      <c r="W55" s="1"/>
      <c r="X55" s="1"/>
      <c r="Y55" s="6">
        <v>6800000</v>
      </c>
    </row>
    <row r="56" spans="1:25" x14ac:dyDescent="0.3">
      <c r="A56" s="30">
        <v>14</v>
      </c>
      <c r="B56" s="2">
        <v>9.77</v>
      </c>
      <c r="C56" s="14">
        <v>1E-3</v>
      </c>
      <c r="D56" s="14">
        <v>9.7099999999999997E-4</v>
      </c>
      <c r="E56" s="14">
        <v>9.9999999999999995E-7</v>
      </c>
      <c r="F56" s="14">
        <f t="shared" si="2"/>
        <v>10061.791967044284</v>
      </c>
      <c r="I56" s="4"/>
      <c r="J56" s="1"/>
      <c r="K56" s="1"/>
      <c r="L56" s="1"/>
      <c r="Y56" s="6"/>
    </row>
    <row r="57" spans="1:25" x14ac:dyDescent="0.3">
      <c r="A57" s="30">
        <v>15</v>
      </c>
      <c r="B57" s="2">
        <v>9.98</v>
      </c>
      <c r="C57" s="14">
        <v>1E-3</v>
      </c>
      <c r="D57" s="14">
        <v>9.9200000000000004E-4</v>
      </c>
      <c r="E57" s="14">
        <v>9.9999999999999995E-7</v>
      </c>
      <c r="F57" s="14">
        <f t="shared" si="2"/>
        <v>10060.483870967742</v>
      </c>
      <c r="I57" s="4"/>
      <c r="J57" s="1"/>
      <c r="K57" s="1"/>
      <c r="L57" s="1"/>
      <c r="V57" s="1" t="s">
        <v>4</v>
      </c>
      <c r="W57" s="1"/>
      <c r="X57" s="1"/>
      <c r="Y57" s="6">
        <f>SQRT(((1/D83)*B85)^2+(-(B83/(D83^2))*D85)^2)</f>
        <v>641862.27200783929</v>
      </c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30" t="s">
        <v>6</v>
      </c>
      <c r="B59" s="2">
        <f>AVERAGE(B43:B57)</f>
        <v>6.1260000000000003</v>
      </c>
      <c r="C59" s="2"/>
      <c r="D59" s="5">
        <f>AVERAGE(D43:D57)</f>
        <v>6.0826666666666663E-4</v>
      </c>
      <c r="E59" s="4"/>
      <c r="F59" s="5">
        <f>AVERAGE(F43:F57)</f>
        <v>10013.978027113197</v>
      </c>
      <c r="I59" s="4"/>
      <c r="V59" s="1" t="s">
        <v>22</v>
      </c>
      <c r="W59" s="1"/>
      <c r="X59" s="1"/>
      <c r="Y59" s="6">
        <f>SLOPE(Tabela51511[V (V)],Tabela51511[I (A)])</f>
        <v>4175199.6242367299</v>
      </c>
    </row>
    <row r="60" spans="1:25" x14ac:dyDescent="0.3">
      <c r="A60" s="30" t="s">
        <v>7</v>
      </c>
      <c r="B60" s="2">
        <f>STDEVA(B43:B57)</f>
        <v>3.1010869062314277</v>
      </c>
      <c r="C60" s="2"/>
      <c r="D60" s="5">
        <f>STDEVA(D43:D57)</f>
        <v>3.0675128749681294E-4</v>
      </c>
      <c r="E60" s="4"/>
      <c r="F60" s="5">
        <f>STDEVA(F43:F57)</f>
        <v>261.13897472485797</v>
      </c>
      <c r="I60" s="4"/>
      <c r="V60" s="1"/>
      <c r="W60" s="1"/>
      <c r="X60" s="1"/>
    </row>
    <row r="61" spans="1:25" x14ac:dyDescent="0.3">
      <c r="A61" s="30" t="s">
        <v>8</v>
      </c>
      <c r="B61" s="2">
        <f>B60/SQRT(10)</f>
        <v>0.98064978458163166</v>
      </c>
      <c r="C61" s="2"/>
      <c r="D61" s="5">
        <f t="shared" ref="D61:F61" si="3">D60/SQRT(10)</f>
        <v>9.7003274367905937E-5</v>
      </c>
      <c r="E61" s="4"/>
      <c r="F61" s="5">
        <f t="shared" si="3"/>
        <v>82.57939459716934</v>
      </c>
      <c r="I61" s="4"/>
      <c r="V61" s="1" t="s">
        <v>23</v>
      </c>
      <c r="W61" s="1"/>
      <c r="X61" s="1"/>
      <c r="Y61" s="10">
        <f>((Y55-Y59)/Y55)</f>
        <v>0.38600005525930442</v>
      </c>
    </row>
    <row r="62" spans="1:25" x14ac:dyDescent="0.3">
      <c r="I62" s="4"/>
      <c r="V62" s="12" t="s">
        <v>24</v>
      </c>
      <c r="W62" s="12"/>
      <c r="X62" s="12"/>
      <c r="Y62" s="11">
        <f>(Y55-F83)/Y55</f>
        <v>0.50075181452214323</v>
      </c>
    </row>
    <row r="63" spans="1:25" x14ac:dyDescent="0.3">
      <c r="I63" s="4"/>
    </row>
    <row r="64" spans="1:25" x14ac:dyDescent="0.3">
      <c r="I64" s="4"/>
    </row>
    <row r="65" spans="1:25" x14ac:dyDescent="0.3">
      <c r="A65" s="30" t="s">
        <v>13</v>
      </c>
      <c r="B65" s="30"/>
      <c r="C65" s="30"/>
      <c r="D65" s="30"/>
      <c r="E65" s="30"/>
      <c r="F65" s="30"/>
      <c r="I65" s="4"/>
    </row>
    <row r="66" spans="1:25" x14ac:dyDescent="0.3">
      <c r="A66" s="1" t="s">
        <v>1</v>
      </c>
      <c r="B66" s="30" t="s">
        <v>16</v>
      </c>
      <c r="C66" s="30" t="s">
        <v>17</v>
      </c>
      <c r="D66" s="30" t="s">
        <v>19</v>
      </c>
      <c r="E66" s="30" t="s">
        <v>18</v>
      </c>
      <c r="F66" s="30" t="s">
        <v>20</v>
      </c>
      <c r="I66" s="4"/>
    </row>
    <row r="67" spans="1:25" x14ac:dyDescent="0.3">
      <c r="A67" s="30">
        <v>1</v>
      </c>
      <c r="B67" s="2">
        <v>1.68</v>
      </c>
      <c r="C67" s="5">
        <v>0.01</v>
      </c>
      <c r="D67" s="5">
        <v>6.9999999999999997E-7</v>
      </c>
      <c r="E67" s="5">
        <v>1E-4</v>
      </c>
      <c r="F67" s="5">
        <f t="shared" ref="F67:F81" si="4">B67/D67</f>
        <v>2400000</v>
      </c>
    </row>
    <row r="68" spans="1:25" x14ac:dyDescent="0.3">
      <c r="A68" s="30">
        <v>2</v>
      </c>
      <c r="B68" s="2">
        <v>2.52</v>
      </c>
      <c r="C68" s="5">
        <v>0.01</v>
      </c>
      <c r="D68" s="5">
        <v>8.9999999999999996E-7</v>
      </c>
      <c r="E68" s="5">
        <v>1E-4</v>
      </c>
      <c r="F68" s="5">
        <f t="shared" si="4"/>
        <v>2800000</v>
      </c>
    </row>
    <row r="69" spans="1:25" x14ac:dyDescent="0.3">
      <c r="A69" s="30">
        <v>3</v>
      </c>
      <c r="B69" s="2">
        <v>2.91</v>
      </c>
      <c r="C69" s="5">
        <v>0.01</v>
      </c>
      <c r="D69" s="5">
        <v>9.9999999999999995E-7</v>
      </c>
      <c r="E69" s="5">
        <v>1E-4</v>
      </c>
      <c r="F69" s="5">
        <f t="shared" si="4"/>
        <v>2910000.0000000005</v>
      </c>
    </row>
    <row r="70" spans="1:25" x14ac:dyDescent="0.3">
      <c r="A70" s="30">
        <v>4</v>
      </c>
      <c r="B70" s="2">
        <v>3.6</v>
      </c>
      <c r="C70" s="5">
        <v>0.01</v>
      </c>
      <c r="D70" s="5">
        <v>1.1000000000000001E-6</v>
      </c>
      <c r="E70" s="5">
        <v>1E-4</v>
      </c>
      <c r="F70" s="5">
        <f t="shared" si="4"/>
        <v>3272727.2727272725</v>
      </c>
    </row>
    <row r="71" spans="1:25" x14ac:dyDescent="0.3">
      <c r="A71" s="30">
        <v>5</v>
      </c>
      <c r="B71" s="2">
        <v>4.45</v>
      </c>
      <c r="C71" s="5">
        <v>0.01</v>
      </c>
      <c r="D71" s="5">
        <v>1.3E-6</v>
      </c>
      <c r="E71" s="5">
        <v>1E-4</v>
      </c>
      <c r="F71" s="5">
        <f t="shared" si="4"/>
        <v>3423076.923076923</v>
      </c>
    </row>
    <row r="72" spans="1:25" x14ac:dyDescent="0.3">
      <c r="A72" s="30">
        <v>6</v>
      </c>
      <c r="B72" s="2">
        <v>4.95</v>
      </c>
      <c r="C72" s="5">
        <v>0.01</v>
      </c>
      <c r="D72" s="5">
        <v>1.3999999999999999E-6</v>
      </c>
      <c r="E72" s="5">
        <v>1E-4</v>
      </c>
      <c r="F72" s="5">
        <f t="shared" si="4"/>
        <v>3535714.2857142859</v>
      </c>
    </row>
    <row r="73" spans="1:25" x14ac:dyDescent="0.3">
      <c r="A73" s="30">
        <v>7</v>
      </c>
      <c r="B73" s="2">
        <v>5.47</v>
      </c>
      <c r="C73" s="5">
        <v>0.01</v>
      </c>
      <c r="D73" s="5">
        <v>1.5999999999999999E-6</v>
      </c>
      <c r="E73" s="5">
        <v>1E-4</v>
      </c>
      <c r="F73" s="5">
        <f t="shared" si="4"/>
        <v>3418750</v>
      </c>
    </row>
    <row r="74" spans="1:25" x14ac:dyDescent="0.3">
      <c r="A74" s="30">
        <v>8</v>
      </c>
      <c r="B74" s="2">
        <v>5.98</v>
      </c>
      <c r="C74" s="5">
        <v>0.01</v>
      </c>
      <c r="D74" s="5">
        <v>1.7E-6</v>
      </c>
      <c r="E74" s="5">
        <v>1E-4</v>
      </c>
      <c r="F74" s="5">
        <f t="shared" si="4"/>
        <v>3517647.0588235296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30">
        <v>9</v>
      </c>
      <c r="B75" s="2">
        <v>6.46</v>
      </c>
      <c r="C75" s="5">
        <v>0.01</v>
      </c>
      <c r="D75" s="5">
        <v>1.7999999999999999E-6</v>
      </c>
      <c r="E75" s="5">
        <v>1E-4</v>
      </c>
      <c r="F75" s="5">
        <f t="shared" si="4"/>
        <v>3588888.888888889</v>
      </c>
    </row>
    <row r="76" spans="1:25" x14ac:dyDescent="0.3">
      <c r="A76" s="30">
        <v>10</v>
      </c>
      <c r="B76" s="2">
        <v>7.16</v>
      </c>
      <c r="C76" s="5">
        <v>0.01</v>
      </c>
      <c r="D76" s="5">
        <v>1.9999999999999999E-6</v>
      </c>
      <c r="E76" s="5">
        <v>1E-4</v>
      </c>
      <c r="F76" s="5">
        <f t="shared" si="4"/>
        <v>3580000.0000000005</v>
      </c>
    </row>
    <row r="77" spans="1:25" x14ac:dyDescent="0.3">
      <c r="A77" s="30">
        <v>11</v>
      </c>
      <c r="B77" s="2">
        <v>7.99</v>
      </c>
      <c r="C77" s="5">
        <v>0.01</v>
      </c>
      <c r="D77" s="5">
        <v>2.2000000000000001E-6</v>
      </c>
      <c r="E77" s="5">
        <v>1E-4</v>
      </c>
      <c r="F77" s="5">
        <f t="shared" si="4"/>
        <v>3631818.1818181816</v>
      </c>
    </row>
    <row r="78" spans="1:25" x14ac:dyDescent="0.3">
      <c r="A78" s="30">
        <v>12</v>
      </c>
      <c r="B78" s="2">
        <v>8.6999999999999993</v>
      </c>
      <c r="C78" s="5">
        <v>0.01</v>
      </c>
      <c r="D78" s="5">
        <v>2.3999999999999999E-6</v>
      </c>
      <c r="E78" s="5">
        <v>1E-4</v>
      </c>
      <c r="F78" s="5">
        <f t="shared" si="4"/>
        <v>3625000</v>
      </c>
    </row>
    <row r="79" spans="1:25" x14ac:dyDescent="0.3">
      <c r="A79" s="30">
        <v>13</v>
      </c>
      <c r="B79" s="2">
        <v>9.15</v>
      </c>
      <c r="C79" s="5">
        <v>0.01</v>
      </c>
      <c r="D79" s="5">
        <v>2.5000000000000002E-6</v>
      </c>
      <c r="E79" s="5">
        <v>1E-4</v>
      </c>
      <c r="F79" s="5">
        <f t="shared" si="4"/>
        <v>3660000</v>
      </c>
      <c r="I79" s="1"/>
      <c r="V79" s="1" t="s">
        <v>3</v>
      </c>
      <c r="W79" s="1"/>
      <c r="X79" s="1"/>
      <c r="Y79" s="6">
        <v>0.01</v>
      </c>
    </row>
    <row r="80" spans="1:25" x14ac:dyDescent="0.3">
      <c r="A80" s="30">
        <v>14</v>
      </c>
      <c r="B80" s="2">
        <v>9.3800000000000008</v>
      </c>
      <c r="C80" s="5">
        <v>0.01</v>
      </c>
      <c r="D80" s="5">
        <v>2.5000000000000002E-6</v>
      </c>
      <c r="E80" s="5">
        <v>1E-4</v>
      </c>
      <c r="F80" s="5">
        <f t="shared" si="4"/>
        <v>3752000</v>
      </c>
      <c r="I80" s="4"/>
      <c r="V80" s="1" t="s">
        <v>27</v>
      </c>
      <c r="W80" s="1"/>
      <c r="X80" s="1"/>
      <c r="Y80" s="6">
        <v>9.9999999999999995E-7</v>
      </c>
    </row>
    <row r="81" spans="1:25" x14ac:dyDescent="0.3">
      <c r="A81" s="30">
        <v>15</v>
      </c>
      <c r="B81" s="2">
        <v>9.9</v>
      </c>
      <c r="C81" s="5">
        <v>0.01</v>
      </c>
      <c r="D81" s="5">
        <v>2.6000000000000001E-6</v>
      </c>
      <c r="E81" s="5">
        <v>1E-4</v>
      </c>
      <c r="F81" s="5">
        <f t="shared" si="4"/>
        <v>3807692.3076923075</v>
      </c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30" t="s">
        <v>6</v>
      </c>
      <c r="B83" s="2">
        <f>AVERAGE(B67:B81)</f>
        <v>6.02</v>
      </c>
      <c r="D83" s="5">
        <f>AVERAGE(D67:D81)</f>
        <v>1.7133333333333332E-6</v>
      </c>
      <c r="E83" s="4"/>
      <c r="F83" s="5">
        <f>AVERAGE(F67:F81)</f>
        <v>3394887.6612494262</v>
      </c>
      <c r="I83" s="4"/>
      <c r="J83" s="1"/>
      <c r="K83" s="1"/>
      <c r="L83" s="1"/>
      <c r="M83" s="3"/>
      <c r="N83" s="30"/>
      <c r="O83" s="3"/>
      <c r="V83" s="1" t="s">
        <v>25</v>
      </c>
      <c r="W83" s="1"/>
      <c r="X83" s="1"/>
      <c r="Y83" s="6">
        <v>470</v>
      </c>
    </row>
    <row r="84" spans="1:25" x14ac:dyDescent="0.3">
      <c r="A84" s="30" t="s">
        <v>7</v>
      </c>
      <c r="B84" s="2">
        <f>STDEVA(B67:B81)</f>
        <v>2.66224126844818</v>
      </c>
      <c r="D84" s="5">
        <f>STDEVA(D67:D81)</f>
        <v>6.3680751371494486E-7</v>
      </c>
      <c r="E84" s="4"/>
      <c r="F84" s="5">
        <f>STDEVA(F67:F81)</f>
        <v>394535.0166596687</v>
      </c>
      <c r="I84" s="4"/>
      <c r="J84" s="1"/>
      <c r="K84" s="1"/>
      <c r="L84" s="1"/>
      <c r="Y84" s="6"/>
    </row>
    <row r="85" spans="1:25" x14ac:dyDescent="0.3">
      <c r="A85" s="30" t="s">
        <v>8</v>
      </c>
      <c r="B85" s="2">
        <f>B84/SQRT(10)</f>
        <v>0.84187460891920085</v>
      </c>
      <c r="D85" s="5">
        <f>D84/SQRT(10)</f>
        <v>2.0137621744481388E-7</v>
      </c>
      <c r="E85" s="4"/>
      <c r="F85" s="5">
        <f t="shared" ref="F85" si="5">F84/SQRT(10)</f>
        <v>124762.92693370297</v>
      </c>
      <c r="I85" s="4"/>
      <c r="J85" s="1"/>
      <c r="K85" s="1"/>
      <c r="L85" s="1"/>
      <c r="V85" s="1" t="s">
        <v>4</v>
      </c>
      <c r="W85" s="1"/>
      <c r="X85" s="1"/>
      <c r="Y85" s="6">
        <f>SQRT(((1/D111)*B113)^2+(-(B111/(D111^2))*D113)^2)</f>
        <v>110.53496611955116</v>
      </c>
    </row>
    <row r="86" spans="1:25" x14ac:dyDescent="0.3">
      <c r="I86" s="4"/>
      <c r="Y86" s="6"/>
    </row>
    <row r="87" spans="1:25" x14ac:dyDescent="0.3">
      <c r="I87" s="4"/>
      <c r="V87" s="1" t="s">
        <v>22</v>
      </c>
      <c r="W87" s="1"/>
      <c r="X87" s="1"/>
      <c r="Y87" s="6">
        <f>SLOPE(Tabela51612[V (V)],Tabela51612[I (A)])</f>
        <v>465.55989729092471</v>
      </c>
    </row>
    <row r="88" spans="1:25" x14ac:dyDescent="0.3">
      <c r="I88" s="4"/>
      <c r="V88" s="1"/>
      <c r="W88" s="1"/>
      <c r="X88" s="1"/>
    </row>
    <row r="89" spans="1:25" x14ac:dyDescent="0.3">
      <c r="A89" s="1" t="s">
        <v>11</v>
      </c>
      <c r="B89" s="1"/>
      <c r="C89" s="1"/>
      <c r="D89" s="1"/>
      <c r="E89" s="1"/>
      <c r="F89" s="1"/>
      <c r="I89" s="4"/>
      <c r="V89" s="1" t="s">
        <v>23</v>
      </c>
      <c r="W89" s="1"/>
      <c r="X89" s="1"/>
      <c r="Y89" s="10">
        <f>((Y83-Y87)/Y83)</f>
        <v>9.4470270405857242E-3</v>
      </c>
    </row>
    <row r="90" spans="1:25" x14ac:dyDescent="0.3">
      <c r="I90" s="4"/>
      <c r="V90" s="12" t="s">
        <v>24</v>
      </c>
      <c r="W90" s="12"/>
      <c r="X90" s="12"/>
      <c r="Y90" s="11">
        <f>ABS((Y83-F111)/Y83)</f>
        <v>7.4915092966851629E-3</v>
      </c>
    </row>
    <row r="91" spans="1:25" x14ac:dyDescent="0.3">
      <c r="I91" s="4"/>
    </row>
    <row r="92" spans="1:25" x14ac:dyDescent="0.3">
      <c r="I92" s="4"/>
    </row>
    <row r="93" spans="1:25" x14ac:dyDescent="0.3">
      <c r="A93" s="30" t="s">
        <v>12</v>
      </c>
      <c r="B93" s="30"/>
      <c r="C93" s="30"/>
      <c r="D93" s="30"/>
      <c r="E93" s="30"/>
      <c r="F93" s="30"/>
      <c r="I93" s="4"/>
    </row>
    <row r="94" spans="1:25" x14ac:dyDescent="0.3">
      <c r="A94" s="1" t="s">
        <v>1</v>
      </c>
      <c r="B94" s="1" t="s">
        <v>16</v>
      </c>
      <c r="C94" s="1" t="s">
        <v>17</v>
      </c>
      <c r="D94" s="1" t="s">
        <v>19</v>
      </c>
      <c r="E94" s="1" t="s">
        <v>18</v>
      </c>
      <c r="F94" s="1" t="s">
        <v>20</v>
      </c>
      <c r="I94" s="4"/>
    </row>
    <row r="95" spans="1:25" x14ac:dyDescent="0.3">
      <c r="A95" s="30">
        <v>1</v>
      </c>
      <c r="B95" s="2">
        <v>0.81</v>
      </c>
      <c r="C95" s="5">
        <v>0.01</v>
      </c>
      <c r="D95" s="5">
        <v>1.714E-3</v>
      </c>
      <c r="E95" s="5">
        <v>4.9999999999999998E-7</v>
      </c>
      <c r="F95" s="5">
        <f t="shared" ref="F95:F109" si="6">B95/D95</f>
        <v>472.57876312718787</v>
      </c>
    </row>
    <row r="96" spans="1:25" x14ac:dyDescent="0.3">
      <c r="A96" s="30">
        <v>2</v>
      </c>
      <c r="B96" s="2">
        <v>1.44</v>
      </c>
      <c r="C96" s="5">
        <v>0.01</v>
      </c>
      <c r="D96" s="5">
        <v>3.0699999999999998E-3</v>
      </c>
      <c r="E96" s="5">
        <v>5.0000000000000004E-6</v>
      </c>
      <c r="F96" s="5">
        <f t="shared" si="6"/>
        <v>469.05537459283391</v>
      </c>
    </row>
    <row r="97" spans="1:25" x14ac:dyDescent="0.3">
      <c r="A97" s="30">
        <v>3</v>
      </c>
      <c r="B97" s="2">
        <v>2.15</v>
      </c>
      <c r="C97" s="5">
        <v>0.01</v>
      </c>
      <c r="D97" s="5">
        <v>4.7404999999999999E-3</v>
      </c>
      <c r="E97" s="5">
        <v>1.55E-4</v>
      </c>
      <c r="F97" s="5">
        <f t="shared" si="6"/>
        <v>453.53865625988817</v>
      </c>
    </row>
    <row r="98" spans="1:25" x14ac:dyDescent="0.3">
      <c r="A98" s="30">
        <v>4</v>
      </c>
      <c r="B98" s="2">
        <v>3.06</v>
      </c>
      <c r="C98" s="5">
        <v>0.01</v>
      </c>
      <c r="D98" s="5">
        <v>6.5395000000000002E-3</v>
      </c>
      <c r="E98" s="5">
        <v>6.0000000000000002E-6</v>
      </c>
      <c r="F98" s="5">
        <f t="shared" si="6"/>
        <v>467.92568239162017</v>
      </c>
    </row>
    <row r="99" spans="1:25" x14ac:dyDescent="0.3">
      <c r="A99" s="30">
        <v>5</v>
      </c>
      <c r="B99" s="2">
        <v>3.68</v>
      </c>
      <c r="C99" s="5">
        <v>0.01</v>
      </c>
      <c r="D99" s="5">
        <v>7.8584999999999992E-3</v>
      </c>
      <c r="E99" s="5">
        <v>6.9999999999999999E-6</v>
      </c>
      <c r="F99" s="5">
        <f t="shared" si="6"/>
        <v>468.28275116116316</v>
      </c>
    </row>
    <row r="100" spans="1:25" x14ac:dyDescent="0.3">
      <c r="A100" s="30">
        <v>6</v>
      </c>
      <c r="B100" s="2">
        <v>4.53</v>
      </c>
      <c r="C100" s="5">
        <v>0.01</v>
      </c>
      <c r="D100" s="5">
        <v>9.6395000000000005E-3</v>
      </c>
      <c r="E100" s="5">
        <v>6.0000000000000002E-6</v>
      </c>
      <c r="F100" s="5">
        <f t="shared" si="6"/>
        <v>469.94138700140047</v>
      </c>
    </row>
    <row r="101" spans="1:25" x14ac:dyDescent="0.3">
      <c r="A101" s="30">
        <v>7</v>
      </c>
      <c r="B101" s="2">
        <v>5.12</v>
      </c>
      <c r="C101" s="5">
        <v>0.01</v>
      </c>
      <c r="D101" s="5">
        <v>1.0932000000000001E-2</v>
      </c>
      <c r="E101" s="5">
        <v>1.9999999999999999E-6</v>
      </c>
      <c r="F101" s="5">
        <f t="shared" si="6"/>
        <v>468.34979875594581</v>
      </c>
      <c r="I101" s="6"/>
    </row>
    <row r="102" spans="1:25" x14ac:dyDescent="0.3">
      <c r="A102" s="30">
        <v>8</v>
      </c>
      <c r="B102" s="2">
        <v>5.93</v>
      </c>
      <c r="C102" s="5">
        <v>0.01</v>
      </c>
      <c r="D102" s="5">
        <v>1.2722499999999999E-2</v>
      </c>
      <c r="E102" s="5">
        <v>3.0000000000000001E-6</v>
      </c>
      <c r="F102" s="5">
        <f t="shared" si="6"/>
        <v>466.10336018864217</v>
      </c>
    </row>
    <row r="103" spans="1:25" x14ac:dyDescent="0.3">
      <c r="A103" s="30">
        <v>9</v>
      </c>
      <c r="B103" s="2">
        <v>6.83</v>
      </c>
      <c r="C103" s="5">
        <v>0.01</v>
      </c>
      <c r="D103" s="5">
        <v>1.465E-2</v>
      </c>
      <c r="E103" s="5" t="s">
        <v>21</v>
      </c>
      <c r="F103" s="5">
        <f t="shared" si="6"/>
        <v>466.21160409556313</v>
      </c>
      <c r="I103" s="1"/>
      <c r="V103" s="1" t="s">
        <v>3</v>
      </c>
      <c r="W103" s="1"/>
      <c r="X103" s="1"/>
      <c r="Y103" s="16">
        <v>0.01</v>
      </c>
    </row>
    <row r="104" spans="1:25" x14ac:dyDescent="0.3">
      <c r="A104" s="30">
        <v>10</v>
      </c>
      <c r="B104" s="2">
        <v>7.14</v>
      </c>
      <c r="C104" s="5">
        <v>0.01</v>
      </c>
      <c r="D104" s="5">
        <v>1.5311999999999999E-2</v>
      </c>
      <c r="E104" s="5">
        <v>9.9999999999999995E-7</v>
      </c>
      <c r="F104" s="5">
        <f t="shared" si="6"/>
        <v>466.30094043887146</v>
      </c>
      <c r="I104" s="4"/>
      <c r="V104" s="1" t="s">
        <v>27</v>
      </c>
      <c r="W104" s="1"/>
      <c r="X104" s="1"/>
      <c r="Y104" s="6">
        <v>9.9999999999999995E-7</v>
      </c>
    </row>
    <row r="105" spans="1:25" x14ac:dyDescent="0.3">
      <c r="A105" s="30">
        <v>11</v>
      </c>
      <c r="B105" s="2">
        <v>7.96</v>
      </c>
      <c r="C105" s="5">
        <v>0.01</v>
      </c>
      <c r="D105" s="5">
        <v>1.7070999999999999E-2</v>
      </c>
      <c r="E105" s="5" t="s">
        <v>21</v>
      </c>
      <c r="F105" s="5">
        <f t="shared" si="6"/>
        <v>466.28785659891042</v>
      </c>
      <c r="I105" s="4"/>
    </row>
    <row r="106" spans="1:25" x14ac:dyDescent="0.3">
      <c r="A106" s="30">
        <v>12</v>
      </c>
      <c r="B106" s="2">
        <v>8.6300000000000008</v>
      </c>
      <c r="C106" s="5">
        <v>0.01</v>
      </c>
      <c r="D106" s="5">
        <v>1.8512500000000001E-2</v>
      </c>
      <c r="E106" s="5">
        <v>5.0000000000000004E-6</v>
      </c>
      <c r="F106" s="5">
        <f t="shared" si="6"/>
        <v>466.17150573936533</v>
      </c>
      <c r="I106" s="4"/>
    </row>
    <row r="107" spans="1:25" x14ac:dyDescent="0.3">
      <c r="A107" s="30">
        <v>13</v>
      </c>
      <c r="B107" s="2">
        <v>9.06</v>
      </c>
      <c r="C107" s="5">
        <v>0.01</v>
      </c>
      <c r="D107" s="5">
        <v>1.9453999999999999E-2</v>
      </c>
      <c r="E107" s="5">
        <v>3.9999999999999998E-6</v>
      </c>
      <c r="F107" s="5">
        <f t="shared" si="6"/>
        <v>465.71399198108361</v>
      </c>
      <c r="I107" s="4"/>
      <c r="J107" s="1"/>
      <c r="K107" s="1"/>
      <c r="L107" s="1"/>
      <c r="M107" s="3"/>
      <c r="N107" s="30"/>
      <c r="O107" s="3"/>
      <c r="V107" s="1" t="s">
        <v>25</v>
      </c>
      <c r="W107" s="1"/>
      <c r="X107" s="1"/>
      <c r="Y107" s="6">
        <v>10000</v>
      </c>
    </row>
    <row r="108" spans="1:25" x14ac:dyDescent="0.3">
      <c r="A108" s="30">
        <v>14</v>
      </c>
      <c r="B108" s="2">
        <v>9.49</v>
      </c>
      <c r="C108" s="5">
        <v>0.01</v>
      </c>
      <c r="D108" s="5">
        <v>2.0382000000000001E-2</v>
      </c>
      <c r="E108" s="5">
        <v>9.9999999999999995E-7</v>
      </c>
      <c r="F108" s="5">
        <f t="shared" si="6"/>
        <v>465.60690805612796</v>
      </c>
      <c r="I108" s="4"/>
      <c r="J108" s="1"/>
      <c r="K108" s="1"/>
      <c r="L108" s="1"/>
      <c r="Y108" s="6"/>
    </row>
    <row r="109" spans="1:25" x14ac:dyDescent="0.3">
      <c r="A109" s="30">
        <v>15</v>
      </c>
      <c r="B109" s="2">
        <v>10</v>
      </c>
      <c r="C109" s="5">
        <v>0.01</v>
      </c>
      <c r="D109" s="5">
        <v>2.1499999999999998E-2</v>
      </c>
      <c r="E109" s="5">
        <v>9.9999999999999995E-7</v>
      </c>
      <c r="F109" s="5">
        <f t="shared" si="6"/>
        <v>465.11627906976747</v>
      </c>
      <c r="I109" s="4"/>
      <c r="J109" s="1"/>
      <c r="K109" s="1"/>
      <c r="L109" s="1"/>
      <c r="V109" s="1" t="s">
        <v>4</v>
      </c>
      <c r="W109" s="1"/>
      <c r="X109" s="1"/>
      <c r="Y109" s="6">
        <f>SQRT(((1/D135)*B137)^2+(-(B135/(D135^2))*D137)^2)</f>
        <v>2612.0114556618387</v>
      </c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30" t="s">
        <v>6</v>
      </c>
      <c r="B111" s="2">
        <f>AVERAGE(B95:B109)</f>
        <v>5.7219999999999995</v>
      </c>
      <c r="D111" s="5">
        <f>AVERAGE(D95:D109)</f>
        <v>1.2273200000000001E-2</v>
      </c>
      <c r="E111" s="4"/>
      <c r="F111" s="2">
        <f>AVERAGE(F95:F109)</f>
        <v>466.47899063055797</v>
      </c>
      <c r="I111" s="4"/>
      <c r="V111" s="1" t="s">
        <v>22</v>
      </c>
      <c r="W111" s="1"/>
      <c r="X111" s="1"/>
      <c r="Y111" s="6">
        <f>SLOPE(Tabela51714[V (V)],Tabela51714[I (A)])</f>
        <v>10057.504745271553</v>
      </c>
    </row>
    <row r="112" spans="1:25" x14ac:dyDescent="0.3">
      <c r="A112" s="30" t="s">
        <v>7</v>
      </c>
      <c r="B112" s="2">
        <f>STDEVA(B95:B109)</f>
        <v>3.031381580354787</v>
      </c>
      <c r="D112" s="5">
        <f>STDEVA(D95:D109)</f>
        <v>6.5110933737298335E-3</v>
      </c>
      <c r="E112" s="4"/>
      <c r="F112" s="2">
        <f>STDEVA(F95:F109)</f>
        <v>4.1032210501884805</v>
      </c>
      <c r="I112" s="4"/>
      <c r="V112" s="1"/>
      <c r="W112" s="1"/>
      <c r="X112" s="1"/>
    </row>
    <row r="113" spans="1:25" x14ac:dyDescent="0.3">
      <c r="A113" s="30" t="s">
        <v>8</v>
      </c>
      <c r="B113" s="2">
        <f>B112/SQRT(10)</f>
        <v>0.95860702510018592</v>
      </c>
      <c r="D113" s="5">
        <f>D112/SQRT(10)</f>
        <v>2.0589885119016217E-3</v>
      </c>
      <c r="E113" s="4"/>
      <c r="F113" s="2">
        <f t="shared" ref="F113" si="7">F112/SQRT(10)</f>
        <v>1.2975524261743667</v>
      </c>
      <c r="I113" s="4"/>
      <c r="V113" s="1" t="s">
        <v>23</v>
      </c>
      <c r="W113" s="1"/>
      <c r="X113" s="1"/>
      <c r="Y113" s="10">
        <f>ABS((Y107-Y111)/Y107)</f>
        <v>5.7504745271553474E-3</v>
      </c>
    </row>
    <row r="114" spans="1:25" x14ac:dyDescent="0.3">
      <c r="I114" s="4"/>
      <c r="V114" s="12" t="s">
        <v>24</v>
      </c>
      <c r="W114" s="12"/>
      <c r="X114" s="12"/>
      <c r="Y114" s="11">
        <f>ABS((Y107-F135)/Y107)</f>
        <v>5.2067968264465888E-3</v>
      </c>
    </row>
    <row r="115" spans="1:25" x14ac:dyDescent="0.3">
      <c r="I115" s="4"/>
    </row>
    <row r="116" spans="1:25" x14ac:dyDescent="0.3">
      <c r="I116" s="4"/>
    </row>
    <row r="117" spans="1:25" x14ac:dyDescent="0.3">
      <c r="A117" s="30" t="s">
        <v>14</v>
      </c>
      <c r="B117" s="30"/>
      <c r="C117" s="30"/>
      <c r="D117" s="30"/>
      <c r="E117" s="30"/>
      <c r="F117" s="30"/>
      <c r="I117" s="4"/>
    </row>
    <row r="118" spans="1:25" x14ac:dyDescent="0.3">
      <c r="A118" s="1" t="s">
        <v>1</v>
      </c>
      <c r="B118" s="1" t="s">
        <v>16</v>
      </c>
      <c r="C118" s="1" t="s">
        <v>17</v>
      </c>
      <c r="D118" s="1" t="s">
        <v>19</v>
      </c>
      <c r="E118" s="1" t="s">
        <v>18</v>
      </c>
      <c r="F118" s="1" t="s">
        <v>20</v>
      </c>
      <c r="I118" s="4"/>
    </row>
    <row r="119" spans="1:25" x14ac:dyDescent="0.3">
      <c r="A119" s="30">
        <v>1</v>
      </c>
      <c r="B119" s="8">
        <v>0.77</v>
      </c>
      <c r="C119" s="7">
        <v>0.01</v>
      </c>
      <c r="D119" s="7">
        <v>7.7999999999999999E-5</v>
      </c>
      <c r="E119" s="7">
        <v>9.9999999999999995E-7</v>
      </c>
      <c r="F119" s="7">
        <f t="shared" ref="F119:F133" si="8">B119/D119</f>
        <v>9871.794871794873</v>
      </c>
    </row>
    <row r="120" spans="1:25" x14ac:dyDescent="0.3">
      <c r="A120" s="30">
        <v>2</v>
      </c>
      <c r="B120" s="8">
        <v>1.48</v>
      </c>
      <c r="C120" s="15" t="s">
        <v>28</v>
      </c>
      <c r="D120" s="7">
        <v>1.46E-4</v>
      </c>
      <c r="E120" s="7">
        <v>9.9999999999999995E-7</v>
      </c>
      <c r="F120" s="7">
        <f t="shared" si="8"/>
        <v>10136.986301369863</v>
      </c>
    </row>
    <row r="121" spans="1:25" x14ac:dyDescent="0.3">
      <c r="A121" s="30">
        <v>3</v>
      </c>
      <c r="B121" s="8">
        <v>1.81</v>
      </c>
      <c r="C121" s="7">
        <v>0.01</v>
      </c>
      <c r="D121" s="7">
        <v>1.7999999999999998E-4</v>
      </c>
      <c r="E121" s="7">
        <v>9.9999999999999995E-7</v>
      </c>
      <c r="F121" s="7">
        <f t="shared" si="8"/>
        <v>10055.555555555557</v>
      </c>
    </row>
    <row r="122" spans="1:25" x14ac:dyDescent="0.3">
      <c r="A122" s="30">
        <v>4</v>
      </c>
      <c r="B122" s="8">
        <v>2.2799999999999998</v>
      </c>
      <c r="C122" s="7">
        <v>0.01</v>
      </c>
      <c r="D122" s="7">
        <v>2.2700000000000002E-4</v>
      </c>
      <c r="E122" s="7">
        <v>9.9999999999999995E-7</v>
      </c>
      <c r="F122" s="7">
        <f t="shared" si="8"/>
        <v>10044.052863436122</v>
      </c>
    </row>
    <row r="123" spans="1:25" x14ac:dyDescent="0.3">
      <c r="A123" s="30">
        <v>5</v>
      </c>
      <c r="B123" s="8">
        <v>2.74</v>
      </c>
      <c r="C123" s="7">
        <v>0.01</v>
      </c>
      <c r="D123" s="7">
        <v>2.7300000000000002E-4</v>
      </c>
      <c r="E123" s="7">
        <v>9.9999999999999995E-7</v>
      </c>
      <c r="F123" s="7">
        <f t="shared" si="8"/>
        <v>10036.630036630037</v>
      </c>
    </row>
    <row r="124" spans="1:25" x14ac:dyDescent="0.3">
      <c r="A124" s="30">
        <v>6</v>
      </c>
      <c r="B124" s="8">
        <v>3.18</v>
      </c>
      <c r="C124" s="7">
        <v>0.01</v>
      </c>
      <c r="D124" s="7">
        <v>3.1700000000000001E-4</v>
      </c>
      <c r="E124" s="7">
        <v>9.9999999999999995E-7</v>
      </c>
      <c r="F124" s="7">
        <f t="shared" si="8"/>
        <v>10031.545741324921</v>
      </c>
    </row>
    <row r="125" spans="1:25" x14ac:dyDescent="0.3">
      <c r="A125" s="30">
        <v>7</v>
      </c>
      <c r="B125" s="8">
        <v>3.68</v>
      </c>
      <c r="C125" s="7">
        <v>0.01</v>
      </c>
      <c r="D125" s="7">
        <v>3.6600000000000001E-4</v>
      </c>
      <c r="E125" s="7">
        <v>9.9999999999999995E-7</v>
      </c>
      <c r="F125" s="7">
        <f t="shared" si="8"/>
        <v>10054.644808743169</v>
      </c>
    </row>
    <row r="126" spans="1:25" x14ac:dyDescent="0.3">
      <c r="A126" s="30">
        <v>8</v>
      </c>
      <c r="B126" s="8">
        <v>4.33</v>
      </c>
      <c r="C126" s="7">
        <v>0.01</v>
      </c>
      <c r="D126" s="7">
        <v>4.2900000000000002E-4</v>
      </c>
      <c r="E126" s="7">
        <v>9.9999999999999995E-7</v>
      </c>
      <c r="F126" s="7">
        <f t="shared" si="8"/>
        <v>10093.240093240092</v>
      </c>
    </row>
    <row r="127" spans="1:25" x14ac:dyDescent="0.3">
      <c r="A127" s="30">
        <v>9</v>
      </c>
      <c r="B127" s="8">
        <v>4.8</v>
      </c>
      <c r="C127" s="7">
        <v>0.01</v>
      </c>
      <c r="D127" s="7">
        <v>4.7599999999999997E-4</v>
      </c>
      <c r="E127" s="7">
        <v>9.9999999999999995E-7</v>
      </c>
      <c r="F127" s="7">
        <f t="shared" si="8"/>
        <v>10084.033613445379</v>
      </c>
      <c r="I127" s="1"/>
      <c r="V127" s="1" t="s">
        <v>3</v>
      </c>
      <c r="W127" s="1"/>
      <c r="X127" s="1"/>
      <c r="Y127" s="6">
        <v>0.01</v>
      </c>
    </row>
    <row r="128" spans="1:25" x14ac:dyDescent="0.3">
      <c r="A128" s="30">
        <v>10</v>
      </c>
      <c r="B128" s="8">
        <v>5.56</v>
      </c>
      <c r="C128" s="7">
        <v>0.01</v>
      </c>
      <c r="D128" s="7">
        <v>5.5200000000000008E-4</v>
      </c>
      <c r="E128" s="7">
        <v>9.9999999999999995E-7</v>
      </c>
      <c r="F128" s="7">
        <f t="shared" si="8"/>
        <v>10072.46376811594</v>
      </c>
      <c r="I128" s="4"/>
      <c r="V128" s="1" t="s">
        <v>27</v>
      </c>
      <c r="W128" s="1"/>
      <c r="X128" s="1"/>
      <c r="Y128" s="6">
        <v>9.9999999999999995E-8</v>
      </c>
    </row>
    <row r="129" spans="1:25" x14ac:dyDescent="0.3">
      <c r="A129" s="30">
        <v>11</v>
      </c>
      <c r="B129" s="8">
        <v>5.96</v>
      </c>
      <c r="C129" s="7">
        <v>0.01</v>
      </c>
      <c r="D129" s="7">
        <v>5.9099999999999995E-4</v>
      </c>
      <c r="E129" s="7">
        <v>9.9999999999999995E-7</v>
      </c>
      <c r="F129" s="7">
        <f t="shared" si="8"/>
        <v>10084.60236886633</v>
      </c>
      <c r="I129" s="4"/>
      <c r="Y129" s="6"/>
    </row>
    <row r="130" spans="1:25" x14ac:dyDescent="0.3">
      <c r="A130" s="30">
        <v>12</v>
      </c>
      <c r="B130" s="8">
        <v>6.8</v>
      </c>
      <c r="C130" s="7">
        <v>0.01</v>
      </c>
      <c r="D130" s="7">
        <v>6.7500000000000004E-4</v>
      </c>
      <c r="E130" s="7">
        <v>9.9999999999999995E-7</v>
      </c>
      <c r="F130" s="7">
        <f t="shared" si="8"/>
        <v>10074.074074074073</v>
      </c>
      <c r="I130" s="4"/>
      <c r="Y130" s="6"/>
    </row>
    <row r="131" spans="1:25" x14ac:dyDescent="0.3">
      <c r="A131" s="30">
        <v>13</v>
      </c>
      <c r="B131" s="8">
        <v>7.64</v>
      </c>
      <c r="C131" s="7">
        <v>0.01</v>
      </c>
      <c r="D131" s="7">
        <v>7.5799999999999999E-4</v>
      </c>
      <c r="E131" s="7">
        <v>9.9999999999999995E-7</v>
      </c>
      <c r="F131" s="7">
        <f t="shared" si="8"/>
        <v>10079.155672823219</v>
      </c>
      <c r="I131" s="4"/>
      <c r="J131" s="1"/>
      <c r="K131" s="1"/>
      <c r="L131" s="1"/>
      <c r="M131" s="3"/>
      <c r="N131" s="30"/>
      <c r="O131" s="3"/>
      <c r="V131" s="1" t="s">
        <v>25</v>
      </c>
      <c r="W131" s="1"/>
      <c r="X131" s="1"/>
      <c r="Y131" s="6">
        <v>6800000</v>
      </c>
    </row>
    <row r="132" spans="1:25" x14ac:dyDescent="0.3">
      <c r="A132" s="30">
        <v>14</v>
      </c>
      <c r="B132" s="8">
        <v>8.44</v>
      </c>
      <c r="C132" s="7">
        <v>0.01</v>
      </c>
      <c r="D132" s="7">
        <v>8.4499999999999994E-4</v>
      </c>
      <c r="E132" s="7">
        <v>9.9999999999999995E-7</v>
      </c>
      <c r="F132" s="7">
        <f t="shared" si="8"/>
        <v>9988.165680473372</v>
      </c>
      <c r="I132" s="4"/>
      <c r="J132" s="1"/>
      <c r="K132" s="1"/>
      <c r="L132" s="1"/>
      <c r="Y132" s="6"/>
    </row>
    <row r="133" spans="1:25" x14ac:dyDescent="0.3">
      <c r="A133" s="30">
        <v>15</v>
      </c>
      <c r="B133" s="8">
        <v>9.52</v>
      </c>
      <c r="C133" s="7">
        <v>0.01</v>
      </c>
      <c r="D133" s="7">
        <v>9.4499999999999998E-4</v>
      </c>
      <c r="E133" s="7">
        <v>9.9999999999999995E-7</v>
      </c>
      <c r="F133" s="7">
        <f t="shared" si="8"/>
        <v>10074.074074074073</v>
      </c>
      <c r="I133" s="4"/>
      <c r="J133" s="1"/>
      <c r="K133" s="1"/>
      <c r="L133" s="1"/>
      <c r="V133" s="1" t="s">
        <v>4</v>
      </c>
      <c r="W133" s="1"/>
      <c r="X133" s="1"/>
      <c r="Y133" s="6">
        <f>SQRT(((1/D159)*B161)^2+(-(B159/(D159^2))*D161)^2)</f>
        <v>634526.55757414585</v>
      </c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30" t="s">
        <v>6</v>
      </c>
      <c r="B135" s="2">
        <f>AVERAGE(B119:B133)</f>
        <v>4.5993333333333331</v>
      </c>
      <c r="D135" s="5">
        <f>AVERAGE(D119:D133)</f>
        <v>4.5719999999999995E-4</v>
      </c>
      <c r="E135" s="4"/>
      <c r="F135" s="5">
        <f>AVERAGE(F119:F133)</f>
        <v>10052.067968264466</v>
      </c>
      <c r="I135" s="4"/>
      <c r="V135" s="1" t="s">
        <v>22</v>
      </c>
      <c r="W135" s="1"/>
      <c r="X135" s="1"/>
      <c r="Y135" s="6">
        <f>SLOPE(Tabela51511[V (V)],Tabela51511[I (A)])</f>
        <v>4175199.6242367299</v>
      </c>
    </row>
    <row r="136" spans="1:25" x14ac:dyDescent="0.3">
      <c r="A136" s="30" t="s">
        <v>7</v>
      </c>
      <c r="B136" s="2">
        <f>STDEVA(B119:B133)</f>
        <v>2.6700708034129166</v>
      </c>
      <c r="D136" s="5">
        <f>STDEVA(D119:D133)</f>
        <v>2.6547348535884221E-4</v>
      </c>
      <c r="E136" s="4"/>
      <c r="F136" s="5">
        <f>STDEVA(F119:F133)</f>
        <v>60.017411251811424</v>
      </c>
      <c r="I136" s="4"/>
      <c r="V136" s="1"/>
      <c r="W136" s="1"/>
      <c r="X136" s="1"/>
    </row>
    <row r="137" spans="1:25" x14ac:dyDescent="0.3">
      <c r="A137" s="30" t="s">
        <v>8</v>
      </c>
      <c r="B137" s="2">
        <f>B136/SQRT(10)</f>
        <v>0.84435052527005017</v>
      </c>
      <c r="D137" s="5">
        <f>D136/SQRT(10)</f>
        <v>8.3950087211730399E-5</v>
      </c>
      <c r="E137" s="4"/>
      <c r="F137" s="5">
        <f t="shared" ref="F137" si="9">F136/SQRT(10)</f>
        <v>18.979171882274159</v>
      </c>
      <c r="I137" s="4"/>
      <c r="V137" s="1" t="s">
        <v>23</v>
      </c>
      <c r="W137" s="1"/>
      <c r="X137" s="1"/>
      <c r="Y137" s="10">
        <f>ABS(Y131-Y135)/Y131</f>
        <v>0.38600005525930442</v>
      </c>
    </row>
    <row r="138" spans="1:25" x14ac:dyDescent="0.3">
      <c r="D138" s="6"/>
      <c r="I138" s="4"/>
      <c r="V138" s="12" t="s">
        <v>24</v>
      </c>
      <c r="W138" s="12"/>
      <c r="X138" s="12"/>
      <c r="Y138" s="11">
        <f>ABS(Y131-F159)/Y131</f>
        <v>0.44018062833281024</v>
      </c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30" t="s">
        <v>15</v>
      </c>
      <c r="B141" s="30"/>
      <c r="C141" s="30"/>
      <c r="D141" s="30"/>
      <c r="E141" s="30"/>
      <c r="F141" s="30"/>
      <c r="I141" s="4"/>
      <c r="V141" s="1"/>
      <c r="W141" s="1"/>
      <c r="X141" s="1"/>
      <c r="Y141" s="1"/>
    </row>
    <row r="142" spans="1:25" x14ac:dyDescent="0.3">
      <c r="A142" s="1" t="s">
        <v>1</v>
      </c>
      <c r="B142" s="1" t="s">
        <v>16</v>
      </c>
      <c r="C142" s="1" t="s">
        <v>17</v>
      </c>
      <c r="D142" s="1" t="s">
        <v>19</v>
      </c>
      <c r="E142" s="1" t="s">
        <v>18</v>
      </c>
      <c r="F142" s="1" t="s">
        <v>20</v>
      </c>
      <c r="I142" s="4"/>
      <c r="V142" s="1"/>
      <c r="W142" s="1"/>
      <c r="X142" s="1"/>
      <c r="Y142" s="1"/>
    </row>
    <row r="143" spans="1:25" x14ac:dyDescent="0.3">
      <c r="A143" s="30">
        <v>1</v>
      </c>
      <c r="B143" s="2">
        <v>0.95</v>
      </c>
      <c r="C143" s="5">
        <v>0.01</v>
      </c>
      <c r="D143" s="5">
        <v>2.9999999999999999E-7</v>
      </c>
      <c r="E143" s="5">
        <v>9.9999999999999995E-8</v>
      </c>
      <c r="F143" s="5">
        <f t="shared" ref="F143:F157" si="10">B143/D143</f>
        <v>3166666.6666666665</v>
      </c>
      <c r="V143" s="1"/>
      <c r="W143" s="1"/>
      <c r="X143" s="1"/>
      <c r="Y143" s="1"/>
    </row>
    <row r="144" spans="1:25" x14ac:dyDescent="0.3">
      <c r="A144" s="30">
        <v>2</v>
      </c>
      <c r="B144" s="2">
        <v>1.74</v>
      </c>
      <c r="C144" s="5">
        <v>0.01</v>
      </c>
      <c r="D144" s="5">
        <v>4.9999999999999998E-7</v>
      </c>
      <c r="E144" s="5">
        <v>9.9999999999999995E-8</v>
      </c>
      <c r="F144" s="5">
        <f t="shared" si="10"/>
        <v>3480000</v>
      </c>
      <c r="V144" s="1"/>
      <c r="W144" s="1"/>
      <c r="X144" s="1"/>
      <c r="Y144" s="1"/>
    </row>
    <row r="145" spans="1:25" x14ac:dyDescent="0.3">
      <c r="A145" s="30">
        <v>3</v>
      </c>
      <c r="B145" s="2">
        <v>2.99</v>
      </c>
      <c r="C145" s="5">
        <v>0.01</v>
      </c>
      <c r="D145" s="5">
        <v>7.9999999999999996E-7</v>
      </c>
      <c r="E145" s="5">
        <v>9.9999999999999995E-8</v>
      </c>
      <c r="F145" s="5">
        <f t="shared" si="10"/>
        <v>3737500.0000000005</v>
      </c>
      <c r="V145" s="1"/>
      <c r="W145" s="1"/>
      <c r="X145" s="1"/>
      <c r="Y145" s="1"/>
    </row>
    <row r="146" spans="1:25" x14ac:dyDescent="0.3">
      <c r="A146" s="30">
        <v>4</v>
      </c>
      <c r="B146" s="2">
        <v>4.01</v>
      </c>
      <c r="C146" s="5">
        <v>0.01</v>
      </c>
      <c r="D146" s="5">
        <v>1.1000000000000001E-6</v>
      </c>
      <c r="E146" s="5">
        <v>9.9999999999999995E-8</v>
      </c>
      <c r="F146" s="5">
        <f t="shared" si="10"/>
        <v>3645454.5454545449</v>
      </c>
      <c r="V146" s="1"/>
      <c r="W146" s="1"/>
      <c r="X146" s="1"/>
      <c r="Y146" s="1"/>
    </row>
    <row r="147" spans="1:25" x14ac:dyDescent="0.3">
      <c r="A147" s="30">
        <v>5</v>
      </c>
      <c r="B147" s="2">
        <v>4.58</v>
      </c>
      <c r="C147" s="5">
        <v>0.01</v>
      </c>
      <c r="D147" s="5">
        <v>1.1999999999999999E-6</v>
      </c>
      <c r="E147" s="5">
        <v>9.9999999999999995E-8</v>
      </c>
      <c r="F147" s="5">
        <f t="shared" si="10"/>
        <v>3816666.666666667</v>
      </c>
    </row>
    <row r="148" spans="1:25" x14ac:dyDescent="0.3">
      <c r="A148" s="30">
        <v>6</v>
      </c>
      <c r="B148" s="2">
        <v>5.52</v>
      </c>
      <c r="C148" s="5">
        <v>0.01</v>
      </c>
      <c r="D148" s="5">
        <v>1.5E-6</v>
      </c>
      <c r="E148" s="5">
        <v>9.9999999999999995E-8</v>
      </c>
      <c r="F148" s="5">
        <f t="shared" si="10"/>
        <v>3679999.9999999995</v>
      </c>
    </row>
    <row r="149" spans="1:25" x14ac:dyDescent="0.3">
      <c r="A149" s="30">
        <v>7</v>
      </c>
      <c r="B149" s="2">
        <v>6.12</v>
      </c>
      <c r="C149" s="5">
        <v>0.01</v>
      </c>
      <c r="D149" s="5">
        <v>1.5999999999999999E-6</v>
      </c>
      <c r="E149" s="5">
        <v>9.9999999999999995E-8</v>
      </c>
      <c r="F149" s="5">
        <f t="shared" si="10"/>
        <v>3825000.0000000005</v>
      </c>
    </row>
    <row r="150" spans="1:25" x14ac:dyDescent="0.3">
      <c r="A150" s="30">
        <v>8</v>
      </c>
      <c r="B150" s="2">
        <v>6.54</v>
      </c>
      <c r="C150" s="5">
        <v>0.01</v>
      </c>
      <c r="D150" s="5">
        <v>1.7E-6</v>
      </c>
      <c r="E150" s="5">
        <v>9.9999999999999995E-8</v>
      </c>
      <c r="F150" s="5">
        <f t="shared" si="10"/>
        <v>3847058.8235294116</v>
      </c>
    </row>
    <row r="151" spans="1:25" x14ac:dyDescent="0.3">
      <c r="A151" s="30">
        <v>9</v>
      </c>
      <c r="B151" s="2">
        <v>7.22</v>
      </c>
      <c r="C151" s="5">
        <v>0.01</v>
      </c>
      <c r="D151" s="5">
        <v>1.7999999999999999E-6</v>
      </c>
      <c r="E151" s="5">
        <v>9.9999999999999995E-8</v>
      </c>
      <c r="F151" s="5">
        <f t="shared" si="10"/>
        <v>4011111.111111111</v>
      </c>
    </row>
    <row r="152" spans="1:25" x14ac:dyDescent="0.3">
      <c r="A152" s="30">
        <v>10</v>
      </c>
      <c r="B152" s="2">
        <v>7.66</v>
      </c>
      <c r="C152" s="5">
        <v>0.01</v>
      </c>
      <c r="D152" s="5">
        <v>1.9E-6</v>
      </c>
      <c r="E152" s="5">
        <v>9.9999999999999995E-8</v>
      </c>
      <c r="F152" s="5">
        <f t="shared" si="10"/>
        <v>4031578.9473684211</v>
      </c>
    </row>
    <row r="153" spans="1:25" x14ac:dyDescent="0.3">
      <c r="A153" s="30">
        <v>11</v>
      </c>
      <c r="B153" s="2">
        <v>8.25</v>
      </c>
      <c r="C153" s="5">
        <v>0.01</v>
      </c>
      <c r="D153" s="5">
        <v>2.0999999999999998E-6</v>
      </c>
      <c r="E153" s="5">
        <v>9.9999999999999995E-8</v>
      </c>
      <c r="F153" s="5">
        <f t="shared" si="10"/>
        <v>3928571.4285714291</v>
      </c>
    </row>
    <row r="154" spans="1:25" x14ac:dyDescent="0.3">
      <c r="A154" s="30">
        <v>12</v>
      </c>
      <c r="B154" s="2">
        <v>8.82</v>
      </c>
      <c r="C154" s="5">
        <v>0.01</v>
      </c>
      <c r="D154" s="5">
        <v>2.2000000000000001E-6</v>
      </c>
      <c r="E154" s="5">
        <v>9.9999999999999995E-8</v>
      </c>
      <c r="F154" s="5">
        <f t="shared" si="10"/>
        <v>4009090.9090909092</v>
      </c>
    </row>
    <row r="155" spans="1:25" x14ac:dyDescent="0.3">
      <c r="A155" s="30">
        <v>13</v>
      </c>
      <c r="B155" s="2">
        <v>9</v>
      </c>
      <c r="C155" s="5">
        <v>0.01</v>
      </c>
      <c r="D155" s="5">
        <v>2.3E-6</v>
      </c>
      <c r="E155" s="5">
        <v>9.9999999999999995E-8</v>
      </c>
      <c r="F155" s="5">
        <f t="shared" si="10"/>
        <v>3913043.4782608696</v>
      </c>
    </row>
    <row r="156" spans="1:25" x14ac:dyDescent="0.3">
      <c r="A156" s="30">
        <v>14</v>
      </c>
      <c r="B156" s="2">
        <v>9.7100000000000009</v>
      </c>
      <c r="C156" s="5">
        <v>0.01</v>
      </c>
      <c r="D156" s="5">
        <v>2.3999999999999999E-6</v>
      </c>
      <c r="E156" s="5">
        <v>9.9999999999999995E-8</v>
      </c>
      <c r="F156" s="5">
        <f t="shared" si="10"/>
        <v>4045833.333333334</v>
      </c>
    </row>
    <row r="157" spans="1:25" x14ac:dyDescent="0.3">
      <c r="A157" s="30">
        <v>15</v>
      </c>
      <c r="B157" s="2">
        <v>9.91</v>
      </c>
      <c r="C157" s="5">
        <v>0.01</v>
      </c>
      <c r="D157" s="5">
        <v>2.5000000000000002E-6</v>
      </c>
      <c r="E157" s="5">
        <v>9.9999999999999995E-8</v>
      </c>
      <c r="F157" s="5">
        <f t="shared" si="10"/>
        <v>3963999.9999999995</v>
      </c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30" t="s">
        <v>6</v>
      </c>
      <c r="B159" s="2">
        <f>AVERAGE(B143:B157)</f>
        <v>6.2013333333333343</v>
      </c>
      <c r="D159" s="5">
        <f>AVERAGE(D143:D157)</f>
        <v>1.5933333333333335E-6</v>
      </c>
      <c r="E159" s="4"/>
      <c r="F159" s="5">
        <f>AVERAGE(F143:F157)</f>
        <v>3806771.7273368905</v>
      </c>
    </row>
    <row r="160" spans="1:25" x14ac:dyDescent="0.3">
      <c r="A160" s="30" t="s">
        <v>7</v>
      </c>
      <c r="B160" s="2">
        <f>STDEVA(B143:B157)</f>
        <v>2.8526450549487934</v>
      </c>
      <c r="D160" s="5">
        <f>STDEVA(D143:D157)</f>
        <v>6.8916789025054048E-7</v>
      </c>
      <c r="E160" s="4"/>
      <c r="F160" s="5">
        <f>STDEVA(F143:F157)</f>
        <v>240042.60206381421</v>
      </c>
    </row>
    <row r="161" spans="1:6" x14ac:dyDescent="0.3">
      <c r="A161" s="30" t="s">
        <v>8</v>
      </c>
      <c r="B161" s="2">
        <f>B160/SQRT(15)</f>
        <v>0.73654978603050791</v>
      </c>
      <c r="D161" s="5">
        <f>D160/SQRT(15)</f>
        <v>1.7794238411208293E-7</v>
      </c>
      <c r="E161" s="4"/>
      <c r="F161" s="5">
        <f>F160/SQRT(15)</f>
        <v>61978.733344896435</v>
      </c>
    </row>
  </sheetData>
  <mergeCells count="7">
    <mergeCell ref="A41:F41"/>
    <mergeCell ref="A2:H2"/>
    <mergeCell ref="J3:K3"/>
    <mergeCell ref="J13:M13"/>
    <mergeCell ref="J15:M15"/>
    <mergeCell ref="J17:M17"/>
    <mergeCell ref="J19:M19"/>
  </mergeCells>
  <pageMargins left="0.15" right="3.937007874015748E-2" top="0" bottom="3.937007874015748E-2" header="3.937007874015748E-2" footer="3.937007874015748E-2"/>
  <pageSetup paperSize="9" orientation="landscape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3FEA-051F-43E6-A195-9D45A472FA48}">
  <dimension ref="A2:Y161"/>
  <sheetViews>
    <sheetView topLeftCell="A15" zoomScaleNormal="100" workbookViewId="0">
      <selection activeCell="N33" sqref="N33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10" max="10" width="9.21875" customWidth="1"/>
    <col min="11" max="11" width="9" bestFit="1" customWidth="1"/>
    <col min="24" max="24" width="11.21875" customWidth="1"/>
    <col min="25" max="25" width="10.6640625" customWidth="1"/>
  </cols>
  <sheetData>
    <row r="2" spans="1:24" x14ac:dyDescent="0.3">
      <c r="A2" s="32" t="s">
        <v>9</v>
      </c>
      <c r="B2" s="32"/>
      <c r="C2" s="32"/>
      <c r="D2" s="32"/>
      <c r="E2" s="32"/>
      <c r="F2" s="32"/>
      <c r="G2" s="32"/>
      <c r="H2" s="32"/>
    </row>
    <row r="3" spans="1:24" x14ac:dyDescent="0.3">
      <c r="A3" s="1" t="s">
        <v>1</v>
      </c>
      <c r="B3" s="30" t="s">
        <v>16</v>
      </c>
      <c r="C3" s="30" t="s">
        <v>17</v>
      </c>
      <c r="D3" s="30" t="s">
        <v>19</v>
      </c>
      <c r="E3" s="30" t="s">
        <v>18</v>
      </c>
      <c r="F3" s="30" t="s">
        <v>20</v>
      </c>
      <c r="G3" s="30" t="s">
        <v>29</v>
      </c>
      <c r="H3" s="30" t="s">
        <v>30</v>
      </c>
      <c r="I3" s="1"/>
      <c r="J3" s="33" t="s">
        <v>31</v>
      </c>
      <c r="K3" s="33"/>
    </row>
    <row r="4" spans="1:24" x14ac:dyDescent="0.3">
      <c r="A4" s="30">
        <v>1</v>
      </c>
      <c r="B4" s="2">
        <v>0.78</v>
      </c>
      <c r="C4" s="14">
        <v>1E-3</v>
      </c>
      <c r="D4" s="14">
        <v>8.0000000000000007E-5</v>
      </c>
      <c r="E4" s="14">
        <v>9.9999999999999995E-7</v>
      </c>
      <c r="F4" s="14">
        <f t="shared" ref="F4:F18" si="0">B4/D4</f>
        <v>9750</v>
      </c>
      <c r="G4" s="2">
        <f>$J$4*Tabela52[[#This Row],[I (A)]]+$K$4</f>
        <v>0.78824026375396428</v>
      </c>
      <c r="H4" s="2">
        <f>Tabela52[[#This Row],[V (V)]]-Tabela52[[#This Row],[Fit]]</f>
        <v>-8.2402637539642498E-3</v>
      </c>
      <c r="I4" s="1"/>
      <c r="J4" s="31" cm="1">
        <f t="array" ref="J4:K8">LINEST(Tabela52[V (V)],Tabela52[I (A)],TRUE,TRUE)</f>
        <v>10104.290262959434</v>
      </c>
      <c r="K4" s="31">
        <v>-2.0102957282790435E-2</v>
      </c>
    </row>
    <row r="5" spans="1:24" x14ac:dyDescent="0.3">
      <c r="A5" s="30">
        <v>2</v>
      </c>
      <c r="B5" s="2">
        <v>1.22</v>
      </c>
      <c r="C5" s="14">
        <v>1E-3</v>
      </c>
      <c r="D5" s="14">
        <v>1.2999999999999999E-4</v>
      </c>
      <c r="E5" s="14">
        <v>9.9999999999999995E-7</v>
      </c>
      <c r="F5" s="14">
        <f t="shared" si="0"/>
        <v>9384.6153846153848</v>
      </c>
      <c r="G5" s="2">
        <f>$J$4*Tabela52[[#This Row],[I (A)]]+$K$4</f>
        <v>1.2934547769019358</v>
      </c>
      <c r="H5" s="2">
        <f>Tabela52[[#This Row],[V (V)]]-Tabela52[[#This Row],[Fit]]</f>
        <v>-7.3454776901935803E-2</v>
      </c>
      <c r="I5" s="1"/>
      <c r="J5" s="31">
        <v>89.573503681548132</v>
      </c>
      <c r="K5" s="31">
        <v>6.0607023869947686E-2</v>
      </c>
    </row>
    <row r="6" spans="1:24" x14ac:dyDescent="0.3">
      <c r="A6" s="30">
        <v>3</v>
      </c>
      <c r="B6" s="2">
        <v>2.36</v>
      </c>
      <c r="C6" s="14">
        <v>1E-3</v>
      </c>
      <c r="D6" s="14">
        <v>2.3699999999999999E-4</v>
      </c>
      <c r="E6" s="14">
        <v>9.9999999999999995E-7</v>
      </c>
      <c r="F6" s="14">
        <f t="shared" si="0"/>
        <v>9957.8059071729949</v>
      </c>
      <c r="G6" s="2">
        <f>$J$4*Tabela52[[#This Row],[I (A)]]+$K$4</f>
        <v>2.3746138350385952</v>
      </c>
      <c r="H6" s="2">
        <f>Tabela52[[#This Row],[V (V)]]-Tabela52[[#This Row],[Fit]]</f>
        <v>-1.4613835038595369E-2</v>
      </c>
      <c r="I6" s="1"/>
      <c r="J6" s="31">
        <v>0.99897941920814615</v>
      </c>
      <c r="K6" s="31">
        <v>0.10280872521320895</v>
      </c>
    </row>
    <row r="7" spans="1:24" x14ac:dyDescent="0.3">
      <c r="A7" s="30">
        <v>4</v>
      </c>
      <c r="B7" s="2">
        <v>3.48</v>
      </c>
      <c r="C7" s="14">
        <v>1E-3</v>
      </c>
      <c r="D7" s="14">
        <v>3.48E-4</v>
      </c>
      <c r="E7" s="14">
        <v>9.9999999999999995E-7</v>
      </c>
      <c r="F7" s="14">
        <f t="shared" si="0"/>
        <v>10000</v>
      </c>
      <c r="G7" s="2">
        <f>$J$4*Tabela52[[#This Row],[I (A)]]+$K$4</f>
        <v>3.4961900542270925</v>
      </c>
      <c r="H7" s="2">
        <f>Tabela52[[#This Row],[V (V)]]-Tabela52[[#This Row],[Fit]]</f>
        <v>-1.6190054227092521E-2</v>
      </c>
      <c r="I7" s="1"/>
      <c r="J7" s="31">
        <v>12724.845062109185</v>
      </c>
      <c r="K7" s="31">
        <v>13</v>
      </c>
      <c r="L7" s="1"/>
      <c r="M7" s="1"/>
      <c r="N7" s="1"/>
      <c r="O7" s="3"/>
      <c r="P7" s="30"/>
      <c r="Q7" s="3"/>
      <c r="R7" s="3"/>
      <c r="S7" s="3"/>
      <c r="T7" s="3"/>
    </row>
    <row r="8" spans="1:24" x14ac:dyDescent="0.3">
      <c r="A8" s="30">
        <v>5</v>
      </c>
      <c r="B8" s="2">
        <v>4.25</v>
      </c>
      <c r="C8" s="14">
        <v>1E-3</v>
      </c>
      <c r="D8" s="14">
        <v>4.2400000000000001E-4</v>
      </c>
      <c r="E8" s="14">
        <v>9.9999999999999995E-7</v>
      </c>
      <c r="F8" s="14">
        <f t="shared" si="0"/>
        <v>10023.584905660377</v>
      </c>
      <c r="G8" s="2">
        <f>$J$4*Tabela52[[#This Row],[I (A)]]+$K$4</f>
        <v>4.2641161142120092</v>
      </c>
      <c r="H8" s="2">
        <f>Tabela52[[#This Row],[V (V)]]-Tabela52[[#This Row],[Fit]]</f>
        <v>-1.4116114212009201E-2</v>
      </c>
      <c r="I8" s="1"/>
      <c r="J8" s="31">
        <v>134.49695475826044</v>
      </c>
      <c r="K8" s="31">
        <v>0.13740524173954641</v>
      </c>
      <c r="L8" s="1"/>
      <c r="M8" s="1"/>
      <c r="N8" s="1"/>
    </row>
    <row r="9" spans="1:24" x14ac:dyDescent="0.3">
      <c r="A9" s="30">
        <v>6</v>
      </c>
      <c r="B9" s="2">
        <v>5.34</v>
      </c>
      <c r="C9" s="14">
        <v>1E-3</v>
      </c>
      <c r="D9" s="14">
        <v>5.3700000000000004E-4</v>
      </c>
      <c r="E9" s="14">
        <v>9.9999999999999995E-7</v>
      </c>
      <c r="F9" s="14">
        <f t="shared" si="0"/>
        <v>9944.1340782122898</v>
      </c>
      <c r="G9" s="2">
        <f>$J$4*Tabela52[[#This Row],[I (A)]]+$K$4</f>
        <v>5.405900913926426</v>
      </c>
      <c r="H9" s="2">
        <f>Tabela52[[#This Row],[V (V)]]-Tabela52[[#This Row],[Fit]]</f>
        <v>-6.5900913926426163E-2</v>
      </c>
      <c r="I9" s="1"/>
      <c r="J9" s="1"/>
      <c r="K9" s="4"/>
      <c r="L9" s="1"/>
      <c r="M9" s="1"/>
      <c r="N9" s="1"/>
    </row>
    <row r="10" spans="1:24" x14ac:dyDescent="0.3">
      <c r="A10" s="30">
        <v>7</v>
      </c>
      <c r="B10" s="2">
        <v>5.99</v>
      </c>
      <c r="C10" s="14">
        <v>1E-3</v>
      </c>
      <c r="D10" s="14">
        <v>5.5999999999999995E-4</v>
      </c>
      <c r="E10" s="14">
        <v>9.9999999999999995E-7</v>
      </c>
      <c r="F10" s="14">
        <f t="shared" si="0"/>
        <v>10696.428571428572</v>
      </c>
      <c r="G10" s="2">
        <f>$J$4*Tabela52[[#This Row],[I (A)]]+$K$4</f>
        <v>5.6382995899744923</v>
      </c>
      <c r="H10" s="2">
        <f>Tabela52[[#This Row],[V (V)]]-Tabela52[[#This Row],[Fit]]</f>
        <v>0.35170041002550789</v>
      </c>
      <c r="I10" s="1"/>
      <c r="J10" s="1"/>
      <c r="K10" s="4"/>
    </row>
    <row r="11" spans="1:24" x14ac:dyDescent="0.3">
      <c r="A11" s="30">
        <v>8</v>
      </c>
      <c r="B11" s="2">
        <v>6.81</v>
      </c>
      <c r="C11" s="14">
        <v>1E-3</v>
      </c>
      <c r="D11" s="14">
        <v>6.78E-4</v>
      </c>
      <c r="E11" s="14">
        <v>9.9999999999999995E-7</v>
      </c>
      <c r="F11" s="14">
        <f t="shared" si="0"/>
        <v>10044.247787610619</v>
      </c>
      <c r="G11" s="2">
        <f>$J$4*Tabela52[[#This Row],[I (A)]]+$K$4</f>
        <v>6.8306058410037052</v>
      </c>
      <c r="H11" s="2">
        <f>Tabela52[[#This Row],[V (V)]]-Tabela52[[#This Row],[Fit]]</f>
        <v>-2.0605841003705549E-2</v>
      </c>
      <c r="I11" s="1"/>
      <c r="J11" s="23" t="s">
        <v>3</v>
      </c>
      <c r="K11" s="23"/>
      <c r="L11" s="23"/>
      <c r="M11" s="24">
        <v>0.01</v>
      </c>
    </row>
    <row r="12" spans="1:24" x14ac:dyDescent="0.3">
      <c r="A12" s="30">
        <v>9</v>
      </c>
      <c r="B12" s="2">
        <v>7.38</v>
      </c>
      <c r="C12" s="14">
        <v>1E-3</v>
      </c>
      <c r="D12" s="14">
        <v>7.3399999999999995E-4</v>
      </c>
      <c r="E12" s="14">
        <v>9.9999999999999995E-7</v>
      </c>
      <c r="F12" s="14">
        <f t="shared" si="0"/>
        <v>10054.49591280654</v>
      </c>
      <c r="G12" s="2">
        <f>$J$4*Tabela52[[#This Row],[I (A)]]+$K$4</f>
        <v>7.3964460957294333</v>
      </c>
      <c r="H12" s="2">
        <f>Tabela52[[#This Row],[V (V)]]-Tabela52[[#This Row],[Fit]]</f>
        <v>-1.6446095729433452E-2</v>
      </c>
      <c r="I12" s="1"/>
      <c r="J12" s="23" t="s">
        <v>27</v>
      </c>
      <c r="K12" s="23"/>
      <c r="L12" s="23"/>
      <c r="M12" s="24">
        <v>9.9999999999999995E-8</v>
      </c>
    </row>
    <row r="13" spans="1:24" x14ac:dyDescent="0.3">
      <c r="A13" s="30">
        <v>10</v>
      </c>
      <c r="B13" s="2">
        <v>7.95</v>
      </c>
      <c r="C13" s="14">
        <v>1E-3</v>
      </c>
      <c r="D13" s="14">
        <v>7.9100000000000004E-4</v>
      </c>
      <c r="E13" s="14">
        <v>9.9999999999999995E-7</v>
      </c>
      <c r="F13" s="14">
        <f t="shared" si="0"/>
        <v>10050.568900126422</v>
      </c>
      <c r="G13" s="2">
        <f>$J$4*Tabela52[[#This Row],[I (A)]]+$K$4</f>
        <v>7.972390640718122</v>
      </c>
      <c r="H13" s="2">
        <f>Tabela52[[#This Row],[V (V)]]-Tabela52[[#This Row],[Fit]]</f>
        <v>-2.2390640718121801E-2</v>
      </c>
      <c r="I13" s="1"/>
      <c r="J13" s="34"/>
      <c r="K13" s="35"/>
      <c r="L13" s="35"/>
      <c r="M13" s="36"/>
      <c r="U13" s="28"/>
      <c r="V13" s="28"/>
      <c r="W13" s="28"/>
      <c r="X13" s="28"/>
    </row>
    <row r="14" spans="1:24" x14ac:dyDescent="0.3">
      <c r="A14" s="30">
        <v>11</v>
      </c>
      <c r="B14" s="2">
        <v>8.24</v>
      </c>
      <c r="C14" s="14">
        <v>1E-3</v>
      </c>
      <c r="D14" s="14">
        <v>8.1899999999999996E-4</v>
      </c>
      <c r="E14" s="14">
        <v>9.9999999999999995E-7</v>
      </c>
      <c r="F14" s="14">
        <f t="shared" si="0"/>
        <v>10061.050061050062</v>
      </c>
      <c r="G14" s="2">
        <f>$J$4*Tabela52[[#This Row],[I (A)]]+$K$4</f>
        <v>8.2553107680809852</v>
      </c>
      <c r="H14" s="2">
        <f>Tabela52[[#This Row],[V (V)]]-Tabela52[[#This Row],[Fit]]</f>
        <v>-1.5310768080984971E-2</v>
      </c>
      <c r="I14" s="1"/>
      <c r="J14" s="23" t="s">
        <v>25</v>
      </c>
      <c r="K14" s="23"/>
      <c r="L14" s="23"/>
      <c r="M14" s="24">
        <v>470</v>
      </c>
    </row>
    <row r="15" spans="1:24" x14ac:dyDescent="0.3">
      <c r="A15" s="30">
        <v>12</v>
      </c>
      <c r="B15" s="2">
        <v>8.9</v>
      </c>
      <c r="C15" s="14">
        <v>1E-3</v>
      </c>
      <c r="D15" s="14">
        <v>8.8500000000000004E-4</v>
      </c>
      <c r="E15" s="14">
        <v>9.9999999999999995E-7</v>
      </c>
      <c r="F15" s="14">
        <f t="shared" si="0"/>
        <v>10056.497175141243</v>
      </c>
      <c r="G15" s="2">
        <f>$J$4*Tabela52[[#This Row],[I (A)]]+$K$4</f>
        <v>8.9221939254363072</v>
      </c>
      <c r="H15" s="2">
        <f>Tabela52[[#This Row],[V (V)]]-Tabela52[[#This Row],[Fit]]</f>
        <v>-2.2193925436306827E-2</v>
      </c>
      <c r="I15" s="1"/>
      <c r="J15" s="34"/>
      <c r="K15" s="35"/>
      <c r="L15" s="35"/>
      <c r="M15" s="36"/>
    </row>
    <row r="16" spans="1:24" x14ac:dyDescent="0.3">
      <c r="A16" s="30">
        <v>13</v>
      </c>
      <c r="B16" s="2">
        <v>9.44</v>
      </c>
      <c r="C16" s="14">
        <v>1E-3</v>
      </c>
      <c r="D16" s="14">
        <v>9.3800000000000003E-4</v>
      </c>
      <c r="E16" s="14">
        <v>9.9999999999999995E-7</v>
      </c>
      <c r="F16" s="14">
        <f t="shared" si="0"/>
        <v>10063.965884861407</v>
      </c>
      <c r="G16" s="2">
        <f>$J$4*Tabela52[[#This Row],[I (A)]]+$K$4</f>
        <v>9.4577213093731594</v>
      </c>
      <c r="H16" s="2">
        <f>Tabela52[[#This Row],[V (V)]]-Tabela52[[#This Row],[Fit]]</f>
        <v>-1.7721309373159855E-2</v>
      </c>
      <c r="I16" s="1"/>
      <c r="J16" s="23" t="s">
        <v>4</v>
      </c>
      <c r="K16" s="23"/>
      <c r="L16" s="23"/>
      <c r="M16" s="24">
        <f>SQRT(((1/D20)*B22)^2+(-(B20/(D20^2))*D22)^2)</f>
        <v>2275.6957077765142</v>
      </c>
    </row>
    <row r="17" spans="1:15" x14ac:dyDescent="0.3">
      <c r="A17" s="30">
        <v>14</v>
      </c>
      <c r="B17" s="2">
        <v>9.77</v>
      </c>
      <c r="C17" s="14">
        <v>1E-3</v>
      </c>
      <c r="D17" s="14">
        <v>9.7099999999999997E-4</v>
      </c>
      <c r="E17" s="14">
        <v>9.9999999999999995E-7</v>
      </c>
      <c r="F17" s="14">
        <f t="shared" si="0"/>
        <v>10061.791967044284</v>
      </c>
      <c r="G17" s="2">
        <f>$J$4*Tabela52[[#This Row],[I (A)]]+$K$4</f>
        <v>9.7911628880508204</v>
      </c>
      <c r="H17" s="2">
        <f>Tabela52[[#This Row],[V (V)]]-Tabela52[[#This Row],[Fit]]</f>
        <v>-2.1162888050820783E-2</v>
      </c>
      <c r="I17" s="1"/>
      <c r="J17" s="34"/>
      <c r="K17" s="35"/>
      <c r="L17" s="35"/>
      <c r="M17" s="36"/>
    </row>
    <row r="18" spans="1:15" x14ac:dyDescent="0.3">
      <c r="A18" s="30">
        <v>15</v>
      </c>
      <c r="B18" s="2">
        <v>9.98</v>
      </c>
      <c r="C18" s="14">
        <v>1E-3</v>
      </c>
      <c r="D18" s="14">
        <v>9.9200000000000004E-4</v>
      </c>
      <c r="E18" s="14">
        <v>9.9999999999999995E-7</v>
      </c>
      <c r="F18" s="14">
        <f t="shared" si="0"/>
        <v>10060.483870967742</v>
      </c>
      <c r="G18" s="2">
        <f>$J$4*Tabela52[[#This Row],[I (A)]]+$K$4</f>
        <v>10.003352983572967</v>
      </c>
      <c r="H18" s="2">
        <f>Tabela52[[#This Row],[V (V)]]-Tabela52[[#This Row],[Fit]]</f>
        <v>-2.3352983572966224E-2</v>
      </c>
      <c r="I18" s="1"/>
      <c r="J18" s="23" t="s">
        <v>22</v>
      </c>
      <c r="K18" s="23"/>
      <c r="L18" s="23"/>
      <c r="M18" s="24">
        <f>SLOPE(Tabela52[V (V)],Tabela52[I (A)])</f>
        <v>10104.290262959435</v>
      </c>
    </row>
    <row r="19" spans="1:15" x14ac:dyDescent="0.3">
      <c r="A19" s="1"/>
      <c r="B19" s="1"/>
      <c r="C19" s="1"/>
      <c r="D19" s="1"/>
      <c r="E19" s="1"/>
      <c r="J19" s="34"/>
      <c r="K19" s="35"/>
      <c r="L19" s="35"/>
      <c r="M19" s="36"/>
    </row>
    <row r="20" spans="1:15" x14ac:dyDescent="0.3">
      <c r="A20" s="29" t="s">
        <v>6</v>
      </c>
      <c r="B20" s="19">
        <f>AVERAGE(B4:B18)</f>
        <v>6.1260000000000003</v>
      </c>
      <c r="C20" s="20"/>
      <c r="D20" s="21">
        <f>AVERAGE(D4:D18)</f>
        <v>6.0826666666666663E-4</v>
      </c>
      <c r="E20" s="22"/>
      <c r="F20" s="21">
        <f>AVERAGE(F4:F18)</f>
        <v>10013.978027113197</v>
      </c>
      <c r="J20" s="23" t="s">
        <v>23</v>
      </c>
      <c r="K20" s="23"/>
      <c r="L20" s="23"/>
      <c r="M20" s="25">
        <f>ABS((M14-M18)/M14)</f>
        <v>20.498489921190288</v>
      </c>
    </row>
    <row r="21" spans="1:15" x14ac:dyDescent="0.3">
      <c r="A21" s="29" t="s">
        <v>7</v>
      </c>
      <c r="B21" s="19">
        <f>STDEVA(B4:B18)</f>
        <v>3.1010869062314277</v>
      </c>
      <c r="C21" s="20"/>
      <c r="D21" s="21">
        <f>STDEVA(D4:D18)</f>
        <v>3.0675128749681294E-4</v>
      </c>
      <c r="E21" s="22"/>
      <c r="F21" s="21">
        <f>STDEVA(F4:F18)</f>
        <v>261.13897472485797</v>
      </c>
      <c r="J21" s="26" t="s">
        <v>24</v>
      </c>
      <c r="K21" s="26"/>
      <c r="L21" s="26"/>
      <c r="M21" s="27">
        <f>ABS((M14-F20)/M14)</f>
        <v>20.30633622790042</v>
      </c>
    </row>
    <row r="22" spans="1:15" x14ac:dyDescent="0.3">
      <c r="A22" s="29" t="s">
        <v>8</v>
      </c>
      <c r="B22" s="19">
        <f>B21/SQRT(10)</f>
        <v>0.98064978458163166</v>
      </c>
      <c r="C22" s="20"/>
      <c r="D22" s="21">
        <f>D21/SQRT(10)</f>
        <v>9.7003274367905937E-5</v>
      </c>
      <c r="E22" s="22"/>
      <c r="F22" s="21">
        <f t="shared" ref="F22" si="1">F21/SQRT(10)</f>
        <v>82.57939459716934</v>
      </c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30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32"/>
      <c r="B41" s="32"/>
      <c r="C41" s="32"/>
      <c r="D41" s="32"/>
      <c r="E41" s="32"/>
      <c r="F41" s="32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30"/>
      <c r="B43" s="2"/>
      <c r="C43" s="14"/>
      <c r="D43" s="14"/>
      <c r="E43" s="14"/>
      <c r="F43" s="14"/>
      <c r="Y43" s="6"/>
    </row>
    <row r="44" spans="1:25" x14ac:dyDescent="0.3">
      <c r="A44" s="30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30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30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30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30"/>
      <c r="B48" s="2"/>
      <c r="C48" s="14"/>
      <c r="D48" s="14"/>
      <c r="E48" s="14"/>
      <c r="F48" s="14"/>
    </row>
    <row r="49" spans="1:25" x14ac:dyDescent="0.3">
      <c r="A49" s="30"/>
      <c r="B49" s="2"/>
      <c r="C49" s="14"/>
      <c r="D49" s="14"/>
      <c r="E49" s="14"/>
      <c r="F49" s="14"/>
    </row>
    <row r="50" spans="1:25" x14ac:dyDescent="0.3">
      <c r="A50" s="30"/>
      <c r="B50" s="2"/>
      <c r="C50" s="14"/>
      <c r="D50" s="14"/>
      <c r="E50" s="14"/>
      <c r="F50" s="14"/>
    </row>
    <row r="51" spans="1:25" x14ac:dyDescent="0.3">
      <c r="A51" s="30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30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30"/>
      <c r="B53" s="2"/>
      <c r="C53" s="14"/>
      <c r="D53" s="14"/>
      <c r="E53" s="14"/>
      <c r="F53" s="14"/>
      <c r="I53" s="4"/>
      <c r="Y53" s="6"/>
    </row>
    <row r="54" spans="1:25" x14ac:dyDescent="0.3">
      <c r="A54" s="30"/>
      <c r="B54" s="2"/>
      <c r="C54" s="14"/>
      <c r="D54" s="14"/>
      <c r="E54" s="14"/>
      <c r="F54" s="14"/>
      <c r="I54" s="4"/>
      <c r="Y54" s="6"/>
    </row>
    <row r="55" spans="1:25" x14ac:dyDescent="0.3">
      <c r="A55" s="30"/>
      <c r="B55" s="2"/>
      <c r="C55" s="14"/>
      <c r="D55" s="14"/>
      <c r="E55" s="14"/>
      <c r="F55" s="14"/>
      <c r="I55" s="4"/>
      <c r="J55" s="1"/>
      <c r="K55" s="1"/>
      <c r="L55" s="1"/>
      <c r="M55" s="3"/>
      <c r="N55" s="30"/>
      <c r="O55" s="3"/>
      <c r="V55" s="1"/>
      <c r="W55" s="1"/>
      <c r="X55" s="1"/>
      <c r="Y55" s="6"/>
    </row>
    <row r="56" spans="1:25" x14ac:dyDescent="0.3">
      <c r="A56" s="30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30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30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30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30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30"/>
      <c r="B65" s="30"/>
      <c r="C65" s="30"/>
      <c r="D65" s="30"/>
      <c r="E65" s="30"/>
      <c r="F65" s="30"/>
      <c r="I65" s="4"/>
    </row>
    <row r="66" spans="1:25" x14ac:dyDescent="0.3">
      <c r="A66" s="1"/>
      <c r="B66" s="30"/>
      <c r="C66" s="30"/>
      <c r="D66" s="30"/>
      <c r="E66" s="30"/>
      <c r="F66" s="30"/>
      <c r="I66" s="4"/>
    </row>
    <row r="67" spans="1:25" x14ac:dyDescent="0.3">
      <c r="A67" s="30"/>
      <c r="B67" s="2"/>
      <c r="C67" s="5"/>
      <c r="D67" s="5"/>
      <c r="E67" s="5"/>
      <c r="F67" s="5"/>
    </row>
    <row r="68" spans="1:25" x14ac:dyDescent="0.3">
      <c r="A68" s="30"/>
      <c r="B68" s="2"/>
      <c r="C68" s="5"/>
      <c r="D68" s="5"/>
      <c r="E68" s="5"/>
      <c r="F68" s="5"/>
    </row>
    <row r="69" spans="1:25" x14ac:dyDescent="0.3">
      <c r="A69" s="30"/>
      <c r="B69" s="2"/>
      <c r="C69" s="5"/>
      <c r="D69" s="5"/>
      <c r="E69" s="5"/>
      <c r="F69" s="5"/>
    </row>
    <row r="70" spans="1:25" x14ac:dyDescent="0.3">
      <c r="A70" s="30"/>
      <c r="B70" s="2"/>
      <c r="C70" s="5"/>
      <c r="D70" s="5"/>
      <c r="E70" s="5"/>
      <c r="F70" s="5"/>
    </row>
    <row r="71" spans="1:25" x14ac:dyDescent="0.3">
      <c r="A71" s="30"/>
      <c r="B71" s="2"/>
      <c r="C71" s="5"/>
      <c r="D71" s="5"/>
      <c r="E71" s="5"/>
      <c r="F71" s="5"/>
    </row>
    <row r="72" spans="1:25" x14ac:dyDescent="0.3">
      <c r="A72" s="30"/>
      <c r="B72" s="2"/>
      <c r="C72" s="5"/>
      <c r="D72" s="5"/>
      <c r="E72" s="5"/>
      <c r="F72" s="5"/>
    </row>
    <row r="73" spans="1:25" x14ac:dyDescent="0.3">
      <c r="A73" s="30"/>
      <c r="B73" s="2"/>
      <c r="C73" s="5"/>
      <c r="D73" s="5"/>
      <c r="E73" s="5"/>
      <c r="F73" s="5"/>
    </row>
    <row r="74" spans="1:25" x14ac:dyDescent="0.3">
      <c r="A74" s="30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30"/>
      <c r="B75" s="2"/>
      <c r="C75" s="5"/>
      <c r="D75" s="5"/>
      <c r="E75" s="5"/>
      <c r="F75" s="5"/>
    </row>
    <row r="76" spans="1:25" x14ac:dyDescent="0.3">
      <c r="A76" s="30"/>
      <c r="B76" s="2"/>
      <c r="C76" s="5"/>
      <c r="D76" s="5"/>
      <c r="E76" s="5"/>
      <c r="F76" s="5"/>
    </row>
    <row r="77" spans="1:25" x14ac:dyDescent="0.3">
      <c r="A77" s="30"/>
      <c r="B77" s="2"/>
      <c r="C77" s="5"/>
      <c r="D77" s="5"/>
      <c r="E77" s="5"/>
      <c r="F77" s="5"/>
    </row>
    <row r="78" spans="1:25" x14ac:dyDescent="0.3">
      <c r="A78" s="30"/>
      <c r="B78" s="2"/>
      <c r="C78" s="5"/>
      <c r="D78" s="5"/>
      <c r="E78" s="5"/>
      <c r="F78" s="5"/>
    </row>
    <row r="79" spans="1:25" x14ac:dyDescent="0.3">
      <c r="A79" s="30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30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30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30"/>
      <c r="B83" s="2"/>
      <c r="D83" s="5"/>
      <c r="E83" s="4"/>
      <c r="F83" s="5"/>
      <c r="I83" s="4"/>
      <c r="J83" s="1"/>
      <c r="K83" s="1"/>
      <c r="L83" s="1"/>
      <c r="M83" s="3"/>
      <c r="N83" s="30"/>
      <c r="O83" s="3"/>
      <c r="V83" s="1"/>
      <c r="W83" s="1"/>
      <c r="X83" s="1"/>
      <c r="Y83" s="6"/>
    </row>
    <row r="84" spans="1:25" x14ac:dyDescent="0.3">
      <c r="A84" s="30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30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30"/>
      <c r="B93" s="30"/>
      <c r="C93" s="30"/>
      <c r="D93" s="30"/>
      <c r="E93" s="30"/>
      <c r="F93" s="30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30"/>
      <c r="B95" s="2"/>
      <c r="C95" s="5"/>
      <c r="D95" s="5"/>
      <c r="E95" s="5"/>
      <c r="F95" s="5"/>
    </row>
    <row r="96" spans="1:25" x14ac:dyDescent="0.3">
      <c r="A96" s="30"/>
      <c r="B96" s="2"/>
      <c r="C96" s="5"/>
      <c r="D96" s="5"/>
      <c r="E96" s="5"/>
      <c r="F96" s="5"/>
    </row>
    <row r="97" spans="1:25" x14ac:dyDescent="0.3">
      <c r="A97" s="30"/>
      <c r="B97" s="2"/>
      <c r="C97" s="5"/>
      <c r="D97" s="5"/>
      <c r="E97" s="5"/>
      <c r="F97" s="5"/>
    </row>
    <row r="98" spans="1:25" x14ac:dyDescent="0.3">
      <c r="A98" s="30"/>
      <c r="B98" s="2"/>
      <c r="C98" s="5"/>
      <c r="D98" s="5"/>
      <c r="E98" s="5"/>
      <c r="F98" s="5"/>
    </row>
    <row r="99" spans="1:25" x14ac:dyDescent="0.3">
      <c r="A99" s="30"/>
      <c r="B99" s="2"/>
      <c r="C99" s="5"/>
      <c r="D99" s="5"/>
      <c r="E99" s="5"/>
      <c r="F99" s="5"/>
    </row>
    <row r="100" spans="1:25" x14ac:dyDescent="0.3">
      <c r="A100" s="30"/>
      <c r="B100" s="2"/>
      <c r="C100" s="5"/>
      <c r="D100" s="5"/>
      <c r="E100" s="5"/>
      <c r="F100" s="5"/>
    </row>
    <row r="101" spans="1:25" x14ac:dyDescent="0.3">
      <c r="A101" s="30"/>
      <c r="B101" s="2"/>
      <c r="C101" s="5"/>
      <c r="D101" s="5"/>
      <c r="E101" s="5"/>
      <c r="F101" s="5"/>
      <c r="I101" s="6"/>
    </row>
    <row r="102" spans="1:25" x14ac:dyDescent="0.3">
      <c r="A102" s="30"/>
      <c r="B102" s="2"/>
      <c r="C102" s="5"/>
      <c r="D102" s="5"/>
      <c r="E102" s="5"/>
      <c r="F102" s="5"/>
    </row>
    <row r="103" spans="1:25" x14ac:dyDescent="0.3">
      <c r="A103" s="30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30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30"/>
      <c r="B105" s="2"/>
      <c r="C105" s="5"/>
      <c r="D105" s="5"/>
      <c r="E105" s="5"/>
      <c r="F105" s="5"/>
      <c r="I105" s="4"/>
    </row>
    <row r="106" spans="1:25" x14ac:dyDescent="0.3">
      <c r="A106" s="30"/>
      <c r="B106" s="2"/>
      <c r="C106" s="5"/>
      <c r="D106" s="5"/>
      <c r="E106" s="5"/>
      <c r="F106" s="5"/>
      <c r="I106" s="4"/>
    </row>
    <row r="107" spans="1:25" x14ac:dyDescent="0.3">
      <c r="A107" s="30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30"/>
      <c r="O107" s="3"/>
      <c r="V107" s="1"/>
      <c r="W107" s="1"/>
      <c r="X107" s="1"/>
      <c r="Y107" s="6"/>
    </row>
    <row r="108" spans="1:25" x14ac:dyDescent="0.3">
      <c r="A108" s="30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30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30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30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30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30"/>
      <c r="B117" s="30"/>
      <c r="C117" s="30"/>
      <c r="D117" s="30"/>
      <c r="E117" s="30"/>
      <c r="F117" s="30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30"/>
      <c r="B119" s="8"/>
      <c r="C119" s="7"/>
      <c r="D119" s="7"/>
      <c r="E119" s="7"/>
      <c r="F119" s="7"/>
    </row>
    <row r="120" spans="1:25" x14ac:dyDescent="0.3">
      <c r="A120" s="30"/>
      <c r="B120" s="8"/>
      <c r="C120" s="15"/>
      <c r="D120" s="7"/>
      <c r="E120" s="7"/>
      <c r="F120" s="7"/>
    </row>
    <row r="121" spans="1:25" x14ac:dyDescent="0.3">
      <c r="A121" s="30"/>
      <c r="B121" s="8"/>
      <c r="C121" s="7"/>
      <c r="D121" s="7"/>
      <c r="E121" s="7"/>
      <c r="F121" s="7"/>
    </row>
    <row r="122" spans="1:25" x14ac:dyDescent="0.3">
      <c r="A122" s="30"/>
      <c r="B122" s="8"/>
      <c r="C122" s="7"/>
      <c r="D122" s="7"/>
      <c r="E122" s="7"/>
      <c r="F122" s="7"/>
    </row>
    <row r="123" spans="1:25" x14ac:dyDescent="0.3">
      <c r="A123" s="30"/>
      <c r="B123" s="8"/>
      <c r="C123" s="7"/>
      <c r="D123" s="7"/>
      <c r="E123" s="7"/>
      <c r="F123" s="7"/>
    </row>
    <row r="124" spans="1:25" x14ac:dyDescent="0.3">
      <c r="A124" s="30"/>
      <c r="B124" s="8"/>
      <c r="C124" s="7"/>
      <c r="D124" s="7"/>
      <c r="E124" s="7"/>
      <c r="F124" s="7"/>
    </row>
    <row r="125" spans="1:25" x14ac:dyDescent="0.3">
      <c r="A125" s="30"/>
      <c r="B125" s="8"/>
      <c r="C125" s="7"/>
      <c r="D125" s="7"/>
      <c r="E125" s="7"/>
      <c r="F125" s="7"/>
    </row>
    <row r="126" spans="1:25" x14ac:dyDescent="0.3">
      <c r="A126" s="30"/>
      <c r="B126" s="8"/>
      <c r="C126" s="7"/>
      <c r="D126" s="7"/>
      <c r="E126" s="7"/>
      <c r="F126" s="7"/>
    </row>
    <row r="127" spans="1:25" x14ac:dyDescent="0.3">
      <c r="A127" s="30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30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30"/>
      <c r="B129" s="8"/>
      <c r="C129" s="7"/>
      <c r="D129" s="7"/>
      <c r="E129" s="7"/>
      <c r="F129" s="7"/>
      <c r="I129" s="4"/>
      <c r="Y129" s="6"/>
    </row>
    <row r="130" spans="1:25" x14ac:dyDescent="0.3">
      <c r="A130" s="30"/>
      <c r="B130" s="8"/>
      <c r="C130" s="7"/>
      <c r="D130" s="7"/>
      <c r="E130" s="7"/>
      <c r="F130" s="7"/>
      <c r="I130" s="4"/>
      <c r="Y130" s="6"/>
    </row>
    <row r="131" spans="1:25" x14ac:dyDescent="0.3">
      <c r="A131" s="30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30"/>
      <c r="O131" s="3"/>
      <c r="V131" s="1"/>
      <c r="W131" s="1"/>
      <c r="X131" s="1"/>
      <c r="Y131" s="6"/>
    </row>
    <row r="132" spans="1:25" x14ac:dyDescent="0.3">
      <c r="A132" s="30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30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30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30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30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30"/>
      <c r="B141" s="30"/>
      <c r="C141" s="30"/>
      <c r="D141" s="30"/>
      <c r="E141" s="30"/>
      <c r="F141" s="30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30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30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30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30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30"/>
      <c r="B147" s="2"/>
      <c r="C147" s="5"/>
      <c r="D147" s="5"/>
      <c r="E147" s="5"/>
      <c r="F147" s="5"/>
    </row>
    <row r="148" spans="1:25" x14ac:dyDescent="0.3">
      <c r="A148" s="30"/>
      <c r="B148" s="2"/>
      <c r="C148" s="5"/>
      <c r="D148" s="5"/>
      <c r="E148" s="5"/>
      <c r="F148" s="5"/>
    </row>
    <row r="149" spans="1:25" x14ac:dyDescent="0.3">
      <c r="A149" s="30"/>
      <c r="B149" s="2"/>
      <c r="C149" s="5"/>
      <c r="D149" s="5"/>
      <c r="E149" s="5"/>
      <c r="F149" s="5"/>
    </row>
    <row r="150" spans="1:25" x14ac:dyDescent="0.3">
      <c r="A150" s="30"/>
      <c r="B150" s="2"/>
      <c r="C150" s="5"/>
      <c r="D150" s="5"/>
      <c r="E150" s="5"/>
      <c r="F150" s="5"/>
    </row>
    <row r="151" spans="1:25" x14ac:dyDescent="0.3">
      <c r="A151" s="30"/>
      <c r="B151" s="2"/>
      <c r="C151" s="5"/>
      <c r="D151" s="5"/>
      <c r="E151" s="5"/>
      <c r="F151" s="5"/>
    </row>
    <row r="152" spans="1:25" x14ac:dyDescent="0.3">
      <c r="A152" s="30"/>
      <c r="B152" s="2"/>
      <c r="C152" s="5"/>
      <c r="D152" s="5"/>
      <c r="E152" s="5"/>
      <c r="F152" s="5"/>
    </row>
    <row r="153" spans="1:25" x14ac:dyDescent="0.3">
      <c r="A153" s="30"/>
      <c r="B153" s="2"/>
      <c r="C153" s="5"/>
      <c r="D153" s="5"/>
      <c r="E153" s="5"/>
      <c r="F153" s="5"/>
    </row>
    <row r="154" spans="1:25" x14ac:dyDescent="0.3">
      <c r="A154" s="30"/>
      <c r="B154" s="2"/>
      <c r="C154" s="5"/>
      <c r="D154" s="5"/>
      <c r="E154" s="5"/>
      <c r="F154" s="5"/>
    </row>
    <row r="155" spans="1:25" x14ac:dyDescent="0.3">
      <c r="A155" s="30"/>
      <c r="B155" s="2"/>
      <c r="C155" s="5"/>
      <c r="D155" s="5"/>
      <c r="E155" s="5"/>
      <c r="F155" s="5"/>
    </row>
    <row r="156" spans="1:25" x14ac:dyDescent="0.3">
      <c r="A156" s="30"/>
      <c r="B156" s="2"/>
      <c r="C156" s="5"/>
      <c r="D156" s="5"/>
      <c r="E156" s="5"/>
      <c r="F156" s="5"/>
    </row>
    <row r="157" spans="1:25" x14ac:dyDescent="0.3">
      <c r="A157" s="30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30"/>
      <c r="B159" s="2"/>
      <c r="D159" s="5"/>
      <c r="E159" s="4"/>
      <c r="F159" s="5"/>
    </row>
    <row r="160" spans="1:25" x14ac:dyDescent="0.3">
      <c r="A160" s="30"/>
      <c r="B160" s="2"/>
      <c r="D160" s="5"/>
      <c r="E160" s="4"/>
      <c r="F160" s="5"/>
    </row>
    <row r="161" spans="1:6" x14ac:dyDescent="0.3">
      <c r="A161" s="30"/>
      <c r="B161" s="2"/>
      <c r="D161" s="5"/>
      <c r="E161" s="4"/>
      <c r="F161" s="5"/>
    </row>
  </sheetData>
  <mergeCells count="7">
    <mergeCell ref="A41:F41"/>
    <mergeCell ref="A2:H2"/>
    <mergeCell ref="J3:K3"/>
    <mergeCell ref="J13:M13"/>
    <mergeCell ref="J15:M15"/>
    <mergeCell ref="J17:M17"/>
    <mergeCell ref="J19:M19"/>
  </mergeCells>
  <pageMargins left="3.937007874015748E-2" right="3.937007874015748E-2" top="3.937007874015748E-2" bottom="3.937007874015748E-2" header="3.937007874015748E-2" footer="3.937007874015748E-2"/>
  <pageSetup paperSize="9" orientation="landscape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CEA2-7506-43DA-BD0E-18E2DA668FCC}">
  <dimension ref="A2:Y161"/>
  <sheetViews>
    <sheetView topLeftCell="A109" zoomScale="70" zoomScaleNormal="70" workbookViewId="0">
      <selection activeCell="G117" sqref="G117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10" max="10" width="9.21875" customWidth="1"/>
    <col min="11" max="11" width="9" bestFit="1" customWidth="1"/>
    <col min="24" max="24" width="11.21875" customWidth="1"/>
    <col min="25" max="25" width="10.6640625" customWidth="1"/>
  </cols>
  <sheetData>
    <row r="2" spans="1:24" x14ac:dyDescent="0.3">
      <c r="A2" s="32" t="s">
        <v>10</v>
      </c>
      <c r="B2" s="32"/>
      <c r="C2" s="32"/>
      <c r="D2" s="32"/>
      <c r="E2" s="32"/>
      <c r="F2" s="32"/>
      <c r="G2" s="32"/>
      <c r="H2" s="32"/>
    </row>
    <row r="3" spans="1:24" x14ac:dyDescent="0.3">
      <c r="A3" s="1" t="s">
        <v>1</v>
      </c>
      <c r="B3" s="9" t="s">
        <v>16</v>
      </c>
      <c r="C3" s="9" t="s">
        <v>17</v>
      </c>
      <c r="D3" s="9" t="s">
        <v>19</v>
      </c>
      <c r="E3" s="9" t="s">
        <v>18</v>
      </c>
      <c r="F3" s="9" t="s">
        <v>20</v>
      </c>
      <c r="G3" s="9" t="s">
        <v>29</v>
      </c>
      <c r="H3" s="9" t="s">
        <v>30</v>
      </c>
      <c r="I3" s="1"/>
      <c r="J3" s="33" t="s">
        <v>31</v>
      </c>
      <c r="K3" s="33"/>
    </row>
    <row r="4" spans="1:24" x14ac:dyDescent="0.3">
      <c r="A4" s="9">
        <v>1</v>
      </c>
      <c r="B4" s="2">
        <v>0.72</v>
      </c>
      <c r="C4" s="5">
        <v>0.01</v>
      </c>
      <c r="D4" s="5">
        <v>1.5375E-3</v>
      </c>
      <c r="E4" s="5">
        <v>9.9999999999999995E-8</v>
      </c>
      <c r="F4" s="5">
        <f t="shared" ref="F4:F18" si="0">B4/D4</f>
        <v>468.29268292682923</v>
      </c>
      <c r="G4" s="2">
        <f>$J$4*Tabela5[[#This Row],[I (A)]]+$K$4</f>
        <v>0.71857019412600598</v>
      </c>
      <c r="H4" s="2">
        <f>Tabela5[[#This Row],[V (V)]]-Tabela5[[#This Row],[Fit]]</f>
        <v>1.4298058739939945E-3</v>
      </c>
      <c r="I4" s="1"/>
      <c r="J4" s="31" cm="1">
        <f t="array" ref="J4:K8">LINEST(Tabela5[V (V)],Tabela5[I (A)],TRUE,TRUE)</f>
        <v>464.23921468327922</v>
      </c>
      <c r="K4" s="31">
        <v>4.8024015504641859E-3</v>
      </c>
    </row>
    <row r="5" spans="1:24" x14ac:dyDescent="0.3">
      <c r="A5" s="9">
        <v>2</v>
      </c>
      <c r="B5" s="2">
        <v>1</v>
      </c>
      <c r="C5" s="5">
        <v>0.01</v>
      </c>
      <c r="D5" s="5">
        <v>2.1234000000000001E-3</v>
      </c>
      <c r="E5" s="5">
        <v>9.9999999999999995E-8</v>
      </c>
      <c r="F5" s="5">
        <f t="shared" si="0"/>
        <v>470.94282754073652</v>
      </c>
      <c r="G5" s="2">
        <f>$J$4*Tabela5[[#This Row],[I (A)]]+$K$4</f>
        <v>0.99056795000893927</v>
      </c>
      <c r="H5" s="2">
        <f>Tabela5[[#This Row],[V (V)]]-Tabela5[[#This Row],[Fit]]</f>
        <v>9.4320499910607314E-3</v>
      </c>
      <c r="I5" s="1"/>
      <c r="J5" s="31">
        <v>3.8006521695006943</v>
      </c>
      <c r="K5" s="31">
        <v>3.6662496657451686E-2</v>
      </c>
    </row>
    <row r="6" spans="1:24" x14ac:dyDescent="0.3">
      <c r="A6" s="9">
        <v>3</v>
      </c>
      <c r="B6" s="2">
        <v>1.5</v>
      </c>
      <c r="C6" s="5">
        <v>0.01</v>
      </c>
      <c r="D6" s="5">
        <v>3.2039999999999998E-3</v>
      </c>
      <c r="E6" s="5">
        <v>9.9999999999999995E-8</v>
      </c>
      <c r="F6" s="5">
        <f t="shared" si="0"/>
        <v>468.16479400749068</v>
      </c>
      <c r="G6" s="2">
        <f>$J$4*Tabela5[[#This Row],[I (A)]]+$K$4</f>
        <v>1.4922248453956908</v>
      </c>
      <c r="H6" s="2">
        <f>Tabela5[[#This Row],[V (V)]]-Tabela5[[#This Row],[Fit]]</f>
        <v>7.7751546043092201E-3</v>
      </c>
      <c r="I6" s="1"/>
      <c r="J6" s="31">
        <v>0.99912944199347653</v>
      </c>
      <c r="K6" s="31">
        <v>6.6989062946331016E-2</v>
      </c>
    </row>
    <row r="7" spans="1:24" x14ac:dyDescent="0.3">
      <c r="A7" s="9">
        <v>4</v>
      </c>
      <c r="B7" s="2">
        <v>2</v>
      </c>
      <c r="C7" s="5">
        <v>0.01</v>
      </c>
      <c r="D7" s="5">
        <v>4.2433999999999996E-3</v>
      </c>
      <c r="E7" s="5">
        <v>9.9999999999999995E-8</v>
      </c>
      <c r="F7" s="5">
        <f t="shared" si="0"/>
        <v>471.32016778997979</v>
      </c>
      <c r="G7" s="2">
        <f>$J$4*Tabela5[[#This Row],[I (A)]]+$K$4</f>
        <v>1.9747550851374911</v>
      </c>
      <c r="H7" s="2">
        <f>Tabela5[[#This Row],[V (V)]]-Tabela5[[#This Row],[Fit]]</f>
        <v>2.5244914862508905E-2</v>
      </c>
      <c r="I7" s="1"/>
      <c r="J7" s="31">
        <v>14919.950937885862</v>
      </c>
      <c r="K7" s="31">
        <v>13</v>
      </c>
      <c r="L7" s="1"/>
      <c r="M7" s="1"/>
      <c r="N7" s="1"/>
      <c r="O7" s="3"/>
      <c r="P7" s="17"/>
      <c r="Q7" s="3"/>
      <c r="R7" s="3"/>
      <c r="S7" s="3"/>
      <c r="T7" s="3"/>
    </row>
    <row r="8" spans="1:24" x14ac:dyDescent="0.3">
      <c r="A8" s="9">
        <v>5</v>
      </c>
      <c r="B8" s="2">
        <v>2.4500000000000002</v>
      </c>
      <c r="C8" s="5">
        <v>0.01</v>
      </c>
      <c r="D8" s="5">
        <v>5.2564999999999999E-3</v>
      </c>
      <c r="E8" s="5">
        <v>9.9999999999999995E-8</v>
      </c>
      <c r="F8" s="5">
        <f t="shared" si="0"/>
        <v>466.08960334823558</v>
      </c>
      <c r="G8" s="2">
        <f>$J$4*Tabela5[[#This Row],[I (A)]]+$K$4</f>
        <v>2.4450758335331213</v>
      </c>
      <c r="H8" s="2">
        <f>Tabela5[[#This Row],[V (V)]]-Tabela5[[#This Row],[Fit]]</f>
        <v>4.9241664668788765E-3</v>
      </c>
      <c r="I8" s="1"/>
      <c r="J8" s="31">
        <v>66.953795384125769</v>
      </c>
      <c r="K8" s="31">
        <v>5.8337949207557478E-2</v>
      </c>
      <c r="L8" s="1"/>
      <c r="M8" s="1"/>
      <c r="N8" s="1"/>
    </row>
    <row r="9" spans="1:24" x14ac:dyDescent="0.3">
      <c r="A9" s="9">
        <v>6</v>
      </c>
      <c r="B9" s="2">
        <v>2.92</v>
      </c>
      <c r="C9" s="5">
        <v>0.01</v>
      </c>
      <c r="D9" s="5">
        <v>6.2399999999999999E-3</v>
      </c>
      <c r="E9" s="5">
        <v>9.9999999999999995E-8</v>
      </c>
      <c r="F9" s="5">
        <f t="shared" si="0"/>
        <v>467.94871794871796</v>
      </c>
      <c r="G9" s="2">
        <f>$J$4*Tabela5[[#This Row],[I (A)]]+$K$4</f>
        <v>2.9016551011741263</v>
      </c>
      <c r="H9" s="2">
        <f>Tabela5[[#This Row],[V (V)]]-Tabela5[[#This Row],[Fit]]</f>
        <v>1.8344898825873646E-2</v>
      </c>
      <c r="I9" s="1"/>
      <c r="J9" s="1"/>
      <c r="K9" s="4"/>
      <c r="L9" s="1"/>
      <c r="M9" s="1"/>
      <c r="N9" s="1"/>
    </row>
    <row r="10" spans="1:24" x14ac:dyDescent="0.3">
      <c r="A10" s="9">
        <v>7</v>
      </c>
      <c r="B10" s="2">
        <v>3.4</v>
      </c>
      <c r="C10" s="5">
        <v>0.01</v>
      </c>
      <c r="D10" s="5">
        <v>7.2886000000000001E-3</v>
      </c>
      <c r="E10" s="5">
        <v>9.9999999999999995E-8</v>
      </c>
      <c r="F10" s="5">
        <f t="shared" si="0"/>
        <v>466.48190324616525</v>
      </c>
      <c r="G10" s="2">
        <f>$J$4*Tabela5[[#This Row],[I (A)]]+$K$4</f>
        <v>3.388456341691013</v>
      </c>
      <c r="H10" s="2">
        <f>Tabela5[[#This Row],[V (V)]]-Tabela5[[#This Row],[Fit]]</f>
        <v>1.1543658308986959E-2</v>
      </c>
      <c r="I10" s="1"/>
      <c r="J10" s="1"/>
      <c r="K10" s="4"/>
    </row>
    <row r="11" spans="1:24" x14ac:dyDescent="0.3">
      <c r="A11" s="9">
        <v>8</v>
      </c>
      <c r="B11" s="2">
        <v>3.87</v>
      </c>
      <c r="C11" s="5">
        <v>0.01</v>
      </c>
      <c r="D11" s="5">
        <v>8.2874999999999997E-3</v>
      </c>
      <c r="E11" s="5">
        <v>9.9999999999999995E-8</v>
      </c>
      <c r="F11" s="5">
        <f t="shared" si="0"/>
        <v>466.96832579185525</v>
      </c>
      <c r="G11" s="2">
        <f>$J$4*Tabela5[[#This Row],[I (A)]]+$K$4</f>
        <v>3.8521848932381406</v>
      </c>
      <c r="H11" s="2">
        <f>Tabela5[[#This Row],[V (V)]]-Tabela5[[#This Row],[Fit]]</f>
        <v>1.7815106761859489E-2</v>
      </c>
      <c r="I11" s="1"/>
      <c r="J11" s="23" t="s">
        <v>3</v>
      </c>
      <c r="K11" s="23"/>
      <c r="L11" s="23"/>
      <c r="M11" s="24">
        <v>0.01</v>
      </c>
    </row>
    <row r="12" spans="1:24" x14ac:dyDescent="0.3">
      <c r="A12" s="9">
        <v>9</v>
      </c>
      <c r="B12" s="2">
        <v>4.41</v>
      </c>
      <c r="C12" s="5">
        <v>0.01</v>
      </c>
      <c r="D12" s="5">
        <v>9.9865000000000006E-3</v>
      </c>
      <c r="E12" s="5">
        <v>9.9999999999999995E-8</v>
      </c>
      <c r="F12" s="5">
        <f t="shared" si="0"/>
        <v>441.59615480899214</v>
      </c>
      <c r="G12" s="2">
        <f>$J$4*Tabela5[[#This Row],[I (A)]]+$K$4</f>
        <v>4.6409273189850317</v>
      </c>
      <c r="H12" s="2">
        <f>Tabela5[[#This Row],[V (V)]]-Tabela5[[#This Row],[Fit]]</f>
        <v>-0.2309273189850316</v>
      </c>
      <c r="I12" s="1"/>
      <c r="J12" s="23" t="s">
        <v>27</v>
      </c>
      <c r="K12" s="23"/>
      <c r="L12" s="23"/>
      <c r="M12" s="24">
        <v>9.9999999999999995E-8</v>
      </c>
    </row>
    <row r="13" spans="1:24" x14ac:dyDescent="0.3">
      <c r="A13" s="9">
        <v>10</v>
      </c>
      <c r="B13" s="2">
        <v>4.8600000000000003</v>
      </c>
      <c r="C13" s="5">
        <v>0.01</v>
      </c>
      <c r="D13" s="5">
        <v>1.04273E-2</v>
      </c>
      <c r="E13" s="5">
        <v>9.9999999999999995E-8</v>
      </c>
      <c r="F13" s="5">
        <f t="shared" si="0"/>
        <v>466.08422122697152</v>
      </c>
      <c r="G13" s="2">
        <f>$J$4*Tabela5[[#This Row],[I (A)]]+$K$4</f>
        <v>4.8455639648174209</v>
      </c>
      <c r="H13" s="2">
        <f>Tabela5[[#This Row],[V (V)]]-Tabela5[[#This Row],[Fit]]</f>
        <v>1.443603518257941E-2</v>
      </c>
      <c r="I13" s="1"/>
      <c r="J13" s="34"/>
      <c r="K13" s="35"/>
      <c r="L13" s="35"/>
      <c r="M13" s="36"/>
      <c r="U13" s="28"/>
      <c r="V13" s="28"/>
      <c r="W13" s="28"/>
      <c r="X13" s="28"/>
    </row>
    <row r="14" spans="1:24" x14ac:dyDescent="0.3">
      <c r="A14" s="9">
        <v>11</v>
      </c>
      <c r="B14" s="2">
        <v>5.41</v>
      </c>
      <c r="C14" s="5">
        <v>0.01</v>
      </c>
      <c r="D14" s="5">
        <v>1.1560000000000001E-2</v>
      </c>
      <c r="E14" s="5">
        <v>4.0000000000000003E-5</v>
      </c>
      <c r="F14" s="5">
        <f t="shared" si="0"/>
        <v>467.99307958477505</v>
      </c>
      <c r="G14" s="2">
        <f>$J$4*Tabela5[[#This Row],[I (A)]]+$K$4</f>
        <v>5.3714077232891722</v>
      </c>
      <c r="H14" s="2">
        <f>Tabela5[[#This Row],[V (V)]]-Tabela5[[#This Row],[Fit]]</f>
        <v>3.8592276710827988E-2</v>
      </c>
      <c r="I14" s="1"/>
      <c r="J14" s="23" t="s">
        <v>25</v>
      </c>
      <c r="K14" s="23"/>
      <c r="L14" s="23"/>
      <c r="M14" s="24">
        <v>470</v>
      </c>
    </row>
    <row r="15" spans="1:24" x14ac:dyDescent="0.3">
      <c r="A15" s="9">
        <v>12</v>
      </c>
      <c r="B15" s="2">
        <v>5.95</v>
      </c>
      <c r="C15" s="5">
        <v>0.01</v>
      </c>
      <c r="D15" s="5">
        <v>1.2766E-2</v>
      </c>
      <c r="E15" s="5">
        <v>9.9999999999999995E-7</v>
      </c>
      <c r="F15" s="5">
        <f t="shared" si="0"/>
        <v>466.08177972740094</v>
      </c>
      <c r="G15" s="2">
        <f>$J$4*Tabela5[[#This Row],[I (A)]]+$K$4</f>
        <v>5.9312802161972069</v>
      </c>
      <c r="H15" s="2">
        <f>Tabela5[[#This Row],[V (V)]]-Tabela5[[#This Row],[Fit]]</f>
        <v>1.8719783802793266E-2</v>
      </c>
      <c r="I15" s="1"/>
      <c r="J15" s="34"/>
      <c r="K15" s="35"/>
      <c r="L15" s="35"/>
      <c r="M15" s="36"/>
    </row>
    <row r="16" spans="1:24" x14ac:dyDescent="0.3">
      <c r="A16" s="9">
        <v>13</v>
      </c>
      <c r="B16" s="2">
        <v>6.43</v>
      </c>
      <c r="C16" s="5">
        <v>0.01</v>
      </c>
      <c r="D16" s="5">
        <v>1.3806000000000001E-2</v>
      </c>
      <c r="E16" s="5" t="s">
        <v>21</v>
      </c>
      <c r="F16" s="5">
        <f t="shared" si="0"/>
        <v>465.73953353614365</v>
      </c>
      <c r="G16" s="2">
        <f>$J$4*Tabela5[[#This Row],[I (A)]]+$K$4</f>
        <v>6.4140889994678165</v>
      </c>
      <c r="H16" s="2">
        <f>Tabela5[[#This Row],[V (V)]]-Tabela5[[#This Row],[Fit]]</f>
        <v>1.5911000532183195E-2</v>
      </c>
      <c r="I16" s="1"/>
      <c r="J16" s="23" t="s">
        <v>4</v>
      </c>
      <c r="K16" s="23"/>
      <c r="L16" s="23"/>
      <c r="M16" s="24">
        <f>SQRT(((1/D20)*B22)^2+(-(B20/(D20^2))*D22)^2)</f>
        <v>115.08094791750561</v>
      </c>
    </row>
    <row r="17" spans="1:15" x14ac:dyDescent="0.3">
      <c r="A17" s="9">
        <v>14</v>
      </c>
      <c r="B17" s="2">
        <v>6.93</v>
      </c>
      <c r="C17" s="5">
        <v>0.01</v>
      </c>
      <c r="D17" s="5">
        <v>1.4873000000000001E-2</v>
      </c>
      <c r="E17" s="5" t="s">
        <v>32</v>
      </c>
      <c r="F17" s="5">
        <f t="shared" si="0"/>
        <v>465.9450010085389</v>
      </c>
      <c r="G17" s="2">
        <f>$J$4*Tabela5[[#This Row],[I (A)]]+$K$4</f>
        <v>6.9094322415348763</v>
      </c>
      <c r="H17" s="2">
        <f>Tabela5[[#This Row],[V (V)]]-Tabela5[[#This Row],[Fit]]</f>
        <v>2.0567758465123376E-2</v>
      </c>
      <c r="I17" s="1"/>
      <c r="J17" s="34"/>
      <c r="K17" s="35"/>
      <c r="L17" s="35"/>
      <c r="M17" s="36"/>
    </row>
    <row r="18" spans="1:15" x14ac:dyDescent="0.3">
      <c r="A18" s="9">
        <v>15</v>
      </c>
      <c r="B18" s="2">
        <v>7.45</v>
      </c>
      <c r="C18" s="5">
        <v>0.01</v>
      </c>
      <c r="D18" s="5">
        <v>1.5980999999999999E-2</v>
      </c>
      <c r="E18" s="5">
        <v>9.9999999999999995E-7</v>
      </c>
      <c r="F18" s="5">
        <f t="shared" si="0"/>
        <v>466.17858707214822</v>
      </c>
      <c r="G18" s="2">
        <f>$J$4*Tabela5[[#This Row],[I (A)]]+$K$4</f>
        <v>7.4238092914039484</v>
      </c>
      <c r="H18" s="2">
        <f>Tabela5[[#This Row],[V (V)]]-Tabela5[[#This Row],[Fit]]</f>
        <v>2.619070859605177E-2</v>
      </c>
      <c r="I18" s="1"/>
      <c r="J18" s="23" t="s">
        <v>22</v>
      </c>
      <c r="K18" s="23"/>
      <c r="L18" s="23"/>
      <c r="M18" s="24">
        <f>SLOPE(Tabela5[V (V)],Tabela5[I (A)])</f>
        <v>464.23921468327904</v>
      </c>
    </row>
    <row r="19" spans="1:15" x14ac:dyDescent="0.3">
      <c r="A19" s="1"/>
      <c r="B19" s="1"/>
      <c r="C19" s="1"/>
      <c r="D19" s="1"/>
      <c r="E19" s="1"/>
      <c r="J19" s="34"/>
      <c r="K19" s="35"/>
      <c r="L19" s="35"/>
      <c r="M19" s="36"/>
    </row>
    <row r="20" spans="1:15" x14ac:dyDescent="0.3">
      <c r="A20" s="18" t="s">
        <v>6</v>
      </c>
      <c r="B20" s="19">
        <f>AVERAGE(B4:B18)</f>
        <v>3.9533333333333336</v>
      </c>
      <c r="C20" s="20"/>
      <c r="D20" s="21">
        <f>AVERAGE(D4:D18)</f>
        <v>8.5053799999999999E-3</v>
      </c>
      <c r="E20" s="22"/>
      <c r="F20" s="21">
        <f>AVERAGE(F4:F18)</f>
        <v>465.72182530433201</v>
      </c>
      <c r="J20" s="23" t="s">
        <v>23</v>
      </c>
      <c r="K20" s="23"/>
      <c r="L20" s="23"/>
      <c r="M20" s="25">
        <f>ABS((M14-M18)/M14)</f>
        <v>1.2256990035576501E-2</v>
      </c>
    </row>
    <row r="21" spans="1:15" x14ac:dyDescent="0.3">
      <c r="A21" s="18" t="s">
        <v>7</v>
      </c>
      <c r="B21" s="19">
        <f>STDEVA(B4:B18)</f>
        <v>2.187825622023142</v>
      </c>
      <c r="C21" s="20"/>
      <c r="D21" s="21">
        <f>STDEVA(D4:D18)</f>
        <v>4.7106600023169333E-3</v>
      </c>
      <c r="E21" s="22"/>
      <c r="F21" s="21">
        <f>STDEVA(F4:F18)</f>
        <v>6.8978760942238413</v>
      </c>
      <c r="J21" s="26" t="s">
        <v>24</v>
      </c>
      <c r="K21" s="26"/>
      <c r="L21" s="26"/>
      <c r="M21" s="27">
        <f>ABS((M14-F20)/M14)</f>
        <v>9.1024993524850759E-3</v>
      </c>
    </row>
    <row r="22" spans="1:15" x14ac:dyDescent="0.3">
      <c r="A22" s="18" t="s">
        <v>8</v>
      </c>
      <c r="B22" s="19">
        <f>B21/SQRT(10)</f>
        <v>0.69185120888677698</v>
      </c>
      <c r="C22" s="20"/>
      <c r="D22" s="21">
        <f>D21/SQRT(10)</f>
        <v>1.4896414889975563E-3</v>
      </c>
      <c r="E22" s="22"/>
      <c r="F22" s="21">
        <f t="shared" ref="F22" si="1">F21/SQRT(10)</f>
        <v>2.1812999475373567</v>
      </c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9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 t="s">
        <v>3</v>
      </c>
      <c r="W36" s="1"/>
      <c r="X36" s="1"/>
      <c r="Y36" s="6">
        <v>0.01</v>
      </c>
    </row>
    <row r="37" spans="1:25" x14ac:dyDescent="0.3">
      <c r="I37" s="4"/>
      <c r="V37" s="1" t="s">
        <v>27</v>
      </c>
      <c r="W37" s="1"/>
      <c r="X37" s="1"/>
      <c r="Y37" s="6">
        <v>9.9999999999999995E-7</v>
      </c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 t="s">
        <v>25</v>
      </c>
      <c r="W40" s="1"/>
      <c r="X40" s="1"/>
      <c r="Y40" s="6">
        <v>10000</v>
      </c>
    </row>
    <row r="41" spans="1:25" x14ac:dyDescent="0.3">
      <c r="A41" s="32" t="s">
        <v>9</v>
      </c>
      <c r="B41" s="32"/>
      <c r="C41" s="32"/>
      <c r="D41" s="32"/>
      <c r="E41" s="32"/>
      <c r="F41" s="32"/>
      <c r="I41" s="4"/>
      <c r="Y41" s="6"/>
    </row>
    <row r="42" spans="1:25" x14ac:dyDescent="0.3">
      <c r="A42" s="1" t="s">
        <v>1</v>
      </c>
      <c r="B42" s="1" t="s">
        <v>0</v>
      </c>
      <c r="C42" s="1" t="s">
        <v>17</v>
      </c>
      <c r="D42" s="1" t="s">
        <v>2</v>
      </c>
      <c r="E42" s="1" t="s">
        <v>18</v>
      </c>
      <c r="F42" s="1" t="s">
        <v>5</v>
      </c>
      <c r="I42" s="4"/>
      <c r="V42" s="1" t="s">
        <v>26</v>
      </c>
      <c r="W42" s="1"/>
      <c r="X42" s="1"/>
      <c r="Y42" s="6">
        <f>SQRT(((1/D59)*B61)^2+(-(B59/(D59^2))*D61)^2)</f>
        <v>2275.6957077765142</v>
      </c>
    </row>
    <row r="43" spans="1:25" x14ac:dyDescent="0.3">
      <c r="A43" s="9">
        <v>1</v>
      </c>
      <c r="B43" s="2">
        <v>0.78</v>
      </c>
      <c r="C43" s="14">
        <v>1E-3</v>
      </c>
      <c r="D43" s="14">
        <v>8.0000000000000007E-5</v>
      </c>
      <c r="E43" s="14">
        <v>9.9999999999999995E-7</v>
      </c>
      <c r="F43" s="14">
        <f t="shared" ref="F43:F57" si="2">B43/D43</f>
        <v>9750</v>
      </c>
      <c r="Y43" s="6"/>
    </row>
    <row r="44" spans="1:25" x14ac:dyDescent="0.3">
      <c r="A44" s="9">
        <v>2</v>
      </c>
      <c r="B44" s="2">
        <v>1.22</v>
      </c>
      <c r="C44" s="14">
        <v>1E-3</v>
      </c>
      <c r="D44" s="14">
        <v>1.2999999999999999E-4</v>
      </c>
      <c r="E44" s="14">
        <v>9.9999999999999995E-7</v>
      </c>
      <c r="F44" s="14">
        <f t="shared" si="2"/>
        <v>9384.6153846153848</v>
      </c>
      <c r="V44" s="1" t="s">
        <v>22</v>
      </c>
      <c r="W44" s="1"/>
      <c r="X44" s="1"/>
      <c r="Y44" s="6">
        <f>SLOPE(Tabela513[Voltagem],Tabela513[Corrente Elétrica])</f>
        <v>10104.290262959435</v>
      </c>
    </row>
    <row r="45" spans="1:25" x14ac:dyDescent="0.3">
      <c r="A45" s="9">
        <v>3</v>
      </c>
      <c r="B45" s="2">
        <v>2.36</v>
      </c>
      <c r="C45" s="14">
        <v>1E-3</v>
      </c>
      <c r="D45" s="14">
        <v>2.3699999999999999E-4</v>
      </c>
      <c r="E45" s="14">
        <v>9.9999999999999995E-7</v>
      </c>
      <c r="F45" s="14">
        <f t="shared" si="2"/>
        <v>9957.8059071729949</v>
      </c>
      <c r="V45" s="1"/>
      <c r="W45" s="1"/>
      <c r="X45" s="1"/>
    </row>
    <row r="46" spans="1:25" x14ac:dyDescent="0.3">
      <c r="A46" s="9">
        <v>4</v>
      </c>
      <c r="B46" s="2">
        <v>3.48</v>
      </c>
      <c r="C46" s="14">
        <v>1E-3</v>
      </c>
      <c r="D46" s="14">
        <v>3.48E-4</v>
      </c>
      <c r="E46" s="14">
        <v>9.9999999999999995E-7</v>
      </c>
      <c r="F46" s="14">
        <f t="shared" si="2"/>
        <v>10000</v>
      </c>
      <c r="V46" s="1" t="s">
        <v>23</v>
      </c>
      <c r="W46" s="1"/>
      <c r="X46" s="1"/>
      <c r="Y46" s="10">
        <f>ABS((Y40-Y44)/Y40)</f>
        <v>1.042902629594355E-2</v>
      </c>
    </row>
    <row r="47" spans="1:25" x14ac:dyDescent="0.3">
      <c r="A47" s="9">
        <v>5</v>
      </c>
      <c r="B47" s="2">
        <v>4.25</v>
      </c>
      <c r="C47" s="14">
        <v>1E-3</v>
      </c>
      <c r="D47" s="14">
        <v>4.2400000000000001E-4</v>
      </c>
      <c r="E47" s="14">
        <v>9.9999999999999995E-7</v>
      </c>
      <c r="F47" s="14">
        <f t="shared" si="2"/>
        <v>10023.584905660377</v>
      </c>
      <c r="V47" s="12" t="s">
        <v>24</v>
      </c>
      <c r="W47" s="12"/>
      <c r="X47" s="12"/>
      <c r="Y47" s="11">
        <f>ABS((Y40-F59)/Y40)</f>
        <v>1.3978027113196732E-3</v>
      </c>
    </row>
    <row r="48" spans="1:25" x14ac:dyDescent="0.3">
      <c r="A48" s="9">
        <v>6</v>
      </c>
      <c r="B48" s="2">
        <v>5.34</v>
      </c>
      <c r="C48" s="14">
        <v>1E-3</v>
      </c>
      <c r="D48" s="14">
        <v>5.3700000000000004E-4</v>
      </c>
      <c r="E48" s="14">
        <v>9.9999999999999995E-7</v>
      </c>
      <c r="F48" s="14">
        <f t="shared" si="2"/>
        <v>9944.1340782122898</v>
      </c>
    </row>
    <row r="49" spans="1:25" x14ac:dyDescent="0.3">
      <c r="A49" s="9">
        <v>7</v>
      </c>
      <c r="B49" s="2">
        <v>5.99</v>
      </c>
      <c r="C49" s="14">
        <v>1E-3</v>
      </c>
      <c r="D49" s="14">
        <v>5.5999999999999995E-4</v>
      </c>
      <c r="E49" s="14">
        <v>9.9999999999999995E-7</v>
      </c>
      <c r="F49" s="14">
        <f t="shared" si="2"/>
        <v>10696.428571428572</v>
      </c>
    </row>
    <row r="50" spans="1:25" x14ac:dyDescent="0.3">
      <c r="A50" s="17">
        <v>8</v>
      </c>
      <c r="B50" s="2">
        <v>6.81</v>
      </c>
      <c r="C50" s="14">
        <v>1E-3</v>
      </c>
      <c r="D50" s="14">
        <v>6.78E-4</v>
      </c>
      <c r="E50" s="14">
        <v>9.9999999999999995E-7</v>
      </c>
      <c r="F50" s="14">
        <f t="shared" si="2"/>
        <v>10044.247787610619</v>
      </c>
    </row>
    <row r="51" spans="1:25" x14ac:dyDescent="0.3">
      <c r="A51" s="17">
        <v>9</v>
      </c>
      <c r="B51" s="2">
        <v>7.38</v>
      </c>
      <c r="C51" s="14">
        <v>1E-3</v>
      </c>
      <c r="D51" s="14">
        <v>7.3399999999999995E-4</v>
      </c>
      <c r="E51" s="14">
        <v>9.9999999999999995E-7</v>
      </c>
      <c r="F51" s="14">
        <f t="shared" si="2"/>
        <v>10054.49591280654</v>
      </c>
      <c r="I51" s="1"/>
      <c r="V51" s="1" t="s">
        <v>3</v>
      </c>
      <c r="W51" s="1"/>
      <c r="X51" s="1"/>
      <c r="Y51" s="6">
        <v>0.01</v>
      </c>
    </row>
    <row r="52" spans="1:25" x14ac:dyDescent="0.3">
      <c r="A52" s="17">
        <v>10</v>
      </c>
      <c r="B52" s="2">
        <v>7.95</v>
      </c>
      <c r="C52" s="14">
        <v>1E-3</v>
      </c>
      <c r="D52" s="14">
        <v>7.9100000000000004E-4</v>
      </c>
      <c r="E52" s="14">
        <v>9.9999999999999995E-7</v>
      </c>
      <c r="F52" s="14">
        <f t="shared" si="2"/>
        <v>10050.568900126422</v>
      </c>
      <c r="I52" s="4"/>
      <c r="V52" s="1" t="s">
        <v>27</v>
      </c>
      <c r="W52" s="1"/>
      <c r="X52" s="1"/>
      <c r="Y52" s="6">
        <v>1E-4</v>
      </c>
    </row>
    <row r="53" spans="1:25" x14ac:dyDescent="0.3">
      <c r="A53" s="17">
        <v>11</v>
      </c>
      <c r="B53" s="2">
        <v>8.24</v>
      </c>
      <c r="C53" s="14">
        <v>1E-3</v>
      </c>
      <c r="D53" s="14">
        <v>8.1899999999999996E-4</v>
      </c>
      <c r="E53" s="14">
        <v>9.9999999999999995E-7</v>
      </c>
      <c r="F53" s="14">
        <f t="shared" si="2"/>
        <v>10061.050061050062</v>
      </c>
      <c r="I53" s="4"/>
      <c r="Y53" s="6"/>
    </row>
    <row r="54" spans="1:25" x14ac:dyDescent="0.3">
      <c r="A54" s="17">
        <v>12</v>
      </c>
      <c r="B54" s="2">
        <v>8.9</v>
      </c>
      <c r="C54" s="14">
        <v>1E-3</v>
      </c>
      <c r="D54" s="14">
        <v>8.8500000000000004E-4</v>
      </c>
      <c r="E54" s="14">
        <v>9.9999999999999995E-7</v>
      </c>
      <c r="F54" s="14">
        <f t="shared" si="2"/>
        <v>10056.497175141243</v>
      </c>
      <c r="I54" s="4"/>
      <c r="Y54" s="6"/>
    </row>
    <row r="55" spans="1:25" x14ac:dyDescent="0.3">
      <c r="A55" s="17">
        <v>13</v>
      </c>
      <c r="B55" s="2">
        <v>9.44</v>
      </c>
      <c r="C55" s="14">
        <v>1E-3</v>
      </c>
      <c r="D55" s="14">
        <v>9.3800000000000003E-4</v>
      </c>
      <c r="E55" s="14">
        <v>9.9999999999999995E-7</v>
      </c>
      <c r="F55" s="14">
        <f t="shared" si="2"/>
        <v>10063.965884861407</v>
      </c>
      <c r="I55" s="4"/>
      <c r="J55" s="1"/>
      <c r="K55" s="1"/>
      <c r="L55" s="1"/>
      <c r="M55" s="3"/>
      <c r="N55" s="9"/>
      <c r="O55" s="3"/>
      <c r="V55" s="1" t="s">
        <v>25</v>
      </c>
      <c r="W55" s="1"/>
      <c r="X55" s="1"/>
      <c r="Y55" s="6">
        <v>6800000</v>
      </c>
    </row>
    <row r="56" spans="1:25" x14ac:dyDescent="0.3">
      <c r="A56" s="17">
        <v>14</v>
      </c>
      <c r="B56" s="2">
        <v>9.77</v>
      </c>
      <c r="C56" s="14">
        <v>1E-3</v>
      </c>
      <c r="D56" s="14">
        <v>9.7099999999999997E-4</v>
      </c>
      <c r="E56" s="14">
        <v>9.9999999999999995E-7</v>
      </c>
      <c r="F56" s="14">
        <f t="shared" si="2"/>
        <v>10061.791967044284</v>
      </c>
      <c r="I56" s="4"/>
      <c r="J56" s="1"/>
      <c r="K56" s="1"/>
      <c r="L56" s="1"/>
      <c r="Y56" s="6"/>
    </row>
    <row r="57" spans="1:25" x14ac:dyDescent="0.3">
      <c r="A57" s="17">
        <v>15</v>
      </c>
      <c r="B57" s="2">
        <v>9.98</v>
      </c>
      <c r="C57" s="14">
        <v>1E-3</v>
      </c>
      <c r="D57" s="14">
        <v>9.9200000000000004E-4</v>
      </c>
      <c r="E57" s="14">
        <v>9.9999999999999995E-7</v>
      </c>
      <c r="F57" s="14">
        <f t="shared" si="2"/>
        <v>10060.483870967742</v>
      </c>
      <c r="I57" s="4"/>
      <c r="J57" s="1"/>
      <c r="K57" s="1"/>
      <c r="L57" s="1"/>
      <c r="V57" s="1" t="s">
        <v>4</v>
      </c>
      <c r="W57" s="1"/>
      <c r="X57" s="1"/>
      <c r="Y57" s="6">
        <f>SQRT(((1/D83)*B85)^2+(-(B83/(D83^2))*D85)^2)</f>
        <v>641862.27200783929</v>
      </c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17" t="s">
        <v>6</v>
      </c>
      <c r="B59" s="2">
        <f>AVERAGE(B43:B57)</f>
        <v>6.1260000000000003</v>
      </c>
      <c r="C59" s="2"/>
      <c r="D59" s="5">
        <f>AVERAGE(D43:D57)</f>
        <v>6.0826666666666663E-4</v>
      </c>
      <c r="E59" s="4"/>
      <c r="F59" s="5">
        <f>AVERAGE(F43:F57)</f>
        <v>10013.978027113197</v>
      </c>
      <c r="I59" s="4"/>
      <c r="V59" s="1" t="s">
        <v>22</v>
      </c>
      <c r="W59" s="1"/>
      <c r="X59" s="1"/>
      <c r="Y59" s="6">
        <f>SLOPE(Tabela515[V (V)],Tabela515[I (A)])</f>
        <v>4175199.6242367299</v>
      </c>
    </row>
    <row r="60" spans="1:25" x14ac:dyDescent="0.3">
      <c r="A60" s="17" t="s">
        <v>7</v>
      </c>
      <c r="B60" s="2">
        <f>STDEVA(B43:B57)</f>
        <v>3.1010869062314277</v>
      </c>
      <c r="C60" s="2"/>
      <c r="D60" s="5">
        <f>STDEVA(D43:D57)</f>
        <v>3.0675128749681294E-4</v>
      </c>
      <c r="E60" s="4"/>
      <c r="F60" s="5">
        <f>STDEVA(F43:F57)</f>
        <v>261.13897472485797</v>
      </c>
      <c r="I60" s="4"/>
      <c r="V60" s="1"/>
      <c r="W60" s="1"/>
      <c r="X60" s="1"/>
    </row>
    <row r="61" spans="1:25" x14ac:dyDescent="0.3">
      <c r="A61" s="17" t="s">
        <v>8</v>
      </c>
      <c r="B61" s="2">
        <f>B60/SQRT(10)</f>
        <v>0.98064978458163166</v>
      </c>
      <c r="C61" s="2"/>
      <c r="D61" s="5">
        <f t="shared" ref="D61:F61" si="3">D60/SQRT(10)</f>
        <v>9.7003274367905937E-5</v>
      </c>
      <c r="E61" s="4"/>
      <c r="F61" s="5">
        <f t="shared" si="3"/>
        <v>82.57939459716934</v>
      </c>
      <c r="I61" s="4"/>
      <c r="V61" s="1" t="s">
        <v>23</v>
      </c>
      <c r="W61" s="1"/>
      <c r="X61" s="1"/>
      <c r="Y61" s="10">
        <f>((Y55-Y59)/Y55)</f>
        <v>0.38600005525930442</v>
      </c>
    </row>
    <row r="62" spans="1:25" x14ac:dyDescent="0.3">
      <c r="I62" s="4"/>
      <c r="V62" s="12" t="s">
        <v>24</v>
      </c>
      <c r="W62" s="12"/>
      <c r="X62" s="12"/>
      <c r="Y62" s="11">
        <f>(Y55-F83)/Y55</f>
        <v>0.50075181452214323</v>
      </c>
    </row>
    <row r="63" spans="1:25" x14ac:dyDescent="0.3">
      <c r="I63" s="4"/>
    </row>
    <row r="64" spans="1:25" x14ac:dyDescent="0.3">
      <c r="I64" s="4"/>
    </row>
    <row r="65" spans="1:25" x14ac:dyDescent="0.3">
      <c r="A65" s="17" t="s">
        <v>13</v>
      </c>
      <c r="B65" s="17"/>
      <c r="C65" s="17"/>
      <c r="D65" s="17"/>
      <c r="E65" s="17"/>
      <c r="F65" s="17"/>
      <c r="I65" s="4"/>
    </row>
    <row r="66" spans="1:25" x14ac:dyDescent="0.3">
      <c r="A66" s="1" t="s">
        <v>1</v>
      </c>
      <c r="B66" s="17" t="s">
        <v>16</v>
      </c>
      <c r="C66" s="17" t="s">
        <v>17</v>
      </c>
      <c r="D66" s="17" t="s">
        <v>19</v>
      </c>
      <c r="E66" s="17" t="s">
        <v>18</v>
      </c>
      <c r="F66" s="17" t="s">
        <v>20</v>
      </c>
      <c r="I66" s="4"/>
    </row>
    <row r="67" spans="1:25" x14ac:dyDescent="0.3">
      <c r="A67" s="17">
        <v>1</v>
      </c>
      <c r="B67" s="2">
        <v>1.68</v>
      </c>
      <c r="C67" s="5">
        <v>0.01</v>
      </c>
      <c r="D67" s="5">
        <v>6.9999999999999997E-7</v>
      </c>
      <c r="E67" s="5">
        <v>1E-4</v>
      </c>
      <c r="F67" s="5">
        <f t="shared" ref="F67:F81" si="4">B67/D67</f>
        <v>2400000</v>
      </c>
    </row>
    <row r="68" spans="1:25" x14ac:dyDescent="0.3">
      <c r="A68" s="17">
        <v>2</v>
      </c>
      <c r="B68" s="2">
        <v>2.52</v>
      </c>
      <c r="C68" s="5">
        <v>0.01</v>
      </c>
      <c r="D68" s="5">
        <v>8.9999999999999996E-7</v>
      </c>
      <c r="E68" s="5">
        <v>1E-4</v>
      </c>
      <c r="F68" s="5">
        <f t="shared" si="4"/>
        <v>2800000</v>
      </c>
    </row>
    <row r="69" spans="1:25" x14ac:dyDescent="0.3">
      <c r="A69" s="17">
        <v>3</v>
      </c>
      <c r="B69" s="2">
        <v>2.91</v>
      </c>
      <c r="C69" s="5">
        <v>0.01</v>
      </c>
      <c r="D69" s="5">
        <v>9.9999999999999995E-7</v>
      </c>
      <c r="E69" s="5">
        <v>1E-4</v>
      </c>
      <c r="F69" s="5">
        <f t="shared" si="4"/>
        <v>2910000.0000000005</v>
      </c>
    </row>
    <row r="70" spans="1:25" x14ac:dyDescent="0.3">
      <c r="A70" s="17">
        <v>4</v>
      </c>
      <c r="B70" s="2">
        <v>3.6</v>
      </c>
      <c r="C70" s="5">
        <v>0.01</v>
      </c>
      <c r="D70" s="5">
        <v>1.1000000000000001E-6</v>
      </c>
      <c r="E70" s="5">
        <v>1E-4</v>
      </c>
      <c r="F70" s="5">
        <f t="shared" si="4"/>
        <v>3272727.2727272725</v>
      </c>
    </row>
    <row r="71" spans="1:25" x14ac:dyDescent="0.3">
      <c r="A71" s="17">
        <v>5</v>
      </c>
      <c r="B71" s="2">
        <v>4.45</v>
      </c>
      <c r="C71" s="5">
        <v>0.01</v>
      </c>
      <c r="D71" s="5">
        <v>1.3E-6</v>
      </c>
      <c r="E71" s="5">
        <v>1E-4</v>
      </c>
      <c r="F71" s="5">
        <f t="shared" si="4"/>
        <v>3423076.923076923</v>
      </c>
    </row>
    <row r="72" spans="1:25" x14ac:dyDescent="0.3">
      <c r="A72" s="17">
        <v>6</v>
      </c>
      <c r="B72" s="2">
        <v>4.95</v>
      </c>
      <c r="C72" s="5">
        <v>0.01</v>
      </c>
      <c r="D72" s="5">
        <v>1.3999999999999999E-6</v>
      </c>
      <c r="E72" s="5">
        <v>1E-4</v>
      </c>
      <c r="F72" s="5">
        <f t="shared" si="4"/>
        <v>3535714.2857142859</v>
      </c>
    </row>
    <row r="73" spans="1:25" x14ac:dyDescent="0.3">
      <c r="A73" s="17">
        <v>7</v>
      </c>
      <c r="B73" s="2">
        <v>5.47</v>
      </c>
      <c r="C73" s="5">
        <v>0.01</v>
      </c>
      <c r="D73" s="5">
        <v>1.5999999999999999E-6</v>
      </c>
      <c r="E73" s="5">
        <v>1E-4</v>
      </c>
      <c r="F73" s="5">
        <f t="shared" si="4"/>
        <v>3418750</v>
      </c>
    </row>
    <row r="74" spans="1:25" x14ac:dyDescent="0.3">
      <c r="A74" s="17">
        <v>8</v>
      </c>
      <c r="B74" s="2">
        <v>5.98</v>
      </c>
      <c r="C74" s="5">
        <v>0.01</v>
      </c>
      <c r="D74" s="5">
        <v>1.7E-6</v>
      </c>
      <c r="E74" s="5">
        <v>1E-4</v>
      </c>
      <c r="F74" s="5">
        <f t="shared" si="4"/>
        <v>3517647.0588235296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17">
        <v>9</v>
      </c>
      <c r="B75" s="2">
        <v>6.46</v>
      </c>
      <c r="C75" s="5">
        <v>0.01</v>
      </c>
      <c r="D75" s="5">
        <v>1.7999999999999999E-6</v>
      </c>
      <c r="E75" s="5">
        <v>1E-4</v>
      </c>
      <c r="F75" s="5">
        <f t="shared" si="4"/>
        <v>3588888.888888889</v>
      </c>
    </row>
    <row r="76" spans="1:25" x14ac:dyDescent="0.3">
      <c r="A76" s="17">
        <v>10</v>
      </c>
      <c r="B76" s="2">
        <v>7.16</v>
      </c>
      <c r="C76" s="5">
        <v>0.01</v>
      </c>
      <c r="D76" s="5">
        <v>1.9999999999999999E-6</v>
      </c>
      <c r="E76" s="5">
        <v>1E-4</v>
      </c>
      <c r="F76" s="5">
        <f t="shared" si="4"/>
        <v>3580000.0000000005</v>
      </c>
    </row>
    <row r="77" spans="1:25" x14ac:dyDescent="0.3">
      <c r="A77" s="17">
        <v>11</v>
      </c>
      <c r="B77" s="2">
        <v>7.99</v>
      </c>
      <c r="C77" s="5">
        <v>0.01</v>
      </c>
      <c r="D77" s="5">
        <v>2.2000000000000001E-6</v>
      </c>
      <c r="E77" s="5">
        <v>1E-4</v>
      </c>
      <c r="F77" s="5">
        <f t="shared" si="4"/>
        <v>3631818.1818181816</v>
      </c>
    </row>
    <row r="78" spans="1:25" x14ac:dyDescent="0.3">
      <c r="A78" s="17">
        <v>12</v>
      </c>
      <c r="B78" s="2">
        <v>8.6999999999999993</v>
      </c>
      <c r="C78" s="5">
        <v>0.01</v>
      </c>
      <c r="D78" s="5">
        <v>2.3999999999999999E-6</v>
      </c>
      <c r="E78" s="5">
        <v>1E-4</v>
      </c>
      <c r="F78" s="5">
        <f t="shared" si="4"/>
        <v>3625000</v>
      </c>
    </row>
    <row r="79" spans="1:25" x14ac:dyDescent="0.3">
      <c r="A79" s="17">
        <v>13</v>
      </c>
      <c r="B79" s="2">
        <v>9.15</v>
      </c>
      <c r="C79" s="5">
        <v>0.01</v>
      </c>
      <c r="D79" s="5">
        <v>2.5000000000000002E-6</v>
      </c>
      <c r="E79" s="5">
        <v>1E-4</v>
      </c>
      <c r="F79" s="5">
        <f t="shared" si="4"/>
        <v>3660000</v>
      </c>
      <c r="I79" s="1"/>
      <c r="V79" s="1" t="s">
        <v>3</v>
      </c>
      <c r="W79" s="1"/>
      <c r="X79" s="1"/>
      <c r="Y79" s="6">
        <v>0.01</v>
      </c>
    </row>
    <row r="80" spans="1:25" x14ac:dyDescent="0.3">
      <c r="A80" s="17">
        <v>14</v>
      </c>
      <c r="B80" s="2">
        <v>9.3800000000000008</v>
      </c>
      <c r="C80" s="5">
        <v>0.01</v>
      </c>
      <c r="D80" s="5">
        <v>2.5000000000000002E-6</v>
      </c>
      <c r="E80" s="5">
        <v>1E-4</v>
      </c>
      <c r="F80" s="5">
        <f t="shared" si="4"/>
        <v>3752000</v>
      </c>
      <c r="I80" s="4"/>
      <c r="V80" s="1" t="s">
        <v>27</v>
      </c>
      <c r="W80" s="1"/>
      <c r="X80" s="1"/>
      <c r="Y80" s="6">
        <v>9.9999999999999995E-7</v>
      </c>
    </row>
    <row r="81" spans="1:25" x14ac:dyDescent="0.3">
      <c r="A81" s="17">
        <v>15</v>
      </c>
      <c r="B81" s="2">
        <v>9.9</v>
      </c>
      <c r="C81" s="5">
        <v>0.01</v>
      </c>
      <c r="D81" s="5">
        <v>2.6000000000000001E-6</v>
      </c>
      <c r="E81" s="5">
        <v>1E-4</v>
      </c>
      <c r="F81" s="5">
        <f t="shared" si="4"/>
        <v>3807692.3076923075</v>
      </c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17" t="s">
        <v>6</v>
      </c>
      <c r="B83" s="2">
        <f>AVERAGE(B67:B81)</f>
        <v>6.02</v>
      </c>
      <c r="D83" s="5">
        <f>AVERAGE(D67:D81)</f>
        <v>1.7133333333333332E-6</v>
      </c>
      <c r="E83" s="4"/>
      <c r="F83" s="5">
        <f>AVERAGE(F67:F81)</f>
        <v>3394887.6612494262</v>
      </c>
      <c r="I83" s="4"/>
      <c r="J83" s="1"/>
      <c r="K83" s="1"/>
      <c r="L83" s="1"/>
      <c r="M83" s="3"/>
      <c r="N83" s="9"/>
      <c r="O83" s="3"/>
      <c r="V83" s="1" t="s">
        <v>25</v>
      </c>
      <c r="W83" s="1"/>
      <c r="X83" s="1"/>
      <c r="Y83" s="6">
        <v>470</v>
      </c>
    </row>
    <row r="84" spans="1:25" x14ac:dyDescent="0.3">
      <c r="A84" s="17" t="s">
        <v>7</v>
      </c>
      <c r="B84" s="2">
        <f>STDEVA(B67:B81)</f>
        <v>2.66224126844818</v>
      </c>
      <c r="D84" s="5">
        <f>STDEVA(D67:D81)</f>
        <v>6.3680751371494486E-7</v>
      </c>
      <c r="E84" s="4"/>
      <c r="F84" s="5">
        <f>STDEVA(F67:F81)</f>
        <v>394535.0166596687</v>
      </c>
      <c r="I84" s="4"/>
      <c r="J84" s="1"/>
      <c r="K84" s="1"/>
      <c r="L84" s="1"/>
      <c r="Y84" s="6"/>
    </row>
    <row r="85" spans="1:25" x14ac:dyDescent="0.3">
      <c r="A85" s="17" t="s">
        <v>8</v>
      </c>
      <c r="B85" s="2">
        <f>B84/SQRT(10)</f>
        <v>0.84187460891920085</v>
      </c>
      <c r="D85" s="5">
        <f>D84/SQRT(10)</f>
        <v>2.0137621744481388E-7</v>
      </c>
      <c r="E85" s="4"/>
      <c r="F85" s="5">
        <f t="shared" ref="F85" si="5">F84/SQRT(10)</f>
        <v>124762.92693370297</v>
      </c>
      <c r="I85" s="4"/>
      <c r="J85" s="1"/>
      <c r="K85" s="1"/>
      <c r="L85" s="1"/>
      <c r="V85" s="1" t="s">
        <v>4</v>
      </c>
      <c r="W85" s="1"/>
      <c r="X85" s="1"/>
      <c r="Y85" s="6">
        <f>SQRT(((1/D111)*B113)^2+(-(B111/(D111^2))*D113)^2)</f>
        <v>110.53496611955116</v>
      </c>
    </row>
    <row r="86" spans="1:25" x14ac:dyDescent="0.3">
      <c r="I86" s="4"/>
      <c r="Y86" s="6"/>
    </row>
    <row r="87" spans="1:25" x14ac:dyDescent="0.3">
      <c r="I87" s="4"/>
      <c r="V87" s="1" t="s">
        <v>22</v>
      </c>
      <c r="W87" s="1"/>
      <c r="X87" s="1"/>
      <c r="Y87" s="6">
        <f>SLOPE(Tabela516[V (V)],Tabela516[I (A)])</f>
        <v>465.55989729092471</v>
      </c>
    </row>
    <row r="88" spans="1:25" x14ac:dyDescent="0.3">
      <c r="I88" s="4"/>
      <c r="V88" s="1"/>
      <c r="W88" s="1"/>
      <c r="X88" s="1"/>
    </row>
    <row r="89" spans="1:25" x14ac:dyDescent="0.3">
      <c r="A89" s="1" t="s">
        <v>11</v>
      </c>
      <c r="B89" s="1"/>
      <c r="C89" s="1"/>
      <c r="D89" s="1"/>
      <c r="E89" s="1"/>
      <c r="F89" s="1"/>
      <c r="I89" s="4"/>
      <c r="V89" s="1" t="s">
        <v>23</v>
      </c>
      <c r="W89" s="1"/>
      <c r="X89" s="1"/>
      <c r="Y89" s="10">
        <f>((Y83-Y87)/Y83)</f>
        <v>9.4470270405857242E-3</v>
      </c>
    </row>
    <row r="90" spans="1:25" x14ac:dyDescent="0.3">
      <c r="I90" s="4"/>
      <c r="V90" s="12" t="s">
        <v>24</v>
      </c>
      <c r="W90" s="12"/>
      <c r="X90" s="12"/>
      <c r="Y90" s="11">
        <f>ABS((Y83-F111)/Y83)</f>
        <v>7.4915092966851629E-3</v>
      </c>
    </row>
    <row r="91" spans="1:25" x14ac:dyDescent="0.3">
      <c r="I91" s="4"/>
    </row>
    <row r="92" spans="1:25" x14ac:dyDescent="0.3">
      <c r="I92" s="4"/>
    </row>
    <row r="93" spans="1:25" x14ac:dyDescent="0.3">
      <c r="A93" s="17" t="s">
        <v>12</v>
      </c>
      <c r="B93" s="17"/>
      <c r="C93" s="17"/>
      <c r="D93" s="17"/>
      <c r="E93" s="17"/>
      <c r="F93" s="17"/>
      <c r="I93" s="4"/>
    </row>
    <row r="94" spans="1:25" x14ac:dyDescent="0.3">
      <c r="A94" s="1" t="s">
        <v>1</v>
      </c>
      <c r="B94" s="1" t="s">
        <v>16</v>
      </c>
      <c r="C94" s="1" t="s">
        <v>17</v>
      </c>
      <c r="D94" s="1" t="s">
        <v>19</v>
      </c>
      <c r="E94" s="1" t="s">
        <v>18</v>
      </c>
      <c r="F94" s="1" t="s">
        <v>20</v>
      </c>
      <c r="I94" s="4"/>
    </row>
    <row r="95" spans="1:25" x14ac:dyDescent="0.3">
      <c r="A95" s="17">
        <v>1</v>
      </c>
      <c r="B95" s="2">
        <v>0.81</v>
      </c>
      <c r="C95" s="5">
        <v>0.01</v>
      </c>
      <c r="D95" s="5">
        <v>1.714E-3</v>
      </c>
      <c r="E95" s="5">
        <v>4.9999999999999998E-7</v>
      </c>
      <c r="F95" s="5">
        <f t="shared" ref="F95:F109" si="6">B95/D95</f>
        <v>472.57876312718787</v>
      </c>
    </row>
    <row r="96" spans="1:25" x14ac:dyDescent="0.3">
      <c r="A96" s="17">
        <v>2</v>
      </c>
      <c r="B96" s="2">
        <v>1.44</v>
      </c>
      <c r="C96" s="5">
        <v>0.01</v>
      </c>
      <c r="D96" s="5">
        <v>3.0699999999999998E-3</v>
      </c>
      <c r="E96" s="5">
        <v>5.0000000000000004E-6</v>
      </c>
      <c r="F96" s="5">
        <f t="shared" si="6"/>
        <v>469.05537459283391</v>
      </c>
    </row>
    <row r="97" spans="1:25" x14ac:dyDescent="0.3">
      <c r="A97" s="17">
        <v>3</v>
      </c>
      <c r="B97" s="2">
        <v>2.15</v>
      </c>
      <c r="C97" s="5">
        <v>0.01</v>
      </c>
      <c r="D97" s="5">
        <v>4.7404999999999999E-3</v>
      </c>
      <c r="E97" s="5">
        <v>1.55E-4</v>
      </c>
      <c r="F97" s="5">
        <f t="shared" si="6"/>
        <v>453.53865625988817</v>
      </c>
    </row>
    <row r="98" spans="1:25" x14ac:dyDescent="0.3">
      <c r="A98" s="17">
        <v>4</v>
      </c>
      <c r="B98" s="2">
        <v>3.06</v>
      </c>
      <c r="C98" s="5">
        <v>0.01</v>
      </c>
      <c r="D98" s="5">
        <v>6.5395000000000002E-3</v>
      </c>
      <c r="E98" s="5">
        <v>6.0000000000000002E-6</v>
      </c>
      <c r="F98" s="5">
        <f t="shared" si="6"/>
        <v>467.92568239162017</v>
      </c>
    </row>
    <row r="99" spans="1:25" x14ac:dyDescent="0.3">
      <c r="A99" s="17">
        <v>5</v>
      </c>
      <c r="B99" s="2">
        <v>3.68</v>
      </c>
      <c r="C99" s="5">
        <v>0.01</v>
      </c>
      <c r="D99" s="5">
        <v>7.8584999999999992E-3</v>
      </c>
      <c r="E99" s="5">
        <v>6.9999999999999999E-6</v>
      </c>
      <c r="F99" s="5">
        <f t="shared" si="6"/>
        <v>468.28275116116316</v>
      </c>
    </row>
    <row r="100" spans="1:25" x14ac:dyDescent="0.3">
      <c r="A100" s="17">
        <v>6</v>
      </c>
      <c r="B100" s="2">
        <v>4.53</v>
      </c>
      <c r="C100" s="5">
        <v>0.01</v>
      </c>
      <c r="D100" s="5">
        <v>9.6395000000000005E-3</v>
      </c>
      <c r="E100" s="5">
        <v>6.0000000000000002E-6</v>
      </c>
      <c r="F100" s="5">
        <f t="shared" si="6"/>
        <v>469.94138700140047</v>
      </c>
    </row>
    <row r="101" spans="1:25" x14ac:dyDescent="0.3">
      <c r="A101" s="17">
        <v>7</v>
      </c>
      <c r="B101" s="2">
        <v>5.12</v>
      </c>
      <c r="C101" s="5">
        <v>0.01</v>
      </c>
      <c r="D101" s="5">
        <v>1.0932000000000001E-2</v>
      </c>
      <c r="E101" s="5">
        <v>1.9999999999999999E-6</v>
      </c>
      <c r="F101" s="5">
        <f t="shared" si="6"/>
        <v>468.34979875594581</v>
      </c>
      <c r="I101" s="6"/>
    </row>
    <row r="102" spans="1:25" x14ac:dyDescent="0.3">
      <c r="A102" s="17">
        <v>8</v>
      </c>
      <c r="B102" s="2">
        <v>5.93</v>
      </c>
      <c r="C102" s="5">
        <v>0.01</v>
      </c>
      <c r="D102" s="5">
        <v>1.2722499999999999E-2</v>
      </c>
      <c r="E102" s="5">
        <v>3.0000000000000001E-6</v>
      </c>
      <c r="F102" s="5">
        <f t="shared" si="6"/>
        <v>466.10336018864217</v>
      </c>
    </row>
    <row r="103" spans="1:25" x14ac:dyDescent="0.3">
      <c r="A103" s="17">
        <v>9</v>
      </c>
      <c r="B103" s="2">
        <v>6.83</v>
      </c>
      <c r="C103" s="5">
        <v>0.01</v>
      </c>
      <c r="D103" s="5">
        <v>1.465E-2</v>
      </c>
      <c r="E103" s="5" t="s">
        <v>21</v>
      </c>
      <c r="F103" s="5">
        <f t="shared" si="6"/>
        <v>466.21160409556313</v>
      </c>
      <c r="I103" s="1"/>
      <c r="V103" s="1" t="s">
        <v>3</v>
      </c>
      <c r="W103" s="1"/>
      <c r="X103" s="1"/>
      <c r="Y103" s="16">
        <v>0.01</v>
      </c>
    </row>
    <row r="104" spans="1:25" x14ac:dyDescent="0.3">
      <c r="A104" s="17">
        <v>10</v>
      </c>
      <c r="B104" s="2">
        <v>7.14</v>
      </c>
      <c r="C104" s="5">
        <v>0.01</v>
      </c>
      <c r="D104" s="5">
        <v>1.5311999999999999E-2</v>
      </c>
      <c r="E104" s="5">
        <v>9.9999999999999995E-7</v>
      </c>
      <c r="F104" s="5">
        <f t="shared" si="6"/>
        <v>466.30094043887146</v>
      </c>
      <c r="I104" s="4"/>
      <c r="V104" s="1" t="s">
        <v>27</v>
      </c>
      <c r="W104" s="1"/>
      <c r="X104" s="1"/>
      <c r="Y104" s="6">
        <v>9.9999999999999995E-7</v>
      </c>
    </row>
    <row r="105" spans="1:25" x14ac:dyDescent="0.3">
      <c r="A105" s="17">
        <v>11</v>
      </c>
      <c r="B105" s="2">
        <v>7.96</v>
      </c>
      <c r="C105" s="5">
        <v>0.01</v>
      </c>
      <c r="D105" s="5">
        <v>1.7070999999999999E-2</v>
      </c>
      <c r="E105" s="5" t="s">
        <v>21</v>
      </c>
      <c r="F105" s="5">
        <f t="shared" si="6"/>
        <v>466.28785659891042</v>
      </c>
      <c r="I105" s="4"/>
    </row>
    <row r="106" spans="1:25" x14ac:dyDescent="0.3">
      <c r="A106" s="17">
        <v>12</v>
      </c>
      <c r="B106" s="2">
        <v>8.6300000000000008</v>
      </c>
      <c r="C106" s="5">
        <v>0.01</v>
      </c>
      <c r="D106" s="5">
        <v>1.8512500000000001E-2</v>
      </c>
      <c r="E106" s="5">
        <v>5.0000000000000004E-6</v>
      </c>
      <c r="F106" s="5">
        <f t="shared" si="6"/>
        <v>466.17150573936533</v>
      </c>
      <c r="I106" s="4"/>
    </row>
    <row r="107" spans="1:25" x14ac:dyDescent="0.3">
      <c r="A107" s="17">
        <v>13</v>
      </c>
      <c r="B107" s="2">
        <v>9.06</v>
      </c>
      <c r="C107" s="5">
        <v>0.01</v>
      </c>
      <c r="D107" s="5">
        <v>1.9453999999999999E-2</v>
      </c>
      <c r="E107" s="5">
        <v>3.9999999999999998E-6</v>
      </c>
      <c r="F107" s="5">
        <f t="shared" si="6"/>
        <v>465.71399198108361</v>
      </c>
      <c r="I107" s="4"/>
      <c r="J107" s="1"/>
      <c r="K107" s="1"/>
      <c r="L107" s="1"/>
      <c r="M107" s="3"/>
      <c r="N107" s="9"/>
      <c r="O107" s="3"/>
      <c r="V107" s="1" t="s">
        <v>25</v>
      </c>
      <c r="W107" s="1"/>
      <c r="X107" s="1"/>
      <c r="Y107" s="6">
        <v>10000</v>
      </c>
    </row>
    <row r="108" spans="1:25" x14ac:dyDescent="0.3">
      <c r="A108" s="17">
        <v>14</v>
      </c>
      <c r="B108" s="2">
        <v>9.49</v>
      </c>
      <c r="C108" s="5">
        <v>0.01</v>
      </c>
      <c r="D108" s="5">
        <v>2.0382000000000001E-2</v>
      </c>
      <c r="E108" s="5">
        <v>9.9999999999999995E-7</v>
      </c>
      <c r="F108" s="5">
        <f t="shared" si="6"/>
        <v>465.60690805612796</v>
      </c>
      <c r="I108" s="4"/>
      <c r="J108" s="1"/>
      <c r="K108" s="1"/>
      <c r="L108" s="1"/>
      <c r="Y108" s="6"/>
    </row>
    <row r="109" spans="1:25" x14ac:dyDescent="0.3">
      <c r="A109" s="17">
        <v>15</v>
      </c>
      <c r="B109" s="2">
        <v>10</v>
      </c>
      <c r="C109" s="5">
        <v>0.01</v>
      </c>
      <c r="D109" s="5">
        <v>2.1499999999999998E-2</v>
      </c>
      <c r="E109" s="5">
        <v>9.9999999999999995E-7</v>
      </c>
      <c r="F109" s="5">
        <f t="shared" si="6"/>
        <v>465.11627906976747</v>
      </c>
      <c r="I109" s="4"/>
      <c r="J109" s="1"/>
      <c r="K109" s="1"/>
      <c r="L109" s="1"/>
      <c r="V109" s="1" t="s">
        <v>4</v>
      </c>
      <c r="W109" s="1"/>
      <c r="X109" s="1"/>
      <c r="Y109" s="6">
        <f>SQRT(((1/D135)*B137)^2+(-(B135/(D135^2))*D137)^2)</f>
        <v>2612.0114556618387</v>
      </c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17" t="s">
        <v>6</v>
      </c>
      <c r="B111" s="2">
        <f>AVERAGE(B95:B109)</f>
        <v>5.7219999999999995</v>
      </c>
      <c r="D111" s="5">
        <f>AVERAGE(D95:D109)</f>
        <v>1.2273200000000001E-2</v>
      </c>
      <c r="E111" s="4"/>
      <c r="F111" s="2">
        <f>AVERAGE(F95:F109)</f>
        <v>466.47899063055797</v>
      </c>
      <c r="I111" s="4"/>
      <c r="V111" s="1" t="s">
        <v>22</v>
      </c>
      <c r="W111" s="1"/>
      <c r="X111" s="1"/>
      <c r="Y111" s="6">
        <f>SLOPE(Tabela517[V (V)],Tabela517[I (A)])</f>
        <v>10057.504745271553</v>
      </c>
    </row>
    <row r="112" spans="1:25" x14ac:dyDescent="0.3">
      <c r="A112" s="17" t="s">
        <v>7</v>
      </c>
      <c r="B112" s="2">
        <f>STDEVA(B95:B109)</f>
        <v>3.031381580354787</v>
      </c>
      <c r="D112" s="5">
        <f>STDEVA(D95:D109)</f>
        <v>6.5110933737298335E-3</v>
      </c>
      <c r="E112" s="4"/>
      <c r="F112" s="2">
        <f>STDEVA(F95:F109)</f>
        <v>4.1032210501884805</v>
      </c>
      <c r="I112" s="4"/>
      <c r="V112" s="1"/>
      <c r="W112" s="1"/>
      <c r="X112" s="1"/>
    </row>
    <row r="113" spans="1:25" x14ac:dyDescent="0.3">
      <c r="A113" s="17" t="s">
        <v>8</v>
      </c>
      <c r="B113" s="2">
        <f>B112/SQRT(10)</f>
        <v>0.95860702510018592</v>
      </c>
      <c r="D113" s="5">
        <f>D112/SQRT(10)</f>
        <v>2.0589885119016217E-3</v>
      </c>
      <c r="E113" s="4"/>
      <c r="F113" s="2">
        <f t="shared" ref="F113" si="7">F112/SQRT(10)</f>
        <v>1.2975524261743667</v>
      </c>
      <c r="I113" s="4"/>
      <c r="V113" s="1" t="s">
        <v>23</v>
      </c>
      <c r="W113" s="1"/>
      <c r="X113" s="1"/>
      <c r="Y113" s="10">
        <f>ABS((Y107-Y111)/Y107)</f>
        <v>5.7504745271553474E-3</v>
      </c>
    </row>
    <row r="114" spans="1:25" x14ac:dyDescent="0.3">
      <c r="I114" s="4"/>
      <c r="V114" s="12" t="s">
        <v>24</v>
      </c>
      <c r="W114" s="12"/>
      <c r="X114" s="12"/>
      <c r="Y114" s="11">
        <f>ABS((Y107-F135)/Y107)</f>
        <v>5.2067968264465888E-3</v>
      </c>
    </row>
    <row r="115" spans="1:25" x14ac:dyDescent="0.3">
      <c r="I115" s="4"/>
    </row>
    <row r="116" spans="1:25" x14ac:dyDescent="0.3">
      <c r="I116" s="4"/>
    </row>
    <row r="117" spans="1:25" x14ac:dyDescent="0.3">
      <c r="A117" s="17" t="s">
        <v>14</v>
      </c>
      <c r="B117" s="17"/>
      <c r="C117" s="17"/>
      <c r="D117" s="17"/>
      <c r="E117" s="17"/>
      <c r="F117" s="17"/>
      <c r="I117" s="4"/>
    </row>
    <row r="118" spans="1:25" x14ac:dyDescent="0.3">
      <c r="A118" s="1" t="s">
        <v>1</v>
      </c>
      <c r="B118" s="1" t="s">
        <v>16</v>
      </c>
      <c r="C118" s="1" t="s">
        <v>17</v>
      </c>
      <c r="D118" s="1" t="s">
        <v>19</v>
      </c>
      <c r="E118" s="1" t="s">
        <v>18</v>
      </c>
      <c r="F118" s="1" t="s">
        <v>20</v>
      </c>
      <c r="I118" s="4"/>
    </row>
    <row r="119" spans="1:25" x14ac:dyDescent="0.3">
      <c r="A119" s="17">
        <v>1</v>
      </c>
      <c r="B119" s="8">
        <v>0.77</v>
      </c>
      <c r="C119" s="7">
        <v>0.01</v>
      </c>
      <c r="D119" s="7">
        <v>7.7999999999999999E-5</v>
      </c>
      <c r="E119" s="7">
        <v>9.9999999999999995E-7</v>
      </c>
      <c r="F119" s="7">
        <f t="shared" ref="F119:F133" si="8">B119/D119</f>
        <v>9871.794871794873</v>
      </c>
    </row>
    <row r="120" spans="1:25" x14ac:dyDescent="0.3">
      <c r="A120" s="17">
        <v>2</v>
      </c>
      <c r="B120" s="8">
        <v>1.48</v>
      </c>
      <c r="C120" s="15" t="s">
        <v>28</v>
      </c>
      <c r="D120" s="7">
        <v>1.46E-4</v>
      </c>
      <c r="E120" s="7">
        <v>9.9999999999999995E-7</v>
      </c>
      <c r="F120" s="7">
        <f t="shared" si="8"/>
        <v>10136.986301369863</v>
      </c>
    </row>
    <row r="121" spans="1:25" x14ac:dyDescent="0.3">
      <c r="A121" s="17">
        <v>3</v>
      </c>
      <c r="B121" s="8">
        <v>1.81</v>
      </c>
      <c r="C121" s="7">
        <v>0.01</v>
      </c>
      <c r="D121" s="7">
        <v>1.7999999999999998E-4</v>
      </c>
      <c r="E121" s="7">
        <v>9.9999999999999995E-7</v>
      </c>
      <c r="F121" s="7">
        <f t="shared" si="8"/>
        <v>10055.555555555557</v>
      </c>
    </row>
    <row r="122" spans="1:25" x14ac:dyDescent="0.3">
      <c r="A122" s="17">
        <v>4</v>
      </c>
      <c r="B122" s="8">
        <v>2.2799999999999998</v>
      </c>
      <c r="C122" s="7">
        <v>0.01</v>
      </c>
      <c r="D122" s="7">
        <v>2.2700000000000002E-4</v>
      </c>
      <c r="E122" s="7">
        <v>9.9999999999999995E-7</v>
      </c>
      <c r="F122" s="7">
        <f t="shared" si="8"/>
        <v>10044.052863436122</v>
      </c>
    </row>
    <row r="123" spans="1:25" x14ac:dyDescent="0.3">
      <c r="A123" s="17">
        <v>5</v>
      </c>
      <c r="B123" s="8">
        <v>2.74</v>
      </c>
      <c r="C123" s="7">
        <v>0.01</v>
      </c>
      <c r="D123" s="7">
        <v>2.7300000000000002E-4</v>
      </c>
      <c r="E123" s="7">
        <v>9.9999999999999995E-7</v>
      </c>
      <c r="F123" s="7">
        <f t="shared" si="8"/>
        <v>10036.630036630037</v>
      </c>
    </row>
    <row r="124" spans="1:25" x14ac:dyDescent="0.3">
      <c r="A124" s="17">
        <v>6</v>
      </c>
      <c r="B124" s="8">
        <v>3.18</v>
      </c>
      <c r="C124" s="7">
        <v>0.01</v>
      </c>
      <c r="D124" s="7">
        <v>3.1700000000000001E-4</v>
      </c>
      <c r="E124" s="7">
        <v>9.9999999999999995E-7</v>
      </c>
      <c r="F124" s="7">
        <f t="shared" si="8"/>
        <v>10031.545741324921</v>
      </c>
    </row>
    <row r="125" spans="1:25" x14ac:dyDescent="0.3">
      <c r="A125" s="17">
        <v>7</v>
      </c>
      <c r="B125" s="8">
        <v>3.68</v>
      </c>
      <c r="C125" s="7">
        <v>0.01</v>
      </c>
      <c r="D125" s="7">
        <v>3.6600000000000001E-4</v>
      </c>
      <c r="E125" s="7">
        <v>9.9999999999999995E-7</v>
      </c>
      <c r="F125" s="7">
        <f t="shared" si="8"/>
        <v>10054.644808743169</v>
      </c>
    </row>
    <row r="126" spans="1:25" x14ac:dyDescent="0.3">
      <c r="A126" s="17">
        <v>8</v>
      </c>
      <c r="B126" s="8">
        <v>4.33</v>
      </c>
      <c r="C126" s="7">
        <v>0.01</v>
      </c>
      <c r="D126" s="7">
        <v>4.2900000000000002E-4</v>
      </c>
      <c r="E126" s="7">
        <v>9.9999999999999995E-7</v>
      </c>
      <c r="F126" s="7">
        <f t="shared" si="8"/>
        <v>10093.240093240092</v>
      </c>
    </row>
    <row r="127" spans="1:25" x14ac:dyDescent="0.3">
      <c r="A127" s="17">
        <v>9</v>
      </c>
      <c r="B127" s="8">
        <v>4.8</v>
      </c>
      <c r="C127" s="7">
        <v>0.01</v>
      </c>
      <c r="D127" s="7">
        <v>4.7599999999999997E-4</v>
      </c>
      <c r="E127" s="7">
        <v>9.9999999999999995E-7</v>
      </c>
      <c r="F127" s="7">
        <f t="shared" si="8"/>
        <v>10084.033613445379</v>
      </c>
      <c r="I127" s="1"/>
      <c r="V127" s="1" t="s">
        <v>3</v>
      </c>
      <c r="W127" s="1"/>
      <c r="X127" s="1"/>
      <c r="Y127" s="6">
        <v>0.01</v>
      </c>
    </row>
    <row r="128" spans="1:25" x14ac:dyDescent="0.3">
      <c r="A128" s="17">
        <v>10</v>
      </c>
      <c r="B128" s="8">
        <v>5.56</v>
      </c>
      <c r="C128" s="7">
        <v>0.01</v>
      </c>
      <c r="D128" s="7">
        <v>5.5200000000000008E-4</v>
      </c>
      <c r="E128" s="7">
        <v>9.9999999999999995E-7</v>
      </c>
      <c r="F128" s="7">
        <f t="shared" si="8"/>
        <v>10072.46376811594</v>
      </c>
      <c r="I128" s="4"/>
      <c r="V128" s="1" t="s">
        <v>27</v>
      </c>
      <c r="W128" s="1"/>
      <c r="X128" s="1"/>
      <c r="Y128" s="6">
        <v>9.9999999999999995E-8</v>
      </c>
    </row>
    <row r="129" spans="1:25" x14ac:dyDescent="0.3">
      <c r="A129" s="17">
        <v>11</v>
      </c>
      <c r="B129" s="8">
        <v>5.96</v>
      </c>
      <c r="C129" s="7">
        <v>0.01</v>
      </c>
      <c r="D129" s="7">
        <v>5.9099999999999995E-4</v>
      </c>
      <c r="E129" s="7">
        <v>9.9999999999999995E-7</v>
      </c>
      <c r="F129" s="7">
        <f t="shared" si="8"/>
        <v>10084.60236886633</v>
      </c>
      <c r="I129" s="4"/>
      <c r="Y129" s="6"/>
    </row>
    <row r="130" spans="1:25" x14ac:dyDescent="0.3">
      <c r="A130" s="17">
        <v>12</v>
      </c>
      <c r="B130" s="8">
        <v>6.8</v>
      </c>
      <c r="C130" s="7">
        <v>0.01</v>
      </c>
      <c r="D130" s="7">
        <v>6.7500000000000004E-4</v>
      </c>
      <c r="E130" s="7">
        <v>9.9999999999999995E-7</v>
      </c>
      <c r="F130" s="7">
        <f t="shared" si="8"/>
        <v>10074.074074074073</v>
      </c>
      <c r="I130" s="4"/>
      <c r="Y130" s="6"/>
    </row>
    <row r="131" spans="1:25" x14ac:dyDescent="0.3">
      <c r="A131" s="17">
        <v>13</v>
      </c>
      <c r="B131" s="8">
        <v>7.64</v>
      </c>
      <c r="C131" s="7">
        <v>0.01</v>
      </c>
      <c r="D131" s="7">
        <v>7.5799999999999999E-4</v>
      </c>
      <c r="E131" s="7">
        <v>9.9999999999999995E-7</v>
      </c>
      <c r="F131" s="7">
        <f t="shared" si="8"/>
        <v>10079.155672823219</v>
      </c>
      <c r="I131" s="4"/>
      <c r="J131" s="1"/>
      <c r="K131" s="1"/>
      <c r="L131" s="1"/>
      <c r="M131" s="3"/>
      <c r="N131" s="9"/>
      <c r="O131" s="3"/>
      <c r="V131" s="1" t="s">
        <v>25</v>
      </c>
      <c r="W131" s="1"/>
      <c r="X131" s="1"/>
      <c r="Y131" s="6">
        <v>6800000</v>
      </c>
    </row>
    <row r="132" spans="1:25" x14ac:dyDescent="0.3">
      <c r="A132" s="17">
        <v>14</v>
      </c>
      <c r="B132" s="8">
        <v>8.44</v>
      </c>
      <c r="C132" s="7">
        <v>0.01</v>
      </c>
      <c r="D132" s="7">
        <v>8.4499999999999994E-4</v>
      </c>
      <c r="E132" s="7">
        <v>9.9999999999999995E-7</v>
      </c>
      <c r="F132" s="7">
        <f t="shared" si="8"/>
        <v>9988.165680473372</v>
      </c>
      <c r="I132" s="4"/>
      <c r="J132" s="1"/>
      <c r="K132" s="1"/>
      <c r="L132" s="1"/>
      <c r="Y132" s="6"/>
    </row>
    <row r="133" spans="1:25" x14ac:dyDescent="0.3">
      <c r="A133" s="17">
        <v>15</v>
      </c>
      <c r="B133" s="8">
        <v>9.52</v>
      </c>
      <c r="C133" s="7">
        <v>0.01</v>
      </c>
      <c r="D133" s="7">
        <v>9.4499999999999998E-4</v>
      </c>
      <c r="E133" s="7">
        <v>9.9999999999999995E-7</v>
      </c>
      <c r="F133" s="7">
        <f t="shared" si="8"/>
        <v>10074.074074074073</v>
      </c>
      <c r="I133" s="4"/>
      <c r="J133" s="1"/>
      <c r="K133" s="1"/>
      <c r="L133" s="1"/>
      <c r="V133" s="1" t="s">
        <v>4</v>
      </c>
      <c r="W133" s="1"/>
      <c r="X133" s="1"/>
      <c r="Y133" s="6">
        <f>SQRT(((1/D159)*B161)^2+(-(B159/(D159^2))*D161)^2)</f>
        <v>634526.55757414585</v>
      </c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17" t="s">
        <v>6</v>
      </c>
      <c r="B135" s="2">
        <f>AVERAGE(B119:B133)</f>
        <v>4.5993333333333331</v>
      </c>
      <c r="D135" s="5">
        <f>AVERAGE(D119:D133)</f>
        <v>4.5719999999999995E-4</v>
      </c>
      <c r="E135" s="4"/>
      <c r="F135" s="5">
        <f>AVERAGE(F119:F133)</f>
        <v>10052.067968264466</v>
      </c>
      <c r="I135" s="4"/>
      <c r="V135" s="1" t="s">
        <v>22</v>
      </c>
      <c r="W135" s="1"/>
      <c r="X135" s="1"/>
      <c r="Y135" s="6">
        <f>SLOPE(Tabela515[V (V)],Tabela515[I (A)])</f>
        <v>4175199.6242367299</v>
      </c>
    </row>
    <row r="136" spans="1:25" x14ac:dyDescent="0.3">
      <c r="A136" s="17" t="s">
        <v>7</v>
      </c>
      <c r="B136" s="2">
        <f>STDEVA(B119:B133)</f>
        <v>2.6700708034129166</v>
      </c>
      <c r="D136" s="5">
        <f>STDEVA(D119:D133)</f>
        <v>2.6547348535884221E-4</v>
      </c>
      <c r="E136" s="4"/>
      <c r="F136" s="5">
        <f>STDEVA(F119:F133)</f>
        <v>60.017411251811424</v>
      </c>
      <c r="I136" s="4"/>
      <c r="V136" s="1"/>
      <c r="W136" s="1"/>
      <c r="X136" s="1"/>
    </row>
    <row r="137" spans="1:25" x14ac:dyDescent="0.3">
      <c r="A137" s="17" t="s">
        <v>8</v>
      </c>
      <c r="B137" s="2">
        <f>B136/SQRT(10)</f>
        <v>0.84435052527005017</v>
      </c>
      <c r="D137" s="5">
        <f>D136/SQRT(10)</f>
        <v>8.3950087211730399E-5</v>
      </c>
      <c r="E137" s="4"/>
      <c r="F137" s="5">
        <f t="shared" ref="F137" si="9">F136/SQRT(10)</f>
        <v>18.979171882274159</v>
      </c>
      <c r="I137" s="4"/>
      <c r="V137" s="1" t="s">
        <v>23</v>
      </c>
      <c r="W137" s="1"/>
      <c r="X137" s="1"/>
      <c r="Y137" s="10">
        <f>ABS(Y131-Y135)/Y131</f>
        <v>0.38600005525930442</v>
      </c>
    </row>
    <row r="138" spans="1:25" x14ac:dyDescent="0.3">
      <c r="D138" s="6"/>
      <c r="I138" s="4"/>
      <c r="V138" s="12" t="s">
        <v>24</v>
      </c>
      <c r="W138" s="12"/>
      <c r="X138" s="12"/>
      <c r="Y138" s="11">
        <f>ABS(Y131-F159)/Y131</f>
        <v>0.44018062833281024</v>
      </c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17" t="s">
        <v>15</v>
      </c>
      <c r="B141" s="17"/>
      <c r="C141" s="17"/>
      <c r="D141" s="17"/>
      <c r="E141" s="17"/>
      <c r="F141" s="17"/>
      <c r="I141" s="4"/>
      <c r="V141" s="1"/>
      <c r="W141" s="1"/>
      <c r="X141" s="1"/>
      <c r="Y141" s="1"/>
    </row>
    <row r="142" spans="1:25" x14ac:dyDescent="0.3">
      <c r="A142" s="1" t="s">
        <v>1</v>
      </c>
      <c r="B142" s="1" t="s">
        <v>16</v>
      </c>
      <c r="C142" s="1" t="s">
        <v>17</v>
      </c>
      <c r="D142" s="1" t="s">
        <v>19</v>
      </c>
      <c r="E142" s="1" t="s">
        <v>18</v>
      </c>
      <c r="F142" s="1" t="s">
        <v>20</v>
      </c>
      <c r="I142" s="4"/>
      <c r="V142" s="1"/>
      <c r="W142" s="1"/>
      <c r="X142" s="1"/>
      <c r="Y142" s="1"/>
    </row>
    <row r="143" spans="1:25" x14ac:dyDescent="0.3">
      <c r="A143" s="17">
        <v>1</v>
      </c>
      <c r="B143" s="2">
        <v>0.95</v>
      </c>
      <c r="C143" s="5">
        <v>0.01</v>
      </c>
      <c r="D143" s="5">
        <v>2.9999999999999999E-7</v>
      </c>
      <c r="E143" s="5">
        <v>9.9999999999999995E-8</v>
      </c>
      <c r="F143" s="5">
        <f t="shared" ref="F143:F157" si="10">B143/D143</f>
        <v>3166666.6666666665</v>
      </c>
      <c r="V143" s="1"/>
      <c r="W143" s="1"/>
      <c r="X143" s="1"/>
      <c r="Y143" s="1"/>
    </row>
    <row r="144" spans="1:25" x14ac:dyDescent="0.3">
      <c r="A144" s="17">
        <v>2</v>
      </c>
      <c r="B144" s="2">
        <v>1.74</v>
      </c>
      <c r="C144" s="5">
        <v>0.01</v>
      </c>
      <c r="D144" s="5">
        <v>4.9999999999999998E-7</v>
      </c>
      <c r="E144" s="5">
        <v>9.9999999999999995E-8</v>
      </c>
      <c r="F144" s="5">
        <f t="shared" si="10"/>
        <v>3480000</v>
      </c>
      <c r="V144" s="1"/>
      <c r="W144" s="1"/>
      <c r="X144" s="1"/>
      <c r="Y144" s="1"/>
    </row>
    <row r="145" spans="1:25" x14ac:dyDescent="0.3">
      <c r="A145" s="17">
        <v>3</v>
      </c>
      <c r="B145" s="2">
        <v>2.99</v>
      </c>
      <c r="C145" s="5">
        <v>0.01</v>
      </c>
      <c r="D145" s="5">
        <v>7.9999999999999996E-7</v>
      </c>
      <c r="E145" s="5">
        <v>9.9999999999999995E-8</v>
      </c>
      <c r="F145" s="5">
        <f t="shared" si="10"/>
        <v>3737500.0000000005</v>
      </c>
      <c r="V145" s="1"/>
      <c r="W145" s="1"/>
      <c r="X145" s="1"/>
      <c r="Y145" s="1"/>
    </row>
    <row r="146" spans="1:25" x14ac:dyDescent="0.3">
      <c r="A146" s="17">
        <v>4</v>
      </c>
      <c r="B146" s="2">
        <v>4.01</v>
      </c>
      <c r="C146" s="5">
        <v>0.01</v>
      </c>
      <c r="D146" s="5">
        <v>1.1000000000000001E-6</v>
      </c>
      <c r="E146" s="5">
        <v>9.9999999999999995E-8</v>
      </c>
      <c r="F146" s="5">
        <f t="shared" si="10"/>
        <v>3645454.5454545449</v>
      </c>
      <c r="V146" s="1"/>
      <c r="W146" s="1"/>
      <c r="X146" s="1"/>
      <c r="Y146" s="1"/>
    </row>
    <row r="147" spans="1:25" x14ac:dyDescent="0.3">
      <c r="A147" s="17">
        <v>5</v>
      </c>
      <c r="B147" s="2">
        <v>4.58</v>
      </c>
      <c r="C147" s="5">
        <v>0.01</v>
      </c>
      <c r="D147" s="5">
        <v>1.1999999999999999E-6</v>
      </c>
      <c r="E147" s="5">
        <v>9.9999999999999995E-8</v>
      </c>
      <c r="F147" s="5">
        <f t="shared" si="10"/>
        <v>3816666.666666667</v>
      </c>
    </row>
    <row r="148" spans="1:25" x14ac:dyDescent="0.3">
      <c r="A148" s="17">
        <v>6</v>
      </c>
      <c r="B148" s="2">
        <v>5.52</v>
      </c>
      <c r="C148" s="5">
        <v>0.01</v>
      </c>
      <c r="D148" s="5">
        <v>1.5E-6</v>
      </c>
      <c r="E148" s="5">
        <v>9.9999999999999995E-8</v>
      </c>
      <c r="F148" s="5">
        <f t="shared" si="10"/>
        <v>3679999.9999999995</v>
      </c>
    </row>
    <row r="149" spans="1:25" x14ac:dyDescent="0.3">
      <c r="A149" s="17">
        <v>7</v>
      </c>
      <c r="B149" s="2">
        <v>6.12</v>
      </c>
      <c r="C149" s="5">
        <v>0.01</v>
      </c>
      <c r="D149" s="5">
        <v>1.5999999999999999E-6</v>
      </c>
      <c r="E149" s="5">
        <v>9.9999999999999995E-8</v>
      </c>
      <c r="F149" s="5">
        <f t="shared" si="10"/>
        <v>3825000.0000000005</v>
      </c>
    </row>
    <row r="150" spans="1:25" x14ac:dyDescent="0.3">
      <c r="A150" s="17">
        <v>8</v>
      </c>
      <c r="B150" s="2">
        <v>6.54</v>
      </c>
      <c r="C150" s="5">
        <v>0.01</v>
      </c>
      <c r="D150" s="5">
        <v>1.7E-6</v>
      </c>
      <c r="E150" s="5">
        <v>9.9999999999999995E-8</v>
      </c>
      <c r="F150" s="5">
        <f t="shared" si="10"/>
        <v>3847058.8235294116</v>
      </c>
    </row>
    <row r="151" spans="1:25" x14ac:dyDescent="0.3">
      <c r="A151" s="17">
        <v>9</v>
      </c>
      <c r="B151" s="2">
        <v>7.22</v>
      </c>
      <c r="C151" s="5">
        <v>0.01</v>
      </c>
      <c r="D151" s="5">
        <v>1.7999999999999999E-6</v>
      </c>
      <c r="E151" s="5">
        <v>9.9999999999999995E-8</v>
      </c>
      <c r="F151" s="5">
        <f t="shared" si="10"/>
        <v>4011111.111111111</v>
      </c>
    </row>
    <row r="152" spans="1:25" x14ac:dyDescent="0.3">
      <c r="A152" s="17">
        <v>10</v>
      </c>
      <c r="B152" s="2">
        <v>7.66</v>
      </c>
      <c r="C152" s="5">
        <v>0.01</v>
      </c>
      <c r="D152" s="5">
        <v>1.9E-6</v>
      </c>
      <c r="E152" s="5">
        <v>9.9999999999999995E-8</v>
      </c>
      <c r="F152" s="5">
        <f t="shared" si="10"/>
        <v>4031578.9473684211</v>
      </c>
    </row>
    <row r="153" spans="1:25" x14ac:dyDescent="0.3">
      <c r="A153" s="17">
        <v>11</v>
      </c>
      <c r="B153" s="2">
        <v>8.25</v>
      </c>
      <c r="C153" s="5">
        <v>0.01</v>
      </c>
      <c r="D153" s="5">
        <v>2.0999999999999998E-6</v>
      </c>
      <c r="E153" s="5">
        <v>9.9999999999999995E-8</v>
      </c>
      <c r="F153" s="5">
        <f t="shared" si="10"/>
        <v>3928571.4285714291</v>
      </c>
    </row>
    <row r="154" spans="1:25" x14ac:dyDescent="0.3">
      <c r="A154" s="17">
        <v>12</v>
      </c>
      <c r="B154" s="2">
        <v>8.82</v>
      </c>
      <c r="C154" s="5">
        <v>0.01</v>
      </c>
      <c r="D154" s="5">
        <v>2.2000000000000001E-6</v>
      </c>
      <c r="E154" s="5">
        <v>9.9999999999999995E-8</v>
      </c>
      <c r="F154" s="5">
        <f t="shared" si="10"/>
        <v>4009090.9090909092</v>
      </c>
    </row>
    <row r="155" spans="1:25" x14ac:dyDescent="0.3">
      <c r="A155" s="17">
        <v>13</v>
      </c>
      <c r="B155" s="2">
        <v>9</v>
      </c>
      <c r="C155" s="5">
        <v>0.01</v>
      </c>
      <c r="D155" s="5">
        <v>2.3E-6</v>
      </c>
      <c r="E155" s="5">
        <v>9.9999999999999995E-8</v>
      </c>
      <c r="F155" s="5">
        <f t="shared" si="10"/>
        <v>3913043.4782608696</v>
      </c>
    </row>
    <row r="156" spans="1:25" x14ac:dyDescent="0.3">
      <c r="A156" s="17">
        <v>14</v>
      </c>
      <c r="B156" s="2">
        <v>9.7100000000000009</v>
      </c>
      <c r="C156" s="5">
        <v>0.01</v>
      </c>
      <c r="D156" s="5">
        <v>2.3999999999999999E-6</v>
      </c>
      <c r="E156" s="5">
        <v>9.9999999999999995E-8</v>
      </c>
      <c r="F156" s="5">
        <f t="shared" si="10"/>
        <v>4045833.333333334</v>
      </c>
    </row>
    <row r="157" spans="1:25" x14ac:dyDescent="0.3">
      <c r="A157" s="17">
        <v>15</v>
      </c>
      <c r="B157" s="2">
        <v>9.91</v>
      </c>
      <c r="C157" s="5">
        <v>0.01</v>
      </c>
      <c r="D157" s="5">
        <v>2.5000000000000002E-6</v>
      </c>
      <c r="E157" s="5">
        <v>9.9999999999999995E-8</v>
      </c>
      <c r="F157" s="5">
        <f t="shared" si="10"/>
        <v>3963999.9999999995</v>
      </c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17" t="s">
        <v>6</v>
      </c>
      <c r="B159" s="2">
        <f>AVERAGE(B143:B157)</f>
        <v>6.2013333333333343</v>
      </c>
      <c r="D159" s="5">
        <f>AVERAGE(D143:D157)</f>
        <v>1.5933333333333335E-6</v>
      </c>
      <c r="E159" s="4"/>
      <c r="F159" s="5">
        <f>AVERAGE(F143:F157)</f>
        <v>3806771.7273368905</v>
      </c>
    </row>
    <row r="160" spans="1:25" x14ac:dyDescent="0.3">
      <c r="A160" s="17" t="s">
        <v>7</v>
      </c>
      <c r="B160" s="2">
        <f>STDEVA(B143:B157)</f>
        <v>2.8526450549487934</v>
      </c>
      <c r="D160" s="5">
        <f>STDEVA(D143:D157)</f>
        <v>6.8916789025054048E-7</v>
      </c>
      <c r="E160" s="4"/>
      <c r="F160" s="5">
        <f>STDEVA(F143:F157)</f>
        <v>240042.60206381421</v>
      </c>
    </row>
    <row r="161" spans="1:6" x14ac:dyDescent="0.3">
      <c r="A161" s="17" t="s">
        <v>8</v>
      </c>
      <c r="B161" s="2">
        <f>B160/SQRT(15)</f>
        <v>0.73654978603050791</v>
      </c>
      <c r="D161" s="5">
        <f>D160/SQRT(15)</f>
        <v>1.7794238411208293E-7</v>
      </c>
      <c r="E161" s="4"/>
      <c r="F161" s="5">
        <f>F160/SQRT(15)</f>
        <v>61978.733344896435</v>
      </c>
    </row>
  </sheetData>
  <mergeCells count="7">
    <mergeCell ref="A41:F41"/>
    <mergeCell ref="A2:H2"/>
    <mergeCell ref="J13:M13"/>
    <mergeCell ref="J15:M15"/>
    <mergeCell ref="J17:M17"/>
    <mergeCell ref="J19:M19"/>
    <mergeCell ref="J3:K3"/>
  </mergeCells>
  <phoneticPr fontId="2" type="noConversion"/>
  <pageMargins left="3.937007874015748E-2" right="3.937007874015748E-2" top="3.937007874015748E-2" bottom="3.937007874015748E-2" header="3.937007874015748E-2" footer="3.937007874015748E-2"/>
  <pageSetup paperSize="9" orientation="landscape" horizontalDpi="0" verticalDpi="0" r:id="rId1"/>
  <drawing r:id="rId2"/>
  <tableParts count="6">
    <tablePart r:id="rId3"/>
    <tablePart r:id="rId4"/>
    <tablePart r:id="rId5"/>
    <tablePart r:id="rId6"/>
    <tablePart r:id="rId7"/>
    <tablePart r:id="rId8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BF7A827-4287-4B11-A03D-8B56046FE39E}">
          <xm:f>'R1 CA'!1:1048576</xm:f>
        </x15:webExtension>
        <x15:webExtension appRef="{EF659F33-B27D-477A-BED5-49EA59CEFAD8}">
          <xm:f>'R1 CA'!$B$4:$B$18</xm:f>
        </x15:webExtension>
        <x15:webExtension appRef="{1FAC1EA7-7C57-444F-A795-D14AD7B737CD}">
          <xm:f>'R1 CA'!$D$4:$D$18</xm:f>
        </x15:webExtension>
        <x15:webExtension appRef="{5BE6B1A2-8B0E-4A4B-89F6-D17106E225DD}">
          <xm:f>'R1 CA'!$W$14:$AF$31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52C624EF34AD478A5856EC85ED098F" ma:contentTypeVersion="8" ma:contentTypeDescription="Criar um novo documento." ma:contentTypeScope="" ma:versionID="13f11bc05279c011ff2d322d3f66fd67">
  <xsd:schema xmlns:xsd="http://www.w3.org/2001/XMLSchema" xmlns:xs="http://www.w3.org/2001/XMLSchema" xmlns:p="http://schemas.microsoft.com/office/2006/metadata/properties" xmlns:ns3="50696793-6437-4e87-ba7e-0fc4fcfbac97" targetNamespace="http://schemas.microsoft.com/office/2006/metadata/properties" ma:root="true" ma:fieldsID="ffcb33e49fcbec99d603f857985d8417" ns3:_="">
    <xsd:import namespace="50696793-6437-4e87-ba7e-0fc4fcfbac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96793-6437-4e87-ba7e-0fc4fcfba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8CA081-A56A-407E-BC39-67D7C2082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169DA3-410F-42F9-98E4-43875082A5B2}">
  <ds:schemaRefs>
    <ds:schemaRef ds:uri="50696793-6437-4e87-ba7e-0fc4fcfbac97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452E65F-37E5-422E-B821-5F797BE3D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696793-6437-4e87-ba7e-0fc4fcfba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R3 CA</vt:lpstr>
      <vt:lpstr>R2 CA</vt:lpstr>
      <vt:lpstr>R1 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nunop</cp:lastModifiedBy>
  <cp:lastPrinted>2022-03-16T17:14:58Z</cp:lastPrinted>
  <dcterms:created xsi:type="dcterms:W3CDTF">2022-03-09T11:20:33Z</dcterms:created>
  <dcterms:modified xsi:type="dcterms:W3CDTF">2022-03-16T17:16:36Z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0x0101004B52C624EF34AD478A5856EC85ED098F</vt:lpwstr>
  </property>
</Properties>
</file>