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B0C0083-FCB4-4342-A413-F105262D7516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R1 CA" sheetId="1" r:id="rId1"/>
    <sheet name="R2 CA" sheetId="2" r:id="rId2"/>
    <sheet name="R3 CA" sheetId="4" r:id="rId3"/>
    <sheet name="R1 CB " sheetId="7" r:id="rId4"/>
    <sheet name="R2 CB" sheetId="6" r:id="rId5"/>
    <sheet name="R3 C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5" l="1"/>
  <c r="M16" i="6"/>
  <c r="M16" i="7"/>
  <c r="M16" i="4"/>
  <c r="M16" i="2"/>
  <c r="M16" i="1"/>
  <c r="M21" i="1"/>
  <c r="M17" i="1"/>
  <c r="M15" i="1"/>
  <c r="M14" i="1"/>
  <c r="M19" i="1" s="1"/>
  <c r="M21" i="2"/>
  <c r="M17" i="2"/>
  <c r="M15" i="2"/>
  <c r="M14" i="2"/>
  <c r="M19" i="2" s="1"/>
  <c r="M21" i="4"/>
  <c r="M17" i="4"/>
  <c r="M15" i="4"/>
  <c r="M14" i="4"/>
  <c r="M19" i="4" s="1"/>
  <c r="M21" i="6"/>
  <c r="M17" i="6"/>
  <c r="M15" i="6"/>
  <c r="M14" i="6"/>
  <c r="M19" i="6" s="1"/>
  <c r="M21" i="5"/>
  <c r="M17" i="5"/>
  <c r="M15" i="5"/>
  <c r="M14" i="5"/>
  <c r="M19" i="5" s="1"/>
  <c r="M17" i="7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18" i="6"/>
  <c r="F17" i="6"/>
  <c r="F16" i="6"/>
  <c r="F15" i="6"/>
  <c r="F14" i="6"/>
  <c r="F13" i="6"/>
  <c r="F12" i="6"/>
  <c r="F11" i="6"/>
  <c r="F10" i="6"/>
  <c r="F20" i="6" s="1"/>
  <c r="F9" i="6"/>
  <c r="F8" i="6"/>
  <c r="F7" i="6"/>
  <c r="F6" i="6"/>
  <c r="F5" i="6"/>
  <c r="F4" i="6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D21" i="7"/>
  <c r="D22" i="7" s="1"/>
  <c r="B21" i="7"/>
  <c r="B22" i="7" s="1"/>
  <c r="D20" i="7"/>
  <c r="B20" i="7"/>
  <c r="J4" i="7" a="1"/>
  <c r="J4" i="7" s="1"/>
  <c r="M14" i="7" s="1"/>
  <c r="M19" i="7" s="1"/>
  <c r="D21" i="6"/>
  <c r="D22" i="6" s="1"/>
  <c r="B21" i="6"/>
  <c r="B22" i="6" s="1"/>
  <c r="D20" i="6"/>
  <c r="B20" i="6"/>
  <c r="J4" i="6" a="1"/>
  <c r="J4" i="6" s="1"/>
  <c r="D21" i="5"/>
  <c r="D22" i="5" s="1"/>
  <c r="B21" i="5"/>
  <c r="B22" i="5" s="1"/>
  <c r="D20" i="5"/>
  <c r="B20" i="5"/>
  <c r="J4" i="5" a="1"/>
  <c r="J4" i="5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21" i="4"/>
  <c r="D22" i="4" s="1"/>
  <c r="B21" i="4"/>
  <c r="B22" i="4" s="1"/>
  <c r="D20" i="4"/>
  <c r="B20" i="4"/>
  <c r="J4" i="4" a="1"/>
  <c r="J4" i="4" s="1"/>
  <c r="F21" i="4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J4" i="2" a="1"/>
  <c r="J4" i="2" s="1"/>
  <c r="F21" i="7" l="1"/>
  <c r="F22" i="7" s="1"/>
  <c r="F20" i="7"/>
  <c r="M21" i="7" s="1"/>
  <c r="M15" i="7"/>
  <c r="F20" i="5"/>
  <c r="G18" i="7"/>
  <c r="H18" i="7" s="1"/>
  <c r="G13" i="7"/>
  <c r="H13" i="7" s="1"/>
  <c r="G5" i="7"/>
  <c r="H5" i="7" s="1"/>
  <c r="G7" i="7"/>
  <c r="H7" i="7" s="1"/>
  <c r="G10" i="7"/>
  <c r="H10" i="7" s="1"/>
  <c r="G15" i="7"/>
  <c r="H15" i="7" s="1"/>
  <c r="G8" i="7"/>
  <c r="H8" i="7" s="1"/>
  <c r="G17" i="7"/>
  <c r="H17" i="7" s="1"/>
  <c r="G12" i="7"/>
  <c r="H12" i="7" s="1"/>
  <c r="G9" i="7"/>
  <c r="H9" i="7" s="1"/>
  <c r="G14" i="7"/>
  <c r="H14" i="7" s="1"/>
  <c r="G6" i="7"/>
  <c r="H6" i="7" s="1"/>
  <c r="G4" i="7"/>
  <c r="H4" i="7" s="1"/>
  <c r="G11" i="7"/>
  <c r="H11" i="7" s="1"/>
  <c r="G16" i="7"/>
  <c r="H16" i="7" s="1"/>
  <c r="G17" i="6"/>
  <c r="H17" i="6" s="1"/>
  <c r="G12" i="6"/>
  <c r="H12" i="6" s="1"/>
  <c r="G14" i="6"/>
  <c r="H14" i="6" s="1"/>
  <c r="G6" i="6"/>
  <c r="H6" i="6" s="1"/>
  <c r="G4" i="6"/>
  <c r="H4" i="6" s="1"/>
  <c r="G11" i="6"/>
  <c r="H11" i="6" s="1"/>
  <c r="G7" i="6"/>
  <c r="H7" i="6" s="1"/>
  <c r="G16" i="6"/>
  <c r="H16" i="6" s="1"/>
  <c r="G8" i="6"/>
  <c r="H8" i="6" s="1"/>
  <c r="G15" i="6"/>
  <c r="H15" i="6" s="1"/>
  <c r="G9" i="6"/>
  <c r="H9" i="6" s="1"/>
  <c r="G18" i="6"/>
  <c r="H18" i="6" s="1"/>
  <c r="G13" i="6"/>
  <c r="H13" i="6" s="1"/>
  <c r="G5" i="6"/>
  <c r="H5" i="6" s="1"/>
  <c r="G10" i="6"/>
  <c r="H10" i="6" s="1"/>
  <c r="F21" i="6"/>
  <c r="F22" i="6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0" i="5"/>
  <c r="H10" i="5" s="1"/>
  <c r="G18" i="5"/>
  <c r="H18" i="5" s="1"/>
  <c r="G13" i="5"/>
  <c r="H13" i="5" s="1"/>
  <c r="G5" i="5"/>
  <c r="H5" i="5" s="1"/>
  <c r="G12" i="5"/>
  <c r="H12" i="5" s="1"/>
  <c r="G15" i="5"/>
  <c r="H15" i="5" s="1"/>
  <c r="G7" i="5"/>
  <c r="H7" i="5" s="1"/>
  <c r="G17" i="5"/>
  <c r="H17" i="5" s="1"/>
  <c r="G9" i="5"/>
  <c r="H9" i="5" s="1"/>
  <c r="F21" i="5"/>
  <c r="F22" i="5" s="1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20" i="4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F20" i="2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B20" i="1" l="1"/>
  <c r="B21" i="1"/>
  <c r="B22" i="1" s="1"/>
  <c r="D21" i="1"/>
  <c r="D22" i="1" s="1"/>
  <c r="D20" i="1"/>
  <c r="F18" i="1"/>
  <c r="F14" i="1"/>
  <c r="F15" i="1"/>
  <c r="F16" i="1"/>
  <c r="F17" i="1"/>
  <c r="F4" i="1"/>
  <c r="F5" i="1"/>
  <c r="F6" i="1"/>
  <c r="F7" i="1"/>
  <c r="F8" i="1"/>
  <c r="F9" i="1"/>
  <c r="F10" i="1"/>
  <c r="F11" i="1"/>
  <c r="F12" i="1"/>
  <c r="F13" i="1"/>
  <c r="F20" i="1" l="1"/>
  <c r="F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<sst xmlns="http://schemas.openxmlformats.org/spreadsheetml/2006/main" count="151" uniqueCount="40">
  <si>
    <t>Numero de Medição</t>
  </si>
  <si>
    <t>Incerteza do Multimetro (V) :</t>
  </si>
  <si>
    <t>Média</t>
  </si>
  <si>
    <t>Desvio Padrão</t>
  </si>
  <si>
    <t>Incerteza na Média</t>
  </si>
  <si>
    <t>V (V)</t>
  </si>
  <si>
    <t>u(V)</t>
  </si>
  <si>
    <t>u(I)</t>
  </si>
  <si>
    <t>I (A)</t>
  </si>
  <si>
    <t>R (Ω)</t>
  </si>
  <si>
    <t>1,00E-06*</t>
  </si>
  <si>
    <t>Incerteza do Multimetro (A) :</t>
  </si>
  <si>
    <t>2,00E-02*</t>
  </si>
  <si>
    <t>Fit</t>
  </si>
  <si>
    <t>Residuo</t>
  </si>
  <si>
    <t>3,00E-06*</t>
  </si>
  <si>
    <t>ANÁLISE ESTATÍSTICA</t>
  </si>
  <si>
    <t>Erro da regressão relativamente à previsão (%) :</t>
  </si>
  <si>
    <t>Previsão da Resistência (Ω):</t>
  </si>
  <si>
    <t>Resistência (Regressão linear) (Ω):</t>
  </si>
  <si>
    <t>Erro da média da resistência relativamente à previsão(%):</t>
  </si>
  <si>
    <r>
      <t>Incerteza da média da resistência (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>) :</t>
    </r>
  </si>
  <si>
    <t>4,00E-05*</t>
  </si>
  <si>
    <t>5,00E-07*</t>
  </si>
  <si>
    <t>5,00E-06*</t>
  </si>
  <si>
    <t>1,55E-04*</t>
  </si>
  <si>
    <t>6,00E-06*</t>
  </si>
  <si>
    <t>7,00E-06*</t>
  </si>
  <si>
    <t>2,00E-06*</t>
  </si>
  <si>
    <t>4,00E-06*</t>
  </si>
  <si>
    <t>* Incerteza obtida por cálculo, devido a oscilações no valor apresentado no instrumento de medida.</t>
  </si>
  <si>
    <t>Incerteza da regressão linear (Ω):</t>
  </si>
  <si>
    <t>Média da resistência (Ω) :</t>
  </si>
  <si>
    <r>
      <rPr>
        <sz val="9"/>
        <color theme="1"/>
        <rFont val="Calibri"/>
        <family val="2"/>
        <scheme val="minor"/>
      </rPr>
      <t>Incerteza da média da resistência (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):</t>
    </r>
  </si>
  <si>
    <t>Montagem 1 Resistência 4A</t>
  </si>
  <si>
    <t>Montagem 2 Resistência 4B</t>
  </si>
  <si>
    <t>Montagem 1 Resistência 4C</t>
  </si>
  <si>
    <t>Montagem 1 Resistência 4B</t>
  </si>
  <si>
    <t>Montagem 2 Resistência 4A</t>
  </si>
  <si>
    <t>Montagem 2 Resistência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</si>
</sst>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3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95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73771778075027"/>
          <c:y val="0.89154992037373193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500000000000002E-3"/>
          <c:min val="7.0000000000000035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500000000000002E-3"/>
          <c:min val="7.0000000000000035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6.0000000000000029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-0.10913104744011304</c:v>
                </c:pt>
                <c:pt idx="1">
                  <c:v>-0.10417097228745931</c:v>
                </c:pt>
                <c:pt idx="2">
                  <c:v>-0.13169093471113236</c:v>
                </c:pt>
                <c:pt idx="3">
                  <c:v>0.14078910286519397</c:v>
                </c:pt>
                <c:pt idx="4">
                  <c:v>0.1557491780178486</c:v>
                </c:pt>
                <c:pt idx="5">
                  <c:v>0.23822921559417587</c:v>
                </c:pt>
                <c:pt idx="6">
                  <c:v>-7.6810709253170906E-2</c:v>
                </c:pt>
                <c:pt idx="7">
                  <c:v>1.5669328323156151E-2</c:v>
                </c:pt>
                <c:pt idx="8">
                  <c:v>7.8149365899482959E-2</c:v>
                </c:pt>
                <c:pt idx="9">
                  <c:v>-5.6890558947863212E-2</c:v>
                </c:pt>
                <c:pt idx="10">
                  <c:v>-6.1930483795210378E-2</c:v>
                </c:pt>
                <c:pt idx="11">
                  <c:v>-0.18697040864255676</c:v>
                </c:pt>
                <c:pt idx="12">
                  <c:v>-0.15449037106622932</c:v>
                </c:pt>
                <c:pt idx="13">
                  <c:v>7.5509628933771111E-2</c:v>
                </c:pt>
                <c:pt idx="14">
                  <c:v>0.17798966651009884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7.0000000000000029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64623668306096"/>
          <c:y val="0.89696652247024267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'!$B$4:$B$18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0-41B7-803C-E255E6CA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3000000000000007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CB 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'!$H$4:$H$18</c:f>
              <c:numCache>
                <c:formatCode>0.00</c:formatCode>
                <c:ptCount val="15"/>
                <c:pt idx="0">
                  <c:v>3.9400674743337305E-3</c:v>
                </c:pt>
                <c:pt idx="1">
                  <c:v>2.6408467478398201E-3</c:v>
                </c:pt>
                <c:pt idx="2">
                  <c:v>-6.5076961676650225E-2</c:v>
                </c:pt>
                <c:pt idx="3">
                  <c:v>7.3807830969765398E-3</c:v>
                </c:pt>
                <c:pt idx="4">
                  <c:v>1.3307278570247494E-2</c:v>
                </c:pt>
                <c:pt idx="5">
                  <c:v>3.4145101495109742E-2</c:v>
                </c:pt>
                <c:pt idx="6">
                  <c:v>2.2408934246589851E-2</c:v>
                </c:pt>
                <c:pt idx="7">
                  <c:v>-1.176061852810939E-3</c:v>
                </c:pt>
                <c:pt idx="8">
                  <c:v>1.4572361189317817E-3</c:v>
                </c:pt>
                <c:pt idx="9">
                  <c:v>3.2565841123393113E-3</c:v>
                </c:pt>
                <c:pt idx="10">
                  <c:v>4.3367247776027185E-3</c:v>
                </c:pt>
                <c:pt idx="11">
                  <c:v>3.232132832733825E-3</c:v>
                </c:pt>
                <c:pt idx="12">
                  <c:v>-5.0925104666692533E-3</c:v>
                </c:pt>
                <c:pt idx="13">
                  <c:v>-7.1320951526505638E-3</c:v>
                </c:pt>
                <c:pt idx="14">
                  <c:v>-1.7628060323900741E-2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C-430E-8899-4E517F0C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634006760693"/>
          <c:y val="0.8948244304843706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CB'!$B$4:$B$18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F-4F42-9228-3FC322B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000000000000002E-3"/>
          <c:min val="1.0000000000000004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CB'!$H$4:$H$18</c:f>
              <c:numCache>
                <c:formatCode>0.00</c:formatCode>
                <c:ptCount val="15"/>
                <c:pt idx="0">
                  <c:v>-1.5527533926361081E-2</c:v>
                </c:pt>
                <c:pt idx="1">
                  <c:v>1.0562143395173473E-2</c:v>
                </c:pt>
                <c:pt idx="2">
                  <c:v>-1.3930179440591051E-3</c:v>
                </c:pt>
                <c:pt idx="3">
                  <c:v>-4.0957409718225257E-3</c:v>
                </c:pt>
                <c:pt idx="4">
                  <c:v>-6.7409592543135055E-3</c:v>
                </c:pt>
                <c:pt idx="5">
                  <c:v>-9.271168046261824E-3</c:v>
                </c:pt>
                <c:pt idx="6">
                  <c:v>-2.0889005645678971E-3</c:v>
                </c:pt>
                <c:pt idx="7">
                  <c:v>1.4288300483324079E-2</c:v>
                </c:pt>
                <c:pt idx="8">
                  <c:v>1.1585577455561769E-2</c:v>
                </c:pt>
                <c:pt idx="9">
                  <c:v>7.2152168149219875E-3</c:v>
                </c:pt>
                <c:pt idx="10">
                  <c:v>1.4972531749333662E-2</c:v>
                </c:pt>
                <c:pt idx="11">
                  <c:v>1.0142133146522347E-2</c:v>
                </c:pt>
                <c:pt idx="12">
                  <c:v>1.5369239288983927E-2</c:v>
                </c:pt>
                <c:pt idx="13">
                  <c:v>-5.9633673549640775E-2</c:v>
                </c:pt>
                <c:pt idx="14">
                  <c:v>1.4615851923203138E-2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205-B4DD-D955AD4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000000000000002E-3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CB'!$B$4:$B$18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8-43A6-9189-39021307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1.0000000000000005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CB'!$H$4:$H$18</c:f>
              <c:numCache>
                <c:formatCode>0.00</c:formatCode>
                <c:ptCount val="15"/>
                <c:pt idx="0">
                  <c:v>9.5654702225785204E-2</c:v>
                </c:pt>
                <c:pt idx="1">
                  <c:v>5.8800882293962742E-2</c:v>
                </c:pt>
                <c:pt idx="2">
                  <c:v>6.8520152396229328E-2</c:v>
                </c:pt>
                <c:pt idx="3">
                  <c:v>-0.15176057750150562</c:v>
                </c:pt>
                <c:pt idx="4">
                  <c:v>4.8125125325837459E-3</c:v>
                </c:pt>
                <c:pt idx="5">
                  <c:v>-0.29546821736515039</c:v>
                </c:pt>
                <c:pt idx="6">
                  <c:v>-0.10889512733106077</c:v>
                </c:pt>
                <c:pt idx="7">
                  <c:v>-0.10232203729697265</c:v>
                </c:pt>
                <c:pt idx="8">
                  <c:v>0.16425105273711615</c:v>
                </c:pt>
                <c:pt idx="9">
                  <c:v>0.19082414277120474</c:v>
                </c:pt>
                <c:pt idx="10">
                  <c:v>-4.6029677160616345E-2</c:v>
                </c:pt>
                <c:pt idx="11">
                  <c:v>0.11054341287347036</c:v>
                </c:pt>
                <c:pt idx="12">
                  <c:v>-0.12288349709243995</c:v>
                </c:pt>
                <c:pt idx="13">
                  <c:v>0.1736895929416491</c:v>
                </c:pt>
                <c:pt idx="14">
                  <c:v>-3.9737317024263419E-2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402-B051-40F388D8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2.7000000000000013E-6"/>
          <c:min val="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36729684232473"/>
          <c:y val="0.89541650732435984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284057</xdr:colOff>
      <xdr:row>23</xdr:row>
      <xdr:rowOff>2691</xdr:rowOff>
    </xdr:from>
    <xdr:to>
      <xdr:col>13</xdr:col>
      <xdr:colOff>597539</xdr:colOff>
      <xdr:row>38</xdr:row>
      <xdr:rowOff>9666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23</xdr:row>
      <xdr:rowOff>1345</xdr:rowOff>
    </xdr:from>
    <xdr:to>
      <xdr:col>6</xdr:col>
      <xdr:colOff>3305</xdr:colOff>
      <xdr:row>38</xdr:row>
      <xdr:rowOff>4033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285970</xdr:colOff>
      <xdr:row>22</xdr:row>
      <xdr:rowOff>177951</xdr:rowOff>
    </xdr:from>
    <xdr:to>
      <xdr:col>13</xdr:col>
      <xdr:colOff>599452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22</xdr:row>
      <xdr:rowOff>176605</xdr:rowOff>
    </xdr:from>
    <xdr:to>
      <xdr:col>6</xdr:col>
      <xdr:colOff>3305</xdr:colOff>
      <xdr:row>38</xdr:row>
      <xdr:rowOff>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282774</xdr:colOff>
      <xdr:row>23</xdr:row>
      <xdr:rowOff>2499</xdr:rowOff>
    </xdr:from>
    <xdr:to>
      <xdr:col>13</xdr:col>
      <xdr:colOff>602660</xdr:colOff>
      <xdr:row>38</xdr:row>
      <xdr:rowOff>2513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277136</xdr:colOff>
      <xdr:row>22</xdr:row>
      <xdr:rowOff>179614</xdr:rowOff>
    </xdr:from>
    <xdr:to>
      <xdr:col>5</xdr:col>
      <xdr:colOff>760307</xdr:colOff>
      <xdr:row>37</xdr:row>
      <xdr:rowOff>182879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282773</xdr:colOff>
      <xdr:row>23</xdr:row>
      <xdr:rowOff>2499</xdr:rowOff>
    </xdr:from>
    <xdr:to>
      <xdr:col>13</xdr:col>
      <xdr:colOff>602659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14257D-B807-4169-A911-B4388F35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4355</xdr:rowOff>
    </xdr:from>
    <xdr:to>
      <xdr:col>6</xdr:col>
      <xdr:colOff>2024</xdr:colOff>
      <xdr:row>38</xdr:row>
      <xdr:rowOff>498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950929-C27C-447F-8409-0216E255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284116</xdr:colOff>
      <xdr:row>22</xdr:row>
      <xdr:rowOff>181793</xdr:rowOff>
    </xdr:from>
    <xdr:to>
      <xdr:col>13</xdr:col>
      <xdr:colOff>604002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658D6-AF9B-4C9B-82CE-500A1561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4354</xdr:rowOff>
    </xdr:from>
    <xdr:to>
      <xdr:col>6</xdr:col>
      <xdr:colOff>2024</xdr:colOff>
      <xdr:row>38</xdr:row>
      <xdr:rowOff>497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075136-0E01-4155-9065-8E9D2E714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277012</xdr:colOff>
      <xdr:row>22</xdr:row>
      <xdr:rowOff>177951</xdr:rowOff>
    </xdr:from>
    <xdr:to>
      <xdr:col>13</xdr:col>
      <xdr:colOff>590494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F0146-E0E8-4B73-8B02-2ACF47A5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290460</xdr:colOff>
      <xdr:row>22</xdr:row>
      <xdr:rowOff>176605</xdr:rowOff>
    </xdr:from>
    <xdr:to>
      <xdr:col>6</xdr:col>
      <xdr:colOff>3307</xdr:colOff>
      <xdr:row>38</xdr:row>
      <xdr:rowOff>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70B4F-1EBE-45DA-95A5-437BFECF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94" dataDxfId="93">
  <autoFilter ref="A3:H18" xr:uid="{9C5B2E42-3817-413B-9C33-33DD89DD5E35}"/>
  <tableColumns count="8">
    <tableColumn id="1" xr3:uid="{9DD51987-C1BC-4ED6-8FEC-B5E9EEBD87E4}" name="Numero de Medição" totalsRowLabel="Total" dataDxfId="92"/>
    <tableColumn id="2" xr3:uid="{15D1FA17-1AE6-4DD2-8292-D64CE9308936}" name="V (V)" dataDxfId="91" totalsRowDxfId="90"/>
    <tableColumn id="5" xr3:uid="{7C02DDDF-3141-4D0A-9AF5-518B2A531A4C}" name="u(V)" dataDxfId="89"/>
    <tableColumn id="3" xr3:uid="{5BFB6233-8250-4878-B204-A8C660E33AB0}" name="I (A)" dataDxfId="88"/>
    <tableColumn id="6" xr3:uid="{D00D6C69-A1D9-4D13-9A2F-60BE40695798}" name="u(I)" dataDxfId="87" totalsRowDxfId="86"/>
    <tableColumn id="4" xr3:uid="{419C236C-08C9-42EB-933C-7880265CDDD8}" name="R (Ω)" totalsRowFunction="count" dataDxfId="85" totalsRowDxfId="84">
      <calculatedColumnFormula>B4/D4</calculatedColumnFormula>
    </tableColumn>
    <tableColumn id="8" xr3:uid="{5D26FCBD-106E-427B-AC75-BD87B08904B4}" name="Fit" dataDxfId="83" totalsRowDxfId="82">
      <calculatedColumnFormula>$J$4*Tabela5[[#This Row],[I (A)]]+$K$4</calculatedColumnFormula>
    </tableColumn>
    <tableColumn id="9" xr3:uid="{4F6967FE-8E66-46D5-89AC-72983E1166AF}" name="Residuo" dataDxfId="81" totalsRowDxfId="80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79" dataDxfId="78">
  <autoFilter ref="A3:H18" xr:uid="{9C5B2E42-3817-413B-9C33-33DD89DD5E35}"/>
  <tableColumns count="8">
    <tableColumn id="1" xr3:uid="{C435C4C2-AD8B-4A0D-8142-885D37A761EF}" name="Numero de Medição" totalsRowLabel="Total" dataDxfId="77" totalsRowDxfId="76"/>
    <tableColumn id="2" xr3:uid="{6B35960F-D78D-4095-8E3D-043220512137}" name="V (V)" dataDxfId="75" totalsRowDxfId="74"/>
    <tableColumn id="5" xr3:uid="{031EBECC-806A-461A-AB65-77E7C29FBD0C}" name="u(V)" dataDxfId="73"/>
    <tableColumn id="3" xr3:uid="{1FA96904-73C1-478B-9F6A-51FD7892E2E7}" name="I (A)" dataDxfId="72"/>
    <tableColumn id="6" xr3:uid="{34147ADB-8798-43D2-BFFA-00E5D3131EDA}" name="u(I)" dataDxfId="71" totalsRowDxfId="70"/>
    <tableColumn id="4" xr3:uid="{6B9C80B7-684C-49A0-A019-D59C4D0F8B19}" name="R (Ω)" totalsRowFunction="count" dataDxfId="69" totalsRowDxfId="68">
      <calculatedColumnFormula>B4/D4</calculatedColumnFormula>
    </tableColumn>
    <tableColumn id="8" xr3:uid="{D11CAD9A-864D-4A63-AE75-7C81DDEF3CF3}" name="Fit" dataDxfId="67" totalsRowDxfId="66">
      <calculatedColumnFormula>$J$4*Tabela52[[#This Row],[I (A)]]+$K$4</calculatedColumnFormula>
    </tableColumn>
    <tableColumn id="9" xr3:uid="{81B39A70-B15B-4519-A957-7D0ADA3F6F0B}" name="Residuo" dataDxfId="65" totalsRowDxfId="64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63" dataDxfId="62">
  <autoFilter ref="A3:H18" xr:uid="{9C5B2E42-3817-413B-9C33-33DD89DD5E35}"/>
  <tableColumns count="8">
    <tableColumn id="1" xr3:uid="{CB1610DE-1A75-4964-BFFA-797C860127B9}" name="Numero de Medição" totalsRowLabel="Total" dataDxfId="61" totalsRowDxfId="60"/>
    <tableColumn id="2" xr3:uid="{F3523595-9BBC-45DC-A437-8DABC8389766}" name="V (V)" dataDxfId="59" totalsRowDxfId="58"/>
    <tableColumn id="5" xr3:uid="{853C39B3-3EDC-49EA-8062-B2FEFCA58DCD}" name="u(V)" dataDxfId="57"/>
    <tableColumn id="3" xr3:uid="{D52C3B05-232E-49DC-BE05-A51CCC35DC34}" name="I (A)" dataDxfId="56"/>
    <tableColumn id="6" xr3:uid="{8D363E62-2DBC-4599-80C5-9E8B05567846}" name="u(I)" dataDxfId="55" totalsRowDxfId="54"/>
    <tableColumn id="4" xr3:uid="{BFA14C47-C72D-4F33-9331-0ED77D6F7655}" name="R (Ω)" totalsRowFunction="count" dataDxfId="53" totalsRowDxfId="52">
      <calculatedColumnFormula>B4/D4</calculatedColumnFormula>
    </tableColumn>
    <tableColumn id="8" xr3:uid="{59D677C7-6DE3-408F-B24F-DBC917BCB1DC}" name="Fit" dataDxfId="51" totalsRowDxfId="50">
      <calculatedColumnFormula>$J$4*Tabela59[[#This Row],[I (A)]]+$K$4</calculatedColumnFormula>
    </tableColumn>
    <tableColumn id="9" xr3:uid="{FB81627E-5E76-4944-8A75-10E635C1D839}" name="Residuo" dataDxfId="49" totalsRowDxfId="48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6CAD9-E61E-4BD6-A3B7-5C5A3427776D}" name="Tabela55" displayName="Tabela55" ref="A3:H18" headerRowDxfId="47" dataDxfId="46">
  <autoFilter ref="A3:H18" xr:uid="{9C5B2E42-3817-413B-9C33-33DD89DD5E35}"/>
  <tableColumns count="8">
    <tableColumn id="1" xr3:uid="{8EDA20C8-FA61-4356-8D9E-00708046511A}" name="Numero de Medição" totalsRowLabel="Total" dataDxfId="45" totalsRowDxfId="44"/>
    <tableColumn id="2" xr3:uid="{63BB3DE5-4FEB-46DC-AE04-B258004F72C2}" name="V (V)" dataDxfId="43" totalsRowDxfId="42"/>
    <tableColumn id="5" xr3:uid="{3A20AC84-7BF7-4DC8-A7FC-BC299D412EAF}" name="u(V)" dataDxfId="41"/>
    <tableColumn id="3" xr3:uid="{6B251030-DAFD-48F8-AA37-BC50167DEEEF}" name="I (A)" dataDxfId="40"/>
    <tableColumn id="6" xr3:uid="{23A80032-977B-4215-BA7A-52A5E6EB877B}" name="u(I)" dataDxfId="39" totalsRowDxfId="38"/>
    <tableColumn id="4" xr3:uid="{DFB2F0AD-983D-4FD8-B73D-82B8F88EF7FE}" name="R (Ω)" totalsRowFunction="count" dataDxfId="37" totalsRowDxfId="36">
      <calculatedColumnFormula>B4/D4</calculatedColumnFormula>
    </tableColumn>
    <tableColumn id="8" xr3:uid="{DC366C3A-2F8D-4DB8-ADE6-9CD33CF7E530}" name="Fit" dataDxfId="35" totalsRowDxfId="34">
      <calculatedColumnFormula>$J$4*Tabela55[[#This Row],[I (A)]]+$K$4</calculatedColumnFormula>
    </tableColumn>
    <tableColumn id="9" xr3:uid="{DE2CF278-DDF2-43D8-AB47-78CE61A864E7}" name="Residuo" dataDxfId="33" totalsRowDxfId="32">
      <calculatedColumnFormula>Tabela55[[#This Row],[V (V)]]-Tabela55[[#This Row],[Fit]]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C7B2A-5004-4041-A3D7-5F36B436C061}" name="Tabela524" displayName="Tabela524" ref="A3:H18" headerRowDxfId="31" dataDxfId="30">
  <autoFilter ref="A3:H18" xr:uid="{9C5B2E42-3817-413B-9C33-33DD89DD5E35}"/>
  <tableColumns count="8">
    <tableColumn id="1" xr3:uid="{5FCAFC94-CC92-453B-9C74-A1CCE415E866}" name="Numero de Medição" totalsRowLabel="Total" dataDxfId="29" totalsRowDxfId="28"/>
    <tableColumn id="2" xr3:uid="{E86632E9-C1F7-43D9-BA0C-C81F9FDD6118}" name="V (V)" dataDxfId="27" totalsRowDxfId="26"/>
    <tableColumn id="5" xr3:uid="{43B2FC34-CDFA-418F-94DD-4F76579B1C98}" name="u(V)" dataDxfId="25"/>
    <tableColumn id="3" xr3:uid="{01479A66-127D-4807-A503-592E89E54CDD}" name="I (A)" dataDxfId="24"/>
    <tableColumn id="6" xr3:uid="{F3BD4511-D452-4BC4-8B69-A8EE9F8EECDA}" name="u(I)" dataDxfId="23" totalsRowDxfId="22"/>
    <tableColumn id="4" xr3:uid="{56E5554A-923A-4EC6-8B0C-A2EB7E07FBC8}" name="R (Ω)" totalsRowFunction="count" dataDxfId="21" totalsRowDxfId="20">
      <calculatedColumnFormula>B4/D4</calculatedColumnFormula>
    </tableColumn>
    <tableColumn id="8" xr3:uid="{52EA8F84-E79F-4347-95C8-72C94921B756}" name="Fit" dataDxfId="19" totalsRowDxfId="18">
      <calculatedColumnFormula>$J$4*Tabela524[[#This Row],[I (A)]]+$K$4</calculatedColumnFormula>
    </tableColumn>
    <tableColumn id="9" xr3:uid="{92341072-FE5C-44C3-BB1C-B6B34866E2C4}" name="Residuo" dataDxfId="17" totalsRowDxfId="16">
      <calculatedColumnFormula>Tabela524[[#This Row],[V (V)]]-Tabela524[[#This Row],[Fit]]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18FE-BE27-458A-8DF1-1AAACC6DB224}" name="Tabela593" displayName="Tabela593" ref="A3:H18" headerRowDxfId="15" dataDxfId="14">
  <autoFilter ref="A3:H18" xr:uid="{9C5B2E42-3817-413B-9C33-33DD89DD5E35}"/>
  <tableColumns count="8">
    <tableColumn id="1" xr3:uid="{A3BB2D62-3EC6-4CB7-ABF4-C021BE2758F0}" name="Numero de Medição" totalsRowLabel="Total" dataDxfId="13" totalsRowDxfId="12"/>
    <tableColumn id="2" xr3:uid="{1786D417-1825-48DF-87C4-8C81FE615841}" name="V (V)" dataDxfId="11" totalsRowDxfId="10"/>
    <tableColumn id="5" xr3:uid="{5BF9CFA6-2917-4661-B703-87B266AAA6C8}" name="u(V)" dataDxfId="9"/>
    <tableColumn id="3" xr3:uid="{0F87490C-43A1-484D-9A08-377311295BB5}" name="I (A)" dataDxfId="8"/>
    <tableColumn id="6" xr3:uid="{950F613F-008B-4E45-BF68-3CB96D33E16C}" name="u(I)" dataDxfId="7" totalsRowDxfId="6"/>
    <tableColumn id="4" xr3:uid="{51324EB2-8678-4FA2-8111-E1E4AC68565B}" name="R (Ω)" totalsRowFunction="count" dataDxfId="5" totalsRowDxfId="4">
      <calculatedColumnFormula>B4/D4</calculatedColumnFormula>
    </tableColumn>
    <tableColumn id="8" xr3:uid="{A2CDB501-76D3-43ED-AF46-462537706CC6}" name="Fit" dataDxfId="3" totalsRowDxfId="2">
      <calculatedColumnFormula>$J$4*Tabela593[[#This Row],[I (A)]]+$K$4</calculatedColumnFormula>
    </tableColumn>
    <tableColumn id="9" xr3:uid="{467CF0A6-7227-4D40-ACBE-04AEF148C8A6}" name="Residuo" dataDxfId="1" totalsRowDxfId="0">
      <calculatedColumnFormula>Tabela593[[#This Row],[V (V)]]-Tabela593[[#This Row],[Fit]]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tabSelected="1"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554687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7" t="s">
        <v>34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9" t="s">
        <v>5</v>
      </c>
      <c r="C3" s="9" t="s">
        <v>6</v>
      </c>
      <c r="D3" s="9" t="s">
        <v>8</v>
      </c>
      <c r="E3" s="9" t="s">
        <v>7</v>
      </c>
      <c r="F3" s="9" t="s">
        <v>9</v>
      </c>
      <c r="G3" s="9" t="s">
        <v>13</v>
      </c>
      <c r="H3" s="9" t="s">
        <v>14</v>
      </c>
      <c r="I3" s="1"/>
      <c r="J3" s="48" t="s">
        <v>16</v>
      </c>
      <c r="K3" s="48"/>
    </row>
    <row r="4" spans="1:24" x14ac:dyDescent="0.3">
      <c r="A4" s="28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0.72617972125965391</v>
      </c>
      <c r="H4" s="2">
        <f>Tabela5[[#This Row],[V (V)]]-Tabela5[[#This Row],[Fit]]</f>
        <v>-6.1797212596539364E-3</v>
      </c>
      <c r="I4" s="1"/>
      <c r="J4" s="22" cm="1">
        <f t="array" ref="J4:K8">LINEST(Tabela5[V (V)],Tabela5[I (A)],TRUE,TRUE)</f>
        <v>465.37340754892119</v>
      </c>
      <c r="K4" s="22">
        <v>1.0668107153187556E-2</v>
      </c>
      <c r="M4" s="33" t="s">
        <v>30</v>
      </c>
      <c r="N4" s="33"/>
    </row>
    <row r="5" spans="1:24" ht="14.4" customHeight="1" x14ac:dyDescent="0.3">
      <c r="A5" s="28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0.9988420007425669</v>
      </c>
      <c r="H5" s="2">
        <f>Tabela5[[#This Row],[V (V)]]-Tabela5[[#This Row],[Fit]]</f>
        <v>1.1579992574330955E-3</v>
      </c>
      <c r="I5" s="1"/>
      <c r="J5" s="22">
        <v>0.50404609178452187</v>
      </c>
      <c r="K5" s="22">
        <v>4.8452268459604148E-3</v>
      </c>
      <c r="M5" s="33"/>
      <c r="N5" s="33"/>
    </row>
    <row r="6" spans="1:24" x14ac:dyDescent="0.3">
      <c r="A6" s="28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1.501724504939931</v>
      </c>
      <c r="H6" s="2">
        <f>Tabela5[[#This Row],[V (V)]]-Tabela5[[#This Row],[Fit]]</f>
        <v>-1.7245049399310375E-3</v>
      </c>
      <c r="I6" s="1"/>
      <c r="J6" s="22">
        <v>0.9999847498503176</v>
      </c>
      <c r="K6" s="22">
        <v>8.8662934058695349E-3</v>
      </c>
      <c r="M6" s="33"/>
      <c r="N6" s="33"/>
    </row>
    <row r="7" spans="1:24" x14ac:dyDescent="0.3">
      <c r="A7" s="28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1.9854336247462796</v>
      </c>
      <c r="H7" s="2">
        <f>Tabela5[[#This Row],[V (V)]]-Tabela5[[#This Row],[Fit]]</f>
        <v>1.4566375253720398E-2</v>
      </c>
      <c r="I7" s="1"/>
      <c r="J7" s="25">
        <v>852437.6493893984</v>
      </c>
      <c r="K7" s="22">
        <v>13</v>
      </c>
      <c r="L7" s="1"/>
      <c r="M7" s="33"/>
      <c r="N7" s="33"/>
      <c r="O7" s="3"/>
      <c r="P7" s="17"/>
      <c r="Q7" s="3"/>
      <c r="R7" s="3"/>
      <c r="S7" s="3"/>
      <c r="T7" s="3"/>
    </row>
    <row r="8" spans="1:24" x14ac:dyDescent="0.3">
      <c r="A8" s="28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2.4569034239340919</v>
      </c>
      <c r="H8" s="2">
        <f>Tabela5[[#This Row],[V (V)]]-Tabela5[[#This Row],[Fit]]</f>
        <v>-6.9034239340917125E-3</v>
      </c>
      <c r="I8" s="1"/>
      <c r="J8" s="22">
        <v>67.011111388269455</v>
      </c>
      <c r="K8" s="22">
        <v>1.0219450638665529E-3</v>
      </c>
      <c r="L8" s="1"/>
      <c r="M8" s="1"/>
      <c r="N8" s="1"/>
    </row>
    <row r="9" spans="1:24" x14ac:dyDescent="0.3">
      <c r="A9" s="28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2.9145981702584556</v>
      </c>
      <c r="H9" s="2">
        <f>Tabela5[[#This Row],[V (V)]]-Tabela5[[#This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3.4025887254142546</v>
      </c>
      <c r="H10" s="2">
        <f>Tabela5[[#This Row],[V (V)]]-Tabela5[[#This Row],[Fit]]</f>
        <v>-2.5887254142547E-3</v>
      </c>
      <c r="I10" s="1"/>
      <c r="J10" s="43" t="s">
        <v>1</v>
      </c>
      <c r="K10" s="44"/>
      <c r="L10" s="45"/>
      <c r="M10" s="30">
        <v>0.01</v>
      </c>
      <c r="N10" s="30"/>
      <c r="R10" s="20"/>
      <c r="S10" s="20"/>
      <c r="T10" s="20"/>
    </row>
    <row r="11" spans="1:24" x14ac:dyDescent="0.3">
      <c r="A11" s="28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3.8674502222148717</v>
      </c>
      <c r="H11" s="2">
        <f>Tabela5[[#This Row],[V (V)]]-Tabela5[[#This Row],[Fit]]</f>
        <v>2.5497777851284376E-3</v>
      </c>
      <c r="I11" s="1"/>
      <c r="J11" s="43" t="s">
        <v>11</v>
      </c>
      <c r="K11" s="44"/>
      <c r="L11" s="45"/>
      <c r="M11" s="30">
        <v>9.9999999999999995E-8</v>
      </c>
      <c r="N11" s="30"/>
      <c r="R11" s="20"/>
      <c r="S11" s="20"/>
      <c r="T11" s="20"/>
    </row>
    <row r="12" spans="1:24" x14ac:dyDescent="0.3">
      <c r="A12" s="28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$J$4*Tabela5[[#This Row],[I (A)]]+$K$4</f>
        <v>4.4254329378660282</v>
      </c>
      <c r="H12" s="2">
        <f>Tabela5[[#This Row],[V (V)]]-Tabela5[[#This Row],[Fit]]</f>
        <v>-1.5432937866028063E-2</v>
      </c>
      <c r="I12" s="1"/>
      <c r="J12" s="43" t="s">
        <v>18</v>
      </c>
      <c r="K12" s="44"/>
      <c r="L12" s="45"/>
      <c r="M12" s="31">
        <v>470</v>
      </c>
      <c r="N12" s="31"/>
      <c r="R12" s="20"/>
      <c r="S12" s="20"/>
      <c r="T12" s="20"/>
    </row>
    <row r="13" spans="1:24" x14ac:dyDescent="0.3">
      <c r="A13" s="28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4.8632562396880541</v>
      </c>
      <c r="H13" s="2">
        <f>Tabela5[[#This Row],[V (V)]]-Tabela5[[#This Row],[Fit]]</f>
        <v>-3.2562396880537747E-3</v>
      </c>
      <c r="I13" s="1"/>
      <c r="R13" s="20"/>
      <c r="S13" s="20"/>
      <c r="T13" s="20"/>
      <c r="U13" s="20"/>
      <c r="V13" s="20"/>
      <c r="W13" s="20"/>
      <c r="X13" s="20"/>
    </row>
    <row r="14" spans="1:24" x14ac:dyDescent="0.3">
      <c r="A14" s="28">
        <v>11</v>
      </c>
      <c r="B14" s="2">
        <v>5.41</v>
      </c>
      <c r="C14" s="5">
        <v>0.01</v>
      </c>
      <c r="D14" s="5">
        <v>1.1560000000000001E-2</v>
      </c>
      <c r="E14" s="5" t="s">
        <v>22</v>
      </c>
      <c r="F14" s="5">
        <f t="shared" si="0"/>
        <v>467.99307958477505</v>
      </c>
      <c r="G14" s="2">
        <f>$J$4*Tabela5[[#This Row],[I (A)]]+$K$4</f>
        <v>5.3903846984187167</v>
      </c>
      <c r="H14" s="2">
        <f>Tabela5[[#This Row],[V (V)]]-Tabela5[[#This Row],[Fit]]</f>
        <v>1.961530158128344E-2</v>
      </c>
      <c r="I14" s="1"/>
      <c r="J14" s="43" t="s">
        <v>19</v>
      </c>
      <c r="K14" s="44"/>
      <c r="L14" s="45"/>
      <c r="M14" s="31">
        <f>J4</f>
        <v>465.37340754892119</v>
      </c>
      <c r="N14" s="31"/>
      <c r="R14" s="20"/>
      <c r="S14" s="20"/>
      <c r="T14" s="20"/>
    </row>
    <row r="15" spans="1:24" x14ac:dyDescent="0.3">
      <c r="A15" s="28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5.9516250279227156</v>
      </c>
      <c r="H15" s="2">
        <f>Tabela5[[#This Row],[V (V)]]-Tabela5[[#This Row],[Fit]]</f>
        <v>-1.6250279227154607E-3</v>
      </c>
      <c r="I15" s="1"/>
      <c r="J15" s="43" t="s">
        <v>31</v>
      </c>
      <c r="K15" s="44"/>
      <c r="L15" s="45"/>
      <c r="M15" s="32">
        <f>J5</f>
        <v>0.50404609178452187</v>
      </c>
      <c r="N15" s="32"/>
      <c r="R15" s="20"/>
      <c r="S15" s="20"/>
      <c r="T15" s="20"/>
    </row>
    <row r="16" spans="1:24" ht="14.4" customHeight="1" x14ac:dyDescent="0.3">
      <c r="A16" s="28">
        <v>13</v>
      </c>
      <c r="B16" s="2">
        <v>6.43</v>
      </c>
      <c r="C16" s="5">
        <v>0.01</v>
      </c>
      <c r="D16" s="5">
        <v>1.3806000000000001E-2</v>
      </c>
      <c r="E16" s="5" t="s">
        <v>10</v>
      </c>
      <c r="F16" s="5">
        <f t="shared" si="0"/>
        <v>465.73953353614365</v>
      </c>
      <c r="G16" s="2">
        <f>$J$4*Tabela5[[#This Row],[I (A)]]+$K$4</f>
        <v>6.4356133717735942</v>
      </c>
      <c r="H16" s="2">
        <f>Tabela5[[#This Row],[V (V)]]-Tabela5[[#This Row],[Fit]]</f>
        <v>-5.6133717735944444E-3</v>
      </c>
      <c r="I16" s="1"/>
      <c r="J16" s="48" t="s">
        <v>32</v>
      </c>
      <c r="K16" s="48"/>
      <c r="L16" s="48"/>
      <c r="M16" s="31">
        <f>F20</f>
        <v>467.27349049454619</v>
      </c>
      <c r="N16" s="31"/>
      <c r="R16" s="20"/>
      <c r="S16" s="20"/>
      <c r="T16" s="20"/>
    </row>
    <row r="17" spans="1:20" x14ac:dyDescent="0.3">
      <c r="A17" s="28">
        <v>14</v>
      </c>
      <c r="B17" s="2">
        <v>6.93</v>
      </c>
      <c r="C17" s="5">
        <v>0.01</v>
      </c>
      <c r="D17" s="5">
        <v>1.4873000000000001E-2</v>
      </c>
      <c r="E17" s="5" t="s">
        <v>15</v>
      </c>
      <c r="F17" s="5">
        <f t="shared" si="0"/>
        <v>465.9450010085389</v>
      </c>
      <c r="G17" s="2">
        <f>$J$4*Tabela5[[#This Row],[I (A)]]+$K$4</f>
        <v>6.9321667976282928</v>
      </c>
      <c r="H17" s="2">
        <f>Tabela5[[#This Row],[V (V)]]-Tabela5[[#This Row],[Fit]]</f>
        <v>-2.1667976282930823E-3</v>
      </c>
      <c r="I17" s="1"/>
      <c r="J17" s="46" t="s">
        <v>21</v>
      </c>
      <c r="K17" s="46"/>
      <c r="L17" s="46"/>
      <c r="M17" s="32">
        <f>SQRT(((1/D20)*B22)^2+(-(B20/(D20^2))*D22)^2)</f>
        <v>115.64457411168775</v>
      </c>
      <c r="N17" s="32"/>
      <c r="R17" s="20"/>
      <c r="S17" s="20"/>
      <c r="T17" s="20"/>
    </row>
    <row r="18" spans="1:20" x14ac:dyDescent="0.3">
      <c r="A18" s="28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7.4478005331924964</v>
      </c>
      <c r="H18" s="2">
        <f>Tabela5[[#This Row],[V (V)]]-Tabela5[[#This Row],[Fit]]</f>
        <v>2.1994668075038248E-3</v>
      </c>
      <c r="I18" s="1"/>
      <c r="R18" s="20"/>
      <c r="S18" s="20"/>
      <c r="T18" s="20"/>
    </row>
    <row r="19" spans="1:20" ht="14.4" customHeight="1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9.8438137256995888E-3</v>
      </c>
      <c r="N19" s="42"/>
    </row>
    <row r="20" spans="1:20" x14ac:dyDescent="0.3">
      <c r="A20" s="29" t="s">
        <v>2</v>
      </c>
      <c r="B20" s="18">
        <f>AVERAGE(B4:B18)</f>
        <v>3.9533333333333336</v>
      </c>
      <c r="C20" s="34"/>
      <c r="D20" s="19">
        <f>AVERAGE(D4:D18)</f>
        <v>8.4720466666666668E-3</v>
      </c>
      <c r="E20" s="37"/>
      <c r="F20" s="19">
        <f>AVERAGE(F4:F18)</f>
        <v>467.27349049454619</v>
      </c>
      <c r="G20" s="40"/>
      <c r="H20" s="40"/>
      <c r="J20" s="50"/>
      <c r="K20" s="50"/>
      <c r="L20" s="50"/>
      <c r="M20" s="42"/>
      <c r="N20" s="42"/>
    </row>
    <row r="21" spans="1:20" ht="14.4" customHeight="1" x14ac:dyDescent="0.3">
      <c r="A21" s="29" t="s">
        <v>3</v>
      </c>
      <c r="B21" s="18">
        <f>STDEVA(B4:B18)</f>
        <v>2.187825622023142</v>
      </c>
      <c r="C21" s="35"/>
      <c r="D21" s="19">
        <f>STDEVA(D4:D18)</f>
        <v>4.7011902788954372E-3</v>
      </c>
      <c r="E21" s="38"/>
      <c r="F21" s="19">
        <f>STDEVA(F4:F18)</f>
        <v>1.8649100465002957</v>
      </c>
      <c r="G21" s="40"/>
      <c r="H21" s="40"/>
      <c r="J21" s="46" t="s">
        <v>20</v>
      </c>
      <c r="K21" s="49"/>
      <c r="L21" s="49"/>
      <c r="M21" s="41">
        <f>ABS((M12-F20)/M12)</f>
        <v>5.8010840541570319E-3</v>
      </c>
      <c r="N21" s="41"/>
    </row>
    <row r="22" spans="1:20" x14ac:dyDescent="0.3">
      <c r="A22" s="29" t="s">
        <v>4</v>
      </c>
      <c r="B22" s="18">
        <f>B21/SQRT(10)</f>
        <v>0.69185120888677698</v>
      </c>
      <c r="C22" s="36"/>
      <c r="D22" s="19">
        <f>D21/SQRT(10)</f>
        <v>1.4866468995151792E-3</v>
      </c>
      <c r="E22" s="39"/>
      <c r="F22" s="19">
        <f t="shared" ref="F22" si="1">F21/SQRT(10)</f>
        <v>0.58973633782714585</v>
      </c>
      <c r="G22" s="40"/>
      <c r="H22" s="40"/>
      <c r="J22" s="49"/>
      <c r="K22" s="49"/>
      <c r="L22" s="49"/>
      <c r="M22" s="41"/>
      <c r="N22" s="41"/>
    </row>
    <row r="27" spans="1:20" x14ac:dyDescent="0.3">
      <c r="I27" s="1"/>
    </row>
    <row r="28" spans="1:20" x14ac:dyDescent="0.3">
      <c r="I28" s="4"/>
    </row>
    <row r="29" spans="1:20" x14ac:dyDescent="0.3">
      <c r="I29" s="4"/>
    </row>
    <row r="30" spans="1:20" x14ac:dyDescent="0.3">
      <c r="I30" s="4"/>
    </row>
    <row r="31" spans="1:20" x14ac:dyDescent="0.3">
      <c r="I31" s="4"/>
      <c r="J31" s="1"/>
      <c r="K31" s="1"/>
      <c r="L31" s="1"/>
      <c r="M31" s="3"/>
      <c r="N31" s="9"/>
      <c r="O31" s="3"/>
    </row>
    <row r="32" spans="1:20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N41" s="20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9"/>
      <c r="B43" s="2"/>
      <c r="C43" s="14"/>
      <c r="D43" s="14"/>
      <c r="E43" s="14"/>
      <c r="F43" s="14"/>
      <c r="Y43" s="6"/>
    </row>
    <row r="44" spans="1:25" x14ac:dyDescent="0.3">
      <c r="A44" s="9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9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9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9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9"/>
      <c r="B48" s="2"/>
      <c r="C48" s="14"/>
      <c r="D48" s="14"/>
      <c r="E48" s="14"/>
      <c r="F48" s="14"/>
    </row>
    <row r="49" spans="1:25" x14ac:dyDescent="0.3">
      <c r="A49" s="9"/>
      <c r="B49" s="2"/>
      <c r="C49" s="14"/>
      <c r="D49" s="14"/>
      <c r="E49" s="14"/>
      <c r="F49" s="14"/>
    </row>
    <row r="50" spans="1:25" x14ac:dyDescent="0.3">
      <c r="A50" s="17"/>
      <c r="B50" s="2"/>
      <c r="C50" s="14"/>
      <c r="D50" s="14"/>
      <c r="E50" s="14"/>
      <c r="F50" s="14"/>
    </row>
    <row r="51" spans="1:25" x14ac:dyDescent="0.3">
      <c r="A51" s="17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17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17"/>
      <c r="B53" s="2"/>
      <c r="C53" s="14"/>
      <c r="D53" s="14"/>
      <c r="E53" s="14"/>
      <c r="F53" s="14"/>
      <c r="I53" s="4"/>
      <c r="Y53" s="6"/>
    </row>
    <row r="54" spans="1:25" x14ac:dyDescent="0.3">
      <c r="A54" s="17"/>
      <c r="B54" s="2"/>
      <c r="C54" s="14"/>
      <c r="D54" s="14"/>
      <c r="E54" s="14"/>
      <c r="F54" s="14"/>
      <c r="I54" s="4"/>
      <c r="Y54" s="6"/>
    </row>
    <row r="55" spans="1:25" x14ac:dyDescent="0.3">
      <c r="A55" s="17"/>
      <c r="B55" s="2"/>
      <c r="C55" s="14"/>
      <c r="D55" s="14"/>
      <c r="E55" s="14"/>
      <c r="F55" s="14"/>
      <c r="I55" s="4"/>
      <c r="J55" s="1"/>
      <c r="K55" s="1"/>
      <c r="L55" s="1"/>
      <c r="M55" s="3"/>
      <c r="N55" s="9"/>
      <c r="O55" s="3"/>
      <c r="V55" s="1"/>
      <c r="W55" s="1"/>
      <c r="X55" s="1"/>
      <c r="Y55" s="6"/>
    </row>
    <row r="56" spans="1:25" x14ac:dyDescent="0.3">
      <c r="A56" s="17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17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17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17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17"/>
      <c r="B65" s="17"/>
      <c r="C65" s="17"/>
      <c r="D65" s="17"/>
      <c r="E65" s="17"/>
      <c r="F65" s="17"/>
      <c r="I65" s="4"/>
    </row>
    <row r="66" spans="1:25" x14ac:dyDescent="0.3">
      <c r="A66" s="1"/>
      <c r="B66" s="17"/>
      <c r="C66" s="17"/>
      <c r="D66" s="17"/>
      <c r="E66" s="17"/>
      <c r="F66" s="17"/>
      <c r="I66" s="4"/>
    </row>
    <row r="67" spans="1:25" x14ac:dyDescent="0.3">
      <c r="A67" s="17"/>
      <c r="B67" s="2"/>
      <c r="C67" s="5"/>
      <c r="D67" s="5"/>
      <c r="E67" s="5"/>
      <c r="F67" s="5"/>
    </row>
    <row r="68" spans="1:25" x14ac:dyDescent="0.3">
      <c r="A68" s="17"/>
      <c r="B68" s="2"/>
      <c r="C68" s="5"/>
      <c r="D68" s="5"/>
      <c r="E68" s="5"/>
      <c r="F68" s="5"/>
    </row>
    <row r="69" spans="1:25" x14ac:dyDescent="0.3">
      <c r="A69" s="17"/>
      <c r="B69" s="2"/>
      <c r="C69" s="5"/>
      <c r="D69" s="5"/>
      <c r="E69" s="5"/>
      <c r="F69" s="5"/>
    </row>
    <row r="70" spans="1:25" x14ac:dyDescent="0.3">
      <c r="A70" s="17"/>
      <c r="B70" s="2"/>
      <c r="C70" s="5"/>
      <c r="D70" s="5"/>
      <c r="E70" s="5"/>
      <c r="F70" s="5"/>
    </row>
    <row r="71" spans="1:25" x14ac:dyDescent="0.3">
      <c r="A71" s="17"/>
      <c r="B71" s="2"/>
      <c r="C71" s="5"/>
      <c r="D71" s="5"/>
      <c r="E71" s="5"/>
      <c r="F71" s="5"/>
    </row>
    <row r="72" spans="1:25" x14ac:dyDescent="0.3">
      <c r="A72" s="17"/>
      <c r="B72" s="2"/>
      <c r="C72" s="5"/>
      <c r="D72" s="5"/>
      <c r="E72" s="5"/>
      <c r="F72" s="5"/>
    </row>
    <row r="73" spans="1:25" x14ac:dyDescent="0.3">
      <c r="A73" s="17"/>
      <c r="B73" s="2"/>
      <c r="C73" s="5"/>
      <c r="D73" s="5"/>
      <c r="E73" s="5"/>
      <c r="F73" s="5"/>
    </row>
    <row r="74" spans="1:25" x14ac:dyDescent="0.3">
      <c r="A74" s="17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/>
      <c r="B75" s="2"/>
      <c r="C75" s="5"/>
      <c r="D75" s="5"/>
      <c r="E75" s="5"/>
      <c r="F75" s="5"/>
    </row>
    <row r="76" spans="1:25" x14ac:dyDescent="0.3">
      <c r="A76" s="17"/>
      <c r="B76" s="2"/>
      <c r="C76" s="5"/>
      <c r="D76" s="5"/>
      <c r="E76" s="5"/>
      <c r="F76" s="5"/>
    </row>
    <row r="77" spans="1:25" x14ac:dyDescent="0.3">
      <c r="A77" s="17"/>
      <c r="B77" s="2"/>
      <c r="C77" s="5"/>
      <c r="D77" s="5"/>
      <c r="E77" s="5"/>
      <c r="F77" s="5"/>
    </row>
    <row r="78" spans="1:25" x14ac:dyDescent="0.3">
      <c r="A78" s="17"/>
      <c r="B78" s="2"/>
      <c r="C78" s="5"/>
      <c r="D78" s="5"/>
      <c r="E78" s="5"/>
      <c r="F78" s="5"/>
    </row>
    <row r="79" spans="1:25" x14ac:dyDescent="0.3">
      <c r="A79" s="17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17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17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/>
      <c r="B83" s="2"/>
      <c r="D83" s="5"/>
      <c r="E83" s="4"/>
      <c r="F83" s="5"/>
      <c r="I83" s="4"/>
      <c r="J83" s="1"/>
      <c r="K83" s="1"/>
      <c r="L83" s="1"/>
      <c r="M83" s="3"/>
      <c r="N83" s="9"/>
      <c r="O83" s="3"/>
      <c r="V83" s="1"/>
      <c r="W83" s="1"/>
      <c r="X83" s="1"/>
      <c r="Y83" s="6"/>
    </row>
    <row r="84" spans="1:25" x14ac:dyDescent="0.3">
      <c r="A84" s="17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17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17"/>
      <c r="B93" s="17"/>
      <c r="C93" s="17"/>
      <c r="D93" s="17"/>
      <c r="E93" s="17"/>
      <c r="F93" s="17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17"/>
      <c r="B95" s="2"/>
      <c r="C95" s="5"/>
      <c r="D95" s="5"/>
      <c r="E95" s="5"/>
      <c r="F95" s="5"/>
    </row>
    <row r="96" spans="1:25" x14ac:dyDescent="0.3">
      <c r="A96" s="17"/>
      <c r="B96" s="2"/>
      <c r="C96" s="5"/>
      <c r="D96" s="5"/>
      <c r="E96" s="5"/>
      <c r="F96" s="5"/>
    </row>
    <row r="97" spans="1:25" x14ac:dyDescent="0.3">
      <c r="A97" s="17"/>
      <c r="B97" s="2"/>
      <c r="C97" s="5"/>
      <c r="D97" s="5"/>
      <c r="E97" s="5"/>
      <c r="F97" s="5"/>
    </row>
    <row r="98" spans="1:25" x14ac:dyDescent="0.3">
      <c r="A98" s="17"/>
      <c r="B98" s="2"/>
      <c r="C98" s="5"/>
      <c r="D98" s="5"/>
      <c r="E98" s="5"/>
      <c r="F98" s="5"/>
    </row>
    <row r="99" spans="1:25" x14ac:dyDescent="0.3">
      <c r="A99" s="17"/>
      <c r="B99" s="2"/>
      <c r="C99" s="5"/>
      <c r="D99" s="5"/>
      <c r="E99" s="5"/>
      <c r="F99" s="5"/>
    </row>
    <row r="100" spans="1:25" x14ac:dyDescent="0.3">
      <c r="A100" s="17"/>
      <c r="B100" s="2"/>
      <c r="C100" s="5"/>
      <c r="D100" s="5"/>
      <c r="E100" s="5"/>
      <c r="F100" s="5"/>
    </row>
    <row r="101" spans="1:25" x14ac:dyDescent="0.3">
      <c r="A101" s="17"/>
      <c r="B101" s="2"/>
      <c r="C101" s="5"/>
      <c r="D101" s="5"/>
      <c r="E101" s="5"/>
      <c r="F101" s="5"/>
      <c r="I101" s="6"/>
    </row>
    <row r="102" spans="1:25" x14ac:dyDescent="0.3">
      <c r="A102" s="17"/>
      <c r="B102" s="2"/>
      <c r="C102" s="5"/>
      <c r="D102" s="5"/>
      <c r="E102" s="5"/>
      <c r="F102" s="5"/>
    </row>
    <row r="103" spans="1:25" x14ac:dyDescent="0.3">
      <c r="A103" s="17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17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17"/>
      <c r="B105" s="2"/>
      <c r="C105" s="5"/>
      <c r="D105" s="5"/>
      <c r="E105" s="5"/>
      <c r="F105" s="5"/>
      <c r="I105" s="4"/>
    </row>
    <row r="106" spans="1:25" x14ac:dyDescent="0.3">
      <c r="A106" s="17"/>
      <c r="B106" s="2"/>
      <c r="C106" s="5"/>
      <c r="D106" s="5"/>
      <c r="E106" s="5"/>
      <c r="F106" s="5"/>
      <c r="I106" s="4"/>
    </row>
    <row r="107" spans="1:25" x14ac:dyDescent="0.3">
      <c r="A107" s="17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9"/>
      <c r="O107" s="3"/>
      <c r="V107" s="1"/>
      <c r="W107" s="1"/>
      <c r="X107" s="1"/>
      <c r="Y107" s="6"/>
    </row>
    <row r="108" spans="1:25" x14ac:dyDescent="0.3">
      <c r="A108" s="17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17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17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17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17"/>
      <c r="B117" s="17"/>
      <c r="C117" s="17"/>
      <c r="D117" s="17"/>
      <c r="E117" s="17"/>
      <c r="F117" s="17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17"/>
      <c r="B119" s="8"/>
      <c r="C119" s="7"/>
      <c r="D119" s="7"/>
      <c r="E119" s="7"/>
      <c r="F119" s="7"/>
    </row>
    <row r="120" spans="1:25" x14ac:dyDescent="0.3">
      <c r="A120" s="17"/>
      <c r="B120" s="8"/>
      <c r="C120" s="15"/>
      <c r="D120" s="7"/>
      <c r="E120" s="7"/>
      <c r="F120" s="7"/>
    </row>
    <row r="121" spans="1:25" x14ac:dyDescent="0.3">
      <c r="A121" s="17"/>
      <c r="B121" s="8"/>
      <c r="C121" s="7"/>
      <c r="D121" s="7"/>
      <c r="E121" s="7"/>
      <c r="F121" s="7"/>
    </row>
    <row r="122" spans="1:25" x14ac:dyDescent="0.3">
      <c r="A122" s="17"/>
      <c r="B122" s="8"/>
      <c r="C122" s="7"/>
      <c r="D122" s="7"/>
      <c r="E122" s="7"/>
      <c r="F122" s="7"/>
    </row>
    <row r="123" spans="1:25" x14ac:dyDescent="0.3">
      <c r="A123" s="17"/>
      <c r="B123" s="8"/>
      <c r="C123" s="7"/>
      <c r="D123" s="7"/>
      <c r="E123" s="7"/>
      <c r="F123" s="7"/>
    </row>
    <row r="124" spans="1:25" x14ac:dyDescent="0.3">
      <c r="A124" s="17"/>
      <c r="B124" s="8"/>
      <c r="C124" s="7"/>
      <c r="D124" s="7"/>
      <c r="E124" s="7"/>
      <c r="F124" s="7"/>
    </row>
    <row r="125" spans="1:25" x14ac:dyDescent="0.3">
      <c r="A125" s="17"/>
      <c r="B125" s="8"/>
      <c r="C125" s="7"/>
      <c r="D125" s="7"/>
      <c r="E125" s="7"/>
      <c r="F125" s="7"/>
    </row>
    <row r="126" spans="1:25" x14ac:dyDescent="0.3">
      <c r="A126" s="17"/>
      <c r="B126" s="8"/>
      <c r="C126" s="7"/>
      <c r="D126" s="7"/>
      <c r="E126" s="7"/>
      <c r="F126" s="7"/>
    </row>
    <row r="127" spans="1:25" x14ac:dyDescent="0.3">
      <c r="A127" s="17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17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17"/>
      <c r="B129" s="8"/>
      <c r="C129" s="7"/>
      <c r="D129" s="7"/>
      <c r="E129" s="7"/>
      <c r="F129" s="7"/>
      <c r="I129" s="4"/>
      <c r="Y129" s="6"/>
    </row>
    <row r="130" spans="1:25" x14ac:dyDescent="0.3">
      <c r="A130" s="17"/>
      <c r="B130" s="8"/>
      <c r="C130" s="7"/>
      <c r="D130" s="7"/>
      <c r="E130" s="7"/>
      <c r="F130" s="7"/>
      <c r="I130" s="4"/>
      <c r="Y130" s="6"/>
    </row>
    <row r="131" spans="1:25" x14ac:dyDescent="0.3">
      <c r="A131" s="17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9"/>
      <c r="O131" s="3"/>
      <c r="V131" s="1"/>
      <c r="W131" s="1"/>
      <c r="X131" s="1"/>
      <c r="Y131" s="6"/>
    </row>
    <row r="132" spans="1:25" x14ac:dyDescent="0.3">
      <c r="A132" s="17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17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17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17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/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17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17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17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17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17"/>
      <c r="B147" s="2"/>
      <c r="C147" s="5"/>
      <c r="D147" s="5"/>
      <c r="E147" s="5"/>
      <c r="F147" s="5"/>
    </row>
    <row r="148" spans="1:25" x14ac:dyDescent="0.3">
      <c r="A148" s="17"/>
      <c r="B148" s="2"/>
      <c r="C148" s="5"/>
      <c r="D148" s="5"/>
      <c r="E148" s="5"/>
      <c r="F148" s="5"/>
    </row>
    <row r="149" spans="1:25" x14ac:dyDescent="0.3">
      <c r="A149" s="17"/>
      <c r="B149" s="2"/>
      <c r="C149" s="5"/>
      <c r="D149" s="5"/>
      <c r="E149" s="5"/>
      <c r="F149" s="5"/>
    </row>
    <row r="150" spans="1:25" x14ac:dyDescent="0.3">
      <c r="A150" s="17"/>
      <c r="B150" s="2"/>
      <c r="C150" s="5"/>
      <c r="D150" s="5"/>
      <c r="E150" s="5"/>
      <c r="F150" s="5"/>
    </row>
    <row r="151" spans="1:25" x14ac:dyDescent="0.3">
      <c r="A151" s="17"/>
      <c r="B151" s="2"/>
      <c r="C151" s="5"/>
      <c r="D151" s="5"/>
      <c r="E151" s="5"/>
      <c r="F151" s="5"/>
    </row>
    <row r="152" spans="1:25" x14ac:dyDescent="0.3">
      <c r="A152" s="17"/>
      <c r="B152" s="2"/>
      <c r="C152" s="5"/>
      <c r="D152" s="5"/>
      <c r="E152" s="5"/>
      <c r="F152" s="5"/>
    </row>
    <row r="153" spans="1:25" x14ac:dyDescent="0.3">
      <c r="A153" s="17"/>
      <c r="B153" s="2"/>
      <c r="C153" s="5"/>
      <c r="D153" s="5"/>
      <c r="E153" s="5"/>
      <c r="F153" s="5"/>
    </row>
    <row r="154" spans="1:25" x14ac:dyDescent="0.3">
      <c r="A154" s="17"/>
      <c r="B154" s="2"/>
      <c r="C154" s="5"/>
      <c r="D154" s="5"/>
      <c r="E154" s="5"/>
      <c r="F154" s="5"/>
    </row>
    <row r="155" spans="1:25" x14ac:dyDescent="0.3">
      <c r="A155" s="17"/>
      <c r="B155" s="2"/>
      <c r="C155" s="5"/>
      <c r="D155" s="5"/>
      <c r="E155" s="5"/>
      <c r="F155" s="5"/>
    </row>
    <row r="156" spans="1:25" x14ac:dyDescent="0.3">
      <c r="A156" s="17"/>
      <c r="B156" s="2"/>
      <c r="C156" s="5"/>
      <c r="D156" s="5"/>
      <c r="E156" s="5"/>
      <c r="F156" s="5"/>
    </row>
    <row r="157" spans="1:25" x14ac:dyDescent="0.3">
      <c r="A157" s="17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/>
      <c r="B159" s="2"/>
      <c r="D159" s="5"/>
      <c r="E159" s="4"/>
      <c r="F159" s="5"/>
    </row>
    <row r="160" spans="1:25" x14ac:dyDescent="0.3">
      <c r="A160" s="17"/>
      <c r="B160" s="2"/>
      <c r="D160" s="5"/>
      <c r="E160" s="4"/>
      <c r="F160" s="5"/>
    </row>
    <row r="161" spans="1:6" x14ac:dyDescent="0.3">
      <c r="A161" s="17"/>
      <c r="B161" s="2"/>
      <c r="D161" s="5"/>
      <c r="E161" s="4"/>
      <c r="F161" s="5"/>
    </row>
  </sheetData>
  <mergeCells count="24">
    <mergeCell ref="J10:L10"/>
    <mergeCell ref="J15:L15"/>
    <mergeCell ref="J17:L17"/>
    <mergeCell ref="A2:H2"/>
    <mergeCell ref="J3:K3"/>
    <mergeCell ref="J16:L16"/>
    <mergeCell ref="J14:L14"/>
    <mergeCell ref="J12:L12"/>
    <mergeCell ref="J11:L11"/>
    <mergeCell ref="C20:C22"/>
    <mergeCell ref="E20:E22"/>
    <mergeCell ref="G20:H22"/>
    <mergeCell ref="M21:N22"/>
    <mergeCell ref="M16:N16"/>
    <mergeCell ref="M17:N17"/>
    <mergeCell ref="M19:N20"/>
    <mergeCell ref="J21:L22"/>
    <mergeCell ref="J19:L20"/>
    <mergeCell ref="M11:N11"/>
    <mergeCell ref="M12:N12"/>
    <mergeCell ref="M15:N15"/>
    <mergeCell ref="M4:N7"/>
    <mergeCell ref="M10:N10"/>
    <mergeCell ref="M14:N14"/>
  </mergeCells>
  <phoneticPr fontId="1" type="noConversion"/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7" t="s">
        <v>37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21" t="s">
        <v>5</v>
      </c>
      <c r="C3" s="21" t="s">
        <v>6</v>
      </c>
      <c r="D3" s="21" t="s">
        <v>8</v>
      </c>
      <c r="E3" s="21" t="s">
        <v>7</v>
      </c>
      <c r="F3" s="21" t="s">
        <v>9</v>
      </c>
      <c r="G3" s="21" t="s">
        <v>13</v>
      </c>
      <c r="H3" s="21" t="s">
        <v>14</v>
      </c>
      <c r="I3" s="1"/>
      <c r="J3" s="48" t="s">
        <v>16</v>
      </c>
      <c r="K3" s="48"/>
    </row>
    <row r="4" spans="1:24" x14ac:dyDescent="0.3">
      <c r="A4" s="28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24" cm="1">
        <f t="array" ref="J4:K8">LINEST(Tabela52[V (V)],Tabela52[I (A)],TRUE,TRUE)</f>
        <v>10104.290262959434</v>
      </c>
      <c r="K4" s="22">
        <v>-2.0102957282790435E-2</v>
      </c>
      <c r="M4" s="27"/>
      <c r="N4" s="27"/>
    </row>
    <row r="5" spans="1:24" x14ac:dyDescent="0.3">
      <c r="A5" s="28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22">
        <v>89.573503681548132</v>
      </c>
      <c r="K5" s="22">
        <v>6.0607023869947686E-2</v>
      </c>
      <c r="M5" s="27"/>
      <c r="N5" s="27"/>
    </row>
    <row r="6" spans="1:24" x14ac:dyDescent="0.3">
      <c r="A6" s="28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22">
        <v>0.99897941920814615</v>
      </c>
      <c r="K6" s="22">
        <v>0.10280872521320895</v>
      </c>
      <c r="M6" s="27"/>
      <c r="N6" s="27"/>
    </row>
    <row r="7" spans="1:24" x14ac:dyDescent="0.3">
      <c r="A7" s="28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24">
        <v>12724.845062109185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22">
        <v>134.49695475826044</v>
      </c>
      <c r="K8" s="22">
        <v>0.13740524173954641</v>
      </c>
      <c r="L8" s="1"/>
      <c r="M8" s="1"/>
      <c r="N8" s="1"/>
    </row>
    <row r="9" spans="1:24" x14ac:dyDescent="0.3">
      <c r="A9" s="28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43" t="s">
        <v>1</v>
      </c>
      <c r="K10" s="44"/>
      <c r="L10" s="45"/>
      <c r="M10" s="30">
        <v>0.01</v>
      </c>
      <c r="N10" s="30"/>
    </row>
    <row r="11" spans="1:24" x14ac:dyDescent="0.3">
      <c r="A11" s="28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43" t="s">
        <v>11</v>
      </c>
      <c r="K11" s="44"/>
      <c r="L11" s="45"/>
      <c r="M11" s="30">
        <v>9.9999999999999995E-8</v>
      </c>
      <c r="N11" s="30"/>
    </row>
    <row r="12" spans="1:24" x14ac:dyDescent="0.3">
      <c r="A12" s="28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43" t="s">
        <v>18</v>
      </c>
      <c r="K12" s="44"/>
      <c r="L12" s="45"/>
      <c r="M12" s="30">
        <v>10000</v>
      </c>
      <c r="N12" s="30"/>
    </row>
    <row r="13" spans="1:24" x14ac:dyDescent="0.3">
      <c r="A13" s="28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43" t="s">
        <v>19</v>
      </c>
      <c r="K14" s="44"/>
      <c r="L14" s="45"/>
      <c r="M14" s="30">
        <f>J4</f>
        <v>10104.290262959434</v>
      </c>
      <c r="N14" s="30"/>
    </row>
    <row r="15" spans="1:24" x14ac:dyDescent="0.3">
      <c r="A15" s="28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43" t="s">
        <v>31</v>
      </c>
      <c r="K15" s="44"/>
      <c r="L15" s="45"/>
      <c r="M15" s="32">
        <f>J5</f>
        <v>89.573503681548132</v>
      </c>
      <c r="N15" s="32"/>
    </row>
    <row r="16" spans="1:24" ht="14.4" customHeight="1" x14ac:dyDescent="0.3">
      <c r="A16" s="28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48" t="s">
        <v>32</v>
      </c>
      <c r="K16" s="48"/>
      <c r="L16" s="48"/>
      <c r="M16" s="30">
        <f>F20</f>
        <v>10013.978027113197</v>
      </c>
      <c r="N16" s="30"/>
    </row>
    <row r="17" spans="1:15" x14ac:dyDescent="0.3">
      <c r="A17" s="28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46" t="s">
        <v>21</v>
      </c>
      <c r="K17" s="46"/>
      <c r="L17" s="46"/>
      <c r="M17" s="51">
        <f>SQRT(((1/D20)*B22)^2+(-(B20/(D20^2))*D22)^2)</f>
        <v>2275.6957077765142</v>
      </c>
      <c r="N17" s="51"/>
    </row>
    <row r="18" spans="1:15" x14ac:dyDescent="0.3">
      <c r="A18" s="28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</row>
    <row r="19" spans="1:15" ht="14.4" customHeight="1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1.0429026295943368E-2</v>
      </c>
      <c r="N19" s="42"/>
    </row>
    <row r="20" spans="1:15" x14ac:dyDescent="0.3">
      <c r="A20" s="29" t="s">
        <v>2</v>
      </c>
      <c r="B20" s="18">
        <f>AVERAGE(B4:B18)</f>
        <v>6.1260000000000003</v>
      </c>
      <c r="C20" s="34"/>
      <c r="D20" s="19">
        <f>AVERAGE(D4:D18)</f>
        <v>6.0826666666666663E-4</v>
      </c>
      <c r="E20" s="37"/>
      <c r="F20" s="19">
        <f>AVERAGE(F4:F18)</f>
        <v>10013.978027113197</v>
      </c>
      <c r="G20" s="40"/>
      <c r="H20" s="40"/>
      <c r="J20" s="50"/>
      <c r="K20" s="50"/>
      <c r="L20" s="50"/>
      <c r="M20" s="42"/>
      <c r="N20" s="42"/>
    </row>
    <row r="21" spans="1:15" ht="14.4" customHeight="1" x14ac:dyDescent="0.3">
      <c r="A21" s="29" t="s">
        <v>3</v>
      </c>
      <c r="B21" s="18">
        <f>STDEVA(B4:B18)</f>
        <v>3.1010869062314277</v>
      </c>
      <c r="C21" s="35"/>
      <c r="D21" s="19">
        <f>STDEVA(D4:D18)</f>
        <v>3.0675128749681294E-4</v>
      </c>
      <c r="E21" s="38"/>
      <c r="F21" s="19">
        <f>STDEVA(F4:F18)</f>
        <v>261.13897472485797</v>
      </c>
      <c r="G21" s="40"/>
      <c r="H21" s="40"/>
      <c r="J21" s="46" t="s">
        <v>20</v>
      </c>
      <c r="K21" s="49"/>
      <c r="L21" s="49"/>
      <c r="M21" s="41">
        <f>ABS((M12-F20)/M12)</f>
        <v>1.3978027113196732E-3</v>
      </c>
      <c r="N21" s="41"/>
    </row>
    <row r="22" spans="1:15" x14ac:dyDescent="0.3">
      <c r="A22" s="29" t="s">
        <v>4</v>
      </c>
      <c r="B22" s="18">
        <f>B21/SQRT(10)</f>
        <v>0.98064978458163166</v>
      </c>
      <c r="C22" s="36"/>
      <c r="D22" s="19">
        <f>D21/SQRT(10)</f>
        <v>9.7003274367905937E-5</v>
      </c>
      <c r="E22" s="39"/>
      <c r="F22" s="19">
        <f t="shared" ref="F22" si="1">F21/SQRT(10)</f>
        <v>82.57939459716934</v>
      </c>
      <c r="G22" s="40"/>
      <c r="H22" s="40"/>
      <c r="J22" s="49"/>
      <c r="K22" s="49"/>
      <c r="L22" s="49"/>
      <c r="M22" s="41"/>
      <c r="N22" s="41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J21:L22"/>
    <mergeCell ref="J19:L20"/>
    <mergeCell ref="C20:C22"/>
    <mergeCell ref="E20:E22"/>
    <mergeCell ref="G20:H22"/>
    <mergeCell ref="A2:H2"/>
    <mergeCell ref="J3:K3"/>
    <mergeCell ref="J11:L11"/>
    <mergeCell ref="J12:L12"/>
    <mergeCell ref="J14:L14"/>
    <mergeCell ref="J10:L10"/>
    <mergeCell ref="J15:L15"/>
    <mergeCell ref="J17:L17"/>
    <mergeCell ref="M15:N15"/>
    <mergeCell ref="M17:N17"/>
    <mergeCell ref="J16:L16"/>
    <mergeCell ref="M21:N22"/>
    <mergeCell ref="M16:N16"/>
    <mergeCell ref="M10:N10"/>
    <mergeCell ref="M11:N11"/>
    <mergeCell ref="M12:N12"/>
    <mergeCell ref="M14:N14"/>
    <mergeCell ref="M19:N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7" t="s">
        <v>36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21" t="s">
        <v>5</v>
      </c>
      <c r="C3" s="21" t="s">
        <v>6</v>
      </c>
      <c r="D3" s="21" t="s">
        <v>8</v>
      </c>
      <c r="E3" s="21" t="s">
        <v>7</v>
      </c>
      <c r="F3" s="21" t="s">
        <v>9</v>
      </c>
      <c r="G3" s="21" t="s">
        <v>13</v>
      </c>
      <c r="H3" s="21" t="s">
        <v>14</v>
      </c>
      <c r="I3" s="1"/>
      <c r="J3" s="48" t="s">
        <v>16</v>
      </c>
      <c r="K3" s="48"/>
    </row>
    <row r="4" spans="1:24" x14ac:dyDescent="0.3">
      <c r="A4" s="28">
        <v>1</v>
      </c>
      <c r="B4" s="2">
        <v>1.68</v>
      </c>
      <c r="C4" s="5">
        <v>0.01</v>
      </c>
      <c r="D4" s="5">
        <v>6.9999999999999997E-7</v>
      </c>
      <c r="E4" s="5">
        <v>1E-4</v>
      </c>
      <c r="F4" s="5">
        <f t="shared" ref="F4:F18" si="0">B4/D4</f>
        <v>2400000</v>
      </c>
      <c r="G4" s="2">
        <f>$J$4*Tabela59[[#This Row],[I (A)]]+$K$4</f>
        <v>1.789131047440113</v>
      </c>
      <c r="H4" s="2">
        <f>Tabela59[[#This Row],[V (V)]]-Tabela59[[#This Row],[Fit]]</f>
        <v>-0.10913104744011304</v>
      </c>
      <c r="I4" s="1"/>
      <c r="J4" s="26" cm="1">
        <f t="array" ref="J4:K8">LINEST(Tabela59[V (V)],Tabela59[I (A)],TRUE,TRUE)</f>
        <v>4175199.6242367309</v>
      </c>
      <c r="K4" s="22">
        <v>-1.1335086895255984</v>
      </c>
      <c r="M4" s="27"/>
      <c r="N4" s="27"/>
    </row>
    <row r="5" spans="1:24" x14ac:dyDescent="0.3">
      <c r="A5" s="28">
        <v>2</v>
      </c>
      <c r="B5" s="2">
        <v>2.52</v>
      </c>
      <c r="C5" s="5">
        <v>0.01</v>
      </c>
      <c r="D5" s="5">
        <v>8.9999999999999996E-7</v>
      </c>
      <c r="E5" s="5">
        <v>1E-4</v>
      </c>
      <c r="F5" s="5">
        <f t="shared" si="0"/>
        <v>2800000</v>
      </c>
      <c r="G5" s="2">
        <f>$J$4*Tabela59[[#This Row],[I (A)]]+$K$4</f>
        <v>2.6241709722874593</v>
      </c>
      <c r="H5" s="2">
        <f>Tabela59[[#This Row],[V (V)]]-Tabela59[[#This Row],[Fit]]</f>
        <v>-0.10417097228745931</v>
      </c>
      <c r="I5" s="1"/>
      <c r="J5" s="24">
        <v>58948.507012604212</v>
      </c>
      <c r="K5" s="22">
        <v>0.10731219106632699</v>
      </c>
      <c r="M5" s="27"/>
      <c r="N5" s="27"/>
    </row>
    <row r="6" spans="1:24" x14ac:dyDescent="0.3">
      <c r="A6" s="28">
        <v>3</v>
      </c>
      <c r="B6" s="2">
        <v>2.91</v>
      </c>
      <c r="C6" s="5">
        <v>0.01</v>
      </c>
      <c r="D6" s="5">
        <v>9.9999999999999995E-7</v>
      </c>
      <c r="E6" s="5">
        <v>1E-4</v>
      </c>
      <c r="F6" s="5">
        <f t="shared" si="0"/>
        <v>2910000.0000000005</v>
      </c>
      <c r="G6" s="2">
        <f>$J$4*Tabela59[[#This Row],[I (A)]]+$K$4</f>
        <v>3.0416909347111325</v>
      </c>
      <c r="H6" s="2">
        <f>Tabela59[[#This Row],[V (V)]]-Tabela59[[#This Row],[Fit]]</f>
        <v>-0.13169093471113236</v>
      </c>
      <c r="I6" s="1"/>
      <c r="J6" s="22">
        <v>0.99741529782603522</v>
      </c>
      <c r="K6" s="22">
        <v>0.14045752357988792</v>
      </c>
      <c r="M6" s="27"/>
      <c r="N6" s="27"/>
    </row>
    <row r="7" spans="1:24" x14ac:dyDescent="0.3">
      <c r="A7" s="28">
        <v>4</v>
      </c>
      <c r="B7" s="2">
        <v>3.6</v>
      </c>
      <c r="C7" s="5">
        <v>0.01</v>
      </c>
      <c r="D7" s="5">
        <v>1.1000000000000001E-6</v>
      </c>
      <c r="E7" s="5">
        <v>1E-4</v>
      </c>
      <c r="F7" s="5">
        <f t="shared" si="0"/>
        <v>3272727.2727272725</v>
      </c>
      <c r="G7" s="2">
        <f>$J$4*Tabela59[[#This Row],[I (A)]]+$K$4</f>
        <v>3.4592108971348061</v>
      </c>
      <c r="H7" s="2">
        <f>Tabela59[[#This Row],[V (V)]]-Tabela59[[#This Row],[Fit]]</f>
        <v>0.14078910286519397</v>
      </c>
      <c r="I7" s="1"/>
      <c r="J7" s="24">
        <v>5016.5930149888072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4.45</v>
      </c>
      <c r="C8" s="5">
        <v>0.01</v>
      </c>
      <c r="D8" s="5">
        <v>1.3E-6</v>
      </c>
      <c r="E8" s="5">
        <v>1E-4</v>
      </c>
      <c r="F8" s="5">
        <f t="shared" si="0"/>
        <v>3423076.923076923</v>
      </c>
      <c r="G8" s="2">
        <f>$J$4*Tabela59[[#This Row],[I (A)]]+$K$4</f>
        <v>4.2942508219821516</v>
      </c>
      <c r="H8" s="2">
        <f>Tabela59[[#This Row],[V (V)]]-Tabela59[[#This Row],[Fit]]</f>
        <v>0.1557491780178486</v>
      </c>
      <c r="I8" s="1"/>
      <c r="J8" s="22">
        <v>98.968931892907491</v>
      </c>
      <c r="K8" s="22">
        <v>0.25646810709253198</v>
      </c>
      <c r="L8" s="1"/>
      <c r="M8" s="1"/>
      <c r="N8" s="1"/>
    </row>
    <row r="9" spans="1:24" x14ac:dyDescent="0.3">
      <c r="A9" s="28">
        <v>6</v>
      </c>
      <c r="B9" s="2">
        <v>4.95</v>
      </c>
      <c r="C9" s="5">
        <v>0.01</v>
      </c>
      <c r="D9" s="5">
        <v>1.3999999999999999E-6</v>
      </c>
      <c r="E9" s="5">
        <v>1E-4</v>
      </c>
      <c r="F9" s="5">
        <f t="shared" si="0"/>
        <v>3535714.2857142859</v>
      </c>
      <c r="G9" s="2">
        <f>$J$4*Tabela59[[#This Row],[I (A)]]+$K$4</f>
        <v>4.7117707844058243</v>
      </c>
      <c r="H9" s="2">
        <f>Tabela59[[#This Row],[V (V)]]-Tabela59[[#This Row],[Fit]]</f>
        <v>0.23822921559417587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5.47</v>
      </c>
      <c r="C10" s="5">
        <v>0.01</v>
      </c>
      <c r="D10" s="5">
        <v>1.5999999999999999E-6</v>
      </c>
      <c r="E10" s="5">
        <v>1E-4</v>
      </c>
      <c r="F10" s="5">
        <f t="shared" si="0"/>
        <v>3418750</v>
      </c>
      <c r="G10" s="2">
        <f>$J$4*Tabela59[[#This Row],[I (A)]]+$K$4</f>
        <v>5.5468107092531707</v>
      </c>
      <c r="H10" s="2">
        <f>Tabela59[[#This Row],[V (V)]]-Tabela59[[#This Row],[Fit]]</f>
        <v>-7.6810709253170906E-2</v>
      </c>
      <c r="I10" s="1"/>
      <c r="J10" s="43" t="s">
        <v>1</v>
      </c>
      <c r="K10" s="44"/>
      <c r="L10" s="45"/>
      <c r="M10" s="30">
        <v>0.01</v>
      </c>
      <c r="N10" s="30"/>
    </row>
    <row r="11" spans="1:24" x14ac:dyDescent="0.3">
      <c r="A11" s="28">
        <v>8</v>
      </c>
      <c r="B11" s="2">
        <v>5.98</v>
      </c>
      <c r="C11" s="5">
        <v>0.01</v>
      </c>
      <c r="D11" s="5">
        <v>1.7E-6</v>
      </c>
      <c r="E11" s="5">
        <v>1E-4</v>
      </c>
      <c r="F11" s="5">
        <f t="shared" si="0"/>
        <v>3517647.0588235296</v>
      </c>
      <c r="G11" s="2">
        <f>$J$4*Tabela59[[#This Row],[I (A)]]+$K$4</f>
        <v>5.9643306716768443</v>
      </c>
      <c r="H11" s="2">
        <f>Tabela59[[#This Row],[V (V)]]-Tabela59[[#This Row],[Fit]]</f>
        <v>1.5669328323156151E-2</v>
      </c>
      <c r="I11" s="1"/>
      <c r="J11" s="43" t="s">
        <v>11</v>
      </c>
      <c r="K11" s="44"/>
      <c r="L11" s="45"/>
      <c r="M11" s="30">
        <v>9.9999999999999995E-8</v>
      </c>
      <c r="N11" s="30"/>
    </row>
    <row r="12" spans="1:24" x14ac:dyDescent="0.3">
      <c r="A12" s="28">
        <v>9</v>
      </c>
      <c r="B12" s="2">
        <v>6.46</v>
      </c>
      <c r="C12" s="5">
        <v>0.01</v>
      </c>
      <c r="D12" s="5">
        <v>1.7999999999999999E-6</v>
      </c>
      <c r="E12" s="5">
        <v>1E-4</v>
      </c>
      <c r="F12" s="5">
        <f t="shared" si="0"/>
        <v>3588888.888888889</v>
      </c>
      <c r="G12" s="2">
        <f>$J$4*Tabela59[[#This Row],[I (A)]]+$K$4</f>
        <v>6.381850634100517</v>
      </c>
      <c r="H12" s="2">
        <f>Tabela59[[#This Row],[V (V)]]-Tabela59[[#This Row],[Fit]]</f>
        <v>7.8149365899482959E-2</v>
      </c>
      <c r="I12" s="1"/>
      <c r="J12" s="43" t="s">
        <v>18</v>
      </c>
      <c r="K12" s="44"/>
      <c r="L12" s="45"/>
      <c r="M12" s="30">
        <v>6800000</v>
      </c>
      <c r="N12" s="30"/>
    </row>
    <row r="13" spans="1:24" x14ac:dyDescent="0.3">
      <c r="A13" s="28">
        <v>10</v>
      </c>
      <c r="B13" s="2">
        <v>7.16</v>
      </c>
      <c r="C13" s="5">
        <v>0.01</v>
      </c>
      <c r="D13" s="5">
        <v>1.9999999999999999E-6</v>
      </c>
      <c r="E13" s="5">
        <v>1E-4</v>
      </c>
      <c r="F13" s="5">
        <f t="shared" si="0"/>
        <v>3580000.0000000005</v>
      </c>
      <c r="G13" s="2">
        <f>$J$4*Tabela59[[#This Row],[I (A)]]+$K$4</f>
        <v>7.2168905589478634</v>
      </c>
      <c r="H13" s="2">
        <f>Tabela59[[#This Row],[V (V)]]-Tabela59[[#This Row],[Fit]]</f>
        <v>-5.6890558947863212E-2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7.99</v>
      </c>
      <c r="C14" s="5">
        <v>0.01</v>
      </c>
      <c r="D14" s="5">
        <v>2.2000000000000001E-6</v>
      </c>
      <c r="E14" s="5">
        <v>1E-4</v>
      </c>
      <c r="F14" s="5">
        <f t="shared" si="0"/>
        <v>3631818.1818181816</v>
      </c>
      <c r="G14" s="2">
        <f>$J$4*Tabela59[[#This Row],[I (A)]]+$K$4</f>
        <v>8.0519304837952106</v>
      </c>
      <c r="H14" s="2">
        <f>Tabela59[[#This Row],[V (V)]]-Tabela59[[#This Row],[Fit]]</f>
        <v>-6.1930483795210378E-2</v>
      </c>
      <c r="I14" s="1"/>
      <c r="J14" s="43" t="s">
        <v>19</v>
      </c>
      <c r="K14" s="44"/>
      <c r="L14" s="45"/>
      <c r="M14" s="30">
        <f>J4</f>
        <v>4175199.6242367309</v>
      </c>
      <c r="N14" s="30"/>
    </row>
    <row r="15" spans="1:24" x14ac:dyDescent="0.3">
      <c r="A15" s="28">
        <v>12</v>
      </c>
      <c r="B15" s="2">
        <v>8.6999999999999993</v>
      </c>
      <c r="C15" s="5">
        <v>0.01</v>
      </c>
      <c r="D15" s="5">
        <v>2.3999999999999999E-6</v>
      </c>
      <c r="E15" s="5">
        <v>1E-4</v>
      </c>
      <c r="F15" s="5">
        <f t="shared" si="0"/>
        <v>3625000</v>
      </c>
      <c r="G15" s="2">
        <f>$J$4*Tabela59[[#This Row],[I (A)]]+$K$4</f>
        <v>8.8869704086425561</v>
      </c>
      <c r="H15" s="2">
        <f>Tabela59[[#This Row],[V (V)]]-Tabela59[[#This Row],[Fit]]</f>
        <v>-0.18697040864255676</v>
      </c>
      <c r="I15" s="1"/>
      <c r="J15" s="43" t="s">
        <v>31</v>
      </c>
      <c r="K15" s="44"/>
      <c r="L15" s="45"/>
      <c r="M15" s="51">
        <f>J5</f>
        <v>58948.507012604212</v>
      </c>
      <c r="N15" s="51"/>
    </row>
    <row r="16" spans="1:24" ht="14.4" customHeight="1" x14ac:dyDescent="0.3">
      <c r="A16" s="28">
        <v>13</v>
      </c>
      <c r="B16" s="2">
        <v>9.15</v>
      </c>
      <c r="C16" s="5">
        <v>0.01</v>
      </c>
      <c r="D16" s="5">
        <v>2.5000000000000002E-6</v>
      </c>
      <c r="E16" s="5">
        <v>1E-4</v>
      </c>
      <c r="F16" s="5">
        <f t="shared" si="0"/>
        <v>3660000</v>
      </c>
      <c r="G16" s="2">
        <f>$J$4*Tabela59[[#This Row],[I (A)]]+$K$4</f>
        <v>9.3044903710662297</v>
      </c>
      <c r="H16" s="2">
        <f>Tabela59[[#This Row],[V (V)]]-Tabela59[[#This Row],[Fit]]</f>
        <v>-0.15449037106622932</v>
      </c>
      <c r="I16" s="1"/>
      <c r="J16" s="52" t="s">
        <v>32</v>
      </c>
      <c r="K16" s="52"/>
      <c r="L16" s="52"/>
      <c r="M16" s="30">
        <f>F20</f>
        <v>3394887.6612494262</v>
      </c>
      <c r="N16" s="30"/>
    </row>
    <row r="17" spans="1:15" x14ac:dyDescent="0.3">
      <c r="A17" s="28">
        <v>14</v>
      </c>
      <c r="B17" s="2">
        <v>9.3800000000000008</v>
      </c>
      <c r="C17" s="5">
        <v>0.01</v>
      </c>
      <c r="D17" s="5">
        <v>2.5000000000000002E-6</v>
      </c>
      <c r="E17" s="5">
        <v>1E-4</v>
      </c>
      <c r="F17" s="5">
        <f t="shared" si="0"/>
        <v>3752000</v>
      </c>
      <c r="G17" s="2">
        <f>$J$4*Tabela59[[#This Row],[I (A)]]+$K$4</f>
        <v>9.3044903710662297</v>
      </c>
      <c r="H17" s="2">
        <f>Tabela59[[#This Row],[V (V)]]-Tabela59[[#This Row],[Fit]]</f>
        <v>7.5509628933771111E-2</v>
      </c>
      <c r="I17" s="1"/>
      <c r="J17" s="46" t="s">
        <v>21</v>
      </c>
      <c r="K17" s="46"/>
      <c r="L17" s="46"/>
      <c r="M17" s="51">
        <f>SQRT(((1/D20)*B22)^2+(-(B20/(D20^2))*D22)^2)</f>
        <v>641862.27200783929</v>
      </c>
      <c r="N17" s="51"/>
    </row>
    <row r="18" spans="1:15" x14ac:dyDescent="0.3">
      <c r="A18" s="28">
        <v>15</v>
      </c>
      <c r="B18" s="2">
        <v>9.9</v>
      </c>
      <c r="C18" s="5">
        <v>0.01</v>
      </c>
      <c r="D18" s="5">
        <v>2.6000000000000001E-6</v>
      </c>
      <c r="E18" s="5">
        <v>1E-4</v>
      </c>
      <c r="F18" s="5">
        <f t="shared" si="0"/>
        <v>3807692.3076923075</v>
      </c>
      <c r="G18" s="2">
        <f>$J$4*Tabela59[[#This Row],[I (A)]]+$K$4</f>
        <v>9.7220103334899015</v>
      </c>
      <c r="H18" s="2">
        <f>Tabela59[[#This Row],[V (V)]]-Tabela59[[#This Row],[Fit]]</f>
        <v>0.17798966651009884</v>
      </c>
      <c r="I18" s="1"/>
    </row>
    <row r="19" spans="1:15" ht="14.4" customHeight="1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0.38600005525930431</v>
      </c>
      <c r="N19" s="42"/>
    </row>
    <row r="20" spans="1:15" x14ac:dyDescent="0.3">
      <c r="A20" s="29" t="s">
        <v>2</v>
      </c>
      <c r="B20" s="18">
        <f>AVERAGE(B4:B18)</f>
        <v>6.02</v>
      </c>
      <c r="C20" s="34"/>
      <c r="D20" s="19">
        <f>AVERAGE(D4:D18)</f>
        <v>1.7133333333333332E-6</v>
      </c>
      <c r="E20" s="37"/>
      <c r="F20" s="19">
        <f>AVERAGE(F4:F18)</f>
        <v>3394887.6612494262</v>
      </c>
      <c r="G20" s="40"/>
      <c r="H20" s="40"/>
      <c r="J20" s="50"/>
      <c r="K20" s="50"/>
      <c r="L20" s="50"/>
      <c r="M20" s="42"/>
      <c r="N20" s="42"/>
    </row>
    <row r="21" spans="1:15" ht="14.4" customHeight="1" x14ac:dyDescent="0.3">
      <c r="A21" s="29" t="s">
        <v>3</v>
      </c>
      <c r="B21" s="18">
        <f>STDEVA(B4:B18)</f>
        <v>2.66224126844818</v>
      </c>
      <c r="C21" s="35"/>
      <c r="D21" s="19">
        <f>STDEVA(D4:D18)</f>
        <v>6.3680751371494486E-7</v>
      </c>
      <c r="E21" s="38"/>
      <c r="F21" s="19">
        <f>STDEVA(F4:F18)</f>
        <v>394535.0166596687</v>
      </c>
      <c r="G21" s="40"/>
      <c r="H21" s="40"/>
      <c r="J21" s="46" t="s">
        <v>20</v>
      </c>
      <c r="K21" s="49"/>
      <c r="L21" s="49"/>
      <c r="M21" s="41">
        <f>ABS((M12-F20)/M12)</f>
        <v>0.50075181452214323</v>
      </c>
      <c r="N21" s="41"/>
    </row>
    <row r="22" spans="1:15" x14ac:dyDescent="0.3">
      <c r="A22" s="29" t="s">
        <v>4</v>
      </c>
      <c r="B22" s="18">
        <f>B21/SQRT(10)</f>
        <v>0.84187460891920085</v>
      </c>
      <c r="C22" s="36"/>
      <c r="D22" s="19">
        <f>D21/SQRT(10)</f>
        <v>2.0137621744481388E-7</v>
      </c>
      <c r="E22" s="39"/>
      <c r="F22" s="19">
        <f t="shared" ref="F22" si="1">F21/SQRT(10)</f>
        <v>124762.92693370297</v>
      </c>
      <c r="G22" s="40"/>
      <c r="H22" s="40"/>
      <c r="J22" s="49"/>
      <c r="K22" s="49"/>
      <c r="L22" s="49"/>
      <c r="M22" s="41"/>
      <c r="N22" s="41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J21:L22"/>
    <mergeCell ref="J19:L20"/>
    <mergeCell ref="G20:H22"/>
    <mergeCell ref="E20:E22"/>
    <mergeCell ref="C20:C22"/>
    <mergeCell ref="A2:H2"/>
    <mergeCell ref="J3:K3"/>
    <mergeCell ref="J11:L11"/>
    <mergeCell ref="J12:L12"/>
    <mergeCell ref="J14:L14"/>
    <mergeCell ref="J10:L10"/>
    <mergeCell ref="J15:L15"/>
    <mergeCell ref="J17:L17"/>
    <mergeCell ref="M15:N15"/>
    <mergeCell ref="M17:N17"/>
    <mergeCell ref="J16:L16"/>
    <mergeCell ref="M21:N22"/>
    <mergeCell ref="M16:N16"/>
    <mergeCell ref="M10:N10"/>
    <mergeCell ref="M11:N11"/>
    <mergeCell ref="M12:N12"/>
    <mergeCell ref="M14:N14"/>
    <mergeCell ref="M19:N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1A8-119D-45F7-AE39-7CD01A0BBCB0}">
  <dimension ref="A2:Y161"/>
  <sheetViews>
    <sheetView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7" t="s">
        <v>38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23" t="s">
        <v>5</v>
      </c>
      <c r="C3" s="23" t="s">
        <v>6</v>
      </c>
      <c r="D3" s="23" t="s">
        <v>8</v>
      </c>
      <c r="E3" s="23" t="s">
        <v>7</v>
      </c>
      <c r="F3" s="23" t="s">
        <v>9</v>
      </c>
      <c r="G3" s="23" t="s">
        <v>13</v>
      </c>
      <c r="H3" s="23" t="s">
        <v>14</v>
      </c>
      <c r="I3" s="1"/>
      <c r="J3" s="48" t="s">
        <v>16</v>
      </c>
      <c r="K3" s="48"/>
    </row>
    <row r="4" spans="1:24" x14ac:dyDescent="0.3">
      <c r="A4" s="28">
        <v>1</v>
      </c>
      <c r="B4" s="2">
        <v>0.81</v>
      </c>
      <c r="C4" s="5">
        <v>0.01</v>
      </c>
      <c r="D4" s="5">
        <v>1.714E-3</v>
      </c>
      <c r="E4" s="5" t="s">
        <v>23</v>
      </c>
      <c r="F4" s="5">
        <f t="shared" ref="F4:F18" si="0">B4/D4</f>
        <v>472.57876312718787</v>
      </c>
      <c r="G4" s="2">
        <f>$J$4*Tabela55[[#This Row],[I (A)]]+$K$4</f>
        <v>0.80605993252566632</v>
      </c>
      <c r="H4" s="2">
        <f>Tabela55[[#This Row],[V (V)]]-Tabela55[[#This Row],[Fit]]</f>
        <v>3.9400674743337305E-3</v>
      </c>
      <c r="I4" s="1"/>
      <c r="J4" s="22" cm="1">
        <f t="array" ref="J4:K8">LINEST(Tabela55[V (V)],Tabela55[I (A)],TRUE,TRUE)</f>
        <v>465.55989729092471</v>
      </c>
      <c r="K4" s="22">
        <v>8.0902685690213971E-3</v>
      </c>
      <c r="M4" s="33" t="s">
        <v>30</v>
      </c>
      <c r="N4" s="33"/>
    </row>
    <row r="5" spans="1:24" x14ac:dyDescent="0.3">
      <c r="A5" s="28">
        <v>2</v>
      </c>
      <c r="B5" s="2">
        <v>1.44</v>
      </c>
      <c r="C5" s="5">
        <v>0.01</v>
      </c>
      <c r="D5" s="5">
        <v>3.0699999999999998E-3</v>
      </c>
      <c r="E5" s="5" t="s">
        <v>24</v>
      </c>
      <c r="F5" s="5">
        <f t="shared" si="0"/>
        <v>469.05537459283391</v>
      </c>
      <c r="G5" s="2">
        <f>$J$4*Tabela55[[#This Row],[I (A)]]+$K$4</f>
        <v>1.4373591532521601</v>
      </c>
      <c r="H5" s="2">
        <f>Tabela55[[#This Row],[V (V)]]-Tabela55[[#This Row],[Fit]]</f>
        <v>2.6408467478398201E-3</v>
      </c>
      <c r="I5" s="1"/>
      <c r="J5" s="22">
        <v>0.92403458921281356</v>
      </c>
      <c r="K5" s="22">
        <v>1.2743622496404835E-2</v>
      </c>
      <c r="M5" s="33"/>
      <c r="N5" s="33"/>
    </row>
    <row r="6" spans="1:24" x14ac:dyDescent="0.3">
      <c r="A6" s="28">
        <v>3</v>
      </c>
      <c r="B6" s="2">
        <v>2.15</v>
      </c>
      <c r="C6" s="5">
        <v>0.01</v>
      </c>
      <c r="D6" s="5">
        <v>4.7404999999999999E-3</v>
      </c>
      <c r="E6" s="5" t="s">
        <v>25</v>
      </c>
      <c r="F6" s="5">
        <f t="shared" si="0"/>
        <v>453.53865625988817</v>
      </c>
      <c r="G6" s="2">
        <f>$J$4*Tabela55[[#This Row],[I (A)]]+$K$4</f>
        <v>2.2150769616766501</v>
      </c>
      <c r="H6" s="2">
        <f>Tabela55[[#This Row],[V (V)]]-Tabela55[[#This Row],[Fit]]</f>
        <v>-6.5076961676650225E-2</v>
      </c>
      <c r="I6" s="1"/>
      <c r="J6" s="22">
        <v>0.99994879098275935</v>
      </c>
      <c r="K6" s="22">
        <v>2.2511589962947894E-2</v>
      </c>
      <c r="M6" s="33"/>
      <c r="N6" s="33"/>
    </row>
    <row r="7" spans="1:24" x14ac:dyDescent="0.3">
      <c r="A7" s="28">
        <v>4</v>
      </c>
      <c r="B7" s="2">
        <v>3.06</v>
      </c>
      <c r="C7" s="5">
        <v>0.01</v>
      </c>
      <c r="D7" s="5">
        <v>6.5395000000000002E-3</v>
      </c>
      <c r="E7" s="5" t="s">
        <v>26</v>
      </c>
      <c r="F7" s="5">
        <f t="shared" si="0"/>
        <v>467.92568239162017</v>
      </c>
      <c r="G7" s="2">
        <f>$J$4*Tabela55[[#This Row],[I (A)]]+$K$4</f>
        <v>3.0526192169030235</v>
      </c>
      <c r="H7" s="2">
        <f>Tabela55[[#This Row],[V (V)]]-Tabela55[[#This Row],[Fit]]</f>
        <v>7.3807830969765398E-3</v>
      </c>
      <c r="I7" s="1"/>
      <c r="J7" s="25">
        <v>253848.54041748078</v>
      </c>
      <c r="K7" s="22">
        <v>13</v>
      </c>
      <c r="L7" s="1"/>
      <c r="M7" s="33"/>
      <c r="N7" s="33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3.68</v>
      </c>
      <c r="C8" s="5">
        <v>0.01</v>
      </c>
      <c r="D8" s="5">
        <v>7.8584999999999992E-3</v>
      </c>
      <c r="E8" s="5" t="s">
        <v>27</v>
      </c>
      <c r="F8" s="5">
        <f t="shared" si="0"/>
        <v>468.28275116116316</v>
      </c>
      <c r="G8" s="2">
        <f>$J$4*Tabela55[[#This Row],[I (A)]]+$K$4</f>
        <v>3.6666927214297527</v>
      </c>
      <c r="H8" s="2">
        <f>Tabela55[[#This Row],[V (V)]]-Tabela55[[#This Row],[Fit]]</f>
        <v>1.3307278570247494E-2</v>
      </c>
      <c r="I8" s="1"/>
      <c r="J8" s="22">
        <v>128.64325196812544</v>
      </c>
      <c r="K8" s="22">
        <v>6.588031874578652E-3</v>
      </c>
      <c r="L8" s="1"/>
      <c r="M8" s="1"/>
      <c r="N8" s="1"/>
    </row>
    <row r="9" spans="1:24" x14ac:dyDescent="0.3">
      <c r="A9" s="28">
        <v>6</v>
      </c>
      <c r="B9" s="2">
        <v>4.53</v>
      </c>
      <c r="C9" s="5">
        <v>0.01</v>
      </c>
      <c r="D9" s="5">
        <v>9.6395000000000005E-3</v>
      </c>
      <c r="E9" s="5" t="s">
        <v>26</v>
      </c>
      <c r="F9" s="5">
        <f t="shared" si="0"/>
        <v>469.94138700140047</v>
      </c>
      <c r="G9" s="2">
        <f>$J$4*Tabela55[[#This Row],[I (A)]]+$K$4</f>
        <v>4.4958548985048905</v>
      </c>
      <c r="H9" s="2">
        <f>Tabela55[[#This Row],[V (V)]]-Tabela55[[#This Row],[Fit]]</f>
        <v>3.4145101495109742E-2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5.12</v>
      </c>
      <c r="C10" s="5">
        <v>0.01</v>
      </c>
      <c r="D10" s="5">
        <v>1.0932000000000001E-2</v>
      </c>
      <c r="E10" s="5" t="s">
        <v>28</v>
      </c>
      <c r="F10" s="5">
        <f t="shared" si="0"/>
        <v>468.34979875594581</v>
      </c>
      <c r="G10" s="2">
        <f>$J$4*Tabela55[[#This Row],[I (A)]]+$K$4</f>
        <v>5.0975910657534103</v>
      </c>
      <c r="H10" s="2">
        <f>Tabela55[[#This Row],[V (V)]]-Tabela55[[#This Row],[Fit]]</f>
        <v>2.2408934246589851E-2</v>
      </c>
      <c r="I10" s="1"/>
      <c r="J10" s="43" t="s">
        <v>1</v>
      </c>
      <c r="K10" s="44"/>
      <c r="L10" s="45"/>
      <c r="M10" s="30">
        <v>0.01</v>
      </c>
      <c r="N10" s="30"/>
    </row>
    <row r="11" spans="1:24" x14ac:dyDescent="0.3">
      <c r="A11" s="28">
        <v>8</v>
      </c>
      <c r="B11" s="2">
        <v>5.93</v>
      </c>
      <c r="C11" s="5">
        <v>0.01</v>
      </c>
      <c r="D11" s="5">
        <v>1.2722499999999999E-2</v>
      </c>
      <c r="E11" s="5" t="s">
        <v>15</v>
      </c>
      <c r="F11" s="5">
        <f t="shared" si="0"/>
        <v>466.10336018864217</v>
      </c>
      <c r="G11" s="2">
        <f>$J$4*Tabela55[[#This Row],[I (A)]]+$K$4</f>
        <v>5.9311760618528107</v>
      </c>
      <c r="H11" s="2">
        <f>Tabela55[[#This Row],[V (V)]]-Tabela55[[#This Row],[Fit]]</f>
        <v>-1.176061852810939E-3</v>
      </c>
      <c r="I11" s="1"/>
      <c r="J11" s="43" t="s">
        <v>11</v>
      </c>
      <c r="K11" s="44"/>
      <c r="L11" s="45"/>
      <c r="M11" s="30">
        <v>9.9999999999999995E-8</v>
      </c>
      <c r="N11" s="30"/>
    </row>
    <row r="12" spans="1:24" x14ac:dyDescent="0.3">
      <c r="A12" s="28">
        <v>9</v>
      </c>
      <c r="B12" s="2">
        <v>6.83</v>
      </c>
      <c r="C12" s="5">
        <v>0.01</v>
      </c>
      <c r="D12" s="5">
        <v>1.465E-2</v>
      </c>
      <c r="E12" s="5" t="s">
        <v>10</v>
      </c>
      <c r="F12" s="5">
        <f t="shared" si="0"/>
        <v>466.21160409556313</v>
      </c>
      <c r="G12" s="2">
        <f>$J$4*Tabela55[[#This Row],[I (A)]]+$K$4</f>
        <v>6.8285427638810683</v>
      </c>
      <c r="H12" s="2">
        <f>Tabela55[[#This Row],[V (V)]]-Tabela55[[#This Row],[Fit]]</f>
        <v>1.4572361189317817E-3</v>
      </c>
      <c r="I12" s="1"/>
      <c r="J12" s="43" t="s">
        <v>18</v>
      </c>
      <c r="K12" s="44"/>
      <c r="L12" s="45"/>
      <c r="M12" s="31">
        <v>470</v>
      </c>
      <c r="N12" s="31"/>
    </row>
    <row r="13" spans="1:24" x14ac:dyDescent="0.3">
      <c r="A13" s="28">
        <v>10</v>
      </c>
      <c r="B13" s="2">
        <v>7.14</v>
      </c>
      <c r="C13" s="5">
        <v>0.01</v>
      </c>
      <c r="D13" s="5">
        <v>1.5311999999999999E-2</v>
      </c>
      <c r="E13" s="5">
        <v>9.9999999999999995E-7</v>
      </c>
      <c r="F13" s="5">
        <f t="shared" si="0"/>
        <v>466.30094043887146</v>
      </c>
      <c r="G13" s="2">
        <f>$J$4*Tabela55[[#This Row],[I (A)]]+$K$4</f>
        <v>7.1367434158876604</v>
      </c>
      <c r="H13" s="2">
        <f>Tabela55[[#This Row],[V (V)]]-Tabela55[[#This Row],[Fit]]</f>
        <v>3.2565841123393113E-3</v>
      </c>
      <c r="I13" s="1"/>
      <c r="M13" s="3"/>
      <c r="N13" s="3"/>
      <c r="U13" s="20"/>
      <c r="V13" s="20"/>
      <c r="W13" s="20"/>
      <c r="X13" s="20"/>
    </row>
    <row r="14" spans="1:24" x14ac:dyDescent="0.3">
      <c r="A14" s="28">
        <v>11</v>
      </c>
      <c r="B14" s="2">
        <v>7.96</v>
      </c>
      <c r="C14" s="5">
        <v>0.01</v>
      </c>
      <c r="D14" s="5">
        <v>1.7070999999999999E-2</v>
      </c>
      <c r="E14" s="5" t="s">
        <v>10</v>
      </c>
      <c r="F14" s="5">
        <f t="shared" si="0"/>
        <v>466.28785659891042</v>
      </c>
      <c r="G14" s="2">
        <f>$J$4*Tabela55[[#This Row],[I (A)]]+$K$4</f>
        <v>7.9556632752223972</v>
      </c>
      <c r="H14" s="2">
        <f>Tabela55[[#This Row],[V (V)]]-Tabela55[[#This Row],[Fit]]</f>
        <v>4.3367247776027185E-3</v>
      </c>
      <c r="I14" s="1"/>
      <c r="J14" s="43" t="s">
        <v>19</v>
      </c>
      <c r="K14" s="44"/>
      <c r="L14" s="45"/>
      <c r="M14" s="31">
        <f>J4</f>
        <v>465.55989729092471</v>
      </c>
      <c r="N14" s="31"/>
    </row>
    <row r="15" spans="1:24" x14ac:dyDescent="0.3">
      <c r="A15" s="28">
        <v>12</v>
      </c>
      <c r="B15" s="2">
        <v>8.6300000000000008</v>
      </c>
      <c r="C15" s="5">
        <v>0.01</v>
      </c>
      <c r="D15" s="5">
        <v>1.8512500000000001E-2</v>
      </c>
      <c r="E15" s="5" t="s">
        <v>24</v>
      </c>
      <c r="F15" s="5">
        <f t="shared" si="0"/>
        <v>466.17150573936533</v>
      </c>
      <c r="G15" s="2">
        <f>$J$4*Tabela55[[#This Row],[I (A)]]+$K$4</f>
        <v>8.626767867167267</v>
      </c>
      <c r="H15" s="2">
        <f>Tabela55[[#This Row],[V (V)]]-Tabela55[[#This Row],[Fit]]</f>
        <v>3.232132832733825E-3</v>
      </c>
      <c r="I15" s="1"/>
      <c r="J15" s="43" t="s">
        <v>31</v>
      </c>
      <c r="K15" s="44"/>
      <c r="L15" s="45"/>
      <c r="M15" s="32">
        <f>J5</f>
        <v>0.92403458921281356</v>
      </c>
      <c r="N15" s="32"/>
    </row>
    <row r="16" spans="1:24" ht="14.4" customHeight="1" x14ac:dyDescent="0.3">
      <c r="A16" s="28">
        <v>13</v>
      </c>
      <c r="B16" s="2">
        <v>9.06</v>
      </c>
      <c r="C16" s="5">
        <v>0.01</v>
      </c>
      <c r="D16" s="5">
        <v>1.9453999999999999E-2</v>
      </c>
      <c r="E16" s="5" t="s">
        <v>29</v>
      </c>
      <c r="F16" s="5">
        <f t="shared" si="0"/>
        <v>465.71399198108361</v>
      </c>
      <c r="G16" s="2">
        <f>$J$4*Tabela55[[#This Row],[I (A)]]+$K$4</f>
        <v>9.0650925104666698</v>
      </c>
      <c r="H16" s="2">
        <f>Tabela55[[#This Row],[V (V)]]-Tabela55[[#This Row],[Fit]]</f>
        <v>-5.0925104666692533E-3</v>
      </c>
      <c r="I16" s="1"/>
      <c r="J16" s="48" t="s">
        <v>32</v>
      </c>
      <c r="K16" s="48"/>
      <c r="L16" s="48"/>
      <c r="M16" s="31">
        <f>F20</f>
        <v>466.47899063055797</v>
      </c>
      <c r="N16" s="31"/>
    </row>
    <row r="17" spans="1:15" ht="14.4" customHeight="1" x14ac:dyDescent="0.3">
      <c r="A17" s="28">
        <v>14</v>
      </c>
      <c r="B17" s="2">
        <v>9.49</v>
      </c>
      <c r="C17" s="5">
        <v>0.01</v>
      </c>
      <c r="D17" s="5">
        <v>2.0382000000000001E-2</v>
      </c>
      <c r="E17" s="5">
        <v>9.9999999999999995E-7</v>
      </c>
      <c r="F17" s="5">
        <f t="shared" si="0"/>
        <v>465.60690805612796</v>
      </c>
      <c r="G17" s="2">
        <f>$J$4*Tabela55[[#This Row],[I (A)]]+$K$4</f>
        <v>9.4971320951526508</v>
      </c>
      <c r="H17" s="2">
        <f>Tabela55[[#This Row],[V (V)]]-Tabela55[[#This Row],[Fit]]</f>
        <v>-7.1320951526505638E-3</v>
      </c>
      <c r="I17" s="1"/>
      <c r="J17" s="46" t="s">
        <v>21</v>
      </c>
      <c r="K17" s="46"/>
      <c r="L17" s="46"/>
      <c r="M17" s="32">
        <f>SQRT(((1/D20)*B22)^2+(-(B20/(D20^2))*D22)^2)</f>
        <v>110.53496611955116</v>
      </c>
      <c r="N17" s="32"/>
    </row>
    <row r="18" spans="1:15" x14ac:dyDescent="0.3">
      <c r="A18" s="28">
        <v>15</v>
      </c>
      <c r="B18" s="2">
        <v>10</v>
      </c>
      <c r="C18" s="5">
        <v>0.01</v>
      </c>
      <c r="D18" s="5">
        <v>2.1499999999999998E-2</v>
      </c>
      <c r="E18" s="5">
        <v>9.9999999999999995E-7</v>
      </c>
      <c r="F18" s="5">
        <f t="shared" si="0"/>
        <v>465.11627906976747</v>
      </c>
      <c r="G18" s="2">
        <f>$J$4*Tabela55[[#This Row],[I (A)]]+$K$4</f>
        <v>10.017628060323901</v>
      </c>
      <c r="H18" s="2">
        <f>Tabela55[[#This Row],[V (V)]]-Tabela55[[#This Row],[Fit]]</f>
        <v>-1.7628060323900741E-2</v>
      </c>
      <c r="I18" s="1"/>
    </row>
    <row r="19" spans="1:15" ht="14.4" customHeight="1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9.4470270405857242E-3</v>
      </c>
      <c r="N19" s="42"/>
    </row>
    <row r="20" spans="1:15" x14ac:dyDescent="0.3">
      <c r="A20" s="29" t="s">
        <v>2</v>
      </c>
      <c r="B20" s="18">
        <f>AVERAGE(B4:B18)</f>
        <v>5.7219999999999995</v>
      </c>
      <c r="C20" s="34"/>
      <c r="D20" s="19">
        <f>AVERAGE(D4:D18)</f>
        <v>1.2273200000000001E-2</v>
      </c>
      <c r="E20" s="37"/>
      <c r="F20" s="19">
        <f>AVERAGE(F4:F18)</f>
        <v>466.47899063055797</v>
      </c>
      <c r="G20" s="40"/>
      <c r="H20" s="40"/>
      <c r="J20" s="50"/>
      <c r="K20" s="50"/>
      <c r="L20" s="50"/>
      <c r="M20" s="42"/>
      <c r="N20" s="42"/>
    </row>
    <row r="21" spans="1:15" ht="14.4" customHeight="1" x14ac:dyDescent="0.3">
      <c r="A21" s="29" t="s">
        <v>3</v>
      </c>
      <c r="B21" s="18">
        <f>STDEVA(B4:B18)</f>
        <v>3.031381580354787</v>
      </c>
      <c r="C21" s="35"/>
      <c r="D21" s="19">
        <f>STDEVA(D4:D18)</f>
        <v>6.5110933737298335E-3</v>
      </c>
      <c r="E21" s="38"/>
      <c r="F21" s="19">
        <f>STDEVA(F4:F18)</f>
        <v>4.1032210501884805</v>
      </c>
      <c r="G21" s="40"/>
      <c r="H21" s="40"/>
      <c r="J21" s="46" t="s">
        <v>20</v>
      </c>
      <c r="K21" s="49"/>
      <c r="L21" s="49"/>
      <c r="M21" s="41">
        <f>ABS((M12-F20)/M12)</f>
        <v>7.4915092966851629E-3</v>
      </c>
      <c r="N21" s="41"/>
    </row>
    <row r="22" spans="1:15" x14ac:dyDescent="0.3">
      <c r="A22" s="29" t="s">
        <v>4</v>
      </c>
      <c r="B22" s="18">
        <f>B21/SQRT(10)</f>
        <v>0.95860702510018592</v>
      </c>
      <c r="C22" s="36"/>
      <c r="D22" s="19">
        <f>D21/SQRT(10)</f>
        <v>2.0589885119016217E-3</v>
      </c>
      <c r="E22" s="39"/>
      <c r="F22" s="19">
        <f t="shared" ref="F22" si="1">F21/SQRT(10)</f>
        <v>1.2975524261743667</v>
      </c>
      <c r="G22" s="40"/>
      <c r="H22" s="40"/>
      <c r="J22" s="49"/>
      <c r="K22" s="49"/>
      <c r="L22" s="49"/>
      <c r="M22" s="41"/>
      <c r="N22" s="41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A2:H2"/>
    <mergeCell ref="J3:K3"/>
    <mergeCell ref="J19:L20"/>
    <mergeCell ref="J21:L22"/>
    <mergeCell ref="J10:L10"/>
    <mergeCell ref="J11:L11"/>
    <mergeCell ref="J12:L12"/>
    <mergeCell ref="C20:C22"/>
    <mergeCell ref="E20:E22"/>
    <mergeCell ref="G20:H22"/>
    <mergeCell ref="M19:N20"/>
    <mergeCell ref="M21:N22"/>
    <mergeCell ref="M4:N7"/>
    <mergeCell ref="J16:L16"/>
    <mergeCell ref="M16:N16"/>
    <mergeCell ref="J14:L14"/>
    <mergeCell ref="J15:L15"/>
    <mergeCell ref="J17:L17"/>
    <mergeCell ref="M10:N10"/>
    <mergeCell ref="M11:N11"/>
    <mergeCell ref="M12:N12"/>
    <mergeCell ref="M14:N14"/>
    <mergeCell ref="M15:N15"/>
    <mergeCell ref="M17:N17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B23-4410-4A42-A619-F52F127528E1}">
  <dimension ref="A2:Y161"/>
  <sheetViews>
    <sheetView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441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7" t="s">
        <v>35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23" t="s">
        <v>5</v>
      </c>
      <c r="C3" s="23" t="s">
        <v>6</v>
      </c>
      <c r="D3" s="23" t="s">
        <v>8</v>
      </c>
      <c r="E3" s="23" t="s">
        <v>7</v>
      </c>
      <c r="F3" s="23" t="s">
        <v>9</v>
      </c>
      <c r="G3" s="23" t="s">
        <v>13</v>
      </c>
      <c r="H3" s="23" t="s">
        <v>14</v>
      </c>
      <c r="I3" s="1"/>
      <c r="J3" s="48" t="s">
        <v>16</v>
      </c>
      <c r="K3" s="48"/>
    </row>
    <row r="4" spans="1:24" x14ac:dyDescent="0.3">
      <c r="A4" s="28">
        <v>1</v>
      </c>
      <c r="B4" s="8">
        <v>0.77</v>
      </c>
      <c r="C4" s="7">
        <v>0.01</v>
      </c>
      <c r="D4" s="7">
        <v>7.7999999999999999E-5</v>
      </c>
      <c r="E4" s="7">
        <v>9.9999999999999995E-7</v>
      </c>
      <c r="F4" s="7">
        <f t="shared" ref="F4:F18" si="0">B4/D4</f>
        <v>9871.794871794873</v>
      </c>
      <c r="G4" s="2">
        <f>$J$4*Tabela524[[#This Row],[I (A)]]+$K$4</f>
        <v>0.7855275339263611</v>
      </c>
      <c r="H4" s="2">
        <f>Tabela524[[#This Row],[V (V)]]-Tabela524[[#This Row],[Fit]]</f>
        <v>-1.5527533926361081E-2</v>
      </c>
      <c r="I4" s="1"/>
      <c r="J4" s="24" cm="1">
        <f t="array" ref="J4:K8">LINEST(Tabela524[V (V)],Tabela524[I (A)],TRUE,TRUE)</f>
        <v>10057.504745271552</v>
      </c>
      <c r="K4" s="22">
        <v>1.0421637951800733E-3</v>
      </c>
      <c r="M4" s="33" t="s">
        <v>30</v>
      </c>
      <c r="N4" s="33"/>
    </row>
    <row r="5" spans="1:24" x14ac:dyDescent="0.3">
      <c r="A5" s="28">
        <v>2</v>
      </c>
      <c r="B5" s="8">
        <v>1.48</v>
      </c>
      <c r="C5" s="15" t="s">
        <v>12</v>
      </c>
      <c r="D5" s="7">
        <v>1.46E-4</v>
      </c>
      <c r="E5" s="7">
        <v>9.9999999999999995E-7</v>
      </c>
      <c r="F5" s="7">
        <f t="shared" si="0"/>
        <v>10136.986301369863</v>
      </c>
      <c r="G5" s="2">
        <f>$J$4*Tabela524[[#This Row],[I (A)]]+$K$4</f>
        <v>1.4694378566048265</v>
      </c>
      <c r="H5" s="2">
        <f>Tabela524[[#This Row],[V (V)]]-Tabela524[[#This Row],[Fit]]</f>
        <v>1.0562143395173473E-2</v>
      </c>
      <c r="I5" s="1"/>
      <c r="J5" s="22">
        <v>20.193896080591035</v>
      </c>
      <c r="K5" s="22">
        <v>1.058610182411359E-2</v>
      </c>
      <c r="M5" s="33"/>
      <c r="N5" s="33"/>
    </row>
    <row r="6" spans="1:24" x14ac:dyDescent="0.3">
      <c r="A6" s="28">
        <v>3</v>
      </c>
      <c r="B6" s="8">
        <v>1.81</v>
      </c>
      <c r="C6" s="7">
        <v>0.01</v>
      </c>
      <c r="D6" s="7">
        <v>1.7999999999999998E-4</v>
      </c>
      <c r="E6" s="7">
        <v>9.9999999999999995E-7</v>
      </c>
      <c r="F6" s="7">
        <f t="shared" si="0"/>
        <v>10055.555555555557</v>
      </c>
      <c r="G6" s="2">
        <f>$J$4*Tabela524[[#This Row],[I (A)]]+$K$4</f>
        <v>1.8113930179440592</v>
      </c>
      <c r="H6" s="2">
        <f>Tabela524[[#This Row],[V (V)]]-Tabela524[[#This Row],[Fit]]</f>
        <v>-1.3930179440591051E-3</v>
      </c>
      <c r="I6" s="1"/>
      <c r="J6" s="22">
        <v>0.99994759408189482</v>
      </c>
      <c r="K6" s="22">
        <v>2.0058815625968805E-2</v>
      </c>
      <c r="M6" s="33"/>
      <c r="N6" s="33"/>
    </row>
    <row r="7" spans="1:24" x14ac:dyDescent="0.3">
      <c r="A7" s="28">
        <v>4</v>
      </c>
      <c r="B7" s="8">
        <v>2.2799999999999998</v>
      </c>
      <c r="C7" s="7">
        <v>0.01</v>
      </c>
      <c r="D7" s="7">
        <v>2.2700000000000002E-4</v>
      </c>
      <c r="E7" s="7">
        <v>9.9999999999999995E-7</v>
      </c>
      <c r="F7" s="7">
        <f t="shared" si="0"/>
        <v>10044.052863436122</v>
      </c>
      <c r="G7" s="2">
        <f>$J$4*Tabela524[[#This Row],[I (A)]]+$K$4</f>
        <v>2.2840957409718223</v>
      </c>
      <c r="H7" s="2">
        <f>Tabela524[[#This Row],[V (V)]]-Tabela524[[#This Row],[Fit]]</f>
        <v>-4.0957409718225257E-3</v>
      </c>
      <c r="I7" s="1"/>
      <c r="J7" s="25">
        <v>248050.58651903432</v>
      </c>
      <c r="K7" s="22">
        <v>13</v>
      </c>
      <c r="L7" s="1"/>
      <c r="M7" s="33"/>
      <c r="N7" s="33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8">
        <v>2.74</v>
      </c>
      <c r="C8" s="7">
        <v>0.01</v>
      </c>
      <c r="D8" s="7">
        <v>2.7300000000000002E-4</v>
      </c>
      <c r="E8" s="7">
        <v>9.9999999999999995E-7</v>
      </c>
      <c r="F8" s="7">
        <f t="shared" si="0"/>
        <v>10036.630036630037</v>
      </c>
      <c r="G8" s="2">
        <f>$J$4*Tabela524[[#This Row],[I (A)]]+$K$4</f>
        <v>2.7467409592543137</v>
      </c>
      <c r="H8" s="2">
        <f>Tabela524[[#This Row],[V (V)]]-Tabela524[[#This Row],[Fit]]</f>
        <v>-6.7409592543135055E-3</v>
      </c>
      <c r="I8" s="1"/>
      <c r="J8" s="22">
        <v>99.804662704237202</v>
      </c>
      <c r="K8" s="22">
        <v>5.2306290961159334E-3</v>
      </c>
      <c r="L8" s="1"/>
      <c r="M8" s="1"/>
      <c r="N8" s="1"/>
    </row>
    <row r="9" spans="1:24" x14ac:dyDescent="0.3">
      <c r="A9" s="28">
        <v>6</v>
      </c>
      <c r="B9" s="8">
        <v>3.18</v>
      </c>
      <c r="C9" s="7">
        <v>0.01</v>
      </c>
      <c r="D9" s="7">
        <v>3.1700000000000001E-4</v>
      </c>
      <c r="E9" s="7">
        <v>9.9999999999999995E-7</v>
      </c>
      <c r="F9" s="7">
        <f t="shared" si="0"/>
        <v>10031.545741324921</v>
      </c>
      <c r="G9" s="2">
        <f>$J$4*Tabela524[[#This Row],[I (A)]]+$K$4</f>
        <v>3.189271168046262</v>
      </c>
      <c r="H9" s="2">
        <f>Tabela524[[#This Row],[V (V)]]-Tabela524[[#This Row],[Fit]]</f>
        <v>-9.271168046261824E-3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8">
        <v>3.68</v>
      </c>
      <c r="C10" s="7">
        <v>0.01</v>
      </c>
      <c r="D10" s="7">
        <v>3.6600000000000001E-4</v>
      </c>
      <c r="E10" s="7">
        <v>9.9999999999999995E-7</v>
      </c>
      <c r="F10" s="7">
        <f t="shared" si="0"/>
        <v>10054.644808743169</v>
      </c>
      <c r="G10" s="2">
        <f>$J$4*Tabela524[[#This Row],[I (A)]]+$K$4</f>
        <v>3.6820889005645681</v>
      </c>
      <c r="H10" s="2">
        <f>Tabela524[[#This Row],[V (V)]]-Tabela524[[#This Row],[Fit]]</f>
        <v>-2.0889005645678971E-3</v>
      </c>
      <c r="I10" s="1"/>
      <c r="J10" s="43" t="s">
        <v>1</v>
      </c>
      <c r="K10" s="44"/>
      <c r="L10" s="45"/>
      <c r="M10" s="30">
        <v>0.01</v>
      </c>
      <c r="N10" s="30"/>
    </row>
    <row r="11" spans="1:24" x14ac:dyDescent="0.3">
      <c r="A11" s="28">
        <v>8</v>
      </c>
      <c r="B11" s="8">
        <v>4.33</v>
      </c>
      <c r="C11" s="7">
        <v>0.01</v>
      </c>
      <c r="D11" s="7">
        <v>4.2900000000000002E-4</v>
      </c>
      <c r="E11" s="7">
        <v>9.9999999999999995E-7</v>
      </c>
      <c r="F11" s="7">
        <f t="shared" si="0"/>
        <v>10093.240093240092</v>
      </c>
      <c r="G11" s="2">
        <f>$J$4*Tabela524[[#This Row],[I (A)]]+$K$4</f>
        <v>4.315711699516676</v>
      </c>
      <c r="H11" s="2">
        <f>Tabela524[[#This Row],[V (V)]]-Tabela524[[#This Row],[Fit]]</f>
        <v>1.4288300483324079E-2</v>
      </c>
      <c r="I11" s="1"/>
      <c r="J11" s="43" t="s">
        <v>11</v>
      </c>
      <c r="K11" s="44"/>
      <c r="L11" s="45"/>
      <c r="M11" s="30">
        <v>9.9999999999999995E-8</v>
      </c>
      <c r="N11" s="30"/>
    </row>
    <row r="12" spans="1:24" x14ac:dyDescent="0.3">
      <c r="A12" s="28">
        <v>9</v>
      </c>
      <c r="B12" s="8">
        <v>4.8</v>
      </c>
      <c r="C12" s="7">
        <v>0.01</v>
      </c>
      <c r="D12" s="7">
        <v>4.7599999999999997E-4</v>
      </c>
      <c r="E12" s="7">
        <v>9.9999999999999995E-7</v>
      </c>
      <c r="F12" s="7">
        <f t="shared" si="0"/>
        <v>10084.033613445379</v>
      </c>
      <c r="G12" s="2">
        <f>$J$4*Tabela524[[#This Row],[I (A)]]+$K$4</f>
        <v>4.7884144225444381</v>
      </c>
      <c r="H12" s="2">
        <f>Tabela524[[#This Row],[V (V)]]-Tabela524[[#This Row],[Fit]]</f>
        <v>1.1585577455561769E-2</v>
      </c>
      <c r="I12" s="1"/>
      <c r="J12" s="43" t="s">
        <v>18</v>
      </c>
      <c r="K12" s="44"/>
      <c r="L12" s="45"/>
      <c r="M12" s="30">
        <v>10000</v>
      </c>
      <c r="N12" s="30"/>
    </row>
    <row r="13" spans="1:24" x14ac:dyDescent="0.3">
      <c r="A13" s="28">
        <v>10</v>
      </c>
      <c r="B13" s="8">
        <v>5.56</v>
      </c>
      <c r="C13" s="7">
        <v>0.01</v>
      </c>
      <c r="D13" s="7">
        <v>5.5200000000000008E-4</v>
      </c>
      <c r="E13" s="7">
        <v>9.9999999999999995E-7</v>
      </c>
      <c r="F13" s="7">
        <f t="shared" si="0"/>
        <v>10072.46376811594</v>
      </c>
      <c r="G13" s="2">
        <f>$J$4*Tabela524[[#This Row],[I (A)]]+$K$4</f>
        <v>5.5527847831850776</v>
      </c>
      <c r="H13" s="2">
        <f>Tabela524[[#This Row],[V (V)]]-Tabela524[[#This Row],[Fit]]</f>
        <v>7.2152168149219875E-3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8">
        <v>5.96</v>
      </c>
      <c r="C14" s="7">
        <v>0.01</v>
      </c>
      <c r="D14" s="7">
        <v>5.9099999999999995E-4</v>
      </c>
      <c r="E14" s="7">
        <v>9.9999999999999995E-7</v>
      </c>
      <c r="F14" s="7">
        <f t="shared" si="0"/>
        <v>10084.60236886633</v>
      </c>
      <c r="G14" s="2">
        <f>$J$4*Tabela524[[#This Row],[I (A)]]+$K$4</f>
        <v>5.9450274682506663</v>
      </c>
      <c r="H14" s="2">
        <f>Tabela524[[#This Row],[V (V)]]-Tabela524[[#This Row],[Fit]]</f>
        <v>1.4972531749333662E-2</v>
      </c>
      <c r="I14" s="1"/>
      <c r="J14" s="43" t="s">
        <v>19</v>
      </c>
      <c r="K14" s="44"/>
      <c r="L14" s="45"/>
      <c r="M14" s="30">
        <f>J4</f>
        <v>10057.504745271552</v>
      </c>
      <c r="N14" s="30"/>
    </row>
    <row r="15" spans="1:24" x14ac:dyDescent="0.3">
      <c r="A15" s="28">
        <v>12</v>
      </c>
      <c r="B15" s="8">
        <v>6.8</v>
      </c>
      <c r="C15" s="7">
        <v>0.01</v>
      </c>
      <c r="D15" s="7">
        <v>6.7500000000000004E-4</v>
      </c>
      <c r="E15" s="7">
        <v>9.9999999999999995E-7</v>
      </c>
      <c r="F15" s="7">
        <f t="shared" si="0"/>
        <v>10074.074074074073</v>
      </c>
      <c r="G15" s="2">
        <f>$J$4*Tabela524[[#This Row],[I (A)]]+$K$4</f>
        <v>6.7898578668534775</v>
      </c>
      <c r="H15" s="2">
        <f>Tabela524[[#This Row],[V (V)]]-Tabela524[[#This Row],[Fit]]</f>
        <v>1.0142133146522347E-2</v>
      </c>
      <c r="I15" s="1"/>
      <c r="J15" s="43" t="s">
        <v>31</v>
      </c>
      <c r="K15" s="44"/>
      <c r="L15" s="45"/>
      <c r="M15" s="32">
        <f>J5</f>
        <v>20.193896080591035</v>
      </c>
      <c r="N15" s="32"/>
    </row>
    <row r="16" spans="1:24" ht="14.4" customHeight="1" x14ac:dyDescent="0.3">
      <c r="A16" s="28">
        <v>13</v>
      </c>
      <c r="B16" s="8">
        <v>7.64</v>
      </c>
      <c r="C16" s="7">
        <v>0.01</v>
      </c>
      <c r="D16" s="7">
        <v>7.5799999999999999E-4</v>
      </c>
      <c r="E16" s="7">
        <v>9.9999999999999995E-7</v>
      </c>
      <c r="F16" s="7">
        <f t="shared" si="0"/>
        <v>10079.155672823219</v>
      </c>
      <c r="G16" s="2">
        <f>$J$4*Tabela524[[#This Row],[I (A)]]+$K$4</f>
        <v>7.6246307607110158</v>
      </c>
      <c r="H16" s="2">
        <f>Tabela524[[#This Row],[V (V)]]-Tabela524[[#This Row],[Fit]]</f>
        <v>1.5369239288983927E-2</v>
      </c>
      <c r="I16" s="1"/>
      <c r="J16" s="48" t="s">
        <v>32</v>
      </c>
      <c r="K16" s="48"/>
      <c r="L16" s="48"/>
      <c r="M16" s="30">
        <f>F20</f>
        <v>10052.067968264466</v>
      </c>
      <c r="N16" s="30"/>
    </row>
    <row r="17" spans="1:15" ht="14.4" customHeight="1" x14ac:dyDescent="0.3">
      <c r="A17" s="28">
        <v>14</v>
      </c>
      <c r="B17" s="8">
        <v>8.44</v>
      </c>
      <c r="C17" s="7">
        <v>0.01</v>
      </c>
      <c r="D17" s="7">
        <v>8.4499999999999994E-4</v>
      </c>
      <c r="E17" s="7">
        <v>9.9999999999999995E-7</v>
      </c>
      <c r="F17" s="7">
        <f t="shared" si="0"/>
        <v>9988.165680473372</v>
      </c>
      <c r="G17" s="2">
        <f>$J$4*Tabela524[[#This Row],[I (A)]]+$K$4</f>
        <v>8.4996336735496403</v>
      </c>
      <c r="H17" s="2">
        <f>Tabela524[[#This Row],[V (V)]]-Tabela524[[#This Row],[Fit]]</f>
        <v>-5.9633673549640775E-2</v>
      </c>
      <c r="I17" s="1"/>
      <c r="J17" s="46" t="s">
        <v>21</v>
      </c>
      <c r="K17" s="46"/>
      <c r="L17" s="46"/>
      <c r="M17" s="51">
        <f>SQRT(((1/D20)*B22)^2+(-(B20/(D20^2))*D22)^2)</f>
        <v>2612.0114556618387</v>
      </c>
      <c r="N17" s="51"/>
    </row>
    <row r="18" spans="1:15" ht="14.4" customHeight="1" x14ac:dyDescent="0.3">
      <c r="A18" s="28">
        <v>15</v>
      </c>
      <c r="B18" s="8">
        <v>9.52</v>
      </c>
      <c r="C18" s="7">
        <v>0.01</v>
      </c>
      <c r="D18" s="7">
        <v>9.4499999999999998E-4</v>
      </c>
      <c r="E18" s="7">
        <v>9.9999999999999995E-7</v>
      </c>
      <c r="F18" s="7">
        <f t="shared" si="0"/>
        <v>10074.074074074073</v>
      </c>
      <c r="G18" s="2">
        <f>$J$4*Tabela524[[#This Row],[I (A)]]+$K$4</f>
        <v>9.5053841480767964</v>
      </c>
      <c r="H18" s="2">
        <f>Tabela524[[#This Row],[V (V)]]-Tabela524[[#This Row],[Fit]]</f>
        <v>1.4615851923203138E-2</v>
      </c>
      <c r="I18" s="1"/>
    </row>
    <row r="19" spans="1:15" ht="14.4" customHeight="1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5.7504745271551652E-3</v>
      </c>
      <c r="N19" s="42"/>
    </row>
    <row r="20" spans="1:15" ht="14.4" customHeight="1" x14ac:dyDescent="0.3">
      <c r="A20" s="29" t="s">
        <v>2</v>
      </c>
      <c r="B20" s="18">
        <f>AVERAGE(B4:B18)</f>
        <v>4.5993333333333331</v>
      </c>
      <c r="C20" s="34"/>
      <c r="D20" s="19">
        <f>AVERAGE(D4:D18)</f>
        <v>4.5719999999999995E-4</v>
      </c>
      <c r="E20" s="37"/>
      <c r="F20" s="19">
        <f>AVERAGE(F4:F18)</f>
        <v>10052.067968264466</v>
      </c>
      <c r="G20" s="40"/>
      <c r="H20" s="40"/>
      <c r="J20" s="50"/>
      <c r="K20" s="50"/>
      <c r="L20" s="50"/>
      <c r="M20" s="42"/>
      <c r="N20" s="42"/>
    </row>
    <row r="21" spans="1:15" ht="14.4" customHeight="1" x14ac:dyDescent="0.3">
      <c r="A21" s="29" t="s">
        <v>3</v>
      </c>
      <c r="B21" s="18">
        <f>STDEVA(B4:B18)</f>
        <v>2.6700708034129166</v>
      </c>
      <c r="C21" s="35"/>
      <c r="D21" s="19">
        <f>STDEVA(D4:D18)</f>
        <v>2.6547348535884221E-4</v>
      </c>
      <c r="E21" s="38"/>
      <c r="F21" s="19">
        <f>STDEVA(F4:F18)</f>
        <v>60.017411251811424</v>
      </c>
      <c r="G21" s="40"/>
      <c r="H21" s="40"/>
      <c r="J21" s="46" t="s">
        <v>20</v>
      </c>
      <c r="K21" s="49"/>
      <c r="L21" s="49"/>
      <c r="M21" s="41">
        <f>ABS((M12-F20)/M12)</f>
        <v>5.2067968264465888E-3</v>
      </c>
      <c r="N21" s="41"/>
    </row>
    <row r="22" spans="1:15" ht="14.4" customHeight="1" x14ac:dyDescent="0.3">
      <c r="A22" s="29" t="s">
        <v>4</v>
      </c>
      <c r="B22" s="18">
        <f>B21/SQRT(10)</f>
        <v>0.84435052527005017</v>
      </c>
      <c r="C22" s="36"/>
      <c r="D22" s="19">
        <f>D21/SQRT(10)</f>
        <v>8.3950087211730399E-5</v>
      </c>
      <c r="E22" s="39"/>
      <c r="F22" s="19">
        <f t="shared" ref="F22" si="1">F21/SQRT(10)</f>
        <v>18.979171882274159</v>
      </c>
      <c r="G22" s="40"/>
      <c r="H22" s="40"/>
      <c r="J22" s="49"/>
      <c r="K22" s="49"/>
      <c r="L22" s="49"/>
      <c r="M22" s="41"/>
      <c r="N22" s="41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A2:H2"/>
    <mergeCell ref="J3:K3"/>
    <mergeCell ref="J19:L20"/>
    <mergeCell ref="J21:L22"/>
    <mergeCell ref="J11:L11"/>
    <mergeCell ref="J12:L12"/>
    <mergeCell ref="G20:H22"/>
    <mergeCell ref="E20:E22"/>
    <mergeCell ref="C20:C22"/>
    <mergeCell ref="J10:L10"/>
    <mergeCell ref="J14:L14"/>
    <mergeCell ref="M19:N20"/>
    <mergeCell ref="M21:N22"/>
    <mergeCell ref="M16:N16"/>
    <mergeCell ref="J15:L15"/>
    <mergeCell ref="J16:L16"/>
    <mergeCell ref="J17:L17"/>
    <mergeCell ref="M15:N15"/>
    <mergeCell ref="M17:N17"/>
    <mergeCell ref="M4:N7"/>
    <mergeCell ref="M10:N10"/>
    <mergeCell ref="M11:N11"/>
    <mergeCell ref="M12:N12"/>
    <mergeCell ref="M14:N14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871-272C-4BD5-AD57-F866431E67A8}">
  <dimension ref="A2:Y161"/>
  <sheetViews>
    <sheetView zoomScaleNormal="100" workbookViewId="0">
      <selection activeCell="A2" sqref="A2:H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21875" customWidth="1"/>
    <col min="24" max="24" width="11.21875" customWidth="1"/>
    <col min="25" max="25" width="10.6640625" customWidth="1"/>
  </cols>
  <sheetData>
    <row r="2" spans="1:24" x14ac:dyDescent="0.3">
      <c r="A2" s="47" t="s">
        <v>39</v>
      </c>
      <c r="B2" s="47"/>
      <c r="C2" s="47"/>
      <c r="D2" s="47"/>
      <c r="E2" s="47"/>
      <c r="F2" s="47"/>
      <c r="G2" s="47"/>
      <c r="H2" s="47"/>
    </row>
    <row r="3" spans="1:24" x14ac:dyDescent="0.3">
      <c r="A3" s="1" t="s">
        <v>0</v>
      </c>
      <c r="B3" s="23" t="s">
        <v>5</v>
      </c>
      <c r="C3" s="23" t="s">
        <v>6</v>
      </c>
      <c r="D3" s="23" t="s">
        <v>8</v>
      </c>
      <c r="E3" s="23" t="s">
        <v>7</v>
      </c>
      <c r="F3" s="23" t="s">
        <v>9</v>
      </c>
      <c r="G3" s="23" t="s">
        <v>13</v>
      </c>
      <c r="H3" s="23" t="s">
        <v>14</v>
      </c>
      <c r="I3" s="1"/>
      <c r="J3" s="48" t="s">
        <v>16</v>
      </c>
      <c r="K3" s="48"/>
    </row>
    <row r="4" spans="1:24" x14ac:dyDescent="0.3">
      <c r="A4" s="28">
        <v>1</v>
      </c>
      <c r="B4" s="2">
        <v>0.95</v>
      </c>
      <c r="C4" s="5">
        <v>0.01</v>
      </c>
      <c r="D4" s="5">
        <v>2.9999999999999999E-7</v>
      </c>
      <c r="E4" s="5">
        <v>9.9999999999999995E-8</v>
      </c>
      <c r="F4" s="5">
        <f t="shared" ref="F4:F18" si="0">B4/D4</f>
        <v>3166666.6666666665</v>
      </c>
      <c r="G4" s="2">
        <f>$J$4*Tabela593[[#This Row],[I (A)]]+$K$4</f>
        <v>0.85434529777421475</v>
      </c>
      <c r="H4" s="2">
        <f>Tabela593[[#This Row],[V (V)]]-Tabela593[[#This Row],[Fit]]</f>
        <v>9.5654702225785204E-2</v>
      </c>
      <c r="I4" s="1"/>
      <c r="J4" s="26" cm="1">
        <f t="array" ref="J4:K8">LINEST(Tabela593[V (V)],Tabela593[I (A)],TRUE,TRUE)</f>
        <v>4134269.0996591127</v>
      </c>
      <c r="K4" s="22">
        <v>-0.38593543212351911</v>
      </c>
      <c r="M4" s="27"/>
      <c r="N4" s="27"/>
    </row>
    <row r="5" spans="1:24" x14ac:dyDescent="0.3">
      <c r="A5" s="28">
        <v>2</v>
      </c>
      <c r="B5" s="2">
        <v>1.74</v>
      </c>
      <c r="C5" s="5">
        <v>0.01</v>
      </c>
      <c r="D5" s="5">
        <v>4.9999999999999998E-7</v>
      </c>
      <c r="E5" s="5">
        <v>9.9999999999999995E-8</v>
      </c>
      <c r="F5" s="5">
        <f t="shared" si="0"/>
        <v>3480000</v>
      </c>
      <c r="G5" s="2">
        <f>$J$4*Tabela593[[#This Row],[I (A)]]+$K$4</f>
        <v>1.6811991177060372</v>
      </c>
      <c r="H5" s="2">
        <f>Tabela593[[#This Row],[V (V)]]-Tabela593[[#This Row],[Fit]]</f>
        <v>5.8800882293962742E-2</v>
      </c>
      <c r="I5" s="1"/>
      <c r="J5" s="24">
        <v>56358.769354844706</v>
      </c>
      <c r="K5" s="22">
        <v>9.7322962622806972E-2</v>
      </c>
      <c r="M5" s="27"/>
      <c r="N5" s="27"/>
    </row>
    <row r="6" spans="1:24" x14ac:dyDescent="0.3">
      <c r="A6" s="28">
        <v>3</v>
      </c>
      <c r="B6" s="2">
        <v>2.99</v>
      </c>
      <c r="C6" s="5">
        <v>0.01</v>
      </c>
      <c r="D6" s="5">
        <v>7.9999999999999996E-7</v>
      </c>
      <c r="E6" s="5">
        <v>9.9999999999999995E-8</v>
      </c>
      <c r="F6" s="5">
        <f t="shared" si="0"/>
        <v>3737500.0000000005</v>
      </c>
      <c r="G6" s="2">
        <f>$J$4*Tabela593[[#This Row],[I (A)]]+$K$4</f>
        <v>2.9214798476037709</v>
      </c>
      <c r="H6" s="2">
        <f>Tabela593[[#This Row],[V (V)]]-Tabela593[[#This Row],[Fit]]</f>
        <v>6.8520152396229328E-2</v>
      </c>
      <c r="I6" s="1"/>
      <c r="J6" s="22">
        <v>0.99758997831849405</v>
      </c>
      <c r="K6" s="22">
        <v>0.14532842059501605</v>
      </c>
      <c r="M6" s="27"/>
      <c r="N6" s="27"/>
    </row>
    <row r="7" spans="1:24" x14ac:dyDescent="0.3">
      <c r="A7" s="28">
        <v>4</v>
      </c>
      <c r="B7" s="2">
        <v>4.01</v>
      </c>
      <c r="C7" s="5">
        <v>0.01</v>
      </c>
      <c r="D7" s="5">
        <v>1.1000000000000001E-6</v>
      </c>
      <c r="E7" s="5">
        <v>9.9999999999999995E-8</v>
      </c>
      <c r="F7" s="5">
        <f t="shared" si="0"/>
        <v>3645454.5454545449</v>
      </c>
      <c r="G7" s="2">
        <f>$J$4*Tabela593[[#This Row],[I (A)]]+$K$4</f>
        <v>4.1617605775015054</v>
      </c>
      <c r="H7" s="2">
        <f>Tabela593[[#This Row],[V (V)]]-Tabela593[[#This Row],[Fit]]</f>
        <v>-0.15176057750150562</v>
      </c>
      <c r="I7" s="1"/>
      <c r="J7" s="24">
        <v>5381.142343099752</v>
      </c>
      <c r="K7" s="22">
        <v>13</v>
      </c>
      <c r="L7" s="1"/>
      <c r="M7" s="27"/>
      <c r="N7" s="27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4.58</v>
      </c>
      <c r="C8" s="5">
        <v>0.01</v>
      </c>
      <c r="D8" s="5">
        <v>1.1999999999999999E-6</v>
      </c>
      <c r="E8" s="5">
        <v>9.9999999999999995E-8</v>
      </c>
      <c r="F8" s="5">
        <f t="shared" si="0"/>
        <v>3816666.666666667</v>
      </c>
      <c r="G8" s="2">
        <f>$J$4*Tabela593[[#This Row],[I (A)]]+$K$4</f>
        <v>4.5751874874674163</v>
      </c>
      <c r="H8" s="2">
        <f>Tabela593[[#This Row],[V (V)]]-Tabela593[[#This Row],[Fit]]</f>
        <v>4.8125125325837459E-3</v>
      </c>
      <c r="I8" s="1"/>
      <c r="J8" s="22">
        <v>113.651608785509</v>
      </c>
      <c r="K8" s="22">
        <v>0.27456454782434447</v>
      </c>
      <c r="L8" s="1"/>
      <c r="M8" s="1"/>
      <c r="N8" s="1"/>
    </row>
    <row r="9" spans="1:24" x14ac:dyDescent="0.3">
      <c r="A9" s="28">
        <v>6</v>
      </c>
      <c r="B9" s="2">
        <v>5.52</v>
      </c>
      <c r="C9" s="5">
        <v>0.01</v>
      </c>
      <c r="D9" s="5">
        <v>1.5E-6</v>
      </c>
      <c r="E9" s="5">
        <v>9.9999999999999995E-8</v>
      </c>
      <c r="F9" s="5">
        <f t="shared" si="0"/>
        <v>3679999.9999999995</v>
      </c>
      <c r="G9" s="2">
        <f>$J$4*Tabela593[[#This Row],[I (A)]]+$K$4</f>
        <v>5.81546821736515</v>
      </c>
      <c r="H9" s="2">
        <f>Tabela593[[#This Row],[V (V)]]-Tabela593[[#This Row],[Fit]]</f>
        <v>-0.29546821736515039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6.12</v>
      </c>
      <c r="C10" s="5">
        <v>0.01</v>
      </c>
      <c r="D10" s="5">
        <v>1.5999999999999999E-6</v>
      </c>
      <c r="E10" s="5">
        <v>9.9999999999999995E-8</v>
      </c>
      <c r="F10" s="5">
        <f t="shared" si="0"/>
        <v>3825000.0000000005</v>
      </c>
      <c r="G10" s="2">
        <f>$J$4*Tabela593[[#This Row],[I (A)]]+$K$4</f>
        <v>6.2288951273310609</v>
      </c>
      <c r="H10" s="2">
        <f>Tabela593[[#This Row],[V (V)]]-Tabela593[[#This Row],[Fit]]</f>
        <v>-0.10889512733106077</v>
      </c>
      <c r="I10" s="1"/>
      <c r="J10" s="43" t="s">
        <v>1</v>
      </c>
      <c r="K10" s="44"/>
      <c r="L10" s="45"/>
      <c r="M10" s="30">
        <v>0.01</v>
      </c>
      <c r="N10" s="30"/>
    </row>
    <row r="11" spans="1:24" x14ac:dyDescent="0.3">
      <c r="A11" s="28">
        <v>8</v>
      </c>
      <c r="B11" s="2">
        <v>6.54</v>
      </c>
      <c r="C11" s="5">
        <v>0.01</v>
      </c>
      <c r="D11" s="5">
        <v>1.7E-6</v>
      </c>
      <c r="E11" s="5">
        <v>9.9999999999999995E-8</v>
      </c>
      <c r="F11" s="5">
        <f t="shared" si="0"/>
        <v>3847058.8235294116</v>
      </c>
      <c r="G11" s="2">
        <f>$J$4*Tabela593[[#This Row],[I (A)]]+$K$4</f>
        <v>6.6423220372969727</v>
      </c>
      <c r="H11" s="2">
        <f>Tabela593[[#This Row],[V (V)]]-Tabela593[[#This Row],[Fit]]</f>
        <v>-0.10232203729697265</v>
      </c>
      <c r="I11" s="1"/>
      <c r="J11" s="43" t="s">
        <v>11</v>
      </c>
      <c r="K11" s="44"/>
      <c r="L11" s="45"/>
      <c r="M11" s="30">
        <v>9.9999999999999995E-8</v>
      </c>
      <c r="N11" s="30"/>
    </row>
    <row r="12" spans="1:24" x14ac:dyDescent="0.3">
      <c r="A12" s="28">
        <v>9</v>
      </c>
      <c r="B12" s="2">
        <v>7.22</v>
      </c>
      <c r="C12" s="5">
        <v>0.01</v>
      </c>
      <c r="D12" s="5">
        <v>1.7999999999999999E-6</v>
      </c>
      <c r="E12" s="5">
        <v>9.9999999999999995E-8</v>
      </c>
      <c r="F12" s="5">
        <f t="shared" si="0"/>
        <v>4011111.111111111</v>
      </c>
      <c r="G12" s="2">
        <f>$J$4*Tabela593[[#This Row],[I (A)]]+$K$4</f>
        <v>7.0557489472628836</v>
      </c>
      <c r="H12" s="2">
        <f>Tabela593[[#This Row],[V (V)]]-Tabela593[[#This Row],[Fit]]</f>
        <v>0.16425105273711615</v>
      </c>
      <c r="I12" s="1"/>
      <c r="J12" s="43" t="s">
        <v>18</v>
      </c>
      <c r="K12" s="44"/>
      <c r="L12" s="45"/>
      <c r="M12" s="30">
        <v>6800000</v>
      </c>
      <c r="N12" s="30"/>
    </row>
    <row r="13" spans="1:24" x14ac:dyDescent="0.3">
      <c r="A13" s="28">
        <v>10</v>
      </c>
      <c r="B13" s="2">
        <v>7.66</v>
      </c>
      <c r="C13" s="5">
        <v>0.01</v>
      </c>
      <c r="D13" s="5">
        <v>1.9E-6</v>
      </c>
      <c r="E13" s="5">
        <v>9.9999999999999995E-8</v>
      </c>
      <c r="F13" s="5">
        <f t="shared" si="0"/>
        <v>4031578.9473684211</v>
      </c>
      <c r="G13" s="2">
        <f>$J$4*Tabela593[[#This Row],[I (A)]]+$K$4</f>
        <v>7.4691758572287954</v>
      </c>
      <c r="H13" s="2">
        <f>Tabela593[[#This Row],[V (V)]]-Tabela593[[#This Row],[Fit]]</f>
        <v>0.19082414277120474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8.25</v>
      </c>
      <c r="C14" s="5">
        <v>0.01</v>
      </c>
      <c r="D14" s="5">
        <v>2.0999999999999998E-6</v>
      </c>
      <c r="E14" s="5">
        <v>9.9999999999999995E-8</v>
      </c>
      <c r="F14" s="5">
        <f t="shared" si="0"/>
        <v>3928571.4285714291</v>
      </c>
      <c r="G14" s="2">
        <f>$J$4*Tabela593[[#This Row],[I (A)]]+$K$4</f>
        <v>8.2960296771606163</v>
      </c>
      <c r="H14" s="2">
        <f>Tabela593[[#This Row],[V (V)]]-Tabela593[[#This Row],[Fit]]</f>
        <v>-4.6029677160616345E-2</v>
      </c>
      <c r="I14" s="1"/>
      <c r="J14" s="43" t="s">
        <v>19</v>
      </c>
      <c r="K14" s="44"/>
      <c r="L14" s="45"/>
      <c r="M14" s="30">
        <f>J4</f>
        <v>4134269.0996591127</v>
      </c>
      <c r="N14" s="30"/>
    </row>
    <row r="15" spans="1:24" x14ac:dyDescent="0.3">
      <c r="A15" s="28">
        <v>12</v>
      </c>
      <c r="B15" s="2">
        <v>8.82</v>
      </c>
      <c r="C15" s="5">
        <v>0.01</v>
      </c>
      <c r="D15" s="5">
        <v>2.2000000000000001E-6</v>
      </c>
      <c r="E15" s="5">
        <v>9.9999999999999995E-8</v>
      </c>
      <c r="F15" s="5">
        <f t="shared" si="0"/>
        <v>4009090.9090909092</v>
      </c>
      <c r="G15" s="2">
        <f>$J$4*Tabela593[[#This Row],[I (A)]]+$K$4</f>
        <v>8.7094565871265299</v>
      </c>
      <c r="H15" s="2">
        <f>Tabela593[[#This Row],[V (V)]]-Tabela593[[#This Row],[Fit]]</f>
        <v>0.11054341287347036</v>
      </c>
      <c r="I15" s="1"/>
      <c r="J15" s="43" t="s">
        <v>31</v>
      </c>
      <c r="K15" s="44"/>
      <c r="L15" s="45"/>
      <c r="M15" s="51">
        <f>J5</f>
        <v>56358.769354844706</v>
      </c>
      <c r="N15" s="51"/>
    </row>
    <row r="16" spans="1:24" ht="14.4" customHeight="1" x14ac:dyDescent="0.3">
      <c r="A16" s="28">
        <v>13</v>
      </c>
      <c r="B16" s="2">
        <v>9</v>
      </c>
      <c r="C16" s="5">
        <v>0.01</v>
      </c>
      <c r="D16" s="5">
        <v>2.3E-6</v>
      </c>
      <c r="E16" s="5">
        <v>9.9999999999999995E-8</v>
      </c>
      <c r="F16" s="5">
        <f t="shared" si="0"/>
        <v>3913043.4782608696</v>
      </c>
      <c r="G16" s="2">
        <f>$J$4*Tabela593[[#This Row],[I (A)]]+$K$4</f>
        <v>9.12288349709244</v>
      </c>
      <c r="H16" s="2">
        <f>Tabela593[[#This Row],[V (V)]]-Tabela593[[#This Row],[Fit]]</f>
        <v>-0.12288349709243995</v>
      </c>
      <c r="I16" s="1"/>
      <c r="J16" s="48" t="s">
        <v>32</v>
      </c>
      <c r="K16" s="48"/>
      <c r="L16" s="48"/>
      <c r="M16" s="30">
        <f>F20</f>
        <v>3806771.7273368905</v>
      </c>
      <c r="N16" s="30"/>
    </row>
    <row r="17" spans="1:15" ht="15.6" customHeight="1" x14ac:dyDescent="0.3">
      <c r="A17" s="28">
        <v>14</v>
      </c>
      <c r="B17" s="2">
        <v>9.7100000000000009</v>
      </c>
      <c r="C17" s="5">
        <v>0.01</v>
      </c>
      <c r="D17" s="5">
        <v>2.3999999999999999E-6</v>
      </c>
      <c r="E17" s="5">
        <v>9.9999999999999995E-8</v>
      </c>
      <c r="F17" s="5">
        <f t="shared" si="0"/>
        <v>4045833.333333334</v>
      </c>
      <c r="G17" s="2">
        <f>$J$4*Tabela593[[#This Row],[I (A)]]+$K$4</f>
        <v>9.5363104070583518</v>
      </c>
      <c r="H17" s="2">
        <f>Tabela593[[#This Row],[V (V)]]-Tabela593[[#This Row],[Fit]]</f>
        <v>0.1736895929416491</v>
      </c>
      <c r="I17" s="1"/>
      <c r="J17" s="53" t="s">
        <v>33</v>
      </c>
      <c r="K17" s="46"/>
      <c r="L17" s="46"/>
      <c r="M17" s="51">
        <f>SQRT(((1/D20)*B22)^2+(-(B20/(D20^2))*D22)^2)</f>
        <v>777133.14715069497</v>
      </c>
      <c r="N17" s="51"/>
    </row>
    <row r="18" spans="1:15" x14ac:dyDescent="0.3">
      <c r="A18" s="28">
        <v>15</v>
      </c>
      <c r="B18" s="2">
        <v>9.91</v>
      </c>
      <c r="C18" s="5">
        <v>0.01</v>
      </c>
      <c r="D18" s="5">
        <v>2.5000000000000002E-6</v>
      </c>
      <c r="E18" s="5">
        <v>9.9999999999999995E-8</v>
      </c>
      <c r="F18" s="5">
        <f t="shared" si="0"/>
        <v>3963999.9999999995</v>
      </c>
      <c r="G18" s="2">
        <f>$J$4*Tabela593[[#This Row],[I (A)]]+$K$4</f>
        <v>9.9497373170242636</v>
      </c>
      <c r="H18" s="2">
        <f>Tabela593[[#This Row],[V (V)]]-Tabela593[[#This Row],[Fit]]</f>
        <v>-3.9737317024263419E-2</v>
      </c>
      <c r="I18" s="1"/>
    </row>
    <row r="19" spans="1:15" x14ac:dyDescent="0.3">
      <c r="A19" s="1"/>
      <c r="B19" s="1"/>
      <c r="C19" s="1"/>
      <c r="D19" s="1"/>
      <c r="E19" s="1"/>
      <c r="J19" s="50" t="s">
        <v>17</v>
      </c>
      <c r="K19" s="50"/>
      <c r="L19" s="50"/>
      <c r="M19" s="42">
        <f>ABS((M12-M14)/M12)</f>
        <v>0.3920192500501305</v>
      </c>
      <c r="N19" s="42"/>
    </row>
    <row r="20" spans="1:15" x14ac:dyDescent="0.3">
      <c r="A20" s="29" t="s">
        <v>2</v>
      </c>
      <c r="B20" s="18">
        <f>AVERAGE(B4:B18)</f>
        <v>6.2013333333333343</v>
      </c>
      <c r="C20" s="34"/>
      <c r="D20" s="19">
        <f>AVERAGE(D4:D18)</f>
        <v>1.5933333333333335E-6</v>
      </c>
      <c r="E20" s="37"/>
      <c r="F20" s="19">
        <f>AVERAGE(F4:F18)</f>
        <v>3806771.7273368905</v>
      </c>
      <c r="G20" s="40"/>
      <c r="H20" s="40"/>
      <c r="J20" s="50"/>
      <c r="K20" s="50"/>
      <c r="L20" s="50"/>
      <c r="M20" s="42"/>
      <c r="N20" s="42"/>
    </row>
    <row r="21" spans="1:15" x14ac:dyDescent="0.3">
      <c r="A21" s="29" t="s">
        <v>3</v>
      </c>
      <c r="B21" s="18">
        <f>STDEVA(B4:B18)</f>
        <v>2.8526450549487934</v>
      </c>
      <c r="C21" s="35"/>
      <c r="D21" s="19">
        <f>STDEVA(D4:D18)</f>
        <v>6.8916789025054048E-7</v>
      </c>
      <c r="E21" s="38"/>
      <c r="F21" s="19">
        <f>STDEVA(F4:F18)</f>
        <v>240042.60206381421</v>
      </c>
      <c r="G21" s="40"/>
      <c r="H21" s="40"/>
      <c r="J21" s="46" t="s">
        <v>20</v>
      </c>
      <c r="K21" s="49"/>
      <c r="L21" s="49"/>
      <c r="M21" s="41">
        <f>ABS((M12-F20)/M12)</f>
        <v>0.44018062833281024</v>
      </c>
      <c r="N21" s="41"/>
    </row>
    <row r="22" spans="1:15" x14ac:dyDescent="0.3">
      <c r="A22" s="29" t="s">
        <v>4</v>
      </c>
      <c r="B22" s="18">
        <f>B21/SQRT(10)</f>
        <v>0.90208557296543679</v>
      </c>
      <c r="C22" s="36"/>
      <c r="D22" s="19">
        <f>D21/SQRT(10)</f>
        <v>2.1793402234446575E-7</v>
      </c>
      <c r="E22" s="39"/>
      <c r="F22" s="19">
        <f t="shared" ref="F22" si="1">F21/SQRT(10)</f>
        <v>75908.135799508775</v>
      </c>
      <c r="G22" s="40"/>
      <c r="H22" s="40"/>
      <c r="J22" s="49"/>
      <c r="K22" s="49"/>
      <c r="L22" s="49"/>
      <c r="M22" s="41"/>
      <c r="N22" s="41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3">
    <mergeCell ref="J15:L15"/>
    <mergeCell ref="E20:E22"/>
    <mergeCell ref="C20:C22"/>
    <mergeCell ref="G20:H22"/>
    <mergeCell ref="J14:L14"/>
    <mergeCell ref="J12:L12"/>
    <mergeCell ref="J11:L11"/>
    <mergeCell ref="J10:L10"/>
    <mergeCell ref="A2:H2"/>
    <mergeCell ref="J3:K3"/>
    <mergeCell ref="M10:N10"/>
    <mergeCell ref="M11:N11"/>
    <mergeCell ref="M12:N12"/>
    <mergeCell ref="M14:N14"/>
    <mergeCell ref="M15:N15"/>
    <mergeCell ref="M19:N20"/>
    <mergeCell ref="M21:N22"/>
    <mergeCell ref="J16:L16"/>
    <mergeCell ref="M16:N16"/>
    <mergeCell ref="J17:L17"/>
    <mergeCell ref="M17:N17"/>
    <mergeCell ref="J19:L20"/>
    <mergeCell ref="J21:L2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 CA</vt:lpstr>
      <vt:lpstr>R2 CA</vt:lpstr>
      <vt:lpstr>R3 CA</vt:lpstr>
      <vt:lpstr>R1 CB </vt:lpstr>
      <vt:lpstr>R2 CB</vt:lpstr>
      <vt:lpstr>R3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cp:lastPrinted>2022-03-17T10:39:34Z</cp:lastPrinted>
  <dcterms:created xsi:type="dcterms:W3CDTF">2022-03-09T11:20:33Z</dcterms:created>
  <dcterms:modified xsi:type="dcterms:W3CDTF">2022-03-17T10:39:51Z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